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85" yWindow="5285" windowWidth="12648" windowHeight="5624" activeTab="17"/>
  </bookViews>
  <sheets>
    <sheet name="прил 1" sheetId="3" r:id="rId1"/>
    <sheet name="прил 2 " sheetId="12" r:id="rId2"/>
    <sheet name="прил 6" sheetId="27" r:id="rId3"/>
    <sheet name="прил 7" sheetId="26" state="hidden" r:id="rId4"/>
    <sheet name="прил 7  динамика" sheetId="21" state="hidden" r:id="rId5"/>
    <sheet name="прил 7 " sheetId="32" r:id="rId6"/>
    <sheet name="прил 8" sheetId="15" r:id="rId7"/>
    <sheet name="прил 9 динамика" sheetId="14" state="hidden" r:id="rId8"/>
    <sheet name="прил 9 " sheetId="39" r:id="rId9"/>
    <sheet name="прил 10 " sheetId="13" r:id="rId10"/>
    <sheet name="прил 11 " sheetId="22" r:id="rId11"/>
    <sheet name="потребность" sheetId="16" state="hidden" r:id="rId12"/>
    <sheet name="прил 12" sheetId="25" state="hidden" r:id="rId13"/>
    <sheet name="прил 12 (2)" sheetId="38" r:id="rId14"/>
    <sheet name="прил 13 " sheetId="23" r:id="rId15"/>
    <sheet name="прил 14 " sheetId="17" r:id="rId16"/>
    <sheet name="прил 15" sheetId="24" r:id="rId17"/>
    <sheet name="прил 16 " sheetId="18" r:id="rId18"/>
    <sheet name="потребность 2023" sheetId="29" state="hidden" r:id="rId19"/>
    <sheet name="потребность 2023 (2)" sheetId="33" state="hidden" r:id="rId20"/>
    <sheet name="потребность 2023 (3)" sheetId="34" state="hidden" r:id="rId21"/>
    <sheet name="потребность 2023 (4)" sheetId="35" state="hidden" r:id="rId22"/>
    <sheet name="потребность 2023 (5)" sheetId="36" state="hidden" r:id="rId23"/>
    <sheet name="Лист2" sheetId="37" r:id="rId24"/>
  </sheets>
  <externalReferences>
    <externalReference r:id="rId25"/>
    <externalReference r:id="rId26"/>
  </externalReferences>
  <definedNames>
    <definedName name="_xlnm._FilterDatabase" localSheetId="11" hidden="1">потребность!$A$14:$WVN$682</definedName>
    <definedName name="_xlnm._FilterDatabase" localSheetId="18" hidden="1">'потребность 2023'!$A$6:$N$750</definedName>
    <definedName name="_xlnm._FilterDatabase" localSheetId="19" hidden="1">'потребность 2023 (2)'!$A$6:$M$770</definedName>
    <definedName name="_xlnm._FilterDatabase" localSheetId="20" hidden="1">'потребность 2023 (3)'!$A$6:$M$770</definedName>
    <definedName name="_xlnm._FilterDatabase" localSheetId="21" hidden="1">'потребность 2023 (4)'!$A$6:$N$770</definedName>
    <definedName name="_xlnm._FilterDatabase" localSheetId="22" hidden="1">'потребность 2023 (5)'!$A$6:$WVH$767</definedName>
    <definedName name="_xlnm._FilterDatabase" localSheetId="9" hidden="1">'прил 10 '!$A$10:$F$10</definedName>
    <definedName name="_xlnm._FilterDatabase" localSheetId="10" hidden="1">'прил 11 '!$A$9:$WVG$715</definedName>
    <definedName name="_xlnm._FilterDatabase" localSheetId="12" hidden="1">'прил 12'!$A$13:$WVG$690</definedName>
    <definedName name="_xlnm._FilterDatabase" localSheetId="13" hidden="1">'прил 12 (2)'!$A$9:$L$699</definedName>
    <definedName name="_xlnm._FilterDatabase" localSheetId="14" hidden="1">'прил 13 '!$A$11:$WVI$677</definedName>
    <definedName name="_xlnm._FilterDatabase" localSheetId="15" hidden="1">'прил 14 '!$A$11:$WVM$571</definedName>
    <definedName name="_xlnm._FilterDatabase" localSheetId="16" hidden="1">'прил 15'!$A$5:$C$80</definedName>
    <definedName name="_xlnm._FilterDatabase" localSheetId="8" hidden="1">'прил 9 '!$A$9:$B$50</definedName>
    <definedName name="_xlnm._FilterDatabase" localSheetId="7" hidden="1">'прил 9 динамика'!$A$9:$D$62</definedName>
    <definedName name="_xlnm.Print_Area" localSheetId="11">потребность!$A$1:$L$679</definedName>
    <definedName name="_xlnm.Print_Area" localSheetId="18">'потребность 2023'!$A$1:$K$758</definedName>
    <definedName name="_xlnm.Print_Area" localSheetId="19">'потребность 2023 (2)'!$A$2:$M$765</definedName>
    <definedName name="_xlnm.Print_Area" localSheetId="20">'потребность 2023 (3)'!$A$2:$M$765</definedName>
    <definedName name="_xlnm.Print_Area" localSheetId="21">'потребность 2023 (4)'!$A$1:$N$765</definedName>
    <definedName name="_xlnm.Print_Area" localSheetId="22">'потребность 2023 (5)'!$A$1:$N$762</definedName>
    <definedName name="_xlnm.Print_Area" localSheetId="9">'прил 10 '!$A$1:$C$45</definedName>
    <definedName name="_xlnm.Print_Area" localSheetId="10">'прил 11 '!$A$1:$F$715</definedName>
    <definedName name="_xlnm.Print_Area" localSheetId="12">'прил 12'!$A$1:$G$684</definedName>
    <definedName name="_xlnm.Print_Area" localSheetId="13">'прил 12 (2)'!$A$1:$G$697</definedName>
    <definedName name="_xlnm.Print_Area" localSheetId="14">'прил 13 '!$A$1:$E$677</definedName>
    <definedName name="_xlnm.Print_Area" localSheetId="15">'прил 14 '!$A$1:$F$571</definedName>
    <definedName name="_xlnm.Print_Area" localSheetId="16">'прил 15'!$A$1:$C$80</definedName>
    <definedName name="_xlnm.Print_Area" localSheetId="17">'прил 16 '!$A$1:$D$78</definedName>
    <definedName name="_xlnm.Print_Area" localSheetId="1">'прил 2 '!$A$1:$D$13</definedName>
    <definedName name="_xlnm.Print_Area" localSheetId="3">'прил 7'!$A$1:$C$73</definedName>
    <definedName name="_xlnm.Print_Area" localSheetId="5">'прил 7 '!$A$1:$C$68</definedName>
    <definedName name="_xlnm.Print_Area" localSheetId="4">'прил 7  динамика'!$A$1:$G$68</definedName>
    <definedName name="_xlnm.Print_Area" localSheetId="6">'прил 8'!$A$1:$D$63</definedName>
    <definedName name="_xlnm.Print_Area" localSheetId="8">'прил 9 '!$A$1:$B$50</definedName>
    <definedName name="_xlnm.Print_Area" localSheetId="7">'прил 9 динамика'!$A$6:$E$62</definedName>
  </definedNames>
  <calcPr calcId="145621"/>
</workbook>
</file>

<file path=xl/calcChain.xml><?xml version="1.0" encoding="utf-8"?>
<calcChain xmlns="http://schemas.openxmlformats.org/spreadsheetml/2006/main">
  <c r="F645" i="17" l="1"/>
  <c r="E645" i="17"/>
  <c r="F595" i="17"/>
  <c r="E595" i="17"/>
  <c r="F111" i="17"/>
  <c r="D77" i="18" s="1"/>
  <c r="D76" i="18" s="1"/>
  <c r="E111" i="17"/>
  <c r="E110" i="17" s="1"/>
  <c r="E109" i="17" s="1"/>
  <c r="E108" i="17" s="1"/>
  <c r="G116" i="38"/>
  <c r="F116" i="38"/>
  <c r="G111" i="38"/>
  <c r="G110" i="38"/>
  <c r="G109" i="38"/>
  <c r="G108" i="38" s="1"/>
  <c r="F108" i="38"/>
  <c r="F109" i="38"/>
  <c r="F110" i="38"/>
  <c r="F111" i="38"/>
  <c r="E66" i="17"/>
  <c r="C77" i="18" l="1"/>
  <c r="C76" i="18" s="1"/>
  <c r="E107" i="17"/>
  <c r="F110" i="17"/>
  <c r="F109" i="17" s="1"/>
  <c r="F108" i="17" s="1"/>
  <c r="F107" i="17" s="1"/>
  <c r="F669" i="22"/>
  <c r="G662" i="38" l="1"/>
  <c r="G661" i="38" s="1"/>
  <c r="G660" i="38" s="1"/>
  <c r="G659" i="38" s="1"/>
  <c r="F665" i="38"/>
  <c r="F664" i="38" s="1"/>
  <c r="G665" i="38"/>
  <c r="G664" i="38" s="1"/>
  <c r="F668" i="38"/>
  <c r="F667" i="38" s="1"/>
  <c r="G668" i="38"/>
  <c r="G667" i="38" s="1"/>
  <c r="F671" i="38"/>
  <c r="F670" i="38" s="1"/>
  <c r="G671" i="38"/>
  <c r="G670" i="38" s="1"/>
  <c r="F633" i="38"/>
  <c r="G633" i="38"/>
  <c r="F455" i="38"/>
  <c r="F454" i="38" s="1"/>
  <c r="F663" i="38" l="1"/>
  <c r="F662" i="38" s="1"/>
  <c r="F661" i="38" s="1"/>
  <c r="F660" i="38" s="1"/>
  <c r="F659" i="38" s="1"/>
  <c r="C45" i="13" l="1"/>
  <c r="B45" i="13"/>
  <c r="C23" i="13"/>
  <c r="B23" i="13"/>
  <c r="C32" i="13"/>
  <c r="B32" i="13"/>
  <c r="C19" i="13"/>
  <c r="B19" i="13"/>
  <c r="C11" i="13"/>
  <c r="B11" i="13"/>
  <c r="C44" i="32"/>
  <c r="C41" i="32"/>
  <c r="B50" i="39"/>
  <c r="B27" i="39"/>
  <c r="B36" i="39"/>
  <c r="B19" i="39"/>
  <c r="B13" i="39" s="1"/>
  <c r="B10" i="39"/>
  <c r="F473" i="17" l="1"/>
  <c r="F472" i="17" s="1"/>
  <c r="F471" i="17" s="1"/>
  <c r="G384" i="38"/>
  <c r="G383" i="38" s="1"/>
  <c r="K629" i="36" l="1"/>
  <c r="K596" i="36"/>
  <c r="C15" i="32" l="1"/>
  <c r="K639" i="36" l="1"/>
  <c r="K309" i="36"/>
  <c r="F510" i="38"/>
  <c r="F413" i="17"/>
  <c r="E413" i="17"/>
  <c r="E570" i="17"/>
  <c r="F563" i="17"/>
  <c r="E563" i="17"/>
  <c r="F555" i="17"/>
  <c r="E555" i="17"/>
  <c r="F546" i="17"/>
  <c r="E546" i="17"/>
  <c r="F544" i="17"/>
  <c r="E544" i="17"/>
  <c r="F520" i="17"/>
  <c r="E520" i="17"/>
  <c r="F537" i="17"/>
  <c r="E537" i="17"/>
  <c r="F531" i="17"/>
  <c r="E531" i="17"/>
  <c r="E528" i="17"/>
  <c r="F513" i="17"/>
  <c r="E513" i="17"/>
  <c r="F504" i="17"/>
  <c r="E504" i="17"/>
  <c r="F499" i="17"/>
  <c r="E499" i="17"/>
  <c r="F493" i="17"/>
  <c r="E493" i="17"/>
  <c r="F470" i="17"/>
  <c r="E470" i="17"/>
  <c r="F469" i="17"/>
  <c r="E469" i="17"/>
  <c r="F465" i="17"/>
  <c r="E465" i="17"/>
  <c r="F462" i="17"/>
  <c r="E462" i="17"/>
  <c r="F442" i="17" l="1"/>
  <c r="E442" i="17"/>
  <c r="E438" i="17"/>
  <c r="F425" i="17"/>
  <c r="E425" i="17"/>
  <c r="F419" i="17"/>
  <c r="E419" i="17"/>
  <c r="F394" i="17"/>
  <c r="E394" i="17"/>
  <c r="E390" i="17"/>
  <c r="F387" i="17"/>
  <c r="E387" i="17"/>
  <c r="F372" i="17"/>
  <c r="E372" i="17"/>
  <c r="F359" i="17"/>
  <c r="E359" i="17"/>
  <c r="F355" i="17"/>
  <c r="E355" i="17"/>
  <c r="F352" i="17"/>
  <c r="E352" i="17"/>
  <c r="F346" i="17"/>
  <c r="E346" i="17"/>
  <c r="F330" i="17"/>
  <c r="E330" i="17"/>
  <c r="F327" i="17"/>
  <c r="E327" i="17"/>
  <c r="F323" i="17"/>
  <c r="E323" i="17"/>
  <c r="E320" i="17"/>
  <c r="F312" i="17"/>
  <c r="E312" i="17"/>
  <c r="F307" i="17"/>
  <c r="E307" i="17"/>
  <c r="F303" i="17"/>
  <c r="E303" i="17"/>
  <c r="F296" i="17"/>
  <c r="E296" i="17"/>
  <c r="F290" i="17"/>
  <c r="E290" i="17"/>
  <c r="F287" i="17"/>
  <c r="E287" i="17"/>
  <c r="E270" i="17"/>
  <c r="E262" i="17"/>
  <c r="E259" i="17"/>
  <c r="F244" i="17"/>
  <c r="F219" i="17"/>
  <c r="E219" i="17"/>
  <c r="E215" i="17"/>
  <c r="F210" i="17"/>
  <c r="E210" i="17"/>
  <c r="F201" i="17"/>
  <c r="E201" i="17"/>
  <c r="F195" i="17"/>
  <c r="E195" i="17"/>
  <c r="F190" i="17"/>
  <c r="E190" i="17"/>
  <c r="F184" i="17"/>
  <c r="E184" i="17"/>
  <c r="E172" i="17"/>
  <c r="F166" i="17"/>
  <c r="E166" i="17"/>
  <c r="F163" i="17"/>
  <c r="E163" i="17"/>
  <c r="F156" i="17"/>
  <c r="E156" i="17"/>
  <c r="F154" i="17"/>
  <c r="E154" i="17"/>
  <c r="F151" i="17"/>
  <c r="E151" i="17"/>
  <c r="F146" i="17"/>
  <c r="E146" i="17"/>
  <c r="F141" i="17"/>
  <c r="E141" i="17"/>
  <c r="F136" i="17"/>
  <c r="E136" i="17"/>
  <c r="F133" i="17"/>
  <c r="E133" i="17"/>
  <c r="F127" i="17"/>
  <c r="E127" i="17"/>
  <c r="E124" i="17"/>
  <c r="F117" i="17"/>
  <c r="E117" i="17"/>
  <c r="F106" i="17"/>
  <c r="E106" i="17"/>
  <c r="F99" i="17"/>
  <c r="E99" i="17"/>
  <c r="F91" i="17"/>
  <c r="E91" i="17"/>
  <c r="E86" i="17"/>
  <c r="F84" i="17"/>
  <c r="F83" i="17" s="1"/>
  <c r="E84" i="17"/>
  <c r="E83" i="17" s="1"/>
  <c r="F77" i="17"/>
  <c r="E77" i="17"/>
  <c r="F69" i="17"/>
  <c r="E69" i="17"/>
  <c r="F54" i="17"/>
  <c r="E54" i="17"/>
  <c r="F52" i="17"/>
  <c r="E52" i="17"/>
  <c r="F60" i="17"/>
  <c r="E60" i="17"/>
  <c r="F45" i="17"/>
  <c r="E45" i="17"/>
  <c r="F39" i="17"/>
  <c r="E39" i="17"/>
  <c r="F32" i="17"/>
  <c r="E32" i="17"/>
  <c r="F29" i="17"/>
  <c r="E29" i="17"/>
  <c r="F27" i="17"/>
  <c r="E27" i="17"/>
  <c r="F17" i="17"/>
  <c r="E17" i="17"/>
  <c r="F130" i="22" l="1"/>
  <c r="F278" i="22"/>
  <c r="K280" i="36" l="1"/>
  <c r="F714" i="22"/>
  <c r="F713" i="22" s="1"/>
  <c r="F712" i="22" s="1"/>
  <c r="F711" i="22" s="1"/>
  <c r="F710" i="22" s="1"/>
  <c r="F709" i="22"/>
  <c r="F708" i="22" s="1"/>
  <c r="F707" i="22" s="1"/>
  <c r="F706" i="22" s="1"/>
  <c r="F705" i="22" s="1"/>
  <c r="F703" i="22"/>
  <c r="F702" i="22" s="1"/>
  <c r="F701" i="22"/>
  <c r="F699" i="22"/>
  <c r="F696" i="22"/>
  <c r="F660" i="22"/>
  <c r="F653" i="22"/>
  <c r="F650" i="22"/>
  <c r="F648" i="22"/>
  <c r="F646" i="22"/>
  <c r="F643" i="22"/>
  <c r="F641" i="22"/>
  <c r="F639" i="22"/>
  <c r="F633" i="22"/>
  <c r="F629" i="22"/>
  <c r="F627" i="22"/>
  <c r="F625" i="22"/>
  <c r="F621" i="22"/>
  <c r="F614" i="22"/>
  <c r="F611" i="22"/>
  <c r="F608" i="22"/>
  <c r="F605" i="22"/>
  <c r="F598" i="22"/>
  <c r="F588" i="22"/>
  <c r="F584" i="22"/>
  <c r="F577" i="22"/>
  <c r="F574" i="22"/>
  <c r="F571" i="22"/>
  <c r="F568" i="22"/>
  <c r="F565" i="22"/>
  <c r="F561" i="22"/>
  <c r="F558" i="22"/>
  <c r="F555" i="22"/>
  <c r="F552" i="22"/>
  <c r="F541" i="22"/>
  <c r="F538" i="22"/>
  <c r="F535" i="22"/>
  <c r="F532" i="22"/>
  <c r="F529" i="22"/>
  <c r="F526" i="22"/>
  <c r="F523" i="22"/>
  <c r="F519" i="22"/>
  <c r="F516" i="22"/>
  <c r="F507" i="22"/>
  <c r="F503" i="22"/>
  <c r="F497" i="22"/>
  <c r="F494" i="22"/>
  <c r="F492" i="22"/>
  <c r="F490" i="22"/>
  <c r="F487" i="22"/>
  <c r="F480" i="22"/>
  <c r="F473" i="22"/>
  <c r="F459" i="22"/>
  <c r="F456" i="22"/>
  <c r="F468" i="22"/>
  <c r="F465" i="22"/>
  <c r="F462" i="22"/>
  <c r="F453" i="22"/>
  <c r="F451" i="22"/>
  <c r="F444" i="22"/>
  <c r="F441" i="22"/>
  <c r="F435" i="22"/>
  <c r="F438" i="22"/>
  <c r="F437" i="22"/>
  <c r="F429" i="22"/>
  <c r="F425" i="22"/>
  <c r="F420" i="22"/>
  <c r="F414" i="22"/>
  <c r="F755" i="22" s="1"/>
  <c r="F408" i="22"/>
  <c r="F405" i="22"/>
  <c r="F397" i="22"/>
  <c r="F400" i="22"/>
  <c r="F407" i="22" l="1"/>
  <c r="F406" i="22" s="1"/>
  <c r="E575" i="23"/>
  <c r="E574" i="23" s="1"/>
  <c r="E573" i="23" s="1"/>
  <c r="F396" i="22"/>
  <c r="F395" i="22" s="1"/>
  <c r="E564" i="23"/>
  <c r="E563" i="23" s="1"/>
  <c r="E562" i="23" s="1"/>
  <c r="F458" i="22"/>
  <c r="F457" i="22" s="1"/>
  <c r="E643" i="23"/>
  <c r="F666" i="22"/>
  <c r="F399" i="22"/>
  <c r="F398" i="22" s="1"/>
  <c r="E567" i="23"/>
  <c r="E566" i="23" s="1"/>
  <c r="E565" i="23" s="1"/>
  <c r="F704" i="22"/>
  <c r="F385" i="22"/>
  <c r="F384" i="22"/>
  <c r="F376" i="22"/>
  <c r="F373" i="22"/>
  <c r="F380" i="22"/>
  <c r="F370" i="22"/>
  <c r="F360" i="22"/>
  <c r="E491" i="23" s="1"/>
  <c r="E490" i="23" s="1"/>
  <c r="E489" i="23" s="1"/>
  <c r="E488" i="23" s="1"/>
  <c r="C33" i="24" s="1"/>
  <c r="F356" i="22"/>
  <c r="F353" i="22"/>
  <c r="F346" i="22"/>
  <c r="F341" i="22"/>
  <c r="F337" i="22"/>
  <c r="F330" i="22"/>
  <c r="F327" i="22"/>
  <c r="F318" i="22"/>
  <c r="F315" i="22"/>
  <c r="F307" i="22"/>
  <c r="F301" i="22"/>
  <c r="F298" i="22"/>
  <c r="F295" i="22"/>
  <c r="F292" i="22"/>
  <c r="F289" i="22"/>
  <c r="F281" i="22"/>
  <c r="F275" i="22"/>
  <c r="F259" i="22"/>
  <c r="F256" i="22"/>
  <c r="F250" i="22"/>
  <c r="F253" i="22"/>
  <c r="F247" i="22"/>
  <c r="F243" i="22"/>
  <c r="F232" i="22"/>
  <c r="F225" i="22"/>
  <c r="F221" i="22"/>
  <c r="F216" i="22"/>
  <c r="F204" i="22"/>
  <c r="F198" i="22"/>
  <c r="F193" i="22"/>
  <c r="F187" i="22"/>
  <c r="F175" i="22"/>
  <c r="F169" i="22"/>
  <c r="F166" i="22"/>
  <c r="F159" i="22"/>
  <c r="F157" i="22"/>
  <c r="F154" i="22"/>
  <c r="F152" i="22"/>
  <c r="F149" i="22"/>
  <c r="F147" i="22"/>
  <c r="F144" i="22"/>
  <c r="F142" i="22"/>
  <c r="F139" i="22"/>
  <c r="F136" i="22"/>
  <c r="F134" i="22"/>
  <c r="F121" i="22"/>
  <c r="F119" i="22"/>
  <c r="F116" i="22"/>
  <c r="E120" i="23" s="1"/>
  <c r="F112" i="22"/>
  <c r="F107" i="22"/>
  <c r="F105" i="22"/>
  <c r="F100" i="22"/>
  <c r="F92" i="22"/>
  <c r="F87" i="22"/>
  <c r="F85" i="22"/>
  <c r="F391" i="22" l="1"/>
  <c r="F375" i="22"/>
  <c r="F374" i="22" s="1"/>
  <c r="E547" i="23"/>
  <c r="F372" i="22"/>
  <c r="F371" i="22" s="1"/>
  <c r="E544" i="23"/>
  <c r="E558" i="23"/>
  <c r="F78" i="22"/>
  <c r="F74" i="22"/>
  <c r="F70" i="22"/>
  <c r="F67" i="22"/>
  <c r="F61" i="22"/>
  <c r="F56" i="22"/>
  <c r="F51" i="22"/>
  <c r="F45" i="22"/>
  <c r="F43" i="22"/>
  <c r="F38" i="22"/>
  <c r="F31" i="22"/>
  <c r="F26" i="22"/>
  <c r="E71" i="23" s="1"/>
  <c r="F20" i="22"/>
  <c r="E54" i="23" s="1"/>
  <c r="F18" i="22"/>
  <c r="F16" i="22"/>
  <c r="B48" i="39"/>
  <c r="E10" i="14"/>
  <c r="E11" i="14"/>
  <c r="E14" i="14"/>
  <c r="E15" i="14"/>
  <c r="E16" i="14"/>
  <c r="E17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1" i="14"/>
  <c r="C37" i="32"/>
  <c r="C33" i="32"/>
  <c r="C31" i="32"/>
  <c r="C29" i="32"/>
  <c r="C25" i="32"/>
  <c r="C23" i="32"/>
  <c r="C20" i="32"/>
  <c r="C13" i="32"/>
  <c r="C12" i="32"/>
  <c r="C11" i="32" s="1"/>
  <c r="G586" i="38"/>
  <c r="F383" i="17" s="1"/>
  <c r="G637" i="38"/>
  <c r="F438" i="17" s="1"/>
  <c r="G549" i="38"/>
  <c r="F349" i="17" s="1"/>
  <c r="G510" i="38"/>
  <c r="F320" i="17" s="1"/>
  <c r="G374" i="38"/>
  <c r="F456" i="17" s="1"/>
  <c r="G364" i="38"/>
  <c r="F452" i="17" s="1"/>
  <c r="G350" i="38"/>
  <c r="F399" i="17" s="1"/>
  <c r="G221" i="38"/>
  <c r="F215" i="17" s="1"/>
  <c r="G175" i="38"/>
  <c r="F172" i="17" s="1"/>
  <c r="F115" i="17"/>
  <c r="G76" i="38"/>
  <c r="F75" i="17" s="1"/>
  <c r="G74" i="38"/>
  <c r="F73" i="17" s="1"/>
  <c r="G43" i="38"/>
  <c r="F37" i="17" s="1"/>
  <c r="G484" i="38"/>
  <c r="F25" i="17" s="1"/>
  <c r="G289" i="38"/>
  <c r="F270" i="17" s="1"/>
  <c r="G180" i="38"/>
  <c r="F177" i="17" s="1"/>
  <c r="G130" i="38"/>
  <c r="F124" i="17" s="1"/>
  <c r="G105" i="38"/>
  <c r="F104" i="17" s="1"/>
  <c r="G87" i="38"/>
  <c r="F86" i="17" s="1"/>
  <c r="G67" i="38"/>
  <c r="F66" i="17" s="1"/>
  <c r="G16" i="38"/>
  <c r="G630" i="38"/>
  <c r="F431" i="17" s="1"/>
  <c r="G474" i="38"/>
  <c r="F570" i="17" s="1"/>
  <c r="G31" i="38"/>
  <c r="G304" i="38"/>
  <c r="G284" i="38"/>
  <c r="F262" i="17" s="1"/>
  <c r="G275" i="38"/>
  <c r="F259" i="17" s="1"/>
  <c r="G243" i="38"/>
  <c r="F237" i="17" s="1"/>
  <c r="G232" i="38"/>
  <c r="F226" i="17" s="1"/>
  <c r="F364" i="38"/>
  <c r="E452" i="17" s="1"/>
  <c r="F374" i="38"/>
  <c r="E456" i="17" s="1"/>
  <c r="F549" i="38"/>
  <c r="E349" i="17" s="1"/>
  <c r="F586" i="38"/>
  <c r="E383" i="17" s="1"/>
  <c r="G639" i="38"/>
  <c r="F440" i="17" s="1"/>
  <c r="F639" i="38"/>
  <c r="E440" i="17" s="1"/>
  <c r="G295" i="38"/>
  <c r="F276" i="17" s="1"/>
  <c r="F295" i="38"/>
  <c r="E276" i="17" s="1"/>
  <c r="G292" i="38"/>
  <c r="F273" i="17" s="1"/>
  <c r="F292" i="38"/>
  <c r="E273" i="17" s="1"/>
  <c r="F250" i="38"/>
  <c r="E244" i="17" s="1"/>
  <c r="F243" i="38"/>
  <c r="E237" i="17" s="1"/>
  <c r="F74" i="38"/>
  <c r="E73" i="17" s="1"/>
  <c r="F630" i="38"/>
  <c r="E431" i="17" s="1"/>
  <c r="F350" i="38"/>
  <c r="E399" i="17" s="1"/>
  <c r="F232" i="38"/>
  <c r="E226" i="17" s="1"/>
  <c r="E115" i="17"/>
  <c r="F105" i="38"/>
  <c r="E104" i="17" s="1"/>
  <c r="F97" i="38"/>
  <c r="E96" i="17" s="1"/>
  <c r="G97" i="38"/>
  <c r="F43" i="38"/>
  <c r="E37" i="17" s="1"/>
  <c r="F96" i="17" l="1"/>
  <c r="C10" i="32"/>
  <c r="C54" i="32"/>
  <c r="C40" i="32" s="1"/>
  <c r="C39" i="32" s="1"/>
  <c r="F180" i="38"/>
  <c r="E177" i="17" s="1"/>
  <c r="F76" i="38"/>
  <c r="E75" i="17" s="1"/>
  <c r="D12" i="13"/>
  <c r="D16" i="13"/>
  <c r="D20" i="13"/>
  <c r="D21" i="13"/>
  <c r="D22" i="13"/>
  <c r="D24" i="13"/>
  <c r="D25" i="13"/>
  <c r="D26" i="13"/>
  <c r="D27" i="13"/>
  <c r="D28" i="13"/>
  <c r="D29" i="13"/>
  <c r="D30" i="13"/>
  <c r="D31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E39" i="15"/>
  <c r="E40" i="15"/>
  <c r="E42" i="15"/>
  <c r="E43" i="15"/>
  <c r="E44" i="15"/>
  <c r="E45" i="15"/>
  <c r="E46" i="15"/>
  <c r="E47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G523" i="38"/>
  <c r="F333" i="17" s="1"/>
  <c r="F523" i="38"/>
  <c r="E333" i="17" s="1"/>
  <c r="G562" i="38"/>
  <c r="F562" i="38"/>
  <c r="F535" i="38"/>
  <c r="F571" i="38"/>
  <c r="F599" i="38"/>
  <c r="G632" i="38"/>
  <c r="F433" i="17" s="1"/>
  <c r="F632" i="38"/>
  <c r="E433" i="17" s="1"/>
  <c r="G644" i="38"/>
  <c r="F445" i="17" s="1"/>
  <c r="F644" i="38"/>
  <c r="E445" i="17" s="1"/>
  <c r="G704" i="38"/>
  <c r="F704" i="38"/>
  <c r="G301" i="38"/>
  <c r="F282" i="17" s="1"/>
  <c r="F301" i="38"/>
  <c r="E282" i="17" s="1"/>
  <c r="G397" i="38"/>
  <c r="F482" i="17" s="1"/>
  <c r="F481" i="17" s="1"/>
  <c r="F480" i="17" s="1"/>
  <c r="F397" i="38"/>
  <c r="E482" i="17" s="1"/>
  <c r="C68" i="32" l="1"/>
  <c r="D51" i="15"/>
  <c r="C51" i="15"/>
  <c r="D45" i="15"/>
  <c r="C45" i="15"/>
  <c r="C74" i="32" l="1"/>
  <c r="C13" i="3"/>
  <c r="G419" i="38"/>
  <c r="F509" i="17" s="1"/>
  <c r="F419" i="38"/>
  <c r="E509" i="17" s="1"/>
  <c r="C15" i="13"/>
  <c r="C13" i="13" s="1"/>
  <c r="B15" i="13"/>
  <c r="F376" i="38"/>
  <c r="F375" i="38" s="1"/>
  <c r="G376" i="38"/>
  <c r="G375" i="38" s="1"/>
  <c r="G369" i="38"/>
  <c r="G368" i="38" s="1"/>
  <c r="F369" i="38"/>
  <c r="F368" i="38" s="1"/>
  <c r="G366" i="38"/>
  <c r="G365" i="38" s="1"/>
  <c r="F366" i="38"/>
  <c r="F365" i="38" s="1"/>
  <c r="B13" i="13" l="1"/>
  <c r="G434" i="38"/>
  <c r="F434" i="38"/>
  <c r="F657" i="38"/>
  <c r="G657" i="38"/>
  <c r="F158" i="38"/>
  <c r="G158" i="38"/>
  <c r="G152" i="38"/>
  <c r="F149" i="17" s="1"/>
  <c r="F152" i="38"/>
  <c r="E149" i="17" s="1"/>
  <c r="G147" i="38"/>
  <c r="F144" i="17" s="1"/>
  <c r="F147" i="38"/>
  <c r="E144" i="17" s="1"/>
  <c r="F142" i="38"/>
  <c r="E139" i="17" s="1"/>
  <c r="G142" i="38"/>
  <c r="F139" i="17" s="1"/>
  <c r="G134" i="38"/>
  <c r="F131" i="17" s="1"/>
  <c r="F134" i="38"/>
  <c r="E131" i="17" s="1"/>
  <c r="J154" i="36"/>
  <c r="K154" i="36"/>
  <c r="K156" i="36"/>
  <c r="J156" i="36"/>
  <c r="E530" i="17" l="1"/>
  <c r="F712" i="38"/>
  <c r="F530" i="17"/>
  <c r="G712" i="38"/>
  <c r="D45" i="13"/>
  <c r="K724" i="36"/>
  <c r="J280" i="36"/>
  <c r="K113" i="36"/>
  <c r="J113" i="36"/>
  <c r="K487" i="36" l="1"/>
  <c r="J487" i="36"/>
  <c r="G579" i="38"/>
  <c r="F376" i="17" s="1"/>
  <c r="F579" i="38"/>
  <c r="E376" i="17" s="1"/>
  <c r="G690" i="38"/>
  <c r="G689" i="38" s="1"/>
  <c r="G688" i="38" s="1"/>
  <c r="G687" i="38" s="1"/>
  <c r="F690" i="38"/>
  <c r="F689" i="38" s="1"/>
  <c r="F688" i="38" s="1"/>
  <c r="F687" i="38" s="1"/>
  <c r="G695" i="38"/>
  <c r="G694" i="38" s="1"/>
  <c r="G693" i="38" s="1"/>
  <c r="G692" i="38" s="1"/>
  <c r="F695" i="38"/>
  <c r="F694" i="38" s="1"/>
  <c r="F693" i="38" s="1"/>
  <c r="F692" i="38" s="1"/>
  <c r="G679" i="38"/>
  <c r="F57" i="17" s="1"/>
  <c r="F679" i="38"/>
  <c r="E57" i="17" s="1"/>
  <c r="G685" i="38"/>
  <c r="F685" i="38"/>
  <c r="G682" i="38"/>
  <c r="F50" i="17" s="1"/>
  <c r="F682" i="38"/>
  <c r="G481" i="38"/>
  <c r="F22" i="17" s="1"/>
  <c r="F481" i="38"/>
  <c r="E22" i="17" s="1"/>
  <c r="F484" i="38"/>
  <c r="E25" i="17" s="1"/>
  <c r="F16" i="38"/>
  <c r="E50" i="17" s="1"/>
  <c r="G598" i="38" l="1"/>
  <c r="G597" i="38" s="1"/>
  <c r="F598" i="38"/>
  <c r="F597" i="38" s="1"/>
  <c r="J111" i="36"/>
  <c r="G84" i="38"/>
  <c r="F84" i="38"/>
  <c r="D50" i="15" l="1"/>
  <c r="C50" i="15"/>
  <c r="D61" i="15"/>
  <c r="C61" i="15"/>
  <c r="D49" i="15"/>
  <c r="D41" i="15" s="1"/>
  <c r="C49" i="15"/>
  <c r="C41" i="15" s="1"/>
  <c r="D39" i="15"/>
  <c r="C39" i="15"/>
  <c r="G396" i="38"/>
  <c r="G395" i="38" s="1"/>
  <c r="F396" i="38"/>
  <c r="F395" i="38" s="1"/>
  <c r="G683" i="38"/>
  <c r="F683" i="38"/>
  <c r="G681" i="38"/>
  <c r="F681" i="38"/>
  <c r="G678" i="38"/>
  <c r="G677" i="38" s="1"/>
  <c r="F678" i="38"/>
  <c r="F677" i="38" s="1"/>
  <c r="G656" i="38"/>
  <c r="F656" i="38"/>
  <c r="G650" i="38"/>
  <c r="G649" i="38" s="1"/>
  <c r="G648" i="38" s="1"/>
  <c r="G647" i="38" s="1"/>
  <c r="G646" i="38" s="1"/>
  <c r="F650" i="38"/>
  <c r="F649" i="38" s="1"/>
  <c r="F648" i="38" s="1"/>
  <c r="F647" i="38" s="1"/>
  <c r="F646" i="38" s="1"/>
  <c r="G643" i="38"/>
  <c r="G642" i="38" s="1"/>
  <c r="F643" i="38"/>
  <c r="F642" i="38" s="1"/>
  <c r="G640" i="38"/>
  <c r="F640" i="38"/>
  <c r="G638" i="38"/>
  <c r="F638" i="38"/>
  <c r="G636" i="38"/>
  <c r="F636" i="38"/>
  <c r="F631" i="38"/>
  <c r="G631" i="38"/>
  <c r="G629" i="38"/>
  <c r="F629" i="38"/>
  <c r="G623" i="38"/>
  <c r="G622" i="38" s="1"/>
  <c r="G621" i="38" s="1"/>
  <c r="F623" i="38"/>
  <c r="F622" i="38" s="1"/>
  <c r="F621" i="38" s="1"/>
  <c r="G619" i="38"/>
  <c r="F619" i="38"/>
  <c r="G617" i="38"/>
  <c r="F617" i="38"/>
  <c r="G615" i="38"/>
  <c r="F615" i="38"/>
  <c r="G610" i="38"/>
  <c r="G609" i="38" s="1"/>
  <c r="F610" i="38"/>
  <c r="F609" i="38" s="1"/>
  <c r="G604" i="38"/>
  <c r="G603" i="38" s="1"/>
  <c r="F604" i="38"/>
  <c r="F603" i="38" s="1"/>
  <c r="G601" i="38"/>
  <c r="G600" i="38" s="1"/>
  <c r="F601" i="38"/>
  <c r="F600" i="38" s="1"/>
  <c r="G595" i="38"/>
  <c r="G594" i="38" s="1"/>
  <c r="F595" i="38"/>
  <c r="F594" i="38" s="1"/>
  <c r="G592" i="38"/>
  <c r="G591" i="38" s="1"/>
  <c r="F592" i="38"/>
  <c r="F591" i="38" s="1"/>
  <c r="G589" i="38"/>
  <c r="G588" i="38" s="1"/>
  <c r="F589" i="38"/>
  <c r="F588" i="38" s="1"/>
  <c r="G585" i="38"/>
  <c r="G584" i="38" s="1"/>
  <c r="G583" i="38" s="1"/>
  <c r="F585" i="38"/>
  <c r="F584" i="38" s="1"/>
  <c r="F583" i="38" s="1"/>
  <c r="F578" i="38"/>
  <c r="F577" i="38" s="1"/>
  <c r="F576" i="38" s="1"/>
  <c r="G578" i="38"/>
  <c r="G577" i="38" s="1"/>
  <c r="G576" i="38" s="1"/>
  <c r="G574" i="38"/>
  <c r="G573" i="38" s="1"/>
  <c r="G572" i="38" s="1"/>
  <c r="F574" i="38"/>
  <c r="F573" i="38" s="1"/>
  <c r="F572" i="38" s="1"/>
  <c r="G570" i="38"/>
  <c r="G569" i="38" s="1"/>
  <c r="F570" i="38"/>
  <c r="F569" i="38" s="1"/>
  <c r="G567" i="38"/>
  <c r="G566" i="38" s="1"/>
  <c r="F567" i="38"/>
  <c r="F566" i="38" s="1"/>
  <c r="G564" i="38"/>
  <c r="G563" i="38" s="1"/>
  <c r="F564" i="38"/>
  <c r="F563" i="38" s="1"/>
  <c r="G561" i="38"/>
  <c r="G560" i="38" s="1"/>
  <c r="F561" i="38"/>
  <c r="F560" i="38" s="1"/>
  <c r="G558" i="38"/>
  <c r="G557" i="38" s="1"/>
  <c r="F558" i="38"/>
  <c r="F557" i="38" s="1"/>
  <c r="G554" i="38"/>
  <c r="G553" i="38" s="1"/>
  <c r="F554" i="38"/>
  <c r="F553" i="38" s="1"/>
  <c r="G551" i="38"/>
  <c r="G550" i="38" s="1"/>
  <c r="F551" i="38"/>
  <c r="F550" i="38" s="1"/>
  <c r="G548" i="38"/>
  <c r="G547" i="38" s="1"/>
  <c r="F548" i="38"/>
  <c r="F547" i="38" s="1"/>
  <c r="G545" i="38"/>
  <c r="G544" i="38" s="1"/>
  <c r="F545" i="38"/>
  <c r="F544" i="38" s="1"/>
  <c r="G538" i="38"/>
  <c r="G537" i="38" s="1"/>
  <c r="G536" i="38" s="1"/>
  <c r="F538" i="38"/>
  <c r="F537" i="38" s="1"/>
  <c r="F536" i="38" s="1"/>
  <c r="G534" i="38"/>
  <c r="G533" i="38" s="1"/>
  <c r="F534" i="38"/>
  <c r="F533" i="38" s="1"/>
  <c r="G531" i="38"/>
  <c r="G530" i="38" s="1"/>
  <c r="F531" i="38"/>
  <c r="F530" i="38" s="1"/>
  <c r="G528" i="38"/>
  <c r="G527" i="38" s="1"/>
  <c r="F528" i="38"/>
  <c r="F527" i="38" s="1"/>
  <c r="G525" i="38"/>
  <c r="G524" i="38" s="1"/>
  <c r="F525" i="38"/>
  <c r="F524" i="38" s="1"/>
  <c r="G522" i="38"/>
  <c r="G521" i="38" s="1"/>
  <c r="F522" i="38"/>
  <c r="F521" i="38" s="1"/>
  <c r="G519" i="38"/>
  <c r="G518" i="38" s="1"/>
  <c r="F519" i="38"/>
  <c r="F518" i="38" s="1"/>
  <c r="G516" i="38"/>
  <c r="G515" i="38" s="1"/>
  <c r="F516" i="38"/>
  <c r="F515" i="38" s="1"/>
  <c r="G512" i="38"/>
  <c r="G511" i="38" s="1"/>
  <c r="F512" i="38"/>
  <c r="F511" i="38" s="1"/>
  <c r="F509" i="38"/>
  <c r="F508" i="38" s="1"/>
  <c r="G509" i="38"/>
  <c r="G508" i="38" s="1"/>
  <c r="G500" i="38"/>
  <c r="G499" i="38" s="1"/>
  <c r="G498" i="38" s="1"/>
  <c r="F500" i="38"/>
  <c r="F499" i="38" s="1"/>
  <c r="F498" i="38" s="1"/>
  <c r="G496" i="38"/>
  <c r="G495" i="38" s="1"/>
  <c r="G494" i="38" s="1"/>
  <c r="G493" i="38" s="1"/>
  <c r="F496" i="38"/>
  <c r="F495" i="38" s="1"/>
  <c r="F494" i="38" s="1"/>
  <c r="F493" i="38" s="1"/>
  <c r="G490" i="38"/>
  <c r="G489" i="38" s="1"/>
  <c r="F490" i="38"/>
  <c r="F489" i="38" s="1"/>
  <c r="G487" i="38"/>
  <c r="F487" i="38"/>
  <c r="G485" i="38"/>
  <c r="F485" i="38"/>
  <c r="G483" i="38"/>
  <c r="F483" i="38"/>
  <c r="G480" i="38"/>
  <c r="G479" i="38" s="1"/>
  <c r="F480" i="38"/>
  <c r="F479" i="38" s="1"/>
  <c r="G473" i="38"/>
  <c r="G472" i="38" s="1"/>
  <c r="G471" i="38" s="1"/>
  <c r="G470" i="38" s="1"/>
  <c r="G469" i="38" s="1"/>
  <c r="G468" i="38" s="1"/>
  <c r="F473" i="38"/>
  <c r="F472" i="38" s="1"/>
  <c r="F471" i="38" s="1"/>
  <c r="F470" i="38" s="1"/>
  <c r="F469" i="38" s="1"/>
  <c r="F468" i="38" s="1"/>
  <c r="G466" i="38"/>
  <c r="G465" i="38" s="1"/>
  <c r="G464" i="38" s="1"/>
  <c r="G463" i="38" s="1"/>
  <c r="F466" i="38"/>
  <c r="F465" i="38" s="1"/>
  <c r="F464" i="38" s="1"/>
  <c r="F463" i="38" s="1"/>
  <c r="G461" i="38"/>
  <c r="G460" i="38" s="1"/>
  <c r="F461" i="38"/>
  <c r="F460" i="38" s="1"/>
  <c r="G458" i="38"/>
  <c r="G457" i="38" s="1"/>
  <c r="F458" i="38"/>
  <c r="F457" i="38" s="1"/>
  <c r="G452" i="38"/>
  <c r="F452" i="38"/>
  <c r="G450" i="38"/>
  <c r="F450" i="38"/>
  <c r="G443" i="38"/>
  <c r="G442" i="38" s="1"/>
  <c r="F443" i="38"/>
  <c r="F442" i="38" s="1"/>
  <c r="G437" i="38"/>
  <c r="G436" i="38" s="1"/>
  <c r="F437" i="38"/>
  <c r="F436" i="38" s="1"/>
  <c r="G433" i="38"/>
  <c r="G431" i="38"/>
  <c r="F528" i="17" s="1"/>
  <c r="F431" i="38"/>
  <c r="G429" i="38"/>
  <c r="F429" i="38"/>
  <c r="G422" i="38"/>
  <c r="G421" i="38" s="1"/>
  <c r="G420" i="38" s="1"/>
  <c r="F422" i="38"/>
  <c r="F421" i="38" s="1"/>
  <c r="F420" i="38" s="1"/>
  <c r="G418" i="38"/>
  <c r="G417" i="38" s="1"/>
  <c r="G416" i="38" s="1"/>
  <c r="G415" i="38" s="1"/>
  <c r="F418" i="38"/>
  <c r="F417" i="38" s="1"/>
  <c r="F416" i="38" s="1"/>
  <c r="F415" i="38" s="1"/>
  <c r="G413" i="38"/>
  <c r="G412" i="38" s="1"/>
  <c r="G411" i="38" s="1"/>
  <c r="G410" i="38" s="1"/>
  <c r="F413" i="38"/>
  <c r="F412" i="38" s="1"/>
  <c r="F411" i="38" s="1"/>
  <c r="F410" i="38" s="1"/>
  <c r="G407" i="38"/>
  <c r="G406" i="38" s="1"/>
  <c r="G405" i="38" s="1"/>
  <c r="G404" i="38" s="1"/>
  <c r="F407" i="38"/>
  <c r="F406" i="38" s="1"/>
  <c r="F405" i="38" s="1"/>
  <c r="F404" i="38" s="1"/>
  <c r="F401" i="38"/>
  <c r="F400" i="38" s="1"/>
  <c r="F399" i="38" s="1"/>
  <c r="F398" i="38" s="1"/>
  <c r="G393" i="38"/>
  <c r="G392" i="38" s="1"/>
  <c r="F393" i="38"/>
  <c r="G390" i="38"/>
  <c r="G389" i="38" s="1"/>
  <c r="F390" i="38"/>
  <c r="F389" i="38" s="1"/>
  <c r="G380" i="38"/>
  <c r="G379" i="38" s="1"/>
  <c r="G378" i="38" s="1"/>
  <c r="F380" i="38"/>
  <c r="F379" i="38" s="1"/>
  <c r="F378" i="38" s="1"/>
  <c r="G373" i="38"/>
  <c r="G372" i="38" s="1"/>
  <c r="F373" i="38"/>
  <c r="F372" i="38" s="1"/>
  <c r="G363" i="38"/>
  <c r="G362" i="38" s="1"/>
  <c r="G361" i="38" s="1"/>
  <c r="F363" i="38"/>
  <c r="F362" i="38" s="1"/>
  <c r="F361" i="38" s="1"/>
  <c r="F356" i="38"/>
  <c r="F355" i="38" s="1"/>
  <c r="F354" i="38" s="1"/>
  <c r="G356" i="38"/>
  <c r="G355" i="38" s="1"/>
  <c r="G354" i="38" s="1"/>
  <c r="G349" i="38"/>
  <c r="G348" i="38" s="1"/>
  <c r="G347" i="38" s="1"/>
  <c r="F349" i="38"/>
  <c r="F348" i="38" s="1"/>
  <c r="F347" i="38" s="1"/>
  <c r="G342" i="38"/>
  <c r="F342" i="38"/>
  <c r="F341" i="38" s="1"/>
  <c r="G337" i="38"/>
  <c r="G336" i="38" s="1"/>
  <c r="G335" i="38" s="1"/>
  <c r="F337" i="38"/>
  <c r="F336" i="38" s="1"/>
  <c r="F335" i="38" s="1"/>
  <c r="G333" i="38"/>
  <c r="G332" i="38" s="1"/>
  <c r="G331" i="38" s="1"/>
  <c r="F333" i="38"/>
  <c r="F332" i="38" s="1"/>
  <c r="F331" i="38" s="1"/>
  <c r="G326" i="38"/>
  <c r="G325" i="38" s="1"/>
  <c r="F326" i="38"/>
  <c r="F325" i="38" s="1"/>
  <c r="G323" i="38"/>
  <c r="G322" i="38" s="1"/>
  <c r="F323" i="38"/>
  <c r="F322" i="38" s="1"/>
  <c r="G317" i="38"/>
  <c r="G316" i="38" s="1"/>
  <c r="F317" i="38"/>
  <c r="F316" i="38" s="1"/>
  <c r="G314" i="38"/>
  <c r="G313" i="38" s="1"/>
  <c r="F314" i="38"/>
  <c r="F313" i="38" s="1"/>
  <c r="G311" i="38"/>
  <c r="G310" i="38" s="1"/>
  <c r="F311" i="38"/>
  <c r="F310" i="38" s="1"/>
  <c r="G308" i="38"/>
  <c r="G307" i="38" s="1"/>
  <c r="F308" i="38"/>
  <c r="F307" i="38" s="1"/>
  <c r="G303" i="38"/>
  <c r="G302" i="38" s="1"/>
  <c r="F303" i="38"/>
  <c r="F302" i="38" s="1"/>
  <c r="G300" i="38"/>
  <c r="G299" i="38" s="1"/>
  <c r="G298" i="38" s="1"/>
  <c r="F300" i="38"/>
  <c r="F299" i="38" s="1"/>
  <c r="F298" i="38" s="1"/>
  <c r="G294" i="38"/>
  <c r="G293" i="38" s="1"/>
  <c r="F294" i="38"/>
  <c r="F293" i="38" s="1"/>
  <c r="G291" i="38"/>
  <c r="G290" i="38" s="1"/>
  <c r="F291" i="38"/>
  <c r="F290" i="38" s="1"/>
  <c r="F288" i="38"/>
  <c r="F287" i="38" s="1"/>
  <c r="G288" i="38"/>
  <c r="G287" i="38" s="1"/>
  <c r="G283" i="38"/>
  <c r="G282" i="38" s="1"/>
  <c r="F283" i="38"/>
  <c r="F282" i="38" s="1"/>
  <c r="G280" i="38"/>
  <c r="G279" i="38" s="1"/>
  <c r="F280" i="38"/>
  <c r="F279" i="38" s="1"/>
  <c r="G277" i="38"/>
  <c r="G276" i="38" s="1"/>
  <c r="F277" i="38"/>
  <c r="F276" i="38" s="1"/>
  <c r="G274" i="38"/>
  <c r="G273" i="38" s="1"/>
  <c r="F274" i="38"/>
  <c r="F273" i="38" s="1"/>
  <c r="G264" i="38"/>
  <c r="G263" i="38" s="1"/>
  <c r="F264" i="38"/>
  <c r="F263" i="38" s="1"/>
  <c r="G261" i="38"/>
  <c r="G260" i="38" s="1"/>
  <c r="F261" i="38"/>
  <c r="F260" i="38" s="1"/>
  <c r="G258" i="38"/>
  <c r="G257" i="38" s="1"/>
  <c r="F258" i="38"/>
  <c r="F257" i="38" s="1"/>
  <c r="G255" i="38"/>
  <c r="G254" i="38" s="1"/>
  <c r="F255" i="38"/>
  <c r="F254" i="38" s="1"/>
  <c r="G252" i="38"/>
  <c r="G251" i="38" s="1"/>
  <c r="F252" i="38"/>
  <c r="F251" i="38" s="1"/>
  <c r="G249" i="38"/>
  <c r="G248" i="38" s="1"/>
  <c r="F249" i="38"/>
  <c r="F248" i="38" s="1"/>
  <c r="G246" i="38"/>
  <c r="F246" i="38"/>
  <c r="G245" i="38"/>
  <c r="G244" i="38" s="1"/>
  <c r="F245" i="38"/>
  <c r="F244" i="38" s="1"/>
  <c r="G242" i="38"/>
  <c r="F242" i="38"/>
  <c r="G236" i="38"/>
  <c r="G235" i="38" s="1"/>
  <c r="G234" i="38" s="1"/>
  <c r="G233" i="38" s="1"/>
  <c r="F236" i="38"/>
  <c r="F235" i="38" s="1"/>
  <c r="F234" i="38" s="1"/>
  <c r="F233" i="38" s="1"/>
  <c r="G231" i="38"/>
  <c r="G230" i="38" s="1"/>
  <c r="G229" i="38" s="1"/>
  <c r="G228" i="38" s="1"/>
  <c r="F231" i="38"/>
  <c r="F230" i="38" s="1"/>
  <c r="F229" i="38" s="1"/>
  <c r="F228" i="38" s="1"/>
  <c r="G224" i="38"/>
  <c r="G223" i="38" s="1"/>
  <c r="G222" i="38" s="1"/>
  <c r="F224" i="38"/>
  <c r="F223" i="38" s="1"/>
  <c r="F222" i="38" s="1"/>
  <c r="G220" i="38"/>
  <c r="G219" i="38" s="1"/>
  <c r="G218" i="38" s="1"/>
  <c r="F220" i="38"/>
  <c r="F219" i="38" s="1"/>
  <c r="F218" i="38" s="1"/>
  <c r="G215" i="38"/>
  <c r="G214" i="38" s="1"/>
  <c r="G213" i="38" s="1"/>
  <c r="G212" i="38" s="1"/>
  <c r="F215" i="38"/>
  <c r="F214" i="38" s="1"/>
  <c r="F213" i="38" s="1"/>
  <c r="F212" i="38" s="1"/>
  <c r="G209" i="38"/>
  <c r="G208" i="38" s="1"/>
  <c r="F209" i="38"/>
  <c r="F208" i="38" s="1"/>
  <c r="G206" i="38"/>
  <c r="G205" i="38" s="1"/>
  <c r="F206" i="38"/>
  <c r="F205" i="38" s="1"/>
  <c r="G203" i="38"/>
  <c r="G202" i="38" s="1"/>
  <c r="F203" i="38"/>
  <c r="F202" i="38" s="1"/>
  <c r="G197" i="38"/>
  <c r="G196" i="38" s="1"/>
  <c r="G195" i="38" s="1"/>
  <c r="G194" i="38" s="1"/>
  <c r="F197" i="38"/>
  <c r="F196" i="38" s="1"/>
  <c r="F195" i="38" s="1"/>
  <c r="F194" i="38" s="1"/>
  <c r="G192" i="38"/>
  <c r="G191" i="38" s="1"/>
  <c r="G189" i="38" s="1"/>
  <c r="F192" i="38"/>
  <c r="F191" i="38" s="1"/>
  <c r="F190" i="38" s="1"/>
  <c r="G186" i="38"/>
  <c r="G185" i="38" s="1"/>
  <c r="G184" i="38" s="1"/>
  <c r="F186" i="38"/>
  <c r="F185" i="38" s="1"/>
  <c r="F183" i="38" s="1"/>
  <c r="F182" i="38" s="1"/>
  <c r="G179" i="38"/>
  <c r="G178" i="38" s="1"/>
  <c r="G177" i="38" s="1"/>
  <c r="G176" i="38" s="1"/>
  <c r="F179" i="38"/>
  <c r="F178" i="38" s="1"/>
  <c r="F177" i="38" s="1"/>
  <c r="F176" i="38" s="1"/>
  <c r="G174" i="38"/>
  <c r="G173" i="38" s="1"/>
  <c r="G172" i="38" s="1"/>
  <c r="G171" i="38" s="1"/>
  <c r="F174" i="38"/>
  <c r="F173" i="38" s="1"/>
  <c r="F172" i="38" s="1"/>
  <c r="F171" i="38" s="1"/>
  <c r="G168" i="38"/>
  <c r="G167" i="38" s="1"/>
  <c r="F168" i="38"/>
  <c r="F167" i="38" s="1"/>
  <c r="G165" i="38"/>
  <c r="G164" i="38" s="1"/>
  <c r="G163" i="38" s="1"/>
  <c r="F165" i="38"/>
  <c r="F164" i="38" s="1"/>
  <c r="F163" i="38" s="1"/>
  <c r="G156" i="38"/>
  <c r="F156" i="38"/>
  <c r="G153" i="38"/>
  <c r="F153" i="38"/>
  <c r="F151" i="38"/>
  <c r="G151" i="38"/>
  <c r="G148" i="38"/>
  <c r="F148" i="38"/>
  <c r="F146" i="38"/>
  <c r="G146" i="38"/>
  <c r="G143" i="38"/>
  <c r="F143" i="38"/>
  <c r="F141" i="38"/>
  <c r="G141" i="38"/>
  <c r="G138" i="38"/>
  <c r="G137" i="38" s="1"/>
  <c r="F138" i="38"/>
  <c r="F137" i="38" s="1"/>
  <c r="G135" i="38"/>
  <c r="F135" i="38"/>
  <c r="F133" i="38"/>
  <c r="G133" i="38"/>
  <c r="G129" i="38"/>
  <c r="G128" i="38" s="1"/>
  <c r="F129" i="38"/>
  <c r="F128" i="38" s="1"/>
  <c r="G126" i="38"/>
  <c r="F126" i="38"/>
  <c r="G124" i="38"/>
  <c r="G123" i="38" s="1"/>
  <c r="F124" i="38"/>
  <c r="F123" i="38" s="1"/>
  <c r="G120" i="38"/>
  <c r="G119" i="38" s="1"/>
  <c r="F120" i="38"/>
  <c r="F119" i="38" s="1"/>
  <c r="G117" i="38"/>
  <c r="F117" i="38"/>
  <c r="G115" i="38"/>
  <c r="F115" i="38"/>
  <c r="G106" i="38"/>
  <c r="F106" i="38"/>
  <c r="G104" i="38"/>
  <c r="F104" i="38"/>
  <c r="G99" i="38"/>
  <c r="G98" i="38" s="1"/>
  <c r="F99" i="38"/>
  <c r="F98" i="38" s="1"/>
  <c r="G96" i="38"/>
  <c r="G95" i="38" s="1"/>
  <c r="F96" i="38"/>
  <c r="F95" i="38" s="1"/>
  <c r="G91" i="38"/>
  <c r="G90" i="38" s="1"/>
  <c r="G89" i="38" s="1"/>
  <c r="G88" i="38" s="1"/>
  <c r="F91" i="38"/>
  <c r="F90" i="38" s="1"/>
  <c r="F89" i="38" s="1"/>
  <c r="F88" i="38" s="1"/>
  <c r="G86" i="38"/>
  <c r="G83" i="38" s="1"/>
  <c r="F86" i="38"/>
  <c r="F83" i="38" s="1"/>
  <c r="G81" i="38"/>
  <c r="G80" i="38" s="1"/>
  <c r="F81" i="38"/>
  <c r="F80" i="38" s="1"/>
  <c r="G77" i="38"/>
  <c r="F77" i="38"/>
  <c r="G75" i="38"/>
  <c r="F75" i="38"/>
  <c r="G73" i="38"/>
  <c r="F73" i="38"/>
  <c r="G69" i="38"/>
  <c r="G68" i="38" s="1"/>
  <c r="F69" i="38"/>
  <c r="F68" i="38" s="1"/>
  <c r="G66" i="38"/>
  <c r="G65" i="38" s="1"/>
  <c r="F66" i="38"/>
  <c r="F65" i="38" s="1"/>
  <c r="G60" i="38"/>
  <c r="G59" i="38" s="1"/>
  <c r="G58" i="38" s="1"/>
  <c r="G57" i="38" s="1"/>
  <c r="F60" i="38"/>
  <c r="F59" i="38" s="1"/>
  <c r="F58" i="38" s="1"/>
  <c r="F57" i="38" s="1"/>
  <c r="G55" i="38"/>
  <c r="G54" i="38" s="1"/>
  <c r="G53" i="38" s="1"/>
  <c r="G52" i="38" s="1"/>
  <c r="F55" i="38"/>
  <c r="F54" i="38" s="1"/>
  <c r="F53" i="38" s="1"/>
  <c r="F52" i="38" s="1"/>
  <c r="G50" i="38"/>
  <c r="G49" i="38" s="1"/>
  <c r="G48" i="38" s="1"/>
  <c r="F50" i="38"/>
  <c r="F49" i="38" s="1"/>
  <c r="G44" i="38"/>
  <c r="F44" i="38"/>
  <c r="G42" i="38"/>
  <c r="F42" i="38"/>
  <c r="G37" i="38"/>
  <c r="G36" i="38" s="1"/>
  <c r="G35" i="38" s="1"/>
  <c r="G34" i="38" s="1"/>
  <c r="F37" i="38"/>
  <c r="F36" i="38" s="1"/>
  <c r="F35" i="38" s="1"/>
  <c r="F34" i="38" s="1"/>
  <c r="G30" i="38"/>
  <c r="G29" i="38" s="1"/>
  <c r="G28" i="38" s="1"/>
  <c r="G27" i="38" s="1"/>
  <c r="F30" i="38"/>
  <c r="F29" i="38" s="1"/>
  <c r="F28" i="38" s="1"/>
  <c r="F27" i="38" s="1"/>
  <c r="G25" i="38"/>
  <c r="G24" i="38" s="1"/>
  <c r="G23" i="38" s="1"/>
  <c r="G22" i="38" s="1"/>
  <c r="F25" i="38"/>
  <c r="F24" i="38" s="1"/>
  <c r="F23" i="38" s="1"/>
  <c r="F22" i="38" s="1"/>
  <c r="G19" i="38"/>
  <c r="F19" i="38"/>
  <c r="G17" i="38"/>
  <c r="F17" i="38"/>
  <c r="G15" i="38"/>
  <c r="F15" i="38"/>
  <c r="G587" i="38" l="1"/>
  <c r="F587" i="38"/>
  <c r="F582" i="38" s="1"/>
  <c r="F581" i="38" s="1"/>
  <c r="F580" i="38" s="1"/>
  <c r="E49" i="15"/>
  <c r="C38" i="15"/>
  <c r="F680" i="38"/>
  <c r="F676" i="38" s="1"/>
  <c r="G680" i="38"/>
  <c r="G676" i="38" s="1"/>
  <c r="G388" i="38"/>
  <c r="G387" i="38" s="1"/>
  <c r="G386" i="38" s="1"/>
  <c r="F388" i="38"/>
  <c r="F387" i="38" s="1"/>
  <c r="F386" i="38" s="1"/>
  <c r="G41" i="38"/>
  <c r="G40" i="38" s="1"/>
  <c r="G39" i="38" s="1"/>
  <c r="E41" i="15"/>
  <c r="G371" i="38"/>
  <c r="G507" i="38"/>
  <c r="G428" i="38"/>
  <c r="G427" i="38" s="1"/>
  <c r="F371" i="38"/>
  <c r="G482" i="38"/>
  <c r="G478" i="38" s="1"/>
  <c r="G477" i="38" s="1"/>
  <c r="G114" i="38"/>
  <c r="F145" i="38"/>
  <c r="F150" i="38"/>
  <c r="G162" i="38"/>
  <c r="G161" i="38" s="1"/>
  <c r="G160" i="38" s="1"/>
  <c r="G430" i="38"/>
  <c r="G449" i="38"/>
  <c r="G448" i="38" s="1"/>
  <c r="G447" i="38" s="1"/>
  <c r="F482" i="38"/>
  <c r="F478" i="38" s="1"/>
  <c r="F477" i="38" s="1"/>
  <c r="G628" i="38"/>
  <c r="F628" i="38"/>
  <c r="F41" i="38"/>
  <c r="F40" i="38" s="1"/>
  <c r="F39" i="38" s="1"/>
  <c r="F201" i="38"/>
  <c r="F200" i="38" s="1"/>
  <c r="F199" i="38" s="1"/>
  <c r="F449" i="38"/>
  <c r="G79" i="38"/>
  <c r="G140" i="38"/>
  <c r="G145" i="38"/>
  <c r="G150" i="38"/>
  <c r="F189" i="38"/>
  <c r="F188" i="38" s="1"/>
  <c r="G201" i="38"/>
  <c r="G200" i="38" s="1"/>
  <c r="G199" i="38" s="1"/>
  <c r="G217" i="38"/>
  <c r="G211" i="38" s="1"/>
  <c r="F507" i="38"/>
  <c r="F227" i="38"/>
  <c r="F409" i="38"/>
  <c r="F321" i="38"/>
  <c r="F320" i="38" s="1"/>
  <c r="F319" i="38" s="1"/>
  <c r="G170" i="38"/>
  <c r="G72" i="38"/>
  <c r="G71" i="38" s="1"/>
  <c r="F286" i="38"/>
  <c r="F285" i="38" s="1"/>
  <c r="F94" i="38"/>
  <c r="F93" i="38" s="1"/>
  <c r="G188" i="38"/>
  <c r="G635" i="38"/>
  <c r="G330" i="38"/>
  <c r="G132" i="38"/>
  <c r="G321" i="38"/>
  <c r="G320" i="38" s="1"/>
  <c r="G319" i="38" s="1"/>
  <c r="F635" i="38"/>
  <c r="F114" i="38"/>
  <c r="F556" i="38"/>
  <c r="G346" i="38"/>
  <c r="G345" i="38" s="1"/>
  <c r="G344" i="38" s="1"/>
  <c r="G94" i="38"/>
  <c r="G93" i="38" s="1"/>
  <c r="G514" i="38"/>
  <c r="F64" i="38"/>
  <c r="F103" i="38"/>
  <c r="F102" i="38" s="1"/>
  <c r="F101" i="38" s="1"/>
  <c r="G14" i="38"/>
  <c r="G13" i="38" s="1"/>
  <c r="G12" i="38" s="1"/>
  <c r="F132" i="38"/>
  <c r="F140" i="38"/>
  <c r="F14" i="38"/>
  <c r="F13" i="38" s="1"/>
  <c r="F12" i="38" s="1"/>
  <c r="F72" i="38"/>
  <c r="F71" i="38" s="1"/>
  <c r="G103" i="38"/>
  <c r="G102" i="38" s="1"/>
  <c r="G101" i="38" s="1"/>
  <c r="F155" i="38"/>
  <c r="F441" i="38" s="1"/>
  <c r="F170" i="38"/>
  <c r="G227" i="38"/>
  <c r="F241" i="38"/>
  <c r="F240" i="38" s="1"/>
  <c r="F239" i="38" s="1"/>
  <c r="F238" i="38" s="1"/>
  <c r="G241" i="38"/>
  <c r="G240" i="38" s="1"/>
  <c r="G239" i="38" s="1"/>
  <c r="G238" i="38" s="1"/>
  <c r="G297" i="38"/>
  <c r="G306" i="38"/>
  <c r="G305" i="38" s="1"/>
  <c r="F340" i="38"/>
  <c r="F339" i="38" s="1"/>
  <c r="F346" i="38"/>
  <c r="F345" i="38" s="1"/>
  <c r="F344" i="38" s="1"/>
  <c r="G614" i="38"/>
  <c r="G613" i="38" s="1"/>
  <c r="G608" i="38" s="1"/>
  <c r="G607" i="38" s="1"/>
  <c r="G606" i="38" s="1"/>
  <c r="G492" i="38"/>
  <c r="G582" i="38"/>
  <c r="G581" i="38" s="1"/>
  <c r="G580" i="38" s="1"/>
  <c r="G155" i="38"/>
  <c r="G441" i="38" s="1"/>
  <c r="F217" i="38"/>
  <c r="F211" i="38" s="1"/>
  <c r="F306" i="38"/>
  <c r="F305" i="38" s="1"/>
  <c r="G543" i="38"/>
  <c r="F614" i="38"/>
  <c r="F613" i="38" s="1"/>
  <c r="F608" i="38" s="1"/>
  <c r="F607" i="38" s="1"/>
  <c r="F606" i="38" s="1"/>
  <c r="G21" i="38"/>
  <c r="F21" i="38"/>
  <c r="G64" i="38"/>
  <c r="F79" i="38"/>
  <c r="G47" i="38"/>
  <c r="G46" i="38" s="1"/>
  <c r="G183" i="38"/>
  <c r="G182" i="38" s="1"/>
  <c r="F330" i="38"/>
  <c r="G341" i="38"/>
  <c r="G340" i="38"/>
  <c r="G339" i="38" s="1"/>
  <c r="F184" i="38"/>
  <c r="G272" i="38"/>
  <c r="G271" i="38" s="1"/>
  <c r="G286" i="38"/>
  <c r="G285" i="38" s="1"/>
  <c r="F297" i="38"/>
  <c r="F428" i="38"/>
  <c r="F427" i="38" s="1"/>
  <c r="F162" i="38"/>
  <c r="F161" i="38" s="1"/>
  <c r="F160" i="38" s="1"/>
  <c r="G190" i="38"/>
  <c r="F272" i="38"/>
  <c r="F271" i="38" s="1"/>
  <c r="G409" i="38"/>
  <c r="F514" i="38"/>
  <c r="F492" i="38"/>
  <c r="F543" i="38"/>
  <c r="G556" i="38"/>
  <c r="F655" i="38"/>
  <c r="F654" i="38" s="1"/>
  <c r="F653" i="38" s="1"/>
  <c r="F652" i="38" s="1"/>
  <c r="F645" i="38" s="1"/>
  <c r="G655" i="38"/>
  <c r="G654" i="38" s="1"/>
  <c r="G653" i="38" s="1"/>
  <c r="G652" i="38" s="1"/>
  <c r="G645" i="38" s="1"/>
  <c r="G672" i="36"/>
  <c r="F448" i="38" l="1"/>
  <c r="F447" i="38" s="1"/>
  <c r="F446" i="38" s="1"/>
  <c r="F445" i="38" s="1"/>
  <c r="D38" i="15"/>
  <c r="E38" i="15" s="1"/>
  <c r="G440" i="38"/>
  <c r="G439" i="38" s="1"/>
  <c r="G699" i="38" s="1"/>
  <c r="F534" i="17"/>
  <c r="F440" i="38"/>
  <c r="F439" i="38" s="1"/>
  <c r="E534" i="17"/>
  <c r="F476" i="38"/>
  <c r="F475" i="38" s="1"/>
  <c r="G675" i="38"/>
  <c r="G674" i="38" s="1"/>
  <c r="G673" i="38" s="1"/>
  <c r="F675" i="38"/>
  <c r="F674" i="38" s="1"/>
  <c r="F673" i="38" s="1"/>
  <c r="G476" i="38"/>
  <c r="G475" i="38" s="1"/>
  <c r="F627" i="38"/>
  <c r="F626" i="38" s="1"/>
  <c r="F625" i="38" s="1"/>
  <c r="F506" i="38"/>
  <c r="F505" i="38" s="1"/>
  <c r="F504" i="38" s="1"/>
  <c r="G360" i="38"/>
  <c r="G359" i="38" s="1"/>
  <c r="G358" i="38" s="1"/>
  <c r="F329" i="38"/>
  <c r="F328" i="38" s="1"/>
  <c r="G627" i="38"/>
  <c r="G626" i="38" s="1"/>
  <c r="G625" i="38" s="1"/>
  <c r="G446" i="38"/>
  <c r="G445" i="38" s="1"/>
  <c r="G506" i="38"/>
  <c r="G505" i="38" s="1"/>
  <c r="G504" i="38" s="1"/>
  <c r="F360" i="38"/>
  <c r="F359" i="38" s="1"/>
  <c r="F358" i="38" s="1"/>
  <c r="F131" i="38"/>
  <c r="F113" i="38" s="1"/>
  <c r="F62" i="38" s="1"/>
  <c r="F542" i="38"/>
  <c r="F541" i="38" s="1"/>
  <c r="F540" i="38" s="1"/>
  <c r="G329" i="38"/>
  <c r="G328" i="38" s="1"/>
  <c r="F181" i="38"/>
  <c r="G181" i="38"/>
  <c r="F11" i="38"/>
  <c r="F10" i="38" s="1"/>
  <c r="F296" i="38"/>
  <c r="F270" i="38" s="1"/>
  <c r="F226" i="38" s="1"/>
  <c r="G63" i="38"/>
  <c r="F63" i="38"/>
  <c r="G11" i="38"/>
  <c r="G10" i="38" s="1"/>
  <c r="G131" i="38"/>
  <c r="G113" i="38" s="1"/>
  <c r="G62" i="38" s="1"/>
  <c r="G296" i="38"/>
  <c r="G270" i="38" s="1"/>
  <c r="G226" i="38" s="1"/>
  <c r="G542" i="38"/>
  <c r="G541" i="38" s="1"/>
  <c r="G540" i="38" s="1"/>
  <c r="G657" i="36"/>
  <c r="G656" i="36" s="1"/>
  <c r="G632" i="36"/>
  <c r="G426" i="38" l="1"/>
  <c r="G425" i="38" s="1"/>
  <c r="G424" i="38" s="1"/>
  <c r="G403" i="38" s="1"/>
  <c r="F503" i="38"/>
  <c r="F502" i="38" s="1"/>
  <c r="G503" i="38"/>
  <c r="G502" i="38" s="1"/>
  <c r="G33" i="38"/>
  <c r="G32" i="38" s="1"/>
  <c r="G365" i="36"/>
  <c r="G303" i="36"/>
  <c r="G297" i="36"/>
  <c r="G223" i="36"/>
  <c r="G227" i="36"/>
  <c r="G697" i="38" l="1"/>
  <c r="D85" i="18" s="1"/>
  <c r="J111" i="35"/>
  <c r="J112" i="35"/>
  <c r="G810" i="36" l="1"/>
  <c r="J807" i="36"/>
  <c r="I807" i="36"/>
  <c r="J769" i="36"/>
  <c r="I769" i="36"/>
  <c r="G769" i="36"/>
  <c r="G764" i="36"/>
  <c r="I763" i="36"/>
  <c r="I762" i="36"/>
  <c r="I761" i="36"/>
  <c r="I764" i="36" s="1"/>
  <c r="L758" i="36"/>
  <c r="K757" i="36"/>
  <c r="K756" i="36" s="1"/>
  <c r="K755" i="36" s="1"/>
  <c r="K754" i="36" s="1"/>
  <c r="J757" i="36"/>
  <c r="J756" i="36" s="1"/>
  <c r="L753" i="36"/>
  <c r="K752" i="36"/>
  <c r="K751" i="36" s="1"/>
  <c r="J752" i="36"/>
  <c r="J751" i="36" s="1"/>
  <c r="J750" i="36" s="1"/>
  <c r="J749" i="36" s="1"/>
  <c r="L747" i="36"/>
  <c r="K746" i="36"/>
  <c r="J746" i="36"/>
  <c r="L745" i="36"/>
  <c r="I745" i="36"/>
  <c r="G745" i="36"/>
  <c r="N745" i="36" s="1"/>
  <c r="K744" i="36"/>
  <c r="J744" i="36"/>
  <c r="I744" i="36"/>
  <c r="H744" i="36"/>
  <c r="L743" i="36"/>
  <c r="I743" i="36"/>
  <c r="G743" i="36"/>
  <c r="N743" i="36" s="1"/>
  <c r="K742" i="36"/>
  <c r="J742" i="36"/>
  <c r="I742" i="36"/>
  <c r="H742" i="36"/>
  <c r="L740" i="36"/>
  <c r="I740" i="36"/>
  <c r="G740" i="36"/>
  <c r="N740" i="36" s="1"/>
  <c r="K739" i="36"/>
  <c r="J739" i="36"/>
  <c r="J738" i="36" s="1"/>
  <c r="I739" i="36"/>
  <c r="I738" i="36" s="1"/>
  <c r="H739" i="36"/>
  <c r="H738" i="36" s="1"/>
  <c r="N733" i="36"/>
  <c r="M733" i="36"/>
  <c r="L733" i="36"/>
  <c r="L732" i="36"/>
  <c r="H732" i="36"/>
  <c r="H731" i="36" s="1"/>
  <c r="G732" i="36"/>
  <c r="M732" i="36" s="1"/>
  <c r="L731" i="36"/>
  <c r="L730" i="36"/>
  <c r="L729" i="36"/>
  <c r="H729" i="36"/>
  <c r="H728" i="36" s="1"/>
  <c r="G729" i="36"/>
  <c r="G728" i="36" s="1"/>
  <c r="L728" i="36"/>
  <c r="L727" i="36"/>
  <c r="L726" i="36"/>
  <c r="H726" i="36"/>
  <c r="H725" i="36" s="1"/>
  <c r="G726" i="36"/>
  <c r="G725" i="36" s="1"/>
  <c r="L725" i="36"/>
  <c r="L724" i="36"/>
  <c r="G724" i="36"/>
  <c r="G723" i="36" s="1"/>
  <c r="G722" i="36" s="1"/>
  <c r="K723" i="36"/>
  <c r="K722" i="36" s="1"/>
  <c r="J723" i="36"/>
  <c r="J722" i="36" s="1"/>
  <c r="J721" i="36" s="1"/>
  <c r="J717" i="36" s="1"/>
  <c r="I723" i="36"/>
  <c r="I722" i="36" s="1"/>
  <c r="I721" i="36" s="1"/>
  <c r="I717" i="36" s="1"/>
  <c r="I716" i="36" s="1"/>
  <c r="I715" i="36" s="1"/>
  <c r="I714" i="36" s="1"/>
  <c r="H723" i="36"/>
  <c r="H722" i="36" s="1"/>
  <c r="N720" i="36"/>
  <c r="M720" i="36"/>
  <c r="L720" i="36"/>
  <c r="L719" i="36"/>
  <c r="H719" i="36"/>
  <c r="H718" i="36" s="1"/>
  <c r="G719" i="36"/>
  <c r="M719" i="36" s="1"/>
  <c r="L718" i="36"/>
  <c r="N713" i="36"/>
  <c r="M713" i="36"/>
  <c r="L713" i="36"/>
  <c r="G713" i="36"/>
  <c r="K712" i="36"/>
  <c r="J712" i="36"/>
  <c r="I712" i="36"/>
  <c r="I709" i="36" s="1"/>
  <c r="I708" i="36" s="1"/>
  <c r="I707" i="36" s="1"/>
  <c r="I706" i="36" s="1"/>
  <c r="I705" i="36" s="1"/>
  <c r="H712" i="36"/>
  <c r="G712" i="36"/>
  <c r="L711" i="36"/>
  <c r="G711" i="36"/>
  <c r="N711" i="36" s="1"/>
  <c r="K710" i="36"/>
  <c r="J710" i="36"/>
  <c r="H710" i="36"/>
  <c r="G710" i="36"/>
  <c r="N704" i="36"/>
  <c r="M704" i="36"/>
  <c r="L704" i="36"/>
  <c r="K703" i="36"/>
  <c r="J703" i="36"/>
  <c r="I703" i="36"/>
  <c r="I702" i="36" s="1"/>
  <c r="I701" i="36" s="1"/>
  <c r="I700" i="36" s="1"/>
  <c r="I699" i="36" s="1"/>
  <c r="H703" i="36"/>
  <c r="H702" i="36" s="1"/>
  <c r="H701" i="36" s="1"/>
  <c r="H700" i="36" s="1"/>
  <c r="H699" i="36" s="1"/>
  <c r="G703" i="36"/>
  <c r="J702" i="36"/>
  <c r="J701" i="36" s="1"/>
  <c r="J700" i="36" s="1"/>
  <c r="J699" i="36" s="1"/>
  <c r="L697" i="36"/>
  <c r="G697" i="36"/>
  <c r="M697" i="36" s="1"/>
  <c r="K696" i="36"/>
  <c r="K695" i="36" s="1"/>
  <c r="J696" i="36"/>
  <c r="J695" i="36" s="1"/>
  <c r="I696" i="36"/>
  <c r="I695" i="36" s="1"/>
  <c r="H696" i="36"/>
  <c r="H695" i="36" s="1"/>
  <c r="N694" i="36"/>
  <c r="M694" i="36"/>
  <c r="L694" i="36"/>
  <c r="K693" i="36"/>
  <c r="J693" i="36"/>
  <c r="I693" i="36"/>
  <c r="H693" i="36"/>
  <c r="G693" i="36"/>
  <c r="K692" i="36"/>
  <c r="L692" i="36" s="1"/>
  <c r="G692" i="36"/>
  <c r="M692" i="36" s="1"/>
  <c r="J691" i="36"/>
  <c r="I691" i="36"/>
  <c r="H691" i="36"/>
  <c r="G691" i="36"/>
  <c r="N690" i="36"/>
  <c r="L690" i="36"/>
  <c r="G690" i="36"/>
  <c r="M690" i="36" s="1"/>
  <c r="K689" i="36"/>
  <c r="J689" i="36"/>
  <c r="I689" i="36"/>
  <c r="H689" i="36"/>
  <c r="G689" i="36"/>
  <c r="L687" i="36"/>
  <c r="L686" i="36"/>
  <c r="I686" i="36"/>
  <c r="H686" i="36"/>
  <c r="G686" i="36"/>
  <c r="K685" i="36"/>
  <c r="G685" i="36"/>
  <c r="M685" i="36" s="1"/>
  <c r="J684" i="36"/>
  <c r="I684" i="36"/>
  <c r="H684" i="36"/>
  <c r="G684" i="36"/>
  <c r="N683" i="36"/>
  <c r="L683" i="36"/>
  <c r="G683" i="36"/>
  <c r="M683" i="36" s="1"/>
  <c r="K682" i="36"/>
  <c r="J682" i="36"/>
  <c r="I682" i="36"/>
  <c r="H682" i="36"/>
  <c r="G682" i="36"/>
  <c r="J681" i="36"/>
  <c r="N677" i="36"/>
  <c r="M677" i="36"/>
  <c r="L677" i="36"/>
  <c r="K676" i="36"/>
  <c r="K675" i="36" s="1"/>
  <c r="J676" i="36"/>
  <c r="J675" i="36" s="1"/>
  <c r="I676" i="36"/>
  <c r="I675" i="36" s="1"/>
  <c r="I674" i="36" s="1"/>
  <c r="H676" i="36"/>
  <c r="H675" i="36" s="1"/>
  <c r="H674" i="36" s="1"/>
  <c r="G676" i="36"/>
  <c r="G675" i="36" s="1"/>
  <c r="G674" i="36" s="1"/>
  <c r="N673" i="36"/>
  <c r="M673" i="36"/>
  <c r="L673" i="36"/>
  <c r="K672" i="36"/>
  <c r="J672" i="36"/>
  <c r="M672" i="36" s="1"/>
  <c r="I672" i="36"/>
  <c r="N671" i="36"/>
  <c r="M671" i="36"/>
  <c r="L671" i="36"/>
  <c r="K670" i="36"/>
  <c r="J670" i="36"/>
  <c r="I670" i="36"/>
  <c r="H670" i="36"/>
  <c r="G670" i="36"/>
  <c r="N669" i="36"/>
  <c r="L669" i="36"/>
  <c r="K668" i="36"/>
  <c r="J668" i="36"/>
  <c r="I668" i="36"/>
  <c r="H668" i="36"/>
  <c r="G668" i="36"/>
  <c r="J666" i="36"/>
  <c r="N665" i="36"/>
  <c r="M665" i="36"/>
  <c r="L665" i="36"/>
  <c r="K664" i="36"/>
  <c r="K663" i="36" s="1"/>
  <c r="K662" i="36" s="1"/>
  <c r="J664" i="36"/>
  <c r="J663" i="36" s="1"/>
  <c r="J662" i="36" s="1"/>
  <c r="I664" i="36"/>
  <c r="I663" i="36" s="1"/>
  <c r="I662" i="36" s="1"/>
  <c r="H664" i="36"/>
  <c r="H663" i="36" s="1"/>
  <c r="H662" i="36" s="1"/>
  <c r="G664" i="36"/>
  <c r="G663" i="36" s="1"/>
  <c r="G662" i="36" s="1"/>
  <c r="L658" i="36"/>
  <c r="L657" i="36"/>
  <c r="H657" i="36"/>
  <c r="H656" i="36" s="1"/>
  <c r="L656" i="36"/>
  <c r="L655" i="36"/>
  <c r="L654" i="36"/>
  <c r="I654" i="36"/>
  <c r="I653" i="36" s="1"/>
  <c r="H654" i="36"/>
  <c r="H653" i="36" s="1"/>
  <c r="G654" i="36"/>
  <c r="G653" i="36" s="1"/>
  <c r="L653" i="36"/>
  <c r="N652" i="36"/>
  <c r="M652" i="36"/>
  <c r="L652" i="36"/>
  <c r="K651" i="36"/>
  <c r="K650" i="36" s="1"/>
  <c r="J651" i="36"/>
  <c r="I651" i="36"/>
  <c r="I650" i="36" s="1"/>
  <c r="H651" i="36"/>
  <c r="H650" i="36" s="1"/>
  <c r="G651" i="36"/>
  <c r="N651" i="36" s="1"/>
  <c r="N649" i="36"/>
  <c r="M649" i="36"/>
  <c r="L649" i="36"/>
  <c r="K648" i="36"/>
  <c r="K647" i="36" s="1"/>
  <c r="J648" i="36"/>
  <c r="J647" i="36" s="1"/>
  <c r="I648" i="36"/>
  <c r="I647" i="36" s="1"/>
  <c r="H648" i="36"/>
  <c r="H647" i="36" s="1"/>
  <c r="G648" i="36"/>
  <c r="G647" i="36" s="1"/>
  <c r="L646" i="36"/>
  <c r="L645" i="36"/>
  <c r="H645" i="36"/>
  <c r="H644" i="36" s="1"/>
  <c r="G645" i="36"/>
  <c r="G644" i="36" s="1"/>
  <c r="L644" i="36"/>
  <c r="N643" i="36"/>
  <c r="M643" i="36"/>
  <c r="L643" i="36"/>
  <c r="K642" i="36"/>
  <c r="F602" i="22" s="1"/>
  <c r="J642" i="36"/>
  <c r="I642" i="36"/>
  <c r="I641" i="36" s="1"/>
  <c r="H642" i="36"/>
  <c r="H641" i="36" s="1"/>
  <c r="G642" i="36"/>
  <c r="G641" i="36" s="1"/>
  <c r="G639" i="36"/>
  <c r="M639" i="36" s="1"/>
  <c r="J638" i="36"/>
  <c r="I638" i="36"/>
  <c r="H638" i="36"/>
  <c r="G638" i="36"/>
  <c r="J637" i="36"/>
  <c r="I637" i="36"/>
  <c r="H637" i="36"/>
  <c r="G637" i="36"/>
  <c r="G636" i="36" s="1"/>
  <c r="J636" i="36"/>
  <c r="I636" i="36"/>
  <c r="H636" i="36"/>
  <c r="N632" i="36"/>
  <c r="M632" i="36"/>
  <c r="L632" i="36"/>
  <c r="L631" i="36"/>
  <c r="H631" i="36"/>
  <c r="H630" i="36" s="1"/>
  <c r="G631" i="36"/>
  <c r="L630" i="36"/>
  <c r="K628" i="36"/>
  <c r="K627" i="36" s="1"/>
  <c r="J629" i="36"/>
  <c r="I628" i="36"/>
  <c r="I627" i="36" s="1"/>
  <c r="I626" i="36" s="1"/>
  <c r="H628" i="36"/>
  <c r="H627" i="36" s="1"/>
  <c r="H626" i="36" s="1"/>
  <c r="G628" i="36"/>
  <c r="G627" i="36" s="1"/>
  <c r="G626" i="36" s="1"/>
  <c r="N625" i="36"/>
  <c r="M625" i="36"/>
  <c r="L625" i="36"/>
  <c r="K624" i="36"/>
  <c r="K623" i="36" s="1"/>
  <c r="K622" i="36" s="1"/>
  <c r="J624" i="36"/>
  <c r="I624" i="36"/>
  <c r="I623" i="36" s="1"/>
  <c r="I622" i="36" s="1"/>
  <c r="H624" i="36"/>
  <c r="H623" i="36" s="1"/>
  <c r="H622" i="36" s="1"/>
  <c r="G624" i="36"/>
  <c r="G623" i="36" s="1"/>
  <c r="L621" i="36"/>
  <c r="G621" i="36"/>
  <c r="M621" i="36" s="1"/>
  <c r="L620" i="36"/>
  <c r="H620" i="36"/>
  <c r="H619" i="36" s="1"/>
  <c r="L619" i="36"/>
  <c r="N618" i="36"/>
  <c r="M618" i="36"/>
  <c r="L618" i="36"/>
  <c r="G618" i="36"/>
  <c r="K617" i="36"/>
  <c r="K616" i="36" s="1"/>
  <c r="J617" i="36"/>
  <c r="J616" i="36" s="1"/>
  <c r="I617" i="36"/>
  <c r="I616" i="36" s="1"/>
  <c r="H617" i="36"/>
  <c r="H616" i="36" s="1"/>
  <c r="G617" i="36"/>
  <c r="G616" i="36" s="1"/>
  <c r="L615" i="36"/>
  <c r="G615" i="36"/>
  <c r="N615" i="36" s="1"/>
  <c r="K614" i="36"/>
  <c r="K613" i="36" s="1"/>
  <c r="J614" i="36"/>
  <c r="J613" i="36" s="1"/>
  <c r="I614" i="36"/>
  <c r="I613" i="36" s="1"/>
  <c r="H614" i="36"/>
  <c r="H613" i="36" s="1"/>
  <c r="G614" i="36"/>
  <c r="G613" i="36" s="1"/>
  <c r="L612" i="36"/>
  <c r="G612" i="36"/>
  <c r="N612" i="36" s="1"/>
  <c r="K611" i="36"/>
  <c r="K610" i="36" s="1"/>
  <c r="J611" i="36"/>
  <c r="J610" i="36" s="1"/>
  <c r="I611" i="36"/>
  <c r="I610" i="36" s="1"/>
  <c r="H611" i="36"/>
  <c r="H610" i="36" s="1"/>
  <c r="K609" i="36"/>
  <c r="L609" i="36" s="1"/>
  <c r="G609" i="36"/>
  <c r="K608" i="36"/>
  <c r="J608" i="36"/>
  <c r="I608" i="36"/>
  <c r="I607" i="36" s="1"/>
  <c r="H608" i="36"/>
  <c r="H607" i="36" s="1"/>
  <c r="K607" i="36"/>
  <c r="J607" i="36"/>
  <c r="N606" i="36"/>
  <c r="M606" i="36"/>
  <c r="L606" i="36"/>
  <c r="K605" i="36"/>
  <c r="K604" i="36" s="1"/>
  <c r="J605" i="36"/>
  <c r="I605" i="36"/>
  <c r="I604" i="36" s="1"/>
  <c r="H605" i="36"/>
  <c r="H604" i="36" s="1"/>
  <c r="G605" i="36"/>
  <c r="G604" i="36" s="1"/>
  <c r="N602" i="36"/>
  <c r="M602" i="36"/>
  <c r="L602" i="36"/>
  <c r="K601" i="36"/>
  <c r="J601" i="36"/>
  <c r="I601" i="36"/>
  <c r="I600" i="36" s="1"/>
  <c r="H601" i="36"/>
  <c r="H600" i="36" s="1"/>
  <c r="G601" i="36"/>
  <c r="G600" i="36" s="1"/>
  <c r="J600" i="36"/>
  <c r="N599" i="36"/>
  <c r="L599" i="36"/>
  <c r="G599" i="36"/>
  <c r="M599" i="36" s="1"/>
  <c r="K598" i="36"/>
  <c r="J598" i="36"/>
  <c r="J597" i="36" s="1"/>
  <c r="I598" i="36"/>
  <c r="I597" i="36" s="1"/>
  <c r="H598" i="36"/>
  <c r="H597" i="36" s="1"/>
  <c r="G598" i="36"/>
  <c r="G597" i="36" s="1"/>
  <c r="J596" i="36"/>
  <c r="G596" i="36"/>
  <c r="N596" i="36" s="1"/>
  <c r="K595" i="36"/>
  <c r="I595" i="36"/>
  <c r="I594" i="36" s="1"/>
  <c r="H595" i="36"/>
  <c r="H594" i="36" s="1"/>
  <c r="G595" i="36"/>
  <c r="G594" i="36" s="1"/>
  <c r="N593" i="36"/>
  <c r="M593" i="36"/>
  <c r="L593" i="36"/>
  <c r="K592" i="36"/>
  <c r="K591" i="36" s="1"/>
  <c r="J592" i="36"/>
  <c r="J591" i="36" s="1"/>
  <c r="I592" i="36"/>
  <c r="I591" i="36" s="1"/>
  <c r="H592" i="36"/>
  <c r="H591" i="36" s="1"/>
  <c r="G592" i="36"/>
  <c r="G591" i="36" s="1"/>
  <c r="L586" i="36"/>
  <c r="L585" i="36"/>
  <c r="H585" i="36"/>
  <c r="H584" i="36" s="1"/>
  <c r="H583" i="36" s="1"/>
  <c r="G585" i="36"/>
  <c r="G584" i="36" s="1"/>
  <c r="G583" i="36" s="1"/>
  <c r="L584" i="36"/>
  <c r="L583" i="36"/>
  <c r="L582" i="36"/>
  <c r="H582" i="36"/>
  <c r="H581" i="36" s="1"/>
  <c r="H580" i="36" s="1"/>
  <c r="G582" i="36"/>
  <c r="G581" i="36" s="1"/>
  <c r="K581" i="36"/>
  <c r="J581" i="36"/>
  <c r="J580" i="36" s="1"/>
  <c r="I581" i="36"/>
  <c r="I580" i="36" s="1"/>
  <c r="G580" i="36"/>
  <c r="L579" i="36"/>
  <c r="L578" i="36"/>
  <c r="H578" i="36"/>
  <c r="H577" i="36" s="1"/>
  <c r="G578" i="36"/>
  <c r="G577" i="36" s="1"/>
  <c r="L577" i="36"/>
  <c r="L576" i="36"/>
  <c r="G576" i="36"/>
  <c r="M576" i="36" s="1"/>
  <c r="L575" i="36"/>
  <c r="H575" i="36"/>
  <c r="H574" i="36" s="1"/>
  <c r="L574" i="36"/>
  <c r="K573" i="36"/>
  <c r="L573" i="36" s="1"/>
  <c r="G573" i="36"/>
  <c r="N573" i="36" s="1"/>
  <c r="K572" i="36"/>
  <c r="K571" i="36" s="1"/>
  <c r="J572" i="36"/>
  <c r="I572" i="36"/>
  <c r="I571" i="36" s="1"/>
  <c r="H572" i="36"/>
  <c r="H571" i="36" s="1"/>
  <c r="K570" i="36"/>
  <c r="G570" i="36"/>
  <c r="M570" i="36" s="1"/>
  <c r="J569" i="36"/>
  <c r="I569" i="36"/>
  <c r="H569" i="36"/>
  <c r="G569" i="36"/>
  <c r="J568" i="36"/>
  <c r="I568" i="36"/>
  <c r="H568" i="36"/>
  <c r="G568" i="36"/>
  <c r="N567" i="36"/>
  <c r="M567" i="36"/>
  <c r="L567" i="36"/>
  <c r="K566" i="36"/>
  <c r="J566" i="36"/>
  <c r="J565" i="36" s="1"/>
  <c r="H566" i="36"/>
  <c r="H565" i="36" s="1"/>
  <c r="G566" i="36"/>
  <c r="G565" i="36" s="1"/>
  <c r="I565" i="36"/>
  <c r="N564" i="36"/>
  <c r="M564" i="36"/>
  <c r="L564" i="36"/>
  <c r="K563" i="36"/>
  <c r="J563" i="36"/>
  <c r="I563" i="36"/>
  <c r="H563" i="36"/>
  <c r="H562" i="36" s="1"/>
  <c r="G563" i="36"/>
  <c r="J562" i="36"/>
  <c r="I562" i="36"/>
  <c r="L560" i="36"/>
  <c r="G560" i="36"/>
  <c r="G559" i="36" s="1"/>
  <c r="K559" i="36"/>
  <c r="J559" i="36"/>
  <c r="J558" i="36" s="1"/>
  <c r="I559" i="36"/>
  <c r="I558" i="36" s="1"/>
  <c r="H559" i="36"/>
  <c r="H558" i="36" s="1"/>
  <c r="K557" i="36"/>
  <c r="J557" i="36"/>
  <c r="G557" i="36"/>
  <c r="M557" i="36" s="1"/>
  <c r="J556" i="36"/>
  <c r="I556" i="36"/>
  <c r="I555" i="36" s="1"/>
  <c r="H556" i="36"/>
  <c r="H555" i="36" s="1"/>
  <c r="G556" i="36"/>
  <c r="G555" i="36" s="1"/>
  <c r="K548" i="36"/>
  <c r="J547" i="36"/>
  <c r="J546" i="36" s="1"/>
  <c r="J545" i="36" s="1"/>
  <c r="J544" i="36" s="1"/>
  <c r="N543" i="36"/>
  <c r="M543" i="36"/>
  <c r="L543" i="36"/>
  <c r="I543" i="36"/>
  <c r="I542" i="36" s="1"/>
  <c r="I541" i="36" s="1"/>
  <c r="I540" i="36" s="1"/>
  <c r="K542" i="36"/>
  <c r="J542" i="36"/>
  <c r="G542" i="36"/>
  <c r="G541" i="36" s="1"/>
  <c r="G540" i="36" s="1"/>
  <c r="H540" i="36"/>
  <c r="H534" i="36" s="1"/>
  <c r="N539" i="36"/>
  <c r="M539" i="36"/>
  <c r="L539" i="36"/>
  <c r="I539" i="36"/>
  <c r="I538" i="36" s="1"/>
  <c r="I537" i="36" s="1"/>
  <c r="I536" i="36" s="1"/>
  <c r="I535" i="36" s="1"/>
  <c r="K538" i="36"/>
  <c r="J538" i="36"/>
  <c r="G538" i="36"/>
  <c r="G537" i="36" s="1"/>
  <c r="G536" i="36" s="1"/>
  <c r="G535" i="36" s="1"/>
  <c r="L533" i="36"/>
  <c r="L532" i="36"/>
  <c r="H532" i="36"/>
  <c r="H531" i="36" s="1"/>
  <c r="H530" i="36" s="1"/>
  <c r="H529" i="36" s="1"/>
  <c r="G532" i="36"/>
  <c r="G531" i="36" s="1"/>
  <c r="G530" i="36" s="1"/>
  <c r="G529" i="36" s="1"/>
  <c r="L531" i="36"/>
  <c r="L530" i="36"/>
  <c r="L529" i="36"/>
  <c r="N528" i="36"/>
  <c r="M528" i="36"/>
  <c r="L528" i="36"/>
  <c r="I528" i="36"/>
  <c r="I527" i="36" s="1"/>
  <c r="I526" i="36" s="1"/>
  <c r="K527" i="36"/>
  <c r="J527" i="36"/>
  <c r="G527" i="36"/>
  <c r="G526" i="36" s="1"/>
  <c r="H526" i="36"/>
  <c r="N525" i="36"/>
  <c r="M525" i="36"/>
  <c r="L525" i="36"/>
  <c r="I525" i="36"/>
  <c r="I524" i="36" s="1"/>
  <c r="K524" i="36"/>
  <c r="J524" i="36"/>
  <c r="G524" i="36"/>
  <c r="N523" i="36"/>
  <c r="M523" i="36"/>
  <c r="L523" i="36"/>
  <c r="I523" i="36"/>
  <c r="I522" i="36" s="1"/>
  <c r="K522" i="36"/>
  <c r="J522" i="36"/>
  <c r="G522" i="36"/>
  <c r="K521" i="36"/>
  <c r="J521" i="36"/>
  <c r="J520" i="36" s="1"/>
  <c r="I521" i="36"/>
  <c r="I520" i="36" s="1"/>
  <c r="G521" i="36"/>
  <c r="G520" i="36" s="1"/>
  <c r="H519" i="36"/>
  <c r="L518" i="36"/>
  <c r="I518" i="36"/>
  <c r="I517" i="36" s="1"/>
  <c r="I516" i="36" s="1"/>
  <c r="G518" i="36"/>
  <c r="N518" i="36" s="1"/>
  <c r="K517" i="36"/>
  <c r="J517" i="36"/>
  <c r="H516" i="36"/>
  <c r="L511" i="36"/>
  <c r="G511" i="36"/>
  <c r="N511" i="36" s="1"/>
  <c r="K510" i="36"/>
  <c r="J510" i="36"/>
  <c r="J509" i="36" s="1"/>
  <c r="J508" i="36" s="1"/>
  <c r="J507" i="36" s="1"/>
  <c r="J506" i="36" s="1"/>
  <c r="J505" i="36" s="1"/>
  <c r="J782" i="36" s="1"/>
  <c r="I510" i="36"/>
  <c r="I509" i="36" s="1"/>
  <c r="I508" i="36" s="1"/>
  <c r="I507" i="36" s="1"/>
  <c r="I506" i="36" s="1"/>
  <c r="I505" i="36" s="1"/>
  <c r="I782" i="36" s="1"/>
  <c r="H509" i="36"/>
  <c r="H508" i="36" s="1"/>
  <c r="H507" i="36" s="1"/>
  <c r="H506" i="36" s="1"/>
  <c r="H505" i="36" s="1"/>
  <c r="N504" i="36"/>
  <c r="M504" i="36"/>
  <c r="L504" i="36"/>
  <c r="K503" i="36"/>
  <c r="J503" i="36"/>
  <c r="J502" i="36" s="1"/>
  <c r="I503" i="36"/>
  <c r="I502" i="36" s="1"/>
  <c r="I501" i="36" s="1"/>
  <c r="I500" i="36" s="1"/>
  <c r="I801" i="36" s="1"/>
  <c r="G503" i="36"/>
  <c r="G502" i="36" s="1"/>
  <c r="G501" i="36" s="1"/>
  <c r="G500" i="36" s="1"/>
  <c r="G801" i="36" s="1"/>
  <c r="H502" i="36"/>
  <c r="H501" i="36" s="1"/>
  <c r="H500" i="36" s="1"/>
  <c r="L499" i="36"/>
  <c r="K498" i="36"/>
  <c r="K497" i="36" s="1"/>
  <c r="J498" i="36"/>
  <c r="J497" i="36" s="1"/>
  <c r="I498" i="36"/>
  <c r="I497" i="36" s="1"/>
  <c r="L496" i="36"/>
  <c r="K495" i="36"/>
  <c r="K494" i="36" s="1"/>
  <c r="J495" i="36"/>
  <c r="I495" i="36"/>
  <c r="I494" i="36" s="1"/>
  <c r="L493" i="36"/>
  <c r="G493" i="36"/>
  <c r="G492" i="36" s="1"/>
  <c r="G491" i="36" s="1"/>
  <c r="K492" i="36"/>
  <c r="K491" i="36" s="1"/>
  <c r="J492" i="36"/>
  <c r="H491" i="36"/>
  <c r="L490" i="36"/>
  <c r="G490" i="36"/>
  <c r="N490" i="36" s="1"/>
  <c r="K489" i="36"/>
  <c r="K488" i="36" s="1"/>
  <c r="J489" i="36"/>
  <c r="J488" i="36" s="1"/>
  <c r="H488" i="36"/>
  <c r="L487" i="36"/>
  <c r="H487" i="36"/>
  <c r="H486" i="36" s="1"/>
  <c r="H485" i="36" s="1"/>
  <c r="G487" i="36"/>
  <c r="K486" i="36"/>
  <c r="J486" i="36"/>
  <c r="J485" i="36" s="1"/>
  <c r="J484" i="36" s="1"/>
  <c r="I486" i="36"/>
  <c r="I485" i="36" s="1"/>
  <c r="G486" i="36"/>
  <c r="G485" i="36" s="1"/>
  <c r="L483" i="36"/>
  <c r="K482" i="36"/>
  <c r="K481" i="36" s="1"/>
  <c r="J482" i="36"/>
  <c r="J481" i="36" s="1"/>
  <c r="L480" i="36"/>
  <c r="K479" i="36"/>
  <c r="J479" i="36"/>
  <c r="J478" i="36" s="1"/>
  <c r="N477" i="36"/>
  <c r="M477" i="36"/>
  <c r="L477" i="36"/>
  <c r="K476" i="36"/>
  <c r="J476" i="36"/>
  <c r="J475" i="36" s="1"/>
  <c r="I476" i="36"/>
  <c r="I475" i="36" s="1"/>
  <c r="G476" i="36"/>
  <c r="G475" i="36" s="1"/>
  <c r="H475" i="36"/>
  <c r="N474" i="36"/>
  <c r="M474" i="36"/>
  <c r="L474" i="36"/>
  <c r="K473" i="36"/>
  <c r="J473" i="36"/>
  <c r="J472" i="36" s="1"/>
  <c r="I473" i="36"/>
  <c r="I472" i="36" s="1"/>
  <c r="G473" i="36"/>
  <c r="G472" i="36" s="1"/>
  <c r="K472" i="36"/>
  <c r="H472" i="36"/>
  <c r="K471" i="36"/>
  <c r="J471" i="36"/>
  <c r="H471" i="36"/>
  <c r="H470" i="36" s="1"/>
  <c r="H469" i="36" s="1"/>
  <c r="G471" i="36"/>
  <c r="G470" i="36" s="1"/>
  <c r="G469" i="36" s="1"/>
  <c r="K470" i="36"/>
  <c r="K469" i="36" s="1"/>
  <c r="J470" i="36"/>
  <c r="J469" i="36" s="1"/>
  <c r="N468" i="36"/>
  <c r="M468" i="36"/>
  <c r="L468" i="36"/>
  <c r="K467" i="36"/>
  <c r="J467" i="36"/>
  <c r="J466" i="36" s="1"/>
  <c r="G467" i="36"/>
  <c r="H466" i="36"/>
  <c r="N465" i="36"/>
  <c r="M465" i="36"/>
  <c r="L465" i="36"/>
  <c r="K464" i="36"/>
  <c r="J464" i="36"/>
  <c r="I464" i="36"/>
  <c r="G464" i="36"/>
  <c r="L463" i="36"/>
  <c r="G463" i="36"/>
  <c r="M463" i="36" s="1"/>
  <c r="K462" i="36"/>
  <c r="J462" i="36"/>
  <c r="I462" i="36"/>
  <c r="G462" i="36"/>
  <c r="H461" i="36"/>
  <c r="L456" i="36"/>
  <c r="G456" i="36"/>
  <c r="K455" i="36"/>
  <c r="J455" i="36"/>
  <c r="I455" i="36"/>
  <c r="I454" i="36" s="1"/>
  <c r="G455" i="36"/>
  <c r="K454" i="36"/>
  <c r="J454" i="36"/>
  <c r="H454" i="36"/>
  <c r="N453" i="36"/>
  <c r="M453" i="36"/>
  <c r="L453" i="36"/>
  <c r="K452" i="36"/>
  <c r="J452" i="36"/>
  <c r="J451" i="36" s="1"/>
  <c r="I452" i="36"/>
  <c r="I451" i="36" s="1"/>
  <c r="G452" i="36"/>
  <c r="G451" i="36" s="1"/>
  <c r="H451" i="36"/>
  <c r="N450" i="36"/>
  <c r="M450" i="36"/>
  <c r="L450" i="36"/>
  <c r="L449" i="36"/>
  <c r="G449" i="36"/>
  <c r="K448" i="36"/>
  <c r="J448" i="36"/>
  <c r="I448" i="36"/>
  <c r="N447" i="36"/>
  <c r="M447" i="36"/>
  <c r="L447" i="36"/>
  <c r="K446" i="36"/>
  <c r="J446" i="36"/>
  <c r="I446" i="36"/>
  <c r="G446" i="36"/>
  <c r="H445" i="36"/>
  <c r="L441" i="36"/>
  <c r="G441" i="36"/>
  <c r="N441" i="36" s="1"/>
  <c r="K440" i="36"/>
  <c r="J440" i="36"/>
  <c r="J439" i="36" s="1"/>
  <c r="J438" i="36" s="1"/>
  <c r="I440" i="36"/>
  <c r="I439" i="36" s="1"/>
  <c r="I438" i="36" s="1"/>
  <c r="H439" i="36"/>
  <c r="H438" i="36" s="1"/>
  <c r="L437" i="36"/>
  <c r="K437" i="36"/>
  <c r="K436" i="36" s="1"/>
  <c r="J437" i="36"/>
  <c r="G437" i="36"/>
  <c r="G436" i="36" s="1"/>
  <c r="G435" i="36" s="1"/>
  <c r="G434" i="36" s="1"/>
  <c r="G433" i="36" s="1"/>
  <c r="G794" i="36" s="1"/>
  <c r="J436" i="36"/>
  <c r="I436" i="36"/>
  <c r="I435" i="36" s="1"/>
  <c r="I434" i="36" s="1"/>
  <c r="I433" i="36" s="1"/>
  <c r="I794" i="36" s="1"/>
  <c r="H435" i="36"/>
  <c r="H434" i="36" s="1"/>
  <c r="H433" i="36" s="1"/>
  <c r="N432" i="36"/>
  <c r="M432" i="36"/>
  <c r="L432" i="36"/>
  <c r="K431" i="36"/>
  <c r="J431" i="36"/>
  <c r="I431" i="36"/>
  <c r="I430" i="36" s="1"/>
  <c r="I429" i="36" s="1"/>
  <c r="I428" i="36" s="1"/>
  <c r="G431" i="36"/>
  <c r="K430" i="36"/>
  <c r="H430" i="36"/>
  <c r="H429" i="36" s="1"/>
  <c r="H428" i="36" s="1"/>
  <c r="N426" i="36"/>
  <c r="M426" i="36"/>
  <c r="L426" i="36"/>
  <c r="K425" i="36"/>
  <c r="J425" i="36"/>
  <c r="I425" i="36"/>
  <c r="I424" i="36" s="1"/>
  <c r="I423" i="36" s="1"/>
  <c r="I422" i="36" s="1"/>
  <c r="G425" i="36"/>
  <c r="K424" i="36"/>
  <c r="H424" i="36"/>
  <c r="H423" i="36" s="1"/>
  <c r="H422" i="36" s="1"/>
  <c r="K420" i="36"/>
  <c r="J420" i="36"/>
  <c r="J419" i="36" s="1"/>
  <c r="J418" i="36" s="1"/>
  <c r="K417" i="36"/>
  <c r="J417" i="36"/>
  <c r="L417" i="36" s="1"/>
  <c r="I417" i="36"/>
  <c r="I416" i="36" s="1"/>
  <c r="I415" i="36" s="1"/>
  <c r="I414" i="36" s="1"/>
  <c r="I413" i="36" s="1"/>
  <c r="I401" i="36" s="1"/>
  <c r="G417" i="36"/>
  <c r="G416" i="36" s="1"/>
  <c r="G415" i="36" s="1"/>
  <c r="G414" i="36" s="1"/>
  <c r="G413" i="36" s="1"/>
  <c r="K416" i="36"/>
  <c r="H415" i="36"/>
  <c r="H414" i="36" s="1"/>
  <c r="H413" i="36" s="1"/>
  <c r="L412" i="36"/>
  <c r="K411" i="36"/>
  <c r="J411" i="36"/>
  <c r="J410" i="36" s="1"/>
  <c r="L409" i="36"/>
  <c r="K408" i="36"/>
  <c r="K407" i="36" s="1"/>
  <c r="J408" i="36"/>
  <c r="J407" i="36" s="1"/>
  <c r="G408" i="36"/>
  <c r="G407" i="36" s="1"/>
  <c r="N406" i="36"/>
  <c r="M406" i="36"/>
  <c r="L406" i="36"/>
  <c r="K405" i="36"/>
  <c r="J405" i="36"/>
  <c r="J404" i="36" s="1"/>
  <c r="H405" i="36"/>
  <c r="H404" i="36" s="1"/>
  <c r="H403" i="36" s="1"/>
  <c r="H402" i="36" s="1"/>
  <c r="G405" i="36"/>
  <c r="N400" i="36"/>
  <c r="M400" i="36"/>
  <c r="L400" i="36"/>
  <c r="G400" i="36"/>
  <c r="G399" i="36" s="1"/>
  <c r="K399" i="36"/>
  <c r="J399" i="36"/>
  <c r="J398" i="36" s="1"/>
  <c r="H398" i="36"/>
  <c r="N397" i="36"/>
  <c r="M397" i="36"/>
  <c r="L397" i="36"/>
  <c r="L396" i="36"/>
  <c r="G396" i="36"/>
  <c r="G395" i="36" s="1"/>
  <c r="G394" i="36" s="1"/>
  <c r="K395" i="36"/>
  <c r="J395" i="36"/>
  <c r="J394" i="36" s="1"/>
  <c r="I395" i="36"/>
  <c r="I394" i="36" s="1"/>
  <c r="I393" i="36" s="1"/>
  <c r="H394" i="36"/>
  <c r="L392" i="36"/>
  <c r="G392" i="36"/>
  <c r="M392" i="36" s="1"/>
  <c r="K391" i="36"/>
  <c r="K390" i="36" s="1"/>
  <c r="J391" i="36"/>
  <c r="H390" i="36"/>
  <c r="L389" i="36"/>
  <c r="G389" i="36"/>
  <c r="M389" i="36" s="1"/>
  <c r="K388" i="36"/>
  <c r="J388" i="36"/>
  <c r="J387" i="36" s="1"/>
  <c r="H387" i="36"/>
  <c r="K386" i="36"/>
  <c r="L386" i="36" s="1"/>
  <c r="I386" i="36"/>
  <c r="G386" i="36"/>
  <c r="M386" i="36" s="1"/>
  <c r="J385" i="36"/>
  <c r="J384" i="36" s="1"/>
  <c r="I385" i="36"/>
  <c r="I384" i="36" s="1"/>
  <c r="I383" i="36" s="1"/>
  <c r="H384" i="36"/>
  <c r="L382" i="36"/>
  <c r="K381" i="36"/>
  <c r="J381" i="36"/>
  <c r="J380" i="36" s="1"/>
  <c r="I381" i="36"/>
  <c r="I380" i="36" s="1"/>
  <c r="L379" i="36"/>
  <c r="K378" i="36"/>
  <c r="J378" i="36"/>
  <c r="J377" i="36" s="1"/>
  <c r="I378" i="36"/>
  <c r="I377" i="36" s="1"/>
  <c r="K376" i="36"/>
  <c r="K375" i="36" s="1"/>
  <c r="I376" i="36"/>
  <c r="I375" i="36" s="1"/>
  <c r="I374" i="36" s="1"/>
  <c r="G376" i="36"/>
  <c r="M376" i="36" s="1"/>
  <c r="J375" i="36"/>
  <c r="G375" i="36"/>
  <c r="G374" i="36" s="1"/>
  <c r="H374" i="36"/>
  <c r="K369" i="36"/>
  <c r="K368" i="36" s="1"/>
  <c r="J369" i="36"/>
  <c r="J368" i="36" s="1"/>
  <c r="J367" i="36" s="1"/>
  <c r="J366" i="36" s="1"/>
  <c r="I369" i="36"/>
  <c r="I368" i="36" s="1"/>
  <c r="I367" i="36" s="1"/>
  <c r="I366" i="36" s="1"/>
  <c r="L365" i="36"/>
  <c r="N365" i="36"/>
  <c r="L364" i="36"/>
  <c r="G364" i="36"/>
  <c r="N364" i="36" s="1"/>
  <c r="L363" i="36"/>
  <c r="H363" i="36"/>
  <c r="L362" i="36"/>
  <c r="L361" i="36"/>
  <c r="G361" i="36"/>
  <c r="G360" i="36" s="1"/>
  <c r="G359" i="36" s="1"/>
  <c r="L360" i="36"/>
  <c r="L359" i="36"/>
  <c r="N358" i="36"/>
  <c r="M358" i="36"/>
  <c r="L358" i="36"/>
  <c r="K357" i="36"/>
  <c r="K356" i="36" s="1"/>
  <c r="J357" i="36"/>
  <c r="J356" i="36" s="1"/>
  <c r="I357" i="36"/>
  <c r="I356" i="36" s="1"/>
  <c r="G357" i="36"/>
  <c r="G356" i="36" s="1"/>
  <c r="H356" i="36"/>
  <c r="K355" i="36"/>
  <c r="N355" i="36" s="1"/>
  <c r="I355" i="36"/>
  <c r="G355" i="36"/>
  <c r="G354" i="36" s="1"/>
  <c r="G353" i="36" s="1"/>
  <c r="J354" i="36"/>
  <c r="I354" i="36"/>
  <c r="I353" i="36" s="1"/>
  <c r="H353" i="36"/>
  <c r="M348" i="36"/>
  <c r="L348" i="36"/>
  <c r="I348" i="36"/>
  <c r="G348" i="36"/>
  <c r="G347" i="36" s="1"/>
  <c r="K347" i="36"/>
  <c r="J347" i="36"/>
  <c r="I347" i="36"/>
  <c r="I346" i="36" s="1"/>
  <c r="I345" i="36" s="1"/>
  <c r="I344" i="36" s="1"/>
  <c r="I797" i="36" s="1"/>
  <c r="H346" i="36"/>
  <c r="H345" i="36"/>
  <c r="H344" i="36" s="1"/>
  <c r="N343" i="36"/>
  <c r="M343" i="36"/>
  <c r="L343" i="36"/>
  <c r="I343" i="36"/>
  <c r="I342" i="36" s="1"/>
  <c r="I341" i="36" s="1"/>
  <c r="I340" i="36" s="1"/>
  <c r="K342" i="36"/>
  <c r="K341" i="36" s="1"/>
  <c r="K340" i="36" s="1"/>
  <c r="J342" i="36"/>
  <c r="J341" i="36" s="1"/>
  <c r="G342" i="36"/>
  <c r="H341" i="36"/>
  <c r="H340" i="36" s="1"/>
  <c r="N339" i="36"/>
  <c r="M339" i="36"/>
  <c r="L339" i="36"/>
  <c r="I339" i="36"/>
  <c r="I338" i="36" s="1"/>
  <c r="I337" i="36" s="1"/>
  <c r="I336" i="36" s="1"/>
  <c r="K338" i="36"/>
  <c r="J338" i="36"/>
  <c r="G338" i="36"/>
  <c r="K337" i="36"/>
  <c r="J337" i="36"/>
  <c r="J336" i="36" s="1"/>
  <c r="H337" i="36"/>
  <c r="H336" i="36" s="1"/>
  <c r="G337" i="36"/>
  <c r="G336" i="36" s="1"/>
  <c r="K336" i="36"/>
  <c r="N332" i="36"/>
  <c r="M332" i="36"/>
  <c r="L332" i="36"/>
  <c r="K331" i="36"/>
  <c r="J331" i="36"/>
  <c r="I331" i="36"/>
  <c r="I330" i="36" s="1"/>
  <c r="I326" i="36" s="1"/>
  <c r="I325" i="36" s="1"/>
  <c r="I324" i="36" s="1"/>
  <c r="G331" i="36"/>
  <c r="G330" i="36" s="1"/>
  <c r="H330" i="36"/>
  <c r="N329" i="36"/>
  <c r="M329" i="36"/>
  <c r="L329" i="36"/>
  <c r="K328" i="36"/>
  <c r="K327" i="36" s="1"/>
  <c r="J328" i="36"/>
  <c r="J327" i="36" s="1"/>
  <c r="G328" i="36"/>
  <c r="G327" i="36" s="1"/>
  <c r="H327" i="36"/>
  <c r="L323" i="36"/>
  <c r="G323" i="36"/>
  <c r="M323" i="36" s="1"/>
  <c r="L322" i="36"/>
  <c r="L321" i="36"/>
  <c r="H321" i="36"/>
  <c r="K320" i="36"/>
  <c r="L320" i="36" s="1"/>
  <c r="I320" i="36"/>
  <c r="I319" i="36" s="1"/>
  <c r="I318" i="36" s="1"/>
  <c r="G320" i="36"/>
  <c r="M320" i="36" s="1"/>
  <c r="J319" i="36"/>
  <c r="J318" i="36" s="1"/>
  <c r="H318" i="36"/>
  <c r="N317" i="36"/>
  <c r="M317" i="36"/>
  <c r="L317" i="36"/>
  <c r="I317" i="36"/>
  <c r="I316" i="36" s="1"/>
  <c r="I315" i="36" s="1"/>
  <c r="K316" i="36"/>
  <c r="J316" i="36"/>
  <c r="J315" i="36" s="1"/>
  <c r="G316" i="36"/>
  <c r="G315" i="36" s="1"/>
  <c r="H315" i="36"/>
  <c r="N312" i="36"/>
  <c r="L312" i="36"/>
  <c r="G312" i="36"/>
  <c r="M312" i="36" s="1"/>
  <c r="L311" i="36"/>
  <c r="G311" i="36"/>
  <c r="N311" i="36" s="1"/>
  <c r="L310" i="36"/>
  <c r="H310" i="36"/>
  <c r="J309" i="36"/>
  <c r="M309" i="36" s="1"/>
  <c r="I309" i="36"/>
  <c r="I308" i="36" s="1"/>
  <c r="I307" i="36" s="1"/>
  <c r="I306" i="36" s="1"/>
  <c r="I305" i="36" s="1"/>
  <c r="G309" i="36"/>
  <c r="G308" i="36" s="1"/>
  <c r="G307" i="36" s="1"/>
  <c r="G306" i="36" s="1"/>
  <c r="H307" i="36"/>
  <c r="H306" i="36" s="1"/>
  <c r="N303" i="36"/>
  <c r="M303" i="36"/>
  <c r="L303" i="36"/>
  <c r="K302" i="36"/>
  <c r="K301" i="36" s="1"/>
  <c r="J302" i="36"/>
  <c r="G302" i="36"/>
  <c r="H301" i="36"/>
  <c r="L300" i="36"/>
  <c r="G300" i="36"/>
  <c r="M300" i="36" s="1"/>
  <c r="L299" i="36"/>
  <c r="L298" i="36"/>
  <c r="H298" i="36"/>
  <c r="K297" i="36"/>
  <c r="I297" i="36"/>
  <c r="I296" i="36" s="1"/>
  <c r="I295" i="36" s="1"/>
  <c r="M297" i="36"/>
  <c r="J296" i="36"/>
  <c r="J295" i="36" s="1"/>
  <c r="G296" i="36"/>
  <c r="G295" i="36" s="1"/>
  <c r="H295" i="36"/>
  <c r="K294" i="36"/>
  <c r="L294" i="36" s="1"/>
  <c r="I294" i="36"/>
  <c r="I293" i="36" s="1"/>
  <c r="I292" i="36" s="1"/>
  <c r="G294" i="36"/>
  <c r="J293" i="36"/>
  <c r="H292" i="36"/>
  <c r="L291" i="36"/>
  <c r="I291" i="36"/>
  <c r="I290" i="36" s="1"/>
  <c r="G291" i="36"/>
  <c r="G290" i="36" s="1"/>
  <c r="G289" i="36" s="1"/>
  <c r="K290" i="36"/>
  <c r="J290" i="36"/>
  <c r="I289" i="36"/>
  <c r="H289" i="36"/>
  <c r="L286" i="36"/>
  <c r="L285" i="36"/>
  <c r="H285" i="36"/>
  <c r="H284" i="36" s="1"/>
  <c r="G285" i="36"/>
  <c r="G284" i="36" s="1"/>
  <c r="L284" i="36"/>
  <c r="N283" i="36"/>
  <c r="M283" i="36"/>
  <c r="L283" i="36"/>
  <c r="I283" i="36"/>
  <c r="I282" i="36" s="1"/>
  <c r="I281" i="36" s="1"/>
  <c r="K282" i="36"/>
  <c r="K281" i="36" s="1"/>
  <c r="J282" i="36"/>
  <c r="J281" i="36" s="1"/>
  <c r="G282" i="36"/>
  <c r="G281" i="36" s="1"/>
  <c r="H281" i="36"/>
  <c r="L280" i="36"/>
  <c r="I280" i="36"/>
  <c r="I279" i="36" s="1"/>
  <c r="I278" i="36" s="1"/>
  <c r="K279" i="36"/>
  <c r="J279" i="36"/>
  <c r="J278" i="36" s="1"/>
  <c r="H279" i="36"/>
  <c r="H278" i="36" s="1"/>
  <c r="G279" i="36"/>
  <c r="G278" i="36" s="1"/>
  <c r="M277" i="36"/>
  <c r="L277" i="36"/>
  <c r="I277" i="36"/>
  <c r="G277" i="36"/>
  <c r="G276" i="36" s="1"/>
  <c r="G275" i="36" s="1"/>
  <c r="K276" i="36"/>
  <c r="J276" i="36"/>
  <c r="I276" i="36"/>
  <c r="I275" i="36" s="1"/>
  <c r="H275" i="36"/>
  <c r="N271" i="36"/>
  <c r="M271" i="36"/>
  <c r="L271" i="36"/>
  <c r="K270" i="36"/>
  <c r="J270" i="36"/>
  <c r="J269" i="36" s="1"/>
  <c r="G270" i="36"/>
  <c r="G269" i="36" s="1"/>
  <c r="G268" i="36" s="1"/>
  <c r="H269" i="36"/>
  <c r="H268" i="36" s="1"/>
  <c r="L267" i="36"/>
  <c r="L266" i="36"/>
  <c r="H266" i="36"/>
  <c r="H265" i="36" s="1"/>
  <c r="G266" i="36"/>
  <c r="G265" i="36" s="1"/>
  <c r="L265" i="36"/>
  <c r="L264" i="36"/>
  <c r="L263" i="36"/>
  <c r="H263" i="36"/>
  <c r="H262" i="36" s="1"/>
  <c r="G263" i="36"/>
  <c r="G262" i="36" s="1"/>
  <c r="L262" i="36"/>
  <c r="N261" i="36"/>
  <c r="M261" i="36"/>
  <c r="L261" i="36"/>
  <c r="I261" i="36"/>
  <c r="I260" i="36" s="1"/>
  <c r="I259" i="36" s="1"/>
  <c r="K260" i="36"/>
  <c r="J260" i="36"/>
  <c r="G260" i="36"/>
  <c r="G259" i="36" s="1"/>
  <c r="H259" i="36"/>
  <c r="N258" i="36"/>
  <c r="M258" i="36"/>
  <c r="L258" i="36"/>
  <c r="I258" i="36"/>
  <c r="I257" i="36" s="1"/>
  <c r="I256" i="36" s="1"/>
  <c r="K257" i="36"/>
  <c r="K256" i="36" s="1"/>
  <c r="J257" i="36"/>
  <c r="J256" i="36" s="1"/>
  <c r="G257" i="36"/>
  <c r="G256" i="36" s="1"/>
  <c r="H256" i="36"/>
  <c r="L255" i="36"/>
  <c r="I255" i="36"/>
  <c r="G255" i="36"/>
  <c r="N255" i="36" s="1"/>
  <c r="K254" i="36"/>
  <c r="J254" i="36"/>
  <c r="J253" i="36" s="1"/>
  <c r="I254" i="36"/>
  <c r="I253" i="36" s="1"/>
  <c r="H253" i="36"/>
  <c r="L252" i="36"/>
  <c r="I252" i="36"/>
  <c r="G252" i="36"/>
  <c r="G251" i="36" s="1"/>
  <c r="K251" i="36"/>
  <c r="K250" i="36" s="1"/>
  <c r="J251" i="36"/>
  <c r="I251" i="36"/>
  <c r="I250" i="36" s="1"/>
  <c r="H250" i="36"/>
  <c r="L249" i="36"/>
  <c r="I249" i="36"/>
  <c r="G249" i="36"/>
  <c r="N249" i="36" s="1"/>
  <c r="K248" i="36"/>
  <c r="J248" i="36"/>
  <c r="I248" i="36"/>
  <c r="G248" i="36"/>
  <c r="K247" i="36"/>
  <c r="N247" i="36" s="1"/>
  <c r="J247" i="36"/>
  <c r="I247" i="36"/>
  <c r="I246" i="36" s="1"/>
  <c r="G247" i="36"/>
  <c r="K246" i="36"/>
  <c r="J246" i="36"/>
  <c r="N245" i="36"/>
  <c r="K245" i="36"/>
  <c r="K244" i="36" s="1"/>
  <c r="I245" i="36"/>
  <c r="I244" i="36" s="1"/>
  <c r="G245" i="36"/>
  <c r="M245" i="36" s="1"/>
  <c r="J244" i="36"/>
  <c r="H243" i="36"/>
  <c r="L239" i="36"/>
  <c r="L238" i="36"/>
  <c r="G238" i="36"/>
  <c r="G237" i="36" s="1"/>
  <c r="G236" i="36" s="1"/>
  <c r="G235" i="36" s="1"/>
  <c r="L237" i="36"/>
  <c r="L236" i="36"/>
  <c r="L235" i="36"/>
  <c r="K234" i="36"/>
  <c r="L234" i="36" s="1"/>
  <c r="I234" i="36"/>
  <c r="G234" i="36"/>
  <c r="G233" i="36" s="1"/>
  <c r="J233" i="36"/>
  <c r="I233" i="36"/>
  <c r="I232" i="36" s="1"/>
  <c r="I231" i="36" s="1"/>
  <c r="I230" i="36" s="1"/>
  <c r="I229" i="36" s="1"/>
  <c r="H232" i="36"/>
  <c r="H231" i="36" s="1"/>
  <c r="H230" i="36" s="1"/>
  <c r="H229" i="36" s="1"/>
  <c r="M227" i="36"/>
  <c r="K227" i="36"/>
  <c r="K226" i="36" s="1"/>
  <c r="I227" i="36"/>
  <c r="I226" i="36" s="1"/>
  <c r="I225" i="36" s="1"/>
  <c r="I224" i="36" s="1"/>
  <c r="J226" i="36"/>
  <c r="G226" i="36"/>
  <c r="G225" i="36" s="1"/>
  <c r="G224" i="36" s="1"/>
  <c r="H225" i="36"/>
  <c r="H224" i="36" s="1"/>
  <c r="M223" i="36"/>
  <c r="L223" i="36"/>
  <c r="I223" i="36"/>
  <c r="G222" i="36"/>
  <c r="K222" i="36"/>
  <c r="J222" i="36"/>
  <c r="I222" i="36"/>
  <c r="I221" i="36" s="1"/>
  <c r="I220" i="36" s="1"/>
  <c r="H221" i="36"/>
  <c r="H220" i="36" s="1"/>
  <c r="N218" i="36"/>
  <c r="M218" i="36"/>
  <c r="L218" i="36"/>
  <c r="I218" i="36"/>
  <c r="K217" i="36"/>
  <c r="J217" i="36"/>
  <c r="I217" i="36"/>
  <c r="I216" i="36" s="1"/>
  <c r="I215" i="36" s="1"/>
  <c r="I214" i="36" s="1"/>
  <c r="G217" i="36"/>
  <c r="K216" i="36"/>
  <c r="H216" i="36"/>
  <c r="H215" i="36" s="1"/>
  <c r="H214" i="36" s="1"/>
  <c r="L212" i="36"/>
  <c r="I212" i="36"/>
  <c r="G212" i="36"/>
  <c r="G211" i="36" s="1"/>
  <c r="G210" i="36" s="1"/>
  <c r="K211" i="36"/>
  <c r="J211" i="36"/>
  <c r="I211" i="36"/>
  <c r="I210" i="36" s="1"/>
  <c r="H211" i="36"/>
  <c r="H210" i="36" s="1"/>
  <c r="K210" i="36"/>
  <c r="L209" i="36"/>
  <c r="K208" i="36"/>
  <c r="J208" i="36"/>
  <c r="J207" i="36" s="1"/>
  <c r="H208" i="36"/>
  <c r="H207" i="36" s="1"/>
  <c r="G208" i="36"/>
  <c r="G207" i="36" s="1"/>
  <c r="K207" i="36"/>
  <c r="L206" i="36"/>
  <c r="I206" i="36"/>
  <c r="I205" i="36" s="1"/>
  <c r="I204" i="36" s="1"/>
  <c r="G206" i="36"/>
  <c r="N206" i="36" s="1"/>
  <c r="K205" i="36"/>
  <c r="J205" i="36"/>
  <c r="J204" i="36" s="1"/>
  <c r="H204" i="36"/>
  <c r="N200" i="36"/>
  <c r="M200" i="36"/>
  <c r="L200" i="36"/>
  <c r="I200" i="36"/>
  <c r="I199" i="36" s="1"/>
  <c r="I198" i="36" s="1"/>
  <c r="I197" i="36" s="1"/>
  <c r="I196" i="36" s="1"/>
  <c r="I800" i="36" s="1"/>
  <c r="K199" i="36"/>
  <c r="J199" i="36"/>
  <c r="G199" i="36"/>
  <c r="G198" i="36" s="1"/>
  <c r="G197" i="36" s="1"/>
  <c r="G196" i="36" s="1"/>
  <c r="G800" i="36" s="1"/>
  <c r="H198" i="36"/>
  <c r="H197" i="36" s="1"/>
  <c r="H196" i="36" s="1"/>
  <c r="N195" i="36"/>
  <c r="M195" i="36"/>
  <c r="L195" i="36"/>
  <c r="I195" i="36"/>
  <c r="I194" i="36" s="1"/>
  <c r="I193" i="36" s="1"/>
  <c r="I192" i="36" s="1"/>
  <c r="I191" i="36" s="1"/>
  <c r="K194" i="36"/>
  <c r="K193" i="36" s="1"/>
  <c r="K192" i="36" s="1"/>
  <c r="K191" i="36" s="1"/>
  <c r="J194" i="36"/>
  <c r="G194" i="36"/>
  <c r="G193" i="36" s="1"/>
  <c r="H193" i="36"/>
  <c r="H191" i="36" s="1"/>
  <c r="M189" i="36"/>
  <c r="L189" i="36"/>
  <c r="I189" i="36"/>
  <c r="G189" i="36"/>
  <c r="N189" i="36" s="1"/>
  <c r="K188" i="36"/>
  <c r="J188" i="36"/>
  <c r="I188" i="36"/>
  <c r="I187" i="36" s="1"/>
  <c r="G188" i="36"/>
  <c r="G187" i="36" s="1"/>
  <c r="K187" i="36"/>
  <c r="K186" i="36" s="1"/>
  <c r="H187" i="36"/>
  <c r="H185" i="36" s="1"/>
  <c r="H184" i="36" s="1"/>
  <c r="M182" i="36"/>
  <c r="K182" i="36"/>
  <c r="I182" i="36"/>
  <c r="J181" i="36"/>
  <c r="J180" i="36" s="1"/>
  <c r="I181" i="36"/>
  <c r="I180" i="36" s="1"/>
  <c r="I179" i="36" s="1"/>
  <c r="I178" i="36" s="1"/>
  <c r="G181" i="36"/>
  <c r="G180" i="36" s="1"/>
  <c r="G179" i="36" s="1"/>
  <c r="G178" i="36" s="1"/>
  <c r="H180" i="36"/>
  <c r="H179" i="36" s="1"/>
  <c r="H178" i="36" s="1"/>
  <c r="L177" i="36"/>
  <c r="I177" i="36"/>
  <c r="G177" i="36"/>
  <c r="N177" i="36" s="1"/>
  <c r="K176" i="36"/>
  <c r="K175" i="36" s="1"/>
  <c r="K174" i="36" s="1"/>
  <c r="J176" i="36"/>
  <c r="I176" i="36"/>
  <c r="I175" i="36" s="1"/>
  <c r="I174" i="36" s="1"/>
  <c r="I173" i="36" s="1"/>
  <c r="H175" i="36"/>
  <c r="H174" i="36" s="1"/>
  <c r="H173" i="36" s="1"/>
  <c r="L171" i="36"/>
  <c r="I171" i="36"/>
  <c r="G171" i="36"/>
  <c r="N171" i="36" s="1"/>
  <c r="K170" i="36"/>
  <c r="K169" i="36" s="1"/>
  <c r="J170" i="36"/>
  <c r="I170" i="36"/>
  <c r="I169" i="36" s="1"/>
  <c r="G170" i="36"/>
  <c r="G169" i="36" s="1"/>
  <c r="H169" i="36"/>
  <c r="N168" i="36"/>
  <c r="M168" i="36"/>
  <c r="L168" i="36"/>
  <c r="I168" i="36"/>
  <c r="K167" i="36"/>
  <c r="K166" i="36" s="1"/>
  <c r="K165" i="36" s="1"/>
  <c r="J167" i="36"/>
  <c r="J166" i="36" s="1"/>
  <c r="J165" i="36" s="1"/>
  <c r="I167" i="36"/>
  <c r="I166" i="36" s="1"/>
  <c r="I165" i="36" s="1"/>
  <c r="G167" i="36"/>
  <c r="G166" i="36" s="1"/>
  <c r="G165" i="36" s="1"/>
  <c r="H166" i="36"/>
  <c r="H165" i="36" s="1"/>
  <c r="L161" i="36"/>
  <c r="I161" i="36"/>
  <c r="I160" i="36" s="1"/>
  <c r="G161" i="36"/>
  <c r="N161" i="36" s="1"/>
  <c r="K160" i="36"/>
  <c r="J160" i="36"/>
  <c r="L159" i="36"/>
  <c r="I159" i="36"/>
  <c r="I158" i="36" s="1"/>
  <c r="G159" i="36"/>
  <c r="N159" i="36" s="1"/>
  <c r="K158" i="36"/>
  <c r="J158" i="36"/>
  <c r="G158" i="36"/>
  <c r="H157" i="36"/>
  <c r="N156" i="36"/>
  <c r="M156" i="36"/>
  <c r="L156" i="36"/>
  <c r="I156" i="36"/>
  <c r="I155" i="36" s="1"/>
  <c r="K155" i="36"/>
  <c r="J155" i="36"/>
  <c r="G155" i="36"/>
  <c r="N154" i="36"/>
  <c r="M154" i="36"/>
  <c r="L154" i="36"/>
  <c r="I154" i="36"/>
  <c r="I153" i="36" s="1"/>
  <c r="K153" i="36"/>
  <c r="J153" i="36"/>
  <c r="G153" i="36"/>
  <c r="H152" i="36"/>
  <c r="N151" i="36"/>
  <c r="M151" i="36"/>
  <c r="L151" i="36"/>
  <c r="I151" i="36"/>
  <c r="I150" i="36" s="1"/>
  <c r="K150" i="36"/>
  <c r="J150" i="36"/>
  <c r="G150" i="36"/>
  <c r="K149" i="36"/>
  <c r="N149" i="36" s="1"/>
  <c r="J149" i="36"/>
  <c r="J148" i="36" s="1"/>
  <c r="I149" i="36"/>
  <c r="I148" i="36" s="1"/>
  <c r="G148" i="36"/>
  <c r="H147" i="36"/>
  <c r="N146" i="36"/>
  <c r="M146" i="36"/>
  <c r="L146" i="36"/>
  <c r="I146" i="36"/>
  <c r="K145" i="36"/>
  <c r="J145" i="36"/>
  <c r="I145" i="36"/>
  <c r="G145" i="36"/>
  <c r="N144" i="36"/>
  <c r="M144" i="36"/>
  <c r="L144" i="36"/>
  <c r="I144" i="36"/>
  <c r="I143" i="36" s="1"/>
  <c r="K143" i="36"/>
  <c r="J143" i="36"/>
  <c r="G143" i="36"/>
  <c r="H142" i="36"/>
  <c r="N141" i="36"/>
  <c r="M141" i="36"/>
  <c r="L141" i="36"/>
  <c r="I141" i="36"/>
  <c r="I140" i="36" s="1"/>
  <c r="I139" i="36" s="1"/>
  <c r="K140" i="36"/>
  <c r="K139" i="36" s="1"/>
  <c r="J140" i="36"/>
  <c r="G140" i="36"/>
  <c r="G139" i="36" s="1"/>
  <c r="H139" i="36"/>
  <c r="L138" i="36"/>
  <c r="I138" i="36"/>
  <c r="I137" i="36" s="1"/>
  <c r="G138" i="36"/>
  <c r="M138" i="36" s="1"/>
  <c r="K137" i="36"/>
  <c r="J137" i="36"/>
  <c r="K136" i="36"/>
  <c r="J136" i="36"/>
  <c r="J135" i="36" s="1"/>
  <c r="I136" i="36"/>
  <c r="I135" i="36" s="1"/>
  <c r="G136" i="36"/>
  <c r="G135" i="36" s="1"/>
  <c r="H134" i="36"/>
  <c r="N132" i="36"/>
  <c r="M132" i="36"/>
  <c r="L132" i="36"/>
  <c r="I132" i="36"/>
  <c r="I131" i="36" s="1"/>
  <c r="I130" i="36" s="1"/>
  <c r="K131" i="36"/>
  <c r="K130" i="36" s="1"/>
  <c r="J131" i="36"/>
  <c r="J130" i="36" s="1"/>
  <c r="G131" i="36"/>
  <c r="H130" i="36"/>
  <c r="L129" i="36"/>
  <c r="L128" i="36"/>
  <c r="H128" i="36"/>
  <c r="G128" i="36"/>
  <c r="L127" i="36"/>
  <c r="L126" i="36"/>
  <c r="H126" i="36"/>
  <c r="H125" i="36" s="1"/>
  <c r="G126" i="36"/>
  <c r="G125" i="36" s="1"/>
  <c r="L125" i="36"/>
  <c r="L124" i="36"/>
  <c r="I124" i="36"/>
  <c r="G124" i="36"/>
  <c r="K123" i="36"/>
  <c r="J123" i="36"/>
  <c r="J122" i="36" s="1"/>
  <c r="I123" i="36"/>
  <c r="G123" i="36"/>
  <c r="G122" i="36"/>
  <c r="L121" i="36"/>
  <c r="G121" i="36"/>
  <c r="N121" i="36" s="1"/>
  <c r="K120" i="36"/>
  <c r="J120" i="36"/>
  <c r="I120" i="36"/>
  <c r="G120" i="36"/>
  <c r="H119" i="36"/>
  <c r="N118" i="36"/>
  <c r="J118" i="36"/>
  <c r="M118" i="36" s="1"/>
  <c r="I118" i="36"/>
  <c r="I117" i="36" s="1"/>
  <c r="K117" i="36"/>
  <c r="G117" i="36"/>
  <c r="K116" i="36"/>
  <c r="J116" i="36"/>
  <c r="I116" i="36"/>
  <c r="G116" i="36"/>
  <c r="G115" i="36" s="1"/>
  <c r="G114" i="36" s="1"/>
  <c r="I115" i="36"/>
  <c r="H114" i="36"/>
  <c r="N113" i="36"/>
  <c r="M113" i="36"/>
  <c r="L113" i="36"/>
  <c r="K112" i="36"/>
  <c r="G112" i="36"/>
  <c r="G111" i="36" s="1"/>
  <c r="M111" i="36" s="1"/>
  <c r="H111" i="36"/>
  <c r="N109" i="36"/>
  <c r="M109" i="36"/>
  <c r="L109" i="36"/>
  <c r="K108" i="36"/>
  <c r="J108" i="36"/>
  <c r="I108" i="36"/>
  <c r="I107" i="36" s="1"/>
  <c r="I106" i="36" s="1"/>
  <c r="I105" i="36" s="1"/>
  <c r="G108" i="36"/>
  <c r="G107" i="36" s="1"/>
  <c r="K107" i="36"/>
  <c r="L107" i="36" s="1"/>
  <c r="J106" i="36"/>
  <c r="J105" i="36" s="1"/>
  <c r="N104" i="36"/>
  <c r="J104" i="36"/>
  <c r="L104" i="36" s="1"/>
  <c r="I104" i="36"/>
  <c r="I103" i="36" s="1"/>
  <c r="K103" i="36"/>
  <c r="G103" i="36"/>
  <c r="L102" i="36"/>
  <c r="K102" i="36"/>
  <c r="I102" i="36"/>
  <c r="I101" i="36" s="1"/>
  <c r="G102" i="36"/>
  <c r="K101" i="36"/>
  <c r="J101" i="36"/>
  <c r="H100" i="36"/>
  <c r="H99" i="36" s="1"/>
  <c r="H98" i="36" s="1"/>
  <c r="N97" i="36"/>
  <c r="M97" i="36"/>
  <c r="L97" i="36"/>
  <c r="I97" i="36"/>
  <c r="I96" i="36" s="1"/>
  <c r="I95" i="36" s="1"/>
  <c r="K96" i="36"/>
  <c r="J96" i="36"/>
  <c r="J95" i="36" s="1"/>
  <c r="G96" i="36"/>
  <c r="G95" i="36" s="1"/>
  <c r="H95" i="36"/>
  <c r="K94" i="36"/>
  <c r="I94" i="36"/>
  <c r="I93" i="36" s="1"/>
  <c r="I92" i="36" s="1"/>
  <c r="G94" i="36"/>
  <c r="J93" i="36"/>
  <c r="J92" i="36" s="1"/>
  <c r="H92" i="36"/>
  <c r="N89" i="36"/>
  <c r="J89" i="36"/>
  <c r="L89" i="36" s="1"/>
  <c r="I89" i="36"/>
  <c r="I88" i="36" s="1"/>
  <c r="I87" i="36" s="1"/>
  <c r="I86" i="36" s="1"/>
  <c r="I85" i="36" s="1"/>
  <c r="I792" i="36" s="1"/>
  <c r="K88" i="36"/>
  <c r="G88" i="36"/>
  <c r="G87" i="36" s="1"/>
  <c r="G86" i="36" s="1"/>
  <c r="G85" i="36" s="1"/>
  <c r="G792" i="36" s="1"/>
  <c r="H87" i="36"/>
  <c r="H86" i="36" s="1"/>
  <c r="H85" i="36" s="1"/>
  <c r="L84" i="36"/>
  <c r="I84" i="36"/>
  <c r="G84" i="36"/>
  <c r="G83" i="36" s="1"/>
  <c r="K83" i="36"/>
  <c r="J83" i="36"/>
  <c r="I83" i="36"/>
  <c r="I80" i="36" s="1"/>
  <c r="N82" i="36"/>
  <c r="M82" i="36"/>
  <c r="L82" i="36"/>
  <c r="K81" i="36"/>
  <c r="J81" i="36"/>
  <c r="G81" i="36"/>
  <c r="H80" i="36"/>
  <c r="L79" i="36"/>
  <c r="I79" i="36"/>
  <c r="I78" i="36" s="1"/>
  <c r="I77" i="36" s="1"/>
  <c r="K78" i="36"/>
  <c r="K77" i="36" s="1"/>
  <c r="J78" i="36"/>
  <c r="J77" i="36" s="1"/>
  <c r="H78" i="36"/>
  <c r="H77" i="36" s="1"/>
  <c r="G78" i="36"/>
  <c r="G77" i="36" s="1"/>
  <c r="N75" i="36"/>
  <c r="M75" i="36"/>
  <c r="L75" i="36"/>
  <c r="I75" i="36"/>
  <c r="I74" i="36" s="1"/>
  <c r="L74" i="36"/>
  <c r="G74" i="36"/>
  <c r="N74" i="36" s="1"/>
  <c r="K73" i="36"/>
  <c r="I73" i="36"/>
  <c r="I72" i="36" s="1"/>
  <c r="G73" i="36"/>
  <c r="M73" i="36" s="1"/>
  <c r="J72" i="36"/>
  <c r="L71" i="36"/>
  <c r="I71" i="36"/>
  <c r="I70" i="36" s="1"/>
  <c r="G71" i="36"/>
  <c r="M71" i="36" s="1"/>
  <c r="K70" i="36"/>
  <c r="J70" i="36"/>
  <c r="H69" i="36"/>
  <c r="H68" i="36" s="1"/>
  <c r="K67" i="36"/>
  <c r="L67" i="36" s="1"/>
  <c r="J67" i="36"/>
  <c r="I67" i="36"/>
  <c r="I66" i="36" s="1"/>
  <c r="I65" i="36" s="1"/>
  <c r="G67" i="36"/>
  <c r="G66" i="36" s="1"/>
  <c r="G65" i="36" s="1"/>
  <c r="J66" i="36"/>
  <c r="J65" i="36" s="1"/>
  <c r="N64" i="36"/>
  <c r="M64" i="36"/>
  <c r="L64" i="36"/>
  <c r="I64" i="36"/>
  <c r="K63" i="36"/>
  <c r="J63" i="36"/>
  <c r="J62" i="36" s="1"/>
  <c r="I63" i="36"/>
  <c r="I62" i="36" s="1"/>
  <c r="G63" i="36"/>
  <c r="G62" i="36" s="1"/>
  <c r="H61" i="36"/>
  <c r="M58" i="36"/>
  <c r="L58" i="36"/>
  <c r="N58" i="36"/>
  <c r="K57" i="36"/>
  <c r="J57" i="36"/>
  <c r="J56" i="36" s="1"/>
  <c r="I57" i="36"/>
  <c r="I56" i="36" s="1"/>
  <c r="I55" i="36" s="1"/>
  <c r="I54" i="36" s="1"/>
  <c r="L53" i="36"/>
  <c r="I53" i="36"/>
  <c r="I52" i="36" s="1"/>
  <c r="I51" i="36" s="1"/>
  <c r="I50" i="36" s="1"/>
  <c r="I49" i="36" s="1"/>
  <c r="G53" i="36"/>
  <c r="N53" i="36" s="1"/>
  <c r="K52" i="36"/>
  <c r="J52" i="36"/>
  <c r="N48" i="36"/>
  <c r="M48" i="36"/>
  <c r="L48" i="36"/>
  <c r="K47" i="36"/>
  <c r="J47" i="36"/>
  <c r="J46" i="36" s="1"/>
  <c r="I47" i="36"/>
  <c r="I46" i="36" s="1"/>
  <c r="I45" i="36" s="1"/>
  <c r="I44" i="36" s="1"/>
  <c r="I43" i="36" s="1"/>
  <c r="G47" i="36"/>
  <c r="G46" i="36" s="1"/>
  <c r="G44" i="36" s="1"/>
  <c r="G43" i="36" s="1"/>
  <c r="N42" i="36"/>
  <c r="M42" i="36"/>
  <c r="L42" i="36"/>
  <c r="I42" i="36"/>
  <c r="I41" i="36" s="1"/>
  <c r="K41" i="36"/>
  <c r="J41" i="36"/>
  <c r="G41" i="36"/>
  <c r="K40" i="36"/>
  <c r="L40" i="36" s="1"/>
  <c r="J40" i="36"/>
  <c r="I40" i="36"/>
  <c r="I39" i="36" s="1"/>
  <c r="G40" i="36"/>
  <c r="M40" i="36" s="1"/>
  <c r="J39" i="36"/>
  <c r="L35" i="36"/>
  <c r="I35" i="36"/>
  <c r="I34" i="36" s="1"/>
  <c r="I33" i="36" s="1"/>
  <c r="I32" i="36" s="1"/>
  <c r="I31" i="36" s="1"/>
  <c r="G35" i="36"/>
  <c r="G34" i="36" s="1"/>
  <c r="K34" i="36"/>
  <c r="J34" i="36"/>
  <c r="J33" i="36" s="1"/>
  <c r="J32" i="36" s="1"/>
  <c r="J31" i="36" s="1"/>
  <c r="H33" i="36"/>
  <c r="H32" i="36" s="1"/>
  <c r="M28" i="36"/>
  <c r="K28" i="36"/>
  <c r="L28" i="36" s="1"/>
  <c r="I28" i="36"/>
  <c r="I27" i="36" s="1"/>
  <c r="I26" i="36" s="1"/>
  <c r="I25" i="36" s="1"/>
  <c r="I24" i="36" s="1"/>
  <c r="J27" i="36"/>
  <c r="J26" i="36" s="1"/>
  <c r="J25" i="36" s="1"/>
  <c r="J24" i="36" s="1"/>
  <c r="H27" i="36"/>
  <c r="H26" i="36" s="1"/>
  <c r="H25" i="36" s="1"/>
  <c r="H24" i="36" s="1"/>
  <c r="G27" i="36"/>
  <c r="G26" i="36" s="1"/>
  <c r="G25" i="36" s="1"/>
  <c r="G24" i="36" s="1"/>
  <c r="N23" i="36"/>
  <c r="M23" i="36"/>
  <c r="L23" i="36"/>
  <c r="I23" i="36"/>
  <c r="I22" i="36" s="1"/>
  <c r="I21" i="36" s="1"/>
  <c r="I20" i="36" s="1"/>
  <c r="I19" i="36" s="1"/>
  <c r="K22" i="36"/>
  <c r="K21" i="36" s="1"/>
  <c r="K20" i="36" s="1"/>
  <c r="J22" i="36"/>
  <c r="H22" i="36"/>
  <c r="H21" i="36" s="1"/>
  <c r="H20" i="36" s="1"/>
  <c r="H19" i="36" s="1"/>
  <c r="G22" i="36"/>
  <c r="G21" i="36" s="1"/>
  <c r="G20" i="36" s="1"/>
  <c r="G19" i="36" s="1"/>
  <c r="L17" i="36"/>
  <c r="K16" i="36"/>
  <c r="J16" i="36"/>
  <c r="H16" i="36"/>
  <c r="H11" i="36" s="1"/>
  <c r="H10" i="36" s="1"/>
  <c r="G16" i="36"/>
  <c r="L15" i="36"/>
  <c r="I15" i="36"/>
  <c r="I14" i="36" s="1"/>
  <c r="G15" i="36"/>
  <c r="N15" i="36" s="1"/>
  <c r="K14" i="36"/>
  <c r="J14" i="36"/>
  <c r="K13" i="36"/>
  <c r="J13" i="36"/>
  <c r="I13" i="36"/>
  <c r="I12" i="36" s="1"/>
  <c r="G13" i="36"/>
  <c r="G12" i="36" s="1"/>
  <c r="J12" i="36"/>
  <c r="M104" i="36" l="1"/>
  <c r="G72" i="36"/>
  <c r="N621" i="36"/>
  <c r="M116" i="36"/>
  <c r="I122" i="36"/>
  <c r="M177" i="36"/>
  <c r="G575" i="36"/>
  <c r="N575" i="36" s="1"/>
  <c r="M441" i="36"/>
  <c r="M490" i="36"/>
  <c r="N13" i="36"/>
  <c r="M291" i="36"/>
  <c r="G620" i="36"/>
  <c r="N620" i="36" s="1"/>
  <c r="L73" i="36"/>
  <c r="F76" i="22"/>
  <c r="L94" i="36"/>
  <c r="F97" i="22"/>
  <c r="E101" i="23" s="1"/>
  <c r="N182" i="36"/>
  <c r="F180" i="22"/>
  <c r="K667" i="36"/>
  <c r="K666" i="36" s="1"/>
  <c r="L666" i="36" s="1"/>
  <c r="K461" i="36"/>
  <c r="J38" i="36"/>
  <c r="G590" i="36"/>
  <c r="H709" i="36"/>
  <c r="H708" i="36" s="1"/>
  <c r="H707" i="36" s="1"/>
  <c r="H706" i="36" s="1"/>
  <c r="H705" i="36" s="1"/>
  <c r="H515" i="36"/>
  <c r="H514" i="36" s="1"/>
  <c r="G70" i="36"/>
  <c r="G69" i="36" s="1"/>
  <c r="G68" i="36" s="1"/>
  <c r="N107" i="36"/>
  <c r="K148" i="36"/>
  <c r="L148" i="36" s="1"/>
  <c r="G176" i="36"/>
  <c r="G175" i="36" s="1"/>
  <c r="G174" i="36" s="1"/>
  <c r="G173" i="36" s="1"/>
  <c r="M13" i="36"/>
  <c r="G39" i="36"/>
  <c r="G38" i="36" s="1"/>
  <c r="G37" i="36" s="1"/>
  <c r="G36" i="36" s="1"/>
  <c r="M53" i="36"/>
  <c r="M67" i="36"/>
  <c r="J103" i="36"/>
  <c r="J100" i="36" s="1"/>
  <c r="J99" i="36" s="1"/>
  <c r="J98" i="36" s="1"/>
  <c r="K106" i="36"/>
  <c r="L106" i="36" s="1"/>
  <c r="M121" i="36"/>
  <c r="M149" i="36"/>
  <c r="G160" i="36"/>
  <c r="G157" i="36" s="1"/>
  <c r="M171" i="36"/>
  <c r="N227" i="36"/>
  <c r="K233" i="36"/>
  <c r="L233" i="36" s="1"/>
  <c r="G244" i="36"/>
  <c r="M247" i="36"/>
  <c r="L247" i="36"/>
  <c r="M249" i="36"/>
  <c r="M252" i="36"/>
  <c r="G299" i="36"/>
  <c r="M299" i="36" s="1"/>
  <c r="N300" i="36"/>
  <c r="N320" i="36"/>
  <c r="N323" i="36"/>
  <c r="N389" i="36"/>
  <c r="N392" i="36"/>
  <c r="N463" i="36"/>
  <c r="G489" i="36"/>
  <c r="G488" i="36" s="1"/>
  <c r="M488" i="36" s="1"/>
  <c r="M493" i="36"/>
  <c r="M511" i="36"/>
  <c r="M518" i="36"/>
  <c r="M521" i="36"/>
  <c r="M612" i="36"/>
  <c r="G742" i="36"/>
  <c r="N742" i="36" s="1"/>
  <c r="M743" i="36"/>
  <c r="M136" i="36"/>
  <c r="N493" i="36"/>
  <c r="G572" i="36"/>
  <c r="G571" i="36" s="1"/>
  <c r="N571" i="36" s="1"/>
  <c r="G611" i="36"/>
  <c r="G610" i="36" s="1"/>
  <c r="M610" i="36" s="1"/>
  <c r="M615" i="36"/>
  <c r="N697" i="36"/>
  <c r="M711" i="36"/>
  <c r="G14" i="36"/>
  <c r="G11" i="36" s="1"/>
  <c r="G10" i="36" s="1"/>
  <c r="G52" i="36"/>
  <c r="G51" i="36" s="1"/>
  <c r="G50" i="36" s="1"/>
  <c r="G49" i="36" s="1"/>
  <c r="J115" i="36"/>
  <c r="M115" i="36" s="1"/>
  <c r="L116" i="36"/>
  <c r="L123" i="36"/>
  <c r="N136" i="36"/>
  <c r="L227" i="36"/>
  <c r="K293" i="36"/>
  <c r="K292" i="36" s="1"/>
  <c r="J308" i="36"/>
  <c r="J307" i="36" s="1"/>
  <c r="K354" i="36"/>
  <c r="N354" i="36" s="1"/>
  <c r="L355" i="36"/>
  <c r="L376" i="36"/>
  <c r="G391" i="36"/>
  <c r="N391" i="36" s="1"/>
  <c r="N437" i="36"/>
  <c r="G517" i="36"/>
  <c r="G516" i="36" s="1"/>
  <c r="N639" i="36"/>
  <c r="G696" i="36"/>
  <c r="G695" i="36" s="1"/>
  <c r="N695" i="36" s="1"/>
  <c r="G739" i="36"/>
  <c r="G738" i="36" s="1"/>
  <c r="M740" i="36"/>
  <c r="G744" i="36"/>
  <c r="M744" i="36" s="1"/>
  <c r="M745" i="36"/>
  <c r="N102" i="36"/>
  <c r="N123" i="36"/>
  <c r="L149" i="36"/>
  <c r="N234" i="36"/>
  <c r="N294" i="36"/>
  <c r="G319" i="36"/>
  <c r="G318" i="36" s="1"/>
  <c r="M318" i="36" s="1"/>
  <c r="G322" i="36"/>
  <c r="M322" i="36" s="1"/>
  <c r="L369" i="36"/>
  <c r="N376" i="36"/>
  <c r="G388" i="36"/>
  <c r="G387" i="36" s="1"/>
  <c r="G373" i="36" s="1"/>
  <c r="M396" i="36"/>
  <c r="M437" i="36"/>
  <c r="N570" i="36"/>
  <c r="N576" i="36"/>
  <c r="G640" i="36"/>
  <c r="G18" i="36"/>
  <c r="N248" i="36"/>
  <c r="N131" i="36"/>
  <c r="L522" i="36"/>
  <c r="K164" i="36"/>
  <c r="K163" i="36" s="1"/>
  <c r="K162" i="36" s="1"/>
  <c r="H76" i="36"/>
  <c r="H60" i="36" s="1"/>
  <c r="J80" i="36"/>
  <c r="J76" i="36" s="1"/>
  <c r="H91" i="36"/>
  <c r="H90" i="36" s="1"/>
  <c r="M682" i="36"/>
  <c r="M684" i="36"/>
  <c r="M566" i="36"/>
  <c r="G321" i="36"/>
  <c r="N321" i="36" s="1"/>
  <c r="H190" i="36"/>
  <c r="I147" i="36"/>
  <c r="M81" i="36"/>
  <c r="M217" i="36"/>
  <c r="L425" i="36"/>
  <c r="M559" i="36"/>
  <c r="N605" i="36"/>
  <c r="K741" i="36"/>
  <c r="I119" i="36"/>
  <c r="L399" i="36"/>
  <c r="N617" i="36"/>
  <c r="H640" i="36"/>
  <c r="H635" i="36" s="1"/>
  <c r="H634" i="36" s="1"/>
  <c r="H633" i="36" s="1"/>
  <c r="M642" i="36"/>
  <c r="M651" i="36"/>
  <c r="H667" i="36"/>
  <c r="H666" i="36" s="1"/>
  <c r="H661" i="36" s="1"/>
  <c r="H660" i="36" s="1"/>
  <c r="H659" i="36" s="1"/>
  <c r="L672" i="36"/>
  <c r="M693" i="36"/>
  <c r="N103" i="36"/>
  <c r="N176" i="36"/>
  <c r="L328" i="36"/>
  <c r="I554" i="36"/>
  <c r="L63" i="36"/>
  <c r="H335" i="36"/>
  <c r="H334" i="36" s="1"/>
  <c r="H333" i="36" s="1"/>
  <c r="L378" i="36"/>
  <c r="M399" i="36"/>
  <c r="N527" i="36"/>
  <c r="G650" i="36"/>
  <c r="N650" i="36" s="1"/>
  <c r="L668" i="36"/>
  <c r="G667" i="36"/>
  <c r="M667" i="36" s="1"/>
  <c r="I741" i="36"/>
  <c r="I737" i="36" s="1"/>
  <c r="I736" i="36" s="1"/>
  <c r="I735" i="36" s="1"/>
  <c r="I734" i="36" s="1"/>
  <c r="L497" i="36"/>
  <c r="N446" i="36"/>
  <c r="L338" i="36"/>
  <c r="M338" i="36"/>
  <c r="M165" i="36"/>
  <c r="M166" i="36"/>
  <c r="N167" i="36"/>
  <c r="I152" i="36"/>
  <c r="L145" i="36"/>
  <c r="I134" i="36"/>
  <c r="N120" i="36"/>
  <c r="K62" i="36"/>
  <c r="L62" i="36" s="1"/>
  <c r="J157" i="36"/>
  <c r="M375" i="36"/>
  <c r="K377" i="36"/>
  <c r="L377" i="36" s="1"/>
  <c r="N425" i="36"/>
  <c r="L473" i="36"/>
  <c r="M600" i="36"/>
  <c r="M670" i="36"/>
  <c r="M675" i="36"/>
  <c r="H688" i="36"/>
  <c r="N96" i="36"/>
  <c r="L158" i="36"/>
  <c r="H383" i="36"/>
  <c r="M395" i="36"/>
  <c r="G61" i="36"/>
  <c r="G119" i="36"/>
  <c r="G164" i="36"/>
  <c r="G163" i="36" s="1"/>
  <c r="G162" i="36" s="1"/>
  <c r="G773" i="36" s="1"/>
  <c r="H203" i="36"/>
  <c r="H202" i="36" s="1"/>
  <c r="H201" i="36" s="1"/>
  <c r="L408" i="36"/>
  <c r="H444" i="36"/>
  <c r="H443" i="36" s="1"/>
  <c r="H442" i="36" s="1"/>
  <c r="K526" i="36"/>
  <c r="N526" i="36" s="1"/>
  <c r="M538" i="36"/>
  <c r="I640" i="36"/>
  <c r="I635" i="36" s="1"/>
  <c r="I634" i="36" s="1"/>
  <c r="I633" i="36" s="1"/>
  <c r="J688" i="36"/>
  <c r="J680" i="36" s="1"/>
  <c r="L710" i="36"/>
  <c r="H717" i="36"/>
  <c r="H716" i="36" s="1"/>
  <c r="H715" i="36" s="1"/>
  <c r="H714" i="36" s="1"/>
  <c r="L16" i="36"/>
  <c r="M143" i="36"/>
  <c r="L407" i="36"/>
  <c r="G709" i="36"/>
  <c r="G708" i="36" s="1"/>
  <c r="G707" i="36" s="1"/>
  <c r="G706" i="36" s="1"/>
  <c r="G705" i="36" s="1"/>
  <c r="K51" i="36"/>
  <c r="G142" i="36"/>
  <c r="H164" i="36"/>
  <c r="H163" i="36" s="1"/>
  <c r="H162" i="36" s="1"/>
  <c r="G216" i="36"/>
  <c r="G215" i="36" s="1"/>
  <c r="G214" i="36" s="1"/>
  <c r="G793" i="36" s="1"/>
  <c r="L226" i="36"/>
  <c r="L248" i="36"/>
  <c r="N260" i="36"/>
  <c r="I314" i="36"/>
  <c r="I313" i="36" s="1"/>
  <c r="I304" i="36" s="1"/>
  <c r="I803" i="36" s="1"/>
  <c r="H326" i="36"/>
  <c r="H325" i="36" s="1"/>
  <c r="H324" i="36" s="1"/>
  <c r="N331" i="36"/>
  <c r="L381" i="36"/>
  <c r="L388" i="36"/>
  <c r="L431" i="36"/>
  <c r="I445" i="36"/>
  <c r="I444" i="36" s="1"/>
  <c r="I443" i="36" s="1"/>
  <c r="I442" i="36" s="1"/>
  <c r="N452" i="36"/>
  <c r="L455" i="36"/>
  <c r="H460" i="36"/>
  <c r="H484" i="36"/>
  <c r="N491" i="36"/>
  <c r="M568" i="36"/>
  <c r="M569" i="36"/>
  <c r="N598" i="36"/>
  <c r="M624" i="36"/>
  <c r="J661" i="36"/>
  <c r="N668" i="36"/>
  <c r="H681" i="36"/>
  <c r="I681" i="36"/>
  <c r="N689" i="36"/>
  <c r="M703" i="36"/>
  <c r="L703" i="36"/>
  <c r="G721" i="36"/>
  <c r="L746" i="36"/>
  <c r="I38" i="36"/>
  <c r="I37" i="36" s="1"/>
  <c r="I36" i="36" s="1"/>
  <c r="M74" i="36"/>
  <c r="M112" i="36"/>
  <c r="K157" i="36"/>
  <c r="L157" i="36" s="1"/>
  <c r="K185" i="36"/>
  <c r="K184" i="36" s="1"/>
  <c r="L194" i="36"/>
  <c r="H288" i="36"/>
  <c r="H287" i="36" s="1"/>
  <c r="H314" i="36"/>
  <c r="H313" i="36" s="1"/>
  <c r="N328" i="36"/>
  <c r="N342" i="36"/>
  <c r="M357" i="36"/>
  <c r="M405" i="36"/>
  <c r="J445" i="36"/>
  <c r="J444" i="36" s="1"/>
  <c r="M475" i="36"/>
  <c r="M524" i="36"/>
  <c r="M565" i="36"/>
  <c r="N566" i="36"/>
  <c r="N592" i="36"/>
  <c r="N604" i="36"/>
  <c r="N624" i="36"/>
  <c r="M676" i="36"/>
  <c r="M22" i="36"/>
  <c r="L52" i="36"/>
  <c r="L188" i="36"/>
  <c r="J243" i="36"/>
  <c r="N610" i="36"/>
  <c r="N616" i="36"/>
  <c r="N712" i="36"/>
  <c r="H133" i="36"/>
  <c r="H110" i="36" s="1"/>
  <c r="N217" i="36"/>
  <c r="H305" i="36"/>
  <c r="L581" i="36"/>
  <c r="L757" i="36"/>
  <c r="H741" i="36"/>
  <c r="H737" i="36" s="1"/>
  <c r="H736" i="36" s="1"/>
  <c r="H735" i="36" s="1"/>
  <c r="H734" i="36" s="1"/>
  <c r="L739" i="36"/>
  <c r="H698" i="36"/>
  <c r="N710" i="36"/>
  <c r="N682" i="36"/>
  <c r="J674" i="36"/>
  <c r="M674" i="36" s="1"/>
  <c r="J660" i="36"/>
  <c r="J659" i="36" s="1"/>
  <c r="G534" i="36"/>
  <c r="M542" i="36"/>
  <c r="M492" i="36"/>
  <c r="J491" i="36"/>
  <c r="M491" i="36" s="1"/>
  <c r="N492" i="36"/>
  <c r="L492" i="36"/>
  <c r="N489" i="36"/>
  <c r="L467" i="36"/>
  <c r="N462" i="36"/>
  <c r="G461" i="36"/>
  <c r="N461" i="36" s="1"/>
  <c r="M342" i="36"/>
  <c r="G341" i="36"/>
  <c r="G340" i="36" s="1"/>
  <c r="G335" i="36" s="1"/>
  <c r="G787" i="36" s="1"/>
  <c r="M296" i="36"/>
  <c r="M256" i="36"/>
  <c r="M257" i="36"/>
  <c r="N226" i="36"/>
  <c r="M226" i="36"/>
  <c r="L211" i="36"/>
  <c r="L208" i="36"/>
  <c r="G191" i="36"/>
  <c r="G190" i="36" s="1"/>
  <c r="G192" i="36"/>
  <c r="N192" i="36" s="1"/>
  <c r="N194" i="36"/>
  <c r="G185" i="36"/>
  <c r="G184" i="36" s="1"/>
  <c r="G186" i="36"/>
  <c r="N186" i="36" s="1"/>
  <c r="G172" i="36"/>
  <c r="G774" i="36" s="1"/>
  <c r="L182" i="36"/>
  <c r="I172" i="36"/>
  <c r="I774" i="36" s="1"/>
  <c r="L176" i="36"/>
  <c r="I164" i="36"/>
  <c r="I163" i="36" s="1"/>
  <c r="I162" i="36" s="1"/>
  <c r="I773" i="36" s="1"/>
  <c r="N170" i="36"/>
  <c r="M170" i="36"/>
  <c r="L160" i="36"/>
  <c r="M158" i="36"/>
  <c r="N153" i="36"/>
  <c r="M150" i="36"/>
  <c r="I142" i="36"/>
  <c r="N143" i="36"/>
  <c r="J142" i="36"/>
  <c r="M135" i="36"/>
  <c r="I114" i="36"/>
  <c r="N117" i="36"/>
  <c r="N112" i="36"/>
  <c r="L112" i="36"/>
  <c r="N108" i="36"/>
  <c r="I91" i="36"/>
  <c r="I90" i="36" s="1"/>
  <c r="I795" i="36" s="1"/>
  <c r="I76" i="36"/>
  <c r="N81" i="36"/>
  <c r="J69" i="36"/>
  <c r="J68" i="36" s="1"/>
  <c r="L70" i="36"/>
  <c r="M47" i="36"/>
  <c r="M46" i="36"/>
  <c r="L41" i="36"/>
  <c r="I18" i="36"/>
  <c r="N22" i="36"/>
  <c r="I11" i="36"/>
  <c r="I10" i="36" s="1"/>
  <c r="I9" i="36" s="1"/>
  <c r="K19" i="36"/>
  <c r="N19" i="36" s="1"/>
  <c r="N20" i="36"/>
  <c r="H172" i="36"/>
  <c r="K173" i="36"/>
  <c r="N173" i="36" s="1"/>
  <c r="K335" i="36"/>
  <c r="N356" i="36"/>
  <c r="L356" i="36"/>
  <c r="N41" i="36"/>
  <c r="L34" i="36"/>
  <c r="M63" i="36"/>
  <c r="N73" i="36"/>
  <c r="L83" i="36"/>
  <c r="K93" i="36"/>
  <c r="L93" i="36" s="1"/>
  <c r="M120" i="36"/>
  <c r="L120" i="36"/>
  <c r="N145" i="36"/>
  <c r="G152" i="36"/>
  <c r="I157" i="36"/>
  <c r="M167" i="36"/>
  <c r="L167" i="36"/>
  <c r="H186" i="36"/>
  <c r="H192" i="36"/>
  <c r="M12" i="36"/>
  <c r="L14" i="36"/>
  <c r="J21" i="36"/>
  <c r="L21" i="36" s="1"/>
  <c r="M24" i="36"/>
  <c r="M25" i="36"/>
  <c r="M26" i="36"/>
  <c r="M27" i="36"/>
  <c r="M41" i="36"/>
  <c r="N47" i="36"/>
  <c r="N63" i="36"/>
  <c r="M72" i="36"/>
  <c r="G80" i="36"/>
  <c r="G76" i="36" s="1"/>
  <c r="N94" i="36"/>
  <c r="L101" i="36"/>
  <c r="L108" i="36"/>
  <c r="M155" i="36"/>
  <c r="M176" i="36"/>
  <c r="N188" i="36"/>
  <c r="M188" i="36"/>
  <c r="M194" i="36"/>
  <c r="M199" i="36"/>
  <c r="K215" i="36"/>
  <c r="H242" i="36"/>
  <c r="H241" i="36" s="1"/>
  <c r="H240" i="36" s="1"/>
  <c r="N257" i="36"/>
  <c r="N270" i="36"/>
  <c r="L270" i="36"/>
  <c r="K269" i="36"/>
  <c r="L269" i="36" s="1"/>
  <c r="I288" i="36"/>
  <c r="I287" i="36" s="1"/>
  <c r="I802" i="36" s="1"/>
  <c r="M311" i="36"/>
  <c r="G310" i="36"/>
  <c r="M310" i="36" s="1"/>
  <c r="M316" i="36"/>
  <c r="M356" i="36"/>
  <c r="G404" i="36"/>
  <c r="G403" i="36" s="1"/>
  <c r="G402" i="36" s="1"/>
  <c r="G401" i="36" s="1"/>
  <c r="H427" i="36"/>
  <c r="M455" i="36"/>
  <c r="J461" i="36"/>
  <c r="L461" i="36" s="1"/>
  <c r="M462" i="36"/>
  <c r="L462" i="36"/>
  <c r="L150" i="36"/>
  <c r="L170" i="36"/>
  <c r="L199" i="36"/>
  <c r="N199" i="36"/>
  <c r="I274" i="36"/>
  <c r="I273" i="36" s="1"/>
  <c r="L302" i="36"/>
  <c r="M302" i="36"/>
  <c r="N338" i="36"/>
  <c r="N357" i="36"/>
  <c r="H393" i="36"/>
  <c r="M452" i="36"/>
  <c r="N464" i="36"/>
  <c r="M502" i="36"/>
  <c r="J501" i="36"/>
  <c r="I61" i="36"/>
  <c r="K80" i="36"/>
  <c r="M103" i="36"/>
  <c r="M131" i="36"/>
  <c r="M140" i="36"/>
  <c r="N169" i="36"/>
  <c r="H219" i="36"/>
  <c r="H213" i="36" s="1"/>
  <c r="M248" i="36"/>
  <c r="N256" i="36"/>
  <c r="L256" i="36"/>
  <c r="L290" i="36"/>
  <c r="N290" i="36"/>
  <c r="M315" i="36"/>
  <c r="M446" i="36"/>
  <c r="M464" i="36"/>
  <c r="N21" i="36"/>
  <c r="K72" i="36"/>
  <c r="M62" i="36"/>
  <c r="N70" i="36"/>
  <c r="L96" i="36"/>
  <c r="M108" i="36"/>
  <c r="G130" i="36"/>
  <c r="N130" i="36" s="1"/>
  <c r="L140" i="36"/>
  <c r="G147" i="36"/>
  <c r="N160" i="36"/>
  <c r="N175" i="36"/>
  <c r="M181" i="36"/>
  <c r="N187" i="36"/>
  <c r="I203" i="36"/>
  <c r="I202" i="36" s="1"/>
  <c r="I796" i="36" s="1"/>
  <c r="L222" i="36"/>
  <c r="L282" i="36"/>
  <c r="J314" i="36"/>
  <c r="J313" i="36" s="1"/>
  <c r="L347" i="36"/>
  <c r="N347" i="36"/>
  <c r="L368" i="36"/>
  <c r="K367" i="36"/>
  <c r="K380" i="36"/>
  <c r="L380" i="36" s="1"/>
  <c r="M451" i="36"/>
  <c r="M467" i="36"/>
  <c r="G466" i="36"/>
  <c r="N193" i="36"/>
  <c r="L217" i="36"/>
  <c r="I219" i="36"/>
  <c r="I798" i="36" s="1"/>
  <c r="M244" i="36"/>
  <c r="L257" i="36"/>
  <c r="M295" i="36"/>
  <c r="G326" i="36"/>
  <c r="G325" i="36" s="1"/>
  <c r="G324" i="36" s="1"/>
  <c r="I335" i="36"/>
  <c r="I787" i="36" s="1"/>
  <c r="L341" i="36"/>
  <c r="H352" i="36"/>
  <c r="H351" i="36" s="1"/>
  <c r="H350" i="36" s="1"/>
  <c r="H349" i="36" s="1"/>
  <c r="I352" i="36"/>
  <c r="I351" i="36" s="1"/>
  <c r="I373" i="36"/>
  <c r="I372" i="36" s="1"/>
  <c r="I371" i="36" s="1"/>
  <c r="I370" i="36" s="1"/>
  <c r="I779" i="36" s="1"/>
  <c r="H373" i="36"/>
  <c r="H401" i="36"/>
  <c r="N431" i="36"/>
  <c r="M472" i="36"/>
  <c r="M476" i="36"/>
  <c r="L482" i="36"/>
  <c r="L495" i="36"/>
  <c r="I484" i="36"/>
  <c r="I519" i="36"/>
  <c r="I515" i="36" s="1"/>
  <c r="I514" i="36" s="1"/>
  <c r="N524" i="36"/>
  <c r="J537" i="36"/>
  <c r="J536" i="36" s="1"/>
  <c r="N538" i="36"/>
  <c r="J555" i="36"/>
  <c r="M556" i="36"/>
  <c r="H603" i="36"/>
  <c r="L469" i="36"/>
  <c r="H513" i="36"/>
  <c r="H512" i="36" s="1"/>
  <c r="L464" i="36"/>
  <c r="K466" i="36"/>
  <c r="N467" i="36"/>
  <c r="N473" i="36"/>
  <c r="G484" i="36"/>
  <c r="M484" i="36" s="1"/>
  <c r="M503" i="36"/>
  <c r="K516" i="36"/>
  <c r="N613" i="36"/>
  <c r="G622" i="36"/>
  <c r="N622" i="36" s="1"/>
  <c r="N623" i="36"/>
  <c r="L722" i="36"/>
  <c r="K721" i="36"/>
  <c r="K717" i="36" s="1"/>
  <c r="K597" i="36"/>
  <c r="N597" i="36" s="1"/>
  <c r="L651" i="36"/>
  <c r="N672" i="36"/>
  <c r="N703" i="36"/>
  <c r="J709" i="36"/>
  <c r="N719" i="36"/>
  <c r="N732" i="36"/>
  <c r="N739" i="36"/>
  <c r="L742" i="36"/>
  <c r="H554" i="36"/>
  <c r="H590" i="36"/>
  <c r="N614" i="36"/>
  <c r="J623" i="36"/>
  <c r="M636" i="36"/>
  <c r="M637" i="36"/>
  <c r="M638" i="36"/>
  <c r="N642" i="36"/>
  <c r="M648" i="36"/>
  <c r="I667" i="36"/>
  <c r="I666" i="36" s="1"/>
  <c r="I661" i="36" s="1"/>
  <c r="I660" i="36" s="1"/>
  <c r="I659" i="36" s="1"/>
  <c r="N675" i="36"/>
  <c r="M691" i="36"/>
  <c r="G688" i="36"/>
  <c r="L693" i="36"/>
  <c r="H721" i="36"/>
  <c r="L723" i="36"/>
  <c r="G731" i="36"/>
  <c r="N731" i="36" s="1"/>
  <c r="M739" i="36"/>
  <c r="J741" i="36"/>
  <c r="J737" i="36" s="1"/>
  <c r="L744" i="36"/>
  <c r="M592" i="36"/>
  <c r="I603" i="36"/>
  <c r="L624" i="36"/>
  <c r="J641" i="36"/>
  <c r="M641" i="36" s="1"/>
  <c r="M663" i="36"/>
  <c r="L682" i="36"/>
  <c r="G681" i="36"/>
  <c r="M681" i="36" s="1"/>
  <c r="I698" i="36"/>
  <c r="L712" i="36"/>
  <c r="M738" i="36"/>
  <c r="L752" i="36"/>
  <c r="L498" i="36"/>
  <c r="I534" i="36"/>
  <c r="J541" i="36"/>
  <c r="J540" i="36" s="1"/>
  <c r="M540" i="36" s="1"/>
  <c r="J571" i="36"/>
  <c r="M571" i="36" s="1"/>
  <c r="K580" i="36"/>
  <c r="L580" i="36" s="1"/>
  <c r="I590" i="36"/>
  <c r="K641" i="36"/>
  <c r="N641" i="36" s="1"/>
  <c r="J650" i="36"/>
  <c r="M664" i="36"/>
  <c r="N670" i="36"/>
  <c r="K674" i="36"/>
  <c r="N674" i="36" s="1"/>
  <c r="N676" i="36"/>
  <c r="I688" i="36"/>
  <c r="G702" i="36"/>
  <c r="K702" i="36"/>
  <c r="K709" i="36"/>
  <c r="K708" i="36" s="1"/>
  <c r="K707" i="36" s="1"/>
  <c r="K706" i="36" s="1"/>
  <c r="K705" i="36" s="1"/>
  <c r="G718" i="36"/>
  <c r="K738" i="36"/>
  <c r="H274" i="36"/>
  <c r="H273" i="36" s="1"/>
  <c r="M122" i="36"/>
  <c r="J119" i="36"/>
  <c r="M34" i="36"/>
  <c r="G33" i="36"/>
  <c r="G32" i="36" s="1"/>
  <c r="G31" i="36" s="1"/>
  <c r="M31" i="36" s="1"/>
  <c r="J37" i="36"/>
  <c r="M65" i="36"/>
  <c r="J61" i="36"/>
  <c r="L77" i="36"/>
  <c r="L130" i="36"/>
  <c r="I69" i="36"/>
  <c r="I68" i="36" s="1"/>
  <c r="M83" i="36"/>
  <c r="M95" i="36"/>
  <c r="J91" i="36"/>
  <c r="I100" i="36"/>
  <c r="I99" i="36" s="1"/>
  <c r="I98" i="36" s="1"/>
  <c r="I799" i="36" s="1"/>
  <c r="J11" i="36"/>
  <c r="K12" i="36"/>
  <c r="L13" i="36"/>
  <c r="K27" i="36"/>
  <c r="N28" i="36"/>
  <c r="N34" i="36"/>
  <c r="M35" i="36"/>
  <c r="N40" i="36"/>
  <c r="J45" i="36"/>
  <c r="K46" i="36"/>
  <c r="L47" i="36"/>
  <c r="M52" i="36"/>
  <c r="J55" i="36"/>
  <c r="K56" i="36"/>
  <c r="G57" i="36"/>
  <c r="L57" i="36"/>
  <c r="M66" i="36"/>
  <c r="N67" i="36"/>
  <c r="N71" i="36"/>
  <c r="L81" i="36"/>
  <c r="N83" i="36"/>
  <c r="M84" i="36"/>
  <c r="J88" i="36"/>
  <c r="N88" i="36"/>
  <c r="M89" i="36"/>
  <c r="M96" i="36"/>
  <c r="N116" i="36"/>
  <c r="M123" i="36"/>
  <c r="L131" i="36"/>
  <c r="L136" i="36"/>
  <c r="K135" i="36"/>
  <c r="N138" i="36"/>
  <c r="J139" i="36"/>
  <c r="M139" i="36" s="1"/>
  <c r="N140" i="36"/>
  <c r="K142" i="36"/>
  <c r="M148" i="36"/>
  <c r="J147" i="36"/>
  <c r="N222" i="36"/>
  <c r="G221" i="36"/>
  <c r="G220" i="36" s="1"/>
  <c r="G219" i="36" s="1"/>
  <c r="G232" i="36"/>
  <c r="G231" i="36" s="1"/>
  <c r="G230" i="36" s="1"/>
  <c r="G229" i="36" s="1"/>
  <c r="L244" i="36"/>
  <c r="K243" i="36"/>
  <c r="N244" i="36"/>
  <c r="N251" i="36"/>
  <c r="G250" i="36"/>
  <c r="N250" i="36" s="1"/>
  <c r="M15" i="36"/>
  <c r="L22" i="36"/>
  <c r="N35" i="36"/>
  <c r="N84" i="36"/>
  <c r="M94" i="36"/>
  <c r="M102" i="36"/>
  <c r="M107" i="36"/>
  <c r="L207" i="36"/>
  <c r="K33" i="36"/>
  <c r="K39" i="36"/>
  <c r="G45" i="36"/>
  <c r="J51" i="36"/>
  <c r="K66" i="36"/>
  <c r="L78" i="36"/>
  <c r="K87" i="36"/>
  <c r="G93" i="36"/>
  <c r="G92" i="36" s="1"/>
  <c r="G91" i="36" s="1"/>
  <c r="G90" i="36" s="1"/>
  <c r="K100" i="36"/>
  <c r="G101" i="36"/>
  <c r="G100" i="36" s="1"/>
  <c r="G99" i="36" s="1"/>
  <c r="G98" i="36" s="1"/>
  <c r="G106" i="36"/>
  <c r="G105" i="36" s="1"/>
  <c r="M105" i="36" s="1"/>
  <c r="K115" i="36"/>
  <c r="L118" i="36"/>
  <c r="J134" i="36"/>
  <c r="L137" i="36"/>
  <c r="M145" i="36"/>
  <c r="M153" i="36"/>
  <c r="J152" i="36"/>
  <c r="N158" i="36"/>
  <c r="I186" i="36"/>
  <c r="I185" i="36"/>
  <c r="I184" i="36" s="1"/>
  <c r="I190" i="36"/>
  <c r="M222" i="36"/>
  <c r="M233" i="36"/>
  <c r="M251" i="36"/>
  <c r="K95" i="36"/>
  <c r="K111" i="36"/>
  <c r="J117" i="36"/>
  <c r="K122" i="36"/>
  <c r="G137" i="36"/>
  <c r="G134" i="36" s="1"/>
  <c r="N139" i="36"/>
  <c r="L143" i="36"/>
  <c r="L153" i="36"/>
  <c r="N155" i="36"/>
  <c r="L155" i="36"/>
  <c r="N164" i="36"/>
  <c r="N165" i="36"/>
  <c r="L165" i="36"/>
  <c r="N166" i="36"/>
  <c r="L166" i="36"/>
  <c r="J179" i="36"/>
  <c r="M180" i="36"/>
  <c r="I793" i="36"/>
  <c r="I243" i="36"/>
  <c r="I242" i="36" s="1"/>
  <c r="I241" i="36" s="1"/>
  <c r="N150" i="36"/>
  <c r="J198" i="36"/>
  <c r="K204" i="36"/>
  <c r="G205" i="36"/>
  <c r="G204" i="36" s="1"/>
  <c r="G203" i="36" s="1"/>
  <c r="G202" i="36" s="1"/>
  <c r="L205" i="36"/>
  <c r="J221" i="36"/>
  <c r="N223" i="36"/>
  <c r="J225" i="36"/>
  <c r="J232" i="36"/>
  <c r="M234" i="36"/>
  <c r="G246" i="36"/>
  <c r="G243" i="36" s="1"/>
  <c r="L246" i="36"/>
  <c r="N252" i="36"/>
  <c r="L260" i="36"/>
  <c r="J268" i="36"/>
  <c r="M268" i="36" s="1"/>
  <c r="M269" i="36"/>
  <c r="J275" i="36"/>
  <c r="M276" i="36"/>
  <c r="J292" i="36"/>
  <c r="K296" i="36"/>
  <c r="L297" i="36"/>
  <c r="N297" i="36"/>
  <c r="M308" i="36"/>
  <c r="M327" i="36"/>
  <c r="J330" i="36"/>
  <c r="M331" i="36"/>
  <c r="G346" i="36"/>
  <c r="G345" i="36"/>
  <c r="G344" i="36" s="1"/>
  <c r="G797" i="36" s="1"/>
  <c r="J353" i="36"/>
  <c r="M354" i="36"/>
  <c r="I789" i="36"/>
  <c r="I427" i="36"/>
  <c r="K147" i="36"/>
  <c r="K152" i="36"/>
  <c r="M159" i="36"/>
  <c r="M161" i="36"/>
  <c r="J169" i="36"/>
  <c r="J175" i="36"/>
  <c r="K181" i="36"/>
  <c r="J187" i="36"/>
  <c r="J193" i="36"/>
  <c r="K198" i="36"/>
  <c r="J216" i="36"/>
  <c r="K221" i="36"/>
  <c r="K225" i="36"/>
  <c r="L245" i="36"/>
  <c r="J250" i="36"/>
  <c r="L251" i="36"/>
  <c r="L276" i="36"/>
  <c r="K278" i="36"/>
  <c r="L278" i="36" s="1"/>
  <c r="L279" i="36"/>
  <c r="M281" i="36"/>
  <c r="L293" i="36"/>
  <c r="N302" i="36"/>
  <c r="G301" i="36"/>
  <c r="N301" i="36" s="1"/>
  <c r="L309" i="36"/>
  <c r="K308" i="36"/>
  <c r="N309" i="36"/>
  <c r="L327" i="36"/>
  <c r="L331" i="36"/>
  <c r="J346" i="36"/>
  <c r="M347" i="36"/>
  <c r="L354" i="36"/>
  <c r="L375" i="36"/>
  <c r="K374" i="36"/>
  <c r="N375" i="36"/>
  <c r="M394" i="36"/>
  <c r="J393" i="36"/>
  <c r="M206" i="36"/>
  <c r="J210" i="36"/>
  <c r="J203" i="36" s="1"/>
  <c r="N276" i="36"/>
  <c r="L281" i="36"/>
  <c r="N281" i="36"/>
  <c r="J289" i="36"/>
  <c r="M290" i="36"/>
  <c r="L316" i="36"/>
  <c r="K315" i="36"/>
  <c r="N316" i="36"/>
  <c r="N327" i="36"/>
  <c r="M336" i="36"/>
  <c r="M337" i="36"/>
  <c r="J259" i="36"/>
  <c r="M259" i="36" s="1"/>
  <c r="M260" i="36"/>
  <c r="G274" i="36"/>
  <c r="G273" i="36" s="1"/>
  <c r="N282" i="36"/>
  <c r="M282" i="36"/>
  <c r="L336" i="36"/>
  <c r="N336" i="36"/>
  <c r="L337" i="36"/>
  <c r="N337" i="36"/>
  <c r="J340" i="36"/>
  <c r="K253" i="36"/>
  <c r="G254" i="36"/>
  <c r="N254" i="36" s="1"/>
  <c r="L254" i="36"/>
  <c r="J301" i="36"/>
  <c r="K319" i="36"/>
  <c r="L342" i="36"/>
  <c r="L357" i="36"/>
  <c r="M364" i="36"/>
  <c r="M365" i="36"/>
  <c r="K385" i="36"/>
  <c r="N386" i="36"/>
  <c r="L391" i="36"/>
  <c r="N399" i="36"/>
  <c r="J403" i="36"/>
  <c r="J424" i="36"/>
  <c r="M425" i="36"/>
  <c r="M431" i="36"/>
  <c r="J435" i="36"/>
  <c r="M436" i="36"/>
  <c r="L436" i="36"/>
  <c r="K435" i="36"/>
  <c r="L476" i="36"/>
  <c r="K475" i="36"/>
  <c r="N476" i="36"/>
  <c r="N522" i="36"/>
  <c r="G519" i="36"/>
  <c r="G363" i="36"/>
  <c r="J374" i="36"/>
  <c r="M374" i="36" s="1"/>
  <c r="G385" i="36"/>
  <c r="M388" i="36"/>
  <c r="J390" i="36"/>
  <c r="L395" i="36"/>
  <c r="K394" i="36"/>
  <c r="K398" i="36"/>
  <c r="N417" i="36"/>
  <c r="G424" i="36"/>
  <c r="G423" i="36" s="1"/>
  <c r="G422" i="36" s="1"/>
  <c r="G430" i="36"/>
  <c r="G429" i="36" s="1"/>
  <c r="G428" i="36" s="1"/>
  <c r="N436" i="36"/>
  <c r="M563" i="36"/>
  <c r="G562" i="36"/>
  <c r="M562" i="36" s="1"/>
  <c r="L563" i="36"/>
  <c r="N563" i="36"/>
  <c r="K562" i="36"/>
  <c r="M255" i="36"/>
  <c r="M270" i="36"/>
  <c r="N277" i="36"/>
  <c r="N291" i="36"/>
  <c r="M294" i="36"/>
  <c r="M328" i="36"/>
  <c r="N348" i="36"/>
  <c r="M355" i="36"/>
  <c r="L405" i="36"/>
  <c r="K404" i="36"/>
  <c r="N405" i="36"/>
  <c r="N416" i="36"/>
  <c r="K415" i="36"/>
  <c r="J416" i="36"/>
  <c r="L416" i="36" s="1"/>
  <c r="M417" i="36"/>
  <c r="L420" i="36"/>
  <c r="K419" i="36"/>
  <c r="L448" i="36"/>
  <c r="L454" i="36"/>
  <c r="L488" i="36"/>
  <c r="N488" i="36"/>
  <c r="L591" i="36"/>
  <c r="N591" i="36"/>
  <c r="M591" i="36"/>
  <c r="N595" i="36"/>
  <c r="K594" i="36"/>
  <c r="M597" i="36"/>
  <c r="L613" i="36"/>
  <c r="M613" i="36"/>
  <c r="K259" i="36"/>
  <c r="K275" i="36"/>
  <c r="K289" i="36"/>
  <c r="G293" i="36"/>
  <c r="K330" i="36"/>
  <c r="K346" i="36"/>
  <c r="K353" i="36"/>
  <c r="K387" i="36"/>
  <c r="N395" i="36"/>
  <c r="N396" i="36"/>
  <c r="G398" i="36"/>
  <c r="M398" i="36" s="1"/>
  <c r="L411" i="36"/>
  <c r="K410" i="36"/>
  <c r="L410" i="36" s="1"/>
  <c r="K423" i="36"/>
  <c r="K429" i="36"/>
  <c r="N472" i="36"/>
  <c r="L472" i="36"/>
  <c r="L527" i="36"/>
  <c r="J526" i="36"/>
  <c r="M526" i="36" s="1"/>
  <c r="M527" i="36"/>
  <c r="K556" i="36"/>
  <c r="L557" i="36"/>
  <c r="N557" i="36"/>
  <c r="L605" i="36"/>
  <c r="M605" i="36"/>
  <c r="J604" i="36"/>
  <c r="J603" i="36" s="1"/>
  <c r="G807" i="36"/>
  <c r="M449" i="36"/>
  <c r="N449" i="36"/>
  <c r="I461" i="36"/>
  <c r="I460" i="36" s="1"/>
  <c r="L517" i="36"/>
  <c r="J516" i="36"/>
  <c r="L521" i="36"/>
  <c r="K520" i="36"/>
  <c r="N521" i="36"/>
  <c r="M522" i="36"/>
  <c r="K547" i="36"/>
  <c r="L548" i="36"/>
  <c r="L559" i="36"/>
  <c r="N559" i="36"/>
  <c r="I561" i="36"/>
  <c r="H561" i="36"/>
  <c r="L596" i="36"/>
  <c r="M596" i="36"/>
  <c r="J595" i="36"/>
  <c r="L598" i="36"/>
  <c r="M598" i="36"/>
  <c r="M609" i="36"/>
  <c r="G608" i="36"/>
  <c r="N608" i="36" s="1"/>
  <c r="N609" i="36"/>
  <c r="J716" i="36"/>
  <c r="J430" i="36"/>
  <c r="K439" i="36"/>
  <c r="G440" i="36"/>
  <c r="N440" i="36" s="1"/>
  <c r="L440" i="36"/>
  <c r="L446" i="36"/>
  <c r="L452" i="36"/>
  <c r="M456" i="36"/>
  <c r="N456" i="36"/>
  <c r="M473" i="36"/>
  <c r="L479" i="36"/>
  <c r="K478" i="36"/>
  <c r="L478" i="36" s="1"/>
  <c r="K485" i="36"/>
  <c r="L486" i="36"/>
  <c r="J494" i="36"/>
  <c r="L494" i="36" s="1"/>
  <c r="L503" i="36"/>
  <c r="K502" i="36"/>
  <c r="N503" i="36"/>
  <c r="M537" i="36"/>
  <c r="L542" i="36"/>
  <c r="K541" i="36"/>
  <c r="N542" i="36"/>
  <c r="M560" i="36"/>
  <c r="N560" i="36"/>
  <c r="M575" i="36"/>
  <c r="G574" i="36"/>
  <c r="L616" i="36"/>
  <c r="M616" i="36"/>
  <c r="L629" i="36"/>
  <c r="J628" i="36"/>
  <c r="J627" i="36" s="1"/>
  <c r="J626" i="36" s="1"/>
  <c r="M631" i="36"/>
  <c r="G630" i="36"/>
  <c r="N631" i="36"/>
  <c r="M647" i="36"/>
  <c r="L647" i="36"/>
  <c r="N647" i="36"/>
  <c r="N685" i="36"/>
  <c r="K684" i="36"/>
  <c r="L685" i="36"/>
  <c r="G448" i="36"/>
  <c r="G454" i="36"/>
  <c r="N455" i="36"/>
  <c r="L470" i="36"/>
  <c r="L471" i="36"/>
  <c r="L481" i="36"/>
  <c r="J519" i="36"/>
  <c r="M520" i="36"/>
  <c r="G558" i="36"/>
  <c r="K558" i="36"/>
  <c r="L607" i="36"/>
  <c r="K603" i="36"/>
  <c r="L610" i="36"/>
  <c r="M662" i="36"/>
  <c r="L662" i="36"/>
  <c r="N662" i="36"/>
  <c r="K445" i="36"/>
  <c r="K451" i="36"/>
  <c r="L489" i="36"/>
  <c r="K509" i="36"/>
  <c r="G510" i="36"/>
  <c r="L510" i="36"/>
  <c r="L524" i="36"/>
  <c r="K537" i="36"/>
  <c r="L538" i="36"/>
  <c r="K565" i="36"/>
  <c r="L566" i="36"/>
  <c r="L570" i="36"/>
  <c r="L572" i="36"/>
  <c r="L592" i="36"/>
  <c r="M601" i="36"/>
  <c r="K626" i="36"/>
  <c r="K569" i="36"/>
  <c r="M573" i="36"/>
  <c r="N601" i="36"/>
  <c r="L611" i="36"/>
  <c r="M611" i="36"/>
  <c r="L614" i="36"/>
  <c r="M614" i="36"/>
  <c r="L617" i="36"/>
  <c r="M617" i="36"/>
  <c r="L648" i="36"/>
  <c r="N648" i="36"/>
  <c r="L663" i="36"/>
  <c r="N663" i="36"/>
  <c r="K600" i="36"/>
  <c r="L601" i="36"/>
  <c r="L608" i="36"/>
  <c r="L664" i="36"/>
  <c r="N664" i="36"/>
  <c r="L639" i="36"/>
  <c r="L642" i="36"/>
  <c r="L670" i="36"/>
  <c r="L675" i="36"/>
  <c r="L676" i="36"/>
  <c r="L695" i="36"/>
  <c r="G619" i="36"/>
  <c r="M620" i="36"/>
  <c r="K638" i="36"/>
  <c r="M689" i="36"/>
  <c r="L689" i="36"/>
  <c r="M696" i="36"/>
  <c r="L696" i="36"/>
  <c r="L751" i="36"/>
  <c r="K750" i="36"/>
  <c r="L756" i="36"/>
  <c r="J755" i="36"/>
  <c r="M710" i="36"/>
  <c r="K691" i="36"/>
  <c r="N692" i="36"/>
  <c r="N693" i="36"/>
  <c r="M712" i="36"/>
  <c r="B46" i="13"/>
  <c r="D11" i="13" l="1"/>
  <c r="C46" i="13"/>
  <c r="N322" i="36"/>
  <c r="K661" i="36"/>
  <c r="K660" i="36" s="1"/>
  <c r="L491" i="36"/>
  <c r="N744" i="36"/>
  <c r="N705" i="36"/>
  <c r="N572" i="36"/>
  <c r="N388" i="36"/>
  <c r="M572" i="36"/>
  <c r="N148" i="36"/>
  <c r="L721" i="36"/>
  <c r="I553" i="36"/>
  <c r="I552" i="36" s="1"/>
  <c r="N163" i="36"/>
  <c r="M14" i="36"/>
  <c r="N340" i="36"/>
  <c r="M695" i="36"/>
  <c r="K232" i="36"/>
  <c r="K231" i="36" s="1"/>
  <c r="N233" i="36"/>
  <c r="N14" i="36"/>
  <c r="N174" i="36"/>
  <c r="G390" i="36"/>
  <c r="N390" i="36" s="1"/>
  <c r="L667" i="36"/>
  <c r="M489" i="36"/>
  <c r="M70" i="36"/>
  <c r="N667" i="36"/>
  <c r="N51" i="36"/>
  <c r="N52" i="36"/>
  <c r="M517" i="36"/>
  <c r="G515" i="36"/>
  <c r="G514" i="36" s="1"/>
  <c r="G513" i="36" s="1"/>
  <c r="G512" i="36" s="1"/>
  <c r="K105" i="36"/>
  <c r="N105" i="36" s="1"/>
  <c r="M39" i="36"/>
  <c r="M319" i="36"/>
  <c r="M391" i="36"/>
  <c r="M650" i="36"/>
  <c r="N517" i="36"/>
  <c r="G298" i="36"/>
  <c r="N298" i="36" s="1"/>
  <c r="H553" i="36"/>
  <c r="H552" i="36" s="1"/>
  <c r="H551" i="36" s="1"/>
  <c r="K268" i="36"/>
  <c r="N268" i="36" s="1"/>
  <c r="N611" i="36"/>
  <c r="G741" i="36"/>
  <c r="G737" i="36" s="1"/>
  <c r="G736" i="36" s="1"/>
  <c r="G735" i="36" s="1"/>
  <c r="G734" i="36" s="1"/>
  <c r="K590" i="36"/>
  <c r="M80" i="36"/>
  <c r="N516" i="36"/>
  <c r="N299" i="36"/>
  <c r="L103" i="36"/>
  <c r="L80" i="36"/>
  <c r="M160" i="36"/>
  <c r="M742" i="36"/>
  <c r="N696" i="36"/>
  <c r="I213" i="36"/>
  <c r="H680" i="36"/>
  <c r="H679" i="36" s="1"/>
  <c r="H678" i="36" s="1"/>
  <c r="K737" i="36"/>
  <c r="K736" i="36" s="1"/>
  <c r="H421" i="36"/>
  <c r="L139" i="36"/>
  <c r="L709" i="36"/>
  <c r="L571" i="36"/>
  <c r="N706" i="36"/>
  <c r="N708" i="36"/>
  <c r="L597" i="36"/>
  <c r="I589" i="36"/>
  <c r="I588" i="36" s="1"/>
  <c r="I587" i="36" s="1"/>
  <c r="H589" i="36"/>
  <c r="H588" i="36" s="1"/>
  <c r="H587" i="36" s="1"/>
  <c r="G666" i="36"/>
  <c r="N666" i="36" s="1"/>
  <c r="I786" i="36"/>
  <c r="L526" i="36"/>
  <c r="K640" i="36"/>
  <c r="N640" i="36" s="1"/>
  <c r="N62" i="36"/>
  <c r="G314" i="36"/>
  <c r="G313" i="36" s="1"/>
  <c r="M313" i="36" s="1"/>
  <c r="M147" i="36"/>
  <c r="M321" i="36"/>
  <c r="N709" i="36"/>
  <c r="L674" i="36"/>
  <c r="M461" i="36"/>
  <c r="I334" i="36"/>
  <c r="I333" i="36" s="1"/>
  <c r="I777" i="36" s="1"/>
  <c r="M119" i="36"/>
  <c r="M157" i="36"/>
  <c r="H304" i="36"/>
  <c r="H272" i="36" s="1"/>
  <c r="H228" i="36" s="1"/>
  <c r="H183" i="36"/>
  <c r="N466" i="36"/>
  <c r="N216" i="36"/>
  <c r="I421" i="36"/>
  <c r="I780" i="36" s="1"/>
  <c r="K50" i="36"/>
  <c r="N50" i="36" s="1"/>
  <c r="M130" i="36"/>
  <c r="L466" i="36"/>
  <c r="G460" i="36"/>
  <c r="G459" i="36" s="1"/>
  <c r="I201" i="36"/>
  <c r="N184" i="36"/>
  <c r="N157" i="36"/>
  <c r="G133" i="36"/>
  <c r="G110" i="36" s="1"/>
  <c r="M142" i="36"/>
  <c r="M38" i="36"/>
  <c r="I8" i="36"/>
  <c r="I7" i="36" s="1"/>
  <c r="J561" i="36"/>
  <c r="I350" i="36"/>
  <c r="I349" i="36" s="1"/>
  <c r="M709" i="36"/>
  <c r="I133" i="36"/>
  <c r="I110" i="36" s="1"/>
  <c r="M68" i="36"/>
  <c r="N707" i="36"/>
  <c r="N269" i="36"/>
  <c r="M152" i="36"/>
  <c r="K92" i="36"/>
  <c r="K91" i="36" s="1"/>
  <c r="I680" i="36"/>
  <c r="I679" i="36" s="1"/>
  <c r="I678" i="36" s="1"/>
  <c r="M688" i="36"/>
  <c r="L650" i="36"/>
  <c r="N185" i="36"/>
  <c r="H459" i="36"/>
  <c r="H458" i="36" s="1"/>
  <c r="H457" i="36" s="1"/>
  <c r="M731" i="36"/>
  <c r="J708" i="36"/>
  <c r="L708" i="36" s="1"/>
  <c r="M519" i="36"/>
  <c r="M466" i="36"/>
  <c r="L516" i="36"/>
  <c r="M341" i="36"/>
  <c r="L51" i="36"/>
  <c r="H372" i="36"/>
  <c r="H371" i="36" s="1"/>
  <c r="H370" i="36" s="1"/>
  <c r="G305" i="36"/>
  <c r="N341" i="36"/>
  <c r="N191" i="36"/>
  <c r="L627" i="36"/>
  <c r="L741" i="36"/>
  <c r="G680" i="36"/>
  <c r="G679" i="36" s="1"/>
  <c r="G678" i="36" s="1"/>
  <c r="M541" i="36"/>
  <c r="J460" i="36"/>
  <c r="J459" i="36" s="1"/>
  <c r="K460" i="36"/>
  <c r="N335" i="36"/>
  <c r="M301" i="36"/>
  <c r="M204" i="36"/>
  <c r="I60" i="36"/>
  <c r="I790" i="36" s="1"/>
  <c r="M69" i="36"/>
  <c r="M76" i="36"/>
  <c r="G60" i="36"/>
  <c r="G790" i="36" s="1"/>
  <c r="N718" i="36"/>
  <c r="M718" i="36"/>
  <c r="G717" i="36"/>
  <c r="L641" i="36"/>
  <c r="L628" i="36"/>
  <c r="I459" i="36"/>
  <c r="I458" i="36" s="1"/>
  <c r="I457" i="36" s="1"/>
  <c r="I781" i="36" s="1"/>
  <c r="M404" i="36"/>
  <c r="N310" i="36"/>
  <c r="N80" i="36"/>
  <c r="M32" i="36"/>
  <c r="K76" i="36"/>
  <c r="N76" i="36" s="1"/>
  <c r="M501" i="36"/>
  <c r="J500" i="36"/>
  <c r="I272" i="36"/>
  <c r="N702" i="36"/>
  <c r="L702" i="36"/>
  <c r="K701" i="36"/>
  <c r="J736" i="36"/>
  <c r="M623" i="36"/>
  <c r="J622" i="36"/>
  <c r="J640" i="36"/>
  <c r="J635" i="36" s="1"/>
  <c r="J634" i="36" s="1"/>
  <c r="J633" i="36" s="1"/>
  <c r="N738" i="36"/>
  <c r="L738" i="36"/>
  <c r="M702" i="36"/>
  <c r="G701" i="36"/>
  <c r="L623" i="36"/>
  <c r="J554" i="36"/>
  <c r="M555" i="36"/>
  <c r="I513" i="36"/>
  <c r="I512" i="36" s="1"/>
  <c r="L367" i="36"/>
  <c r="K366" i="36"/>
  <c r="L366" i="36" s="1"/>
  <c r="N72" i="36"/>
  <c r="L72" i="36"/>
  <c r="N215" i="36"/>
  <c r="K214" i="36"/>
  <c r="N214" i="36" s="1"/>
  <c r="K69" i="36"/>
  <c r="M21" i="36"/>
  <c r="J20" i="36"/>
  <c r="I551" i="36"/>
  <c r="N537" i="36"/>
  <c r="K536" i="36"/>
  <c r="L537" i="36"/>
  <c r="K681" i="36"/>
  <c r="N684" i="36"/>
  <c r="L684" i="36"/>
  <c r="M630" i="36"/>
  <c r="N630" i="36"/>
  <c r="K438" i="36"/>
  <c r="L439" i="36"/>
  <c r="N429" i="36"/>
  <c r="K428" i="36"/>
  <c r="K352" i="36"/>
  <c r="N353" i="36"/>
  <c r="L353" i="36"/>
  <c r="L292" i="36"/>
  <c r="N259" i="36"/>
  <c r="L259" i="36"/>
  <c r="M390" i="36"/>
  <c r="J383" i="36"/>
  <c r="J434" i="36"/>
  <c r="M435" i="36"/>
  <c r="N319" i="36"/>
  <c r="K318" i="36"/>
  <c r="K314" i="36" s="1"/>
  <c r="L319" i="36"/>
  <c r="L253" i="36"/>
  <c r="M387" i="36"/>
  <c r="J373" i="36"/>
  <c r="L232" i="36"/>
  <c r="N232" i="36"/>
  <c r="L198" i="36"/>
  <c r="K190" i="36"/>
  <c r="K197" i="36"/>
  <c r="N198" i="36"/>
  <c r="L175" i="36"/>
  <c r="J174" i="36"/>
  <c r="M175" i="36"/>
  <c r="L152" i="36"/>
  <c r="N152" i="36"/>
  <c r="N204" i="36"/>
  <c r="L204" i="36"/>
  <c r="K203" i="36"/>
  <c r="M243" i="36"/>
  <c r="N162" i="36"/>
  <c r="N111" i="36"/>
  <c r="L111" i="36"/>
  <c r="L115" i="36"/>
  <c r="K114" i="36"/>
  <c r="N115" i="36"/>
  <c r="L100" i="36"/>
  <c r="K99" i="36"/>
  <c r="N100" i="36"/>
  <c r="L210" i="36"/>
  <c r="N142" i="36"/>
  <c r="L142" i="36"/>
  <c r="M137" i="36"/>
  <c r="N101" i="36"/>
  <c r="N46" i="36"/>
  <c r="L46" i="36"/>
  <c r="K45" i="36"/>
  <c r="N27" i="36"/>
  <c r="L27" i="36"/>
  <c r="K26" i="36"/>
  <c r="N12" i="36"/>
  <c r="L12" i="36"/>
  <c r="K11" i="36"/>
  <c r="J90" i="36"/>
  <c r="M91" i="36"/>
  <c r="G9" i="36"/>
  <c r="G8" i="36" s="1"/>
  <c r="J60" i="36"/>
  <c r="M61" i="36"/>
  <c r="K716" i="36"/>
  <c r="L717" i="36"/>
  <c r="L750" i="36"/>
  <c r="K749" i="36"/>
  <c r="N619" i="36"/>
  <c r="M619" i="36"/>
  <c r="M536" i="36"/>
  <c r="J535" i="36"/>
  <c r="N451" i="36"/>
  <c r="L451" i="36"/>
  <c r="M574" i="36"/>
  <c r="N574" i="36"/>
  <c r="L502" i="36"/>
  <c r="K501" i="36"/>
  <c r="N502" i="36"/>
  <c r="K484" i="36"/>
  <c r="L485" i="36"/>
  <c r="J429" i="36"/>
  <c r="M430" i="36"/>
  <c r="M608" i="36"/>
  <c r="G607" i="36"/>
  <c r="M595" i="36"/>
  <c r="J594" i="36"/>
  <c r="N423" i="36"/>
  <c r="K422" i="36"/>
  <c r="K345" i="36"/>
  <c r="N346" i="36"/>
  <c r="L346" i="36"/>
  <c r="N289" i="36"/>
  <c r="L289" i="36"/>
  <c r="N594" i="36"/>
  <c r="G561" i="36"/>
  <c r="L562" i="36"/>
  <c r="N562" i="36"/>
  <c r="N398" i="36"/>
  <c r="L398" i="36"/>
  <c r="N363" i="36"/>
  <c r="M363" i="36"/>
  <c r="N435" i="36"/>
  <c r="L435" i="36"/>
  <c r="K434" i="36"/>
  <c r="J423" i="36"/>
  <c r="L423" i="36" s="1"/>
  <c r="M424" i="36"/>
  <c r="M403" i="36"/>
  <c r="J402" i="36"/>
  <c r="G352" i="36"/>
  <c r="G351" i="36" s="1"/>
  <c r="L225" i="36"/>
  <c r="K224" i="36"/>
  <c r="N225" i="36"/>
  <c r="L193" i="36"/>
  <c r="J192" i="36"/>
  <c r="M193" i="36"/>
  <c r="L169" i="36"/>
  <c r="J164" i="36"/>
  <c r="M169" i="36"/>
  <c r="L147" i="36"/>
  <c r="N147" i="36"/>
  <c r="J352" i="36"/>
  <c r="M353" i="36"/>
  <c r="J326" i="36"/>
  <c r="M330" i="36"/>
  <c r="J306" i="36"/>
  <c r="M307" i="36"/>
  <c r="M221" i="36"/>
  <c r="J220" i="36"/>
  <c r="M198" i="36"/>
  <c r="J197" i="36"/>
  <c r="J178" i="36"/>
  <c r="M178" i="36" s="1"/>
  <c r="M179" i="36"/>
  <c r="N95" i="36"/>
  <c r="L95" i="36"/>
  <c r="L66" i="36"/>
  <c r="K65" i="36"/>
  <c r="N66" i="36"/>
  <c r="L39" i="36"/>
  <c r="K38" i="36"/>
  <c r="N39" i="36"/>
  <c r="N205" i="36"/>
  <c r="K134" i="36"/>
  <c r="L135" i="36"/>
  <c r="N135" i="36"/>
  <c r="M88" i="36"/>
  <c r="J87" i="36"/>
  <c r="L87" i="36" s="1"/>
  <c r="M57" i="36"/>
  <c r="G56" i="36"/>
  <c r="N56" i="36" s="1"/>
  <c r="M45" i="36"/>
  <c r="J44" i="36"/>
  <c r="M11" i="36"/>
  <c r="J10" i="36"/>
  <c r="M99" i="36"/>
  <c r="L691" i="36"/>
  <c r="K688" i="36"/>
  <c r="N691" i="36"/>
  <c r="N565" i="36"/>
  <c r="L565" i="36"/>
  <c r="G509" i="36"/>
  <c r="N509" i="36" s="1"/>
  <c r="M510" i="36"/>
  <c r="L445" i="36"/>
  <c r="L558" i="36"/>
  <c r="N558" i="36"/>
  <c r="N510" i="36"/>
  <c r="M448" i="36"/>
  <c r="G445" i="36"/>
  <c r="M445" i="36" s="1"/>
  <c r="J679" i="36"/>
  <c r="L541" i="36"/>
  <c r="K540" i="36"/>
  <c r="N541" i="36"/>
  <c r="J515" i="36"/>
  <c r="M516" i="36"/>
  <c r="L604" i="36"/>
  <c r="M604" i="36"/>
  <c r="K326" i="36"/>
  <c r="N330" i="36"/>
  <c r="L330" i="36"/>
  <c r="K274" i="36"/>
  <c r="N275" i="36"/>
  <c r="L275" i="36"/>
  <c r="L595" i="36"/>
  <c r="N454" i="36"/>
  <c r="N448" i="36"/>
  <c r="M416" i="36"/>
  <c r="J415" i="36"/>
  <c r="L415" i="36" s="1"/>
  <c r="G789" i="36"/>
  <c r="K393" i="36"/>
  <c r="N394" i="36"/>
  <c r="L394" i="36"/>
  <c r="L475" i="36"/>
  <c r="N475" i="36"/>
  <c r="N430" i="36"/>
  <c r="L424" i="36"/>
  <c r="L315" i="36"/>
  <c r="N315" i="36"/>
  <c r="L374" i="36"/>
  <c r="N374" i="36"/>
  <c r="J345" i="36"/>
  <c r="M346" i="36"/>
  <c r="L308" i="36"/>
  <c r="K307" i="36"/>
  <c r="N308" i="36"/>
  <c r="L250" i="36"/>
  <c r="J242" i="36"/>
  <c r="M250" i="36"/>
  <c r="L221" i="36"/>
  <c r="K220" i="36"/>
  <c r="N221" i="36"/>
  <c r="L187" i="36"/>
  <c r="J186" i="36"/>
  <c r="J185" i="36"/>
  <c r="M187" i="36"/>
  <c r="N296" i="36"/>
  <c r="L296" i="36"/>
  <c r="K295" i="36"/>
  <c r="K288" i="36" s="1"/>
  <c r="J274" i="36"/>
  <c r="M275" i="36"/>
  <c r="M232" i="36"/>
  <c r="J231" i="36"/>
  <c r="N246" i="36"/>
  <c r="N122" i="36"/>
  <c r="K119" i="36"/>
  <c r="L122" i="36"/>
  <c r="J133" i="36"/>
  <c r="M134" i="36"/>
  <c r="L33" i="36"/>
  <c r="K32" i="36"/>
  <c r="N33" i="36"/>
  <c r="K242" i="36"/>
  <c r="N243" i="36"/>
  <c r="L243" i="36"/>
  <c r="G798" i="36"/>
  <c r="G213" i="36"/>
  <c r="N93" i="36"/>
  <c r="L56" i="36"/>
  <c r="K55" i="36"/>
  <c r="N137" i="36"/>
  <c r="M100" i="36"/>
  <c r="M93" i="36"/>
  <c r="N57" i="36"/>
  <c r="M33" i="36"/>
  <c r="M106" i="36"/>
  <c r="L755" i="36"/>
  <c r="J754" i="36"/>
  <c r="L638" i="36"/>
  <c r="K637" i="36"/>
  <c r="N638" i="36"/>
  <c r="N600" i="36"/>
  <c r="L600" i="36"/>
  <c r="L569" i="36"/>
  <c r="K568" i="36"/>
  <c r="K561" i="36" s="1"/>
  <c r="N569" i="36"/>
  <c r="L626" i="36"/>
  <c r="K508" i="36"/>
  <c r="L509" i="36"/>
  <c r="L661" i="36"/>
  <c r="L603" i="36"/>
  <c r="M558" i="36"/>
  <c r="G554" i="36"/>
  <c r="G635" i="36"/>
  <c r="M454" i="36"/>
  <c r="G439" i="36"/>
  <c r="M440" i="36"/>
  <c r="J715" i="36"/>
  <c r="L547" i="36"/>
  <c r="K546" i="36"/>
  <c r="L520" i="36"/>
  <c r="K519" i="36"/>
  <c r="N520" i="36"/>
  <c r="K555" i="36"/>
  <c r="N556" i="36"/>
  <c r="L556" i="36"/>
  <c r="N387" i="36"/>
  <c r="K373" i="36"/>
  <c r="L387" i="36"/>
  <c r="G292" i="36"/>
  <c r="N293" i="36"/>
  <c r="K444" i="36"/>
  <c r="K418" i="36"/>
  <c r="L418" i="36" s="1"/>
  <c r="L419" i="36"/>
  <c r="N415" i="36"/>
  <c r="N404" i="36"/>
  <c r="L404" i="36"/>
  <c r="K403" i="36"/>
  <c r="J443" i="36"/>
  <c r="M385" i="36"/>
  <c r="G384" i="36"/>
  <c r="L430" i="36"/>
  <c r="N424" i="36"/>
  <c r="G393" i="36"/>
  <c r="M393" i="36" s="1"/>
  <c r="N385" i="36"/>
  <c r="L385" i="36"/>
  <c r="K384" i="36"/>
  <c r="G253" i="36"/>
  <c r="M253" i="36" s="1"/>
  <c r="M254" i="36"/>
  <c r="M340" i="36"/>
  <c r="J335" i="36"/>
  <c r="L340" i="36"/>
  <c r="J288" i="36"/>
  <c r="M289" i="36"/>
  <c r="J202" i="36"/>
  <c r="M203" i="36"/>
  <c r="L390" i="36"/>
  <c r="L216" i="36"/>
  <c r="J215" i="36"/>
  <c r="M216" i="36"/>
  <c r="L181" i="36"/>
  <c r="K180" i="36"/>
  <c r="N181" i="36"/>
  <c r="L301" i="36"/>
  <c r="M293" i="36"/>
  <c r="M225" i="36"/>
  <c r="J224" i="36"/>
  <c r="M224" i="36" s="1"/>
  <c r="G796" i="36"/>
  <c r="G201" i="36"/>
  <c r="G334" i="36"/>
  <c r="G333" i="36" s="1"/>
  <c r="G777" i="36" s="1"/>
  <c r="I791" i="36"/>
  <c r="I240" i="36"/>
  <c r="M205" i="36"/>
  <c r="M117" i="36"/>
  <c r="L117" i="36"/>
  <c r="M246" i="36"/>
  <c r="G799" i="36"/>
  <c r="K86" i="36"/>
  <c r="N87" i="36"/>
  <c r="J50" i="36"/>
  <c r="M51" i="36"/>
  <c r="N106" i="36"/>
  <c r="J54" i="36"/>
  <c r="J114" i="36"/>
  <c r="M114" i="36" s="1"/>
  <c r="M98" i="36"/>
  <c r="L88" i="36"/>
  <c r="M92" i="36"/>
  <c r="M37" i="36"/>
  <c r="J36" i="36"/>
  <c r="M101" i="36"/>
  <c r="K642" i="35"/>
  <c r="K355" i="35"/>
  <c r="K102" i="35"/>
  <c r="J764" i="35"/>
  <c r="K107" i="35"/>
  <c r="G288" i="36" l="1"/>
  <c r="G287" i="36" s="1"/>
  <c r="G802" i="36" s="1"/>
  <c r="G809" i="36"/>
  <c r="L105" i="36"/>
  <c r="I183" i="36"/>
  <c r="I775" i="36" s="1"/>
  <c r="L268" i="36"/>
  <c r="M298" i="36"/>
  <c r="N741" i="36"/>
  <c r="M741" i="36"/>
  <c r="N737" i="36"/>
  <c r="M736" i="36"/>
  <c r="L594" i="36"/>
  <c r="J590" i="36"/>
  <c r="L590" i="36" s="1"/>
  <c r="M737" i="36"/>
  <c r="L737" i="36"/>
  <c r="K49" i="36"/>
  <c r="N49" i="36" s="1"/>
  <c r="H550" i="36"/>
  <c r="H549" i="36" s="1"/>
  <c r="H759" i="36" s="1"/>
  <c r="J707" i="36"/>
  <c r="L707" i="36" s="1"/>
  <c r="L50" i="36"/>
  <c r="L92" i="36"/>
  <c r="M561" i="36"/>
  <c r="L640" i="36"/>
  <c r="M666" i="36"/>
  <c r="G661" i="36"/>
  <c r="M314" i="36"/>
  <c r="G304" i="36"/>
  <c r="G803" i="36" s="1"/>
  <c r="J762" i="36"/>
  <c r="M762" i="36" s="1"/>
  <c r="N92" i="36"/>
  <c r="M640" i="36"/>
  <c r="J553" i="36"/>
  <c r="J552" i="36" s="1"/>
  <c r="I788" i="36"/>
  <c r="M708" i="36"/>
  <c r="I550" i="36"/>
  <c r="I549" i="36" s="1"/>
  <c r="I785" i="36"/>
  <c r="M460" i="36"/>
  <c r="L460" i="36"/>
  <c r="N460" i="36"/>
  <c r="I59" i="36"/>
  <c r="I30" i="36" s="1"/>
  <c r="M680" i="36"/>
  <c r="K762" i="36"/>
  <c r="N762" i="36" s="1"/>
  <c r="I805" i="36"/>
  <c r="L76" i="36"/>
  <c r="M20" i="36"/>
  <c r="J19" i="36"/>
  <c r="J790" i="36" s="1"/>
  <c r="L20" i="36"/>
  <c r="G716" i="36"/>
  <c r="G788" i="36" s="1"/>
  <c r="M717" i="36"/>
  <c r="I228" i="36"/>
  <c r="I776" i="36" s="1"/>
  <c r="G444" i="36"/>
  <c r="N444" i="36" s="1"/>
  <c r="N717" i="36"/>
  <c r="M622" i="36"/>
  <c r="L622" i="36"/>
  <c r="N701" i="36"/>
  <c r="L701" i="36"/>
  <c r="K700" i="36"/>
  <c r="J801" i="36"/>
  <c r="M500" i="36"/>
  <c r="G59" i="36"/>
  <c r="L69" i="36"/>
  <c r="K68" i="36"/>
  <c r="N69" i="36"/>
  <c r="M701" i="36"/>
  <c r="G700" i="36"/>
  <c r="G458" i="36"/>
  <c r="G457" i="36" s="1"/>
  <c r="J241" i="36"/>
  <c r="J788" i="36"/>
  <c r="M459" i="36"/>
  <c r="J458" i="36"/>
  <c r="L561" i="36"/>
  <c r="N561" i="36"/>
  <c r="J428" i="36"/>
  <c r="L428" i="36" s="1"/>
  <c r="M429" i="36"/>
  <c r="N114" i="36"/>
  <c r="L114" i="36"/>
  <c r="J372" i="36"/>
  <c r="M373" i="36"/>
  <c r="N253" i="36"/>
  <c r="L438" i="36"/>
  <c r="K85" i="36"/>
  <c r="N86" i="36"/>
  <c r="L215" i="36"/>
  <c r="J214" i="36"/>
  <c r="M215" i="36"/>
  <c r="J796" i="36"/>
  <c r="J201" i="36"/>
  <c r="M202" i="36"/>
  <c r="J787" i="36"/>
  <c r="M335" i="36"/>
  <c r="L335" i="36"/>
  <c r="L384" i="36"/>
  <c r="K383" i="36"/>
  <c r="K372" i="36" s="1"/>
  <c r="N384" i="36"/>
  <c r="K414" i="36"/>
  <c r="J714" i="36"/>
  <c r="L91" i="36"/>
  <c r="K90" i="36"/>
  <c r="N91" i="36"/>
  <c r="M231" i="36"/>
  <c r="J230" i="36"/>
  <c r="N295" i="36"/>
  <c r="L295" i="36"/>
  <c r="L185" i="36"/>
  <c r="J184" i="36"/>
  <c r="M185" i="36"/>
  <c r="L220" i="36"/>
  <c r="K219" i="36"/>
  <c r="N220" i="36"/>
  <c r="K325" i="36"/>
  <c r="N326" i="36"/>
  <c r="L326" i="36"/>
  <c r="N445" i="36"/>
  <c r="N38" i="36"/>
  <c r="L38" i="36"/>
  <c r="K37" i="36"/>
  <c r="J325" i="36"/>
  <c r="M326" i="36"/>
  <c r="L224" i="36"/>
  <c r="N224" i="36"/>
  <c r="M402" i="36"/>
  <c r="N434" i="36"/>
  <c r="L434" i="36"/>
  <c r="K433" i="36"/>
  <c r="K427" i="36" s="1"/>
  <c r="G603" i="36"/>
  <c r="M607" i="36"/>
  <c r="N607" i="36"/>
  <c r="J534" i="36"/>
  <c r="M534" i="36" s="1"/>
  <c r="M535" i="36"/>
  <c r="L45" i="36"/>
  <c r="K44" i="36"/>
  <c r="N45" i="36"/>
  <c r="L99" i="36"/>
  <c r="K98" i="36"/>
  <c r="N99" i="36"/>
  <c r="J433" i="36"/>
  <c r="M434" i="36"/>
  <c r="L429" i="36"/>
  <c r="L536" i="36"/>
  <c r="K535" i="36"/>
  <c r="N536" i="36"/>
  <c r="L637" i="36"/>
  <c r="K636" i="36"/>
  <c r="N637" i="36"/>
  <c r="L55" i="36"/>
  <c r="K54" i="36"/>
  <c r="J273" i="36"/>
  <c r="M274" i="36"/>
  <c r="M220" i="36"/>
  <c r="J219" i="36"/>
  <c r="G350" i="36"/>
  <c r="G349" i="36" s="1"/>
  <c r="L501" i="36"/>
  <c r="K500" i="36"/>
  <c r="N501" i="36"/>
  <c r="J442" i="36"/>
  <c r="L373" i="36"/>
  <c r="N373" i="36"/>
  <c r="K554" i="36"/>
  <c r="N555" i="36"/>
  <c r="L555" i="36"/>
  <c r="K545" i="36"/>
  <c r="L546" i="36"/>
  <c r="G634" i="36"/>
  <c r="M635" i="36"/>
  <c r="L754" i="36"/>
  <c r="J748" i="36"/>
  <c r="J735" i="36" s="1"/>
  <c r="L32" i="36"/>
  <c r="K31" i="36"/>
  <c r="N32" i="36"/>
  <c r="M133" i="36"/>
  <c r="J110" i="36"/>
  <c r="M110" i="36" s="1"/>
  <c r="L119" i="36"/>
  <c r="N119" i="36"/>
  <c r="L186" i="36"/>
  <c r="M186" i="36"/>
  <c r="J344" i="36"/>
  <c r="M345" i="36"/>
  <c r="L314" i="36"/>
  <c r="K313" i="36"/>
  <c r="N314" i="36"/>
  <c r="M415" i="36"/>
  <c r="J414" i="36"/>
  <c r="N590" i="36"/>
  <c r="K589" i="36"/>
  <c r="K273" i="36"/>
  <c r="N274" i="36"/>
  <c r="L274" i="36"/>
  <c r="J43" i="36"/>
  <c r="M43" i="36" s="1"/>
  <c r="M44" i="36"/>
  <c r="J86" i="36"/>
  <c r="L86" i="36" s="1"/>
  <c r="M87" i="36"/>
  <c r="K133" i="36"/>
  <c r="N134" i="36"/>
  <c r="L134" i="36"/>
  <c r="M197" i="36"/>
  <c r="J196" i="36"/>
  <c r="L192" i="36"/>
  <c r="J191" i="36"/>
  <c r="M192" i="36"/>
  <c r="N484" i="36"/>
  <c r="L484" i="36"/>
  <c r="M60" i="36"/>
  <c r="M90" i="36"/>
  <c r="J795" i="36"/>
  <c r="N26" i="36"/>
  <c r="L26" i="36"/>
  <c r="K25" i="36"/>
  <c r="G242" i="36"/>
  <c r="G241" i="36" s="1"/>
  <c r="L197" i="36"/>
  <c r="K196" i="36"/>
  <c r="N197" i="36"/>
  <c r="L231" i="36"/>
  <c r="K230" i="36"/>
  <c r="N231" i="36"/>
  <c r="L318" i="36"/>
  <c r="N318" i="36"/>
  <c r="K351" i="36"/>
  <c r="N352" i="36"/>
  <c r="L352" i="36"/>
  <c r="K459" i="36"/>
  <c r="N403" i="36"/>
  <c r="L403" i="36"/>
  <c r="K402" i="36"/>
  <c r="K443" i="36"/>
  <c r="L444" i="36"/>
  <c r="K515" i="36"/>
  <c r="N519" i="36"/>
  <c r="L519" i="36"/>
  <c r="K241" i="36"/>
  <c r="L242" i="36"/>
  <c r="M10" i="36"/>
  <c r="J9" i="36"/>
  <c r="G55" i="36"/>
  <c r="M56" i="36"/>
  <c r="N65" i="36"/>
  <c r="L65" i="36"/>
  <c r="K61" i="36"/>
  <c r="J422" i="36"/>
  <c r="L422" i="36" s="1"/>
  <c r="M423" i="36"/>
  <c r="K287" i="36"/>
  <c r="N288" i="36"/>
  <c r="L288" i="36"/>
  <c r="N422" i="36"/>
  <c r="L180" i="36"/>
  <c r="K179" i="36"/>
  <c r="N180" i="36"/>
  <c r="M36" i="36"/>
  <c r="M50" i="36"/>
  <c r="J49" i="36"/>
  <c r="M49" i="36" s="1"/>
  <c r="G183" i="36"/>
  <c r="G775" i="36" s="1"/>
  <c r="J287" i="36"/>
  <c r="G383" i="36"/>
  <c r="G372" i="36" s="1"/>
  <c r="M384" i="36"/>
  <c r="G438" i="36"/>
  <c r="M439" i="36"/>
  <c r="G553" i="36"/>
  <c r="G552" i="36" s="1"/>
  <c r="M554" i="36"/>
  <c r="L660" i="36"/>
  <c r="K659" i="36"/>
  <c r="K507" i="36"/>
  <c r="L508" i="36"/>
  <c r="L568" i="36"/>
  <c r="N568" i="36"/>
  <c r="K306" i="36"/>
  <c r="N307" i="36"/>
  <c r="L307" i="36"/>
  <c r="L393" i="36"/>
  <c r="N393" i="36"/>
  <c r="J514" i="36"/>
  <c r="M515" i="36"/>
  <c r="N540" i="36"/>
  <c r="L540" i="36"/>
  <c r="M679" i="36"/>
  <c r="J678" i="36"/>
  <c r="M678" i="36" s="1"/>
  <c r="G508" i="36"/>
  <c r="M509" i="36"/>
  <c r="L688" i="36"/>
  <c r="N688" i="36"/>
  <c r="N736" i="36"/>
  <c r="L736" i="36"/>
  <c r="J305" i="36"/>
  <c r="M306" i="36"/>
  <c r="J351" i="36"/>
  <c r="M352" i="36"/>
  <c r="J163" i="36"/>
  <c r="M164" i="36"/>
  <c r="L164" i="36"/>
  <c r="K344" i="36"/>
  <c r="N345" i="36"/>
  <c r="L345" i="36"/>
  <c r="M594" i="36"/>
  <c r="L749" i="36"/>
  <c r="K748" i="36"/>
  <c r="K715" i="36"/>
  <c r="L716" i="36"/>
  <c r="G7" i="36"/>
  <c r="L11" i="36"/>
  <c r="K10" i="36"/>
  <c r="N11" i="36"/>
  <c r="N203" i="36"/>
  <c r="L203" i="36"/>
  <c r="K202" i="36"/>
  <c r="M292" i="36"/>
  <c r="L174" i="36"/>
  <c r="J173" i="36"/>
  <c r="M174" i="36"/>
  <c r="N190" i="36"/>
  <c r="N292" i="36"/>
  <c r="N428" i="36"/>
  <c r="N439" i="36"/>
  <c r="K680" i="36"/>
  <c r="N681" i="36"/>
  <c r="L681" i="36"/>
  <c r="K695" i="35"/>
  <c r="K688" i="35"/>
  <c r="K297" i="35"/>
  <c r="K294" i="35"/>
  <c r="K245" i="35"/>
  <c r="K234" i="35"/>
  <c r="N234" i="35" s="1"/>
  <c r="K73" i="35"/>
  <c r="K28" i="35"/>
  <c r="K548" i="35"/>
  <c r="N15" i="35"/>
  <c r="N23" i="35"/>
  <c r="N28" i="35"/>
  <c r="N35" i="35"/>
  <c r="N42" i="35"/>
  <c r="N48" i="35"/>
  <c r="N53" i="35"/>
  <c r="N64" i="35"/>
  <c r="N67" i="35"/>
  <c r="N75" i="35"/>
  <c r="N82" i="35"/>
  <c r="N84" i="35"/>
  <c r="N89" i="35"/>
  <c r="N97" i="35"/>
  <c r="N102" i="35"/>
  <c r="N104" i="35"/>
  <c r="N109" i="35"/>
  <c r="N113" i="35"/>
  <c r="N118" i="35"/>
  <c r="N121" i="35"/>
  <c r="N132" i="35"/>
  <c r="N136" i="35"/>
  <c r="N138" i="35"/>
  <c r="N141" i="35"/>
  <c r="N144" i="35"/>
  <c r="N146" i="35"/>
  <c r="N149" i="35"/>
  <c r="N151" i="35"/>
  <c r="N154" i="35"/>
  <c r="N156" i="35"/>
  <c r="N159" i="35"/>
  <c r="N161" i="35"/>
  <c r="N168" i="35"/>
  <c r="N189" i="35"/>
  <c r="N195" i="35"/>
  <c r="N200" i="35"/>
  <c r="N218" i="35"/>
  <c r="N227" i="35"/>
  <c r="N258" i="35"/>
  <c r="N261" i="35"/>
  <c r="N271" i="35"/>
  <c r="N277" i="35"/>
  <c r="N283" i="35"/>
  <c r="N294" i="35"/>
  <c r="N300" i="35"/>
  <c r="N303" i="35"/>
  <c r="N309" i="35"/>
  <c r="N312" i="35"/>
  <c r="N317" i="35"/>
  <c r="N320" i="35"/>
  <c r="N329" i="35"/>
  <c r="N332" i="35"/>
  <c r="N339" i="35"/>
  <c r="N343" i="35"/>
  <c r="N348" i="35"/>
  <c r="N358" i="35"/>
  <c r="N365" i="35"/>
  <c r="N389" i="35"/>
  <c r="N392" i="35"/>
  <c r="N396" i="35"/>
  <c r="N397" i="35"/>
  <c r="N400" i="35"/>
  <c r="N406" i="35"/>
  <c r="N417" i="35"/>
  <c r="N426" i="35"/>
  <c r="N432" i="35"/>
  <c r="N437" i="35"/>
  <c r="N447" i="35"/>
  <c r="N449" i="35"/>
  <c r="N450" i="35"/>
  <c r="N453" i="35"/>
  <c r="N456" i="35"/>
  <c r="N465" i="35"/>
  <c r="N468" i="35"/>
  <c r="N474" i="35"/>
  <c r="N477" i="35"/>
  <c r="N493" i="35"/>
  <c r="N504" i="35"/>
  <c r="N523" i="35"/>
  <c r="N525" i="35"/>
  <c r="N528" i="35"/>
  <c r="N539" i="35"/>
  <c r="N543" i="35"/>
  <c r="N560" i="35"/>
  <c r="N564" i="35"/>
  <c r="N567" i="35"/>
  <c r="N570" i="35"/>
  <c r="N593" i="35"/>
  <c r="N599" i="35"/>
  <c r="N605" i="35"/>
  <c r="N609" i="35"/>
  <c r="N612" i="35"/>
  <c r="N618" i="35"/>
  <c r="N621" i="35"/>
  <c r="N628" i="35"/>
  <c r="N635" i="35"/>
  <c r="N646" i="35"/>
  <c r="N652" i="35"/>
  <c r="N655" i="35"/>
  <c r="N668" i="35"/>
  <c r="N672" i="35"/>
  <c r="N674" i="35"/>
  <c r="N676" i="35"/>
  <c r="N680" i="35"/>
  <c r="N693" i="35"/>
  <c r="N697" i="35"/>
  <c r="N700" i="35"/>
  <c r="N707" i="35"/>
  <c r="N714" i="35"/>
  <c r="N716" i="35"/>
  <c r="N723" i="35"/>
  <c r="N736" i="35"/>
  <c r="K596" i="35"/>
  <c r="K557" i="35"/>
  <c r="K386" i="35"/>
  <c r="K376" i="35"/>
  <c r="G813" i="35"/>
  <c r="J810" i="35"/>
  <c r="I810" i="35"/>
  <c r="J772" i="35"/>
  <c r="I772" i="35"/>
  <c r="G772" i="35"/>
  <c r="G767" i="35"/>
  <c r="I766" i="35"/>
  <c r="I765" i="35"/>
  <c r="I764" i="35"/>
  <c r="I767" i="35" s="1"/>
  <c r="L761" i="35"/>
  <c r="K760" i="35"/>
  <c r="J760" i="35"/>
  <c r="J759" i="35" s="1"/>
  <c r="J758" i="35" s="1"/>
  <c r="J757" i="35" s="1"/>
  <c r="L756" i="35"/>
  <c r="K755" i="35"/>
  <c r="K754" i="35" s="1"/>
  <c r="J755" i="35"/>
  <c r="L750" i="35"/>
  <c r="K749" i="35"/>
  <c r="J749" i="35"/>
  <c r="L748" i="35"/>
  <c r="I748" i="35"/>
  <c r="I747" i="35" s="1"/>
  <c r="G748" i="35"/>
  <c r="G747" i="35" s="1"/>
  <c r="K747" i="35"/>
  <c r="J747" i="35"/>
  <c r="H747" i="35"/>
  <c r="L746" i="35"/>
  <c r="I746" i="35"/>
  <c r="G746" i="35"/>
  <c r="G745" i="35" s="1"/>
  <c r="K745" i="35"/>
  <c r="J745" i="35"/>
  <c r="I745" i="35"/>
  <c r="H745" i="35"/>
  <c r="H744" i="35" s="1"/>
  <c r="L743" i="35"/>
  <c r="I743" i="35"/>
  <c r="I742" i="35" s="1"/>
  <c r="I741" i="35" s="1"/>
  <c r="G743" i="35"/>
  <c r="M743" i="35" s="1"/>
  <c r="K742" i="35"/>
  <c r="J742" i="35"/>
  <c r="J741" i="35" s="1"/>
  <c r="H742" i="35"/>
  <c r="H741" i="35" s="1"/>
  <c r="G742" i="35"/>
  <c r="G741" i="35" s="1"/>
  <c r="M736" i="35"/>
  <c r="L736" i="35"/>
  <c r="L735" i="35"/>
  <c r="H735" i="35"/>
  <c r="H734" i="35" s="1"/>
  <c r="G735" i="35"/>
  <c r="M735" i="35" s="1"/>
  <c r="L734" i="35"/>
  <c r="L733" i="35"/>
  <c r="L732" i="35"/>
  <c r="H732" i="35"/>
  <c r="H731" i="35" s="1"/>
  <c r="G732" i="35"/>
  <c r="L731" i="35"/>
  <c r="L730" i="35"/>
  <c r="L729" i="35"/>
  <c r="H729" i="35"/>
  <c r="H728" i="35" s="1"/>
  <c r="G729" i="35"/>
  <c r="G728" i="35" s="1"/>
  <c r="L728" i="35"/>
  <c r="L727" i="35"/>
  <c r="G727" i="35"/>
  <c r="K726" i="35"/>
  <c r="J726" i="35"/>
  <c r="J725" i="35" s="1"/>
  <c r="J724" i="35" s="1"/>
  <c r="J720" i="35" s="1"/>
  <c r="I726" i="35"/>
  <c r="I725" i="35" s="1"/>
  <c r="I724" i="35" s="1"/>
  <c r="I720" i="35" s="1"/>
  <c r="I719" i="35" s="1"/>
  <c r="I718" i="35" s="1"/>
  <c r="I717" i="35" s="1"/>
  <c r="H726" i="35"/>
  <c r="H725" i="35" s="1"/>
  <c r="G726" i="35"/>
  <c r="G725" i="35" s="1"/>
  <c r="M723" i="35"/>
  <c r="L723" i="35"/>
  <c r="L722" i="35"/>
  <c r="H722" i="35"/>
  <c r="H721" i="35" s="1"/>
  <c r="G722" i="35"/>
  <c r="M722" i="35" s="1"/>
  <c r="L721" i="35"/>
  <c r="L716" i="35"/>
  <c r="G716" i="35"/>
  <c r="K715" i="35"/>
  <c r="J715" i="35"/>
  <c r="I715" i="35"/>
  <c r="I712" i="35" s="1"/>
  <c r="I711" i="35" s="1"/>
  <c r="I710" i="35" s="1"/>
  <c r="I709" i="35" s="1"/>
  <c r="I708" i="35" s="1"/>
  <c r="H715" i="35"/>
  <c r="M714" i="35"/>
  <c r="L714" i="35"/>
  <c r="G714" i="35"/>
  <c r="K713" i="35"/>
  <c r="J713" i="35"/>
  <c r="H713" i="35"/>
  <c r="G713" i="35"/>
  <c r="M707" i="35"/>
  <c r="L707" i="35"/>
  <c r="K706" i="35"/>
  <c r="J706" i="35"/>
  <c r="J705" i="35" s="1"/>
  <c r="I706" i="35"/>
  <c r="I705" i="35" s="1"/>
  <c r="I704" i="35" s="1"/>
  <c r="I703" i="35" s="1"/>
  <c r="I702" i="35" s="1"/>
  <c r="H706" i="35"/>
  <c r="H705" i="35" s="1"/>
  <c r="H704" i="35" s="1"/>
  <c r="H703" i="35" s="1"/>
  <c r="H702" i="35" s="1"/>
  <c r="G706" i="35"/>
  <c r="G705" i="35" s="1"/>
  <c r="G704" i="35" s="1"/>
  <c r="G703" i="35" s="1"/>
  <c r="G702" i="35" s="1"/>
  <c r="M700" i="35"/>
  <c r="L700" i="35"/>
  <c r="G700" i="35"/>
  <c r="K699" i="35"/>
  <c r="K698" i="35" s="1"/>
  <c r="J699" i="35"/>
  <c r="I699" i="35"/>
  <c r="I698" i="35" s="1"/>
  <c r="H699" i="35"/>
  <c r="H698" i="35" s="1"/>
  <c r="G699" i="35"/>
  <c r="G698" i="35" s="1"/>
  <c r="M697" i="35"/>
  <c r="L697" i="35"/>
  <c r="K696" i="35"/>
  <c r="J696" i="35"/>
  <c r="I696" i="35"/>
  <c r="H696" i="35"/>
  <c r="G696" i="35"/>
  <c r="L695" i="35"/>
  <c r="G695" i="35"/>
  <c r="M695" i="35" s="1"/>
  <c r="K694" i="35"/>
  <c r="J694" i="35"/>
  <c r="I694" i="35"/>
  <c r="H694" i="35"/>
  <c r="M693" i="35"/>
  <c r="L693" i="35"/>
  <c r="G693" i="35"/>
  <c r="K692" i="35"/>
  <c r="J692" i="35"/>
  <c r="I692" i="35"/>
  <c r="H692" i="35"/>
  <c r="G692" i="35"/>
  <c r="L690" i="35"/>
  <c r="L689" i="35"/>
  <c r="I689" i="35"/>
  <c r="H689" i="35"/>
  <c r="G689" i="35"/>
  <c r="G688" i="35"/>
  <c r="M688" i="35" s="1"/>
  <c r="J687" i="35"/>
  <c r="I687" i="35"/>
  <c r="H687" i="35"/>
  <c r="L686" i="35"/>
  <c r="G686" i="35"/>
  <c r="N686" i="35" s="1"/>
  <c r="K685" i="35"/>
  <c r="J685" i="35"/>
  <c r="I685" i="35"/>
  <c r="H685" i="35"/>
  <c r="M680" i="35"/>
  <c r="L680" i="35"/>
  <c r="K679" i="35"/>
  <c r="K678" i="35" s="1"/>
  <c r="J679" i="35"/>
  <c r="J678" i="35" s="1"/>
  <c r="I679" i="35"/>
  <c r="I678" i="35" s="1"/>
  <c r="I677" i="35" s="1"/>
  <c r="H679" i="35"/>
  <c r="H678" i="35" s="1"/>
  <c r="H677" i="35" s="1"/>
  <c r="G679" i="35"/>
  <c r="G678" i="35" s="1"/>
  <c r="G677" i="35" s="1"/>
  <c r="M676" i="35"/>
  <c r="L676" i="35"/>
  <c r="K675" i="35"/>
  <c r="N675" i="35" s="1"/>
  <c r="J675" i="35"/>
  <c r="M675" i="35" s="1"/>
  <c r="I675" i="35"/>
  <c r="M674" i="35"/>
  <c r="L674" i="35"/>
  <c r="K673" i="35"/>
  <c r="J673" i="35"/>
  <c r="I673" i="35"/>
  <c r="H673" i="35"/>
  <c r="G673" i="35"/>
  <c r="L672" i="35"/>
  <c r="K671" i="35"/>
  <c r="J671" i="35"/>
  <c r="I671" i="35"/>
  <c r="H671" i="35"/>
  <c r="G671" i="35"/>
  <c r="L670" i="35"/>
  <c r="K669" i="35"/>
  <c r="J669" i="35"/>
  <c r="M668" i="35"/>
  <c r="L668" i="35"/>
  <c r="K667" i="35"/>
  <c r="J667" i="35"/>
  <c r="I667" i="35"/>
  <c r="H667" i="35"/>
  <c r="H666" i="35" s="1"/>
  <c r="H665" i="35" s="1"/>
  <c r="G667" i="35"/>
  <c r="G666" i="35" s="1"/>
  <c r="G665" i="35" s="1"/>
  <c r="J666" i="35"/>
  <c r="I666" i="35"/>
  <c r="I665" i="35" s="1"/>
  <c r="L661" i="35"/>
  <c r="L660" i="35"/>
  <c r="H660" i="35"/>
  <c r="H659" i="35" s="1"/>
  <c r="L659" i="35"/>
  <c r="L658" i="35"/>
  <c r="L657" i="35"/>
  <c r="I657" i="35"/>
  <c r="H657" i="35"/>
  <c r="G657" i="35"/>
  <c r="L656" i="35"/>
  <c r="I656" i="35"/>
  <c r="H656" i="35"/>
  <c r="G656" i="35"/>
  <c r="M655" i="35"/>
  <c r="L655" i="35"/>
  <c r="K654" i="35"/>
  <c r="J654" i="35"/>
  <c r="J653" i="35" s="1"/>
  <c r="I654" i="35"/>
  <c r="I653" i="35" s="1"/>
  <c r="H654" i="35"/>
  <c r="H653" i="35" s="1"/>
  <c r="G654" i="35"/>
  <c r="G653" i="35" s="1"/>
  <c r="M652" i="35"/>
  <c r="L652" i="35"/>
  <c r="K651" i="35"/>
  <c r="K650" i="35" s="1"/>
  <c r="J651" i="35"/>
  <c r="J650" i="35" s="1"/>
  <c r="I651" i="35"/>
  <c r="I650" i="35" s="1"/>
  <c r="H651" i="35"/>
  <c r="H650" i="35" s="1"/>
  <c r="G651" i="35"/>
  <c r="G650" i="35" s="1"/>
  <c r="L649" i="35"/>
  <c r="L648" i="35"/>
  <c r="H648" i="35"/>
  <c r="H647" i="35" s="1"/>
  <c r="G648" i="35"/>
  <c r="G647" i="35" s="1"/>
  <c r="L647" i="35"/>
  <c r="M646" i="35"/>
  <c r="L646" i="35"/>
  <c r="K645" i="35"/>
  <c r="K644" i="35" s="1"/>
  <c r="J645" i="35"/>
  <c r="I645" i="35"/>
  <c r="I644" i="35" s="1"/>
  <c r="H645" i="35"/>
  <c r="H644" i="35" s="1"/>
  <c r="G645" i="35"/>
  <c r="G644" i="35" s="1"/>
  <c r="J644" i="35"/>
  <c r="L642" i="35"/>
  <c r="G642" i="35"/>
  <c r="G641" i="35" s="1"/>
  <c r="G640" i="35" s="1"/>
  <c r="G639" i="35" s="1"/>
  <c r="K641" i="35"/>
  <c r="J641" i="35"/>
  <c r="J640" i="35" s="1"/>
  <c r="I641" i="35"/>
  <c r="I640" i="35" s="1"/>
  <c r="I639" i="35" s="1"/>
  <c r="H641" i="35"/>
  <c r="H640" i="35" s="1"/>
  <c r="H639" i="35" s="1"/>
  <c r="L635" i="35"/>
  <c r="G635" i="35"/>
  <c r="M635" i="35" s="1"/>
  <c r="L634" i="35"/>
  <c r="H634" i="35"/>
  <c r="H633" i="35" s="1"/>
  <c r="G634" i="35"/>
  <c r="N634" i="35" s="1"/>
  <c r="L633" i="35"/>
  <c r="K632" i="35"/>
  <c r="L632" i="35" s="1"/>
  <c r="J632" i="35"/>
  <c r="J631" i="35" s="1"/>
  <c r="I631" i="35"/>
  <c r="I630" i="35" s="1"/>
  <c r="I629" i="35" s="1"/>
  <c r="H631" i="35"/>
  <c r="H630" i="35" s="1"/>
  <c r="H629" i="35" s="1"/>
  <c r="G631" i="35"/>
  <c r="G630" i="35" s="1"/>
  <c r="G629" i="35" s="1"/>
  <c r="J630" i="35"/>
  <c r="J629" i="35" s="1"/>
  <c r="M628" i="35"/>
  <c r="L628" i="35"/>
  <c r="K627" i="35"/>
  <c r="J627" i="35"/>
  <c r="I627" i="35"/>
  <c r="I626" i="35" s="1"/>
  <c r="I625" i="35" s="1"/>
  <c r="H627" i="35"/>
  <c r="H626" i="35" s="1"/>
  <c r="H625" i="35" s="1"/>
  <c r="G627" i="35"/>
  <c r="G626" i="35" s="1"/>
  <c r="G625" i="35" s="1"/>
  <c r="J626" i="35"/>
  <c r="L624" i="35"/>
  <c r="G624" i="35"/>
  <c r="M624" i="35" s="1"/>
  <c r="L623" i="35"/>
  <c r="H623" i="35"/>
  <c r="H622" i="35" s="1"/>
  <c r="L622" i="35"/>
  <c r="M621" i="35"/>
  <c r="L621" i="35"/>
  <c r="G621" i="35"/>
  <c r="G620" i="35" s="1"/>
  <c r="G619" i="35" s="1"/>
  <c r="K620" i="35"/>
  <c r="J620" i="35"/>
  <c r="I620" i="35"/>
  <c r="I619" i="35" s="1"/>
  <c r="H620" i="35"/>
  <c r="H619" i="35" s="1"/>
  <c r="K619" i="35"/>
  <c r="L618" i="35"/>
  <c r="G618" i="35"/>
  <c r="G617" i="35" s="1"/>
  <c r="K617" i="35"/>
  <c r="J617" i="35"/>
  <c r="J616" i="35" s="1"/>
  <c r="I617" i="35"/>
  <c r="I616" i="35" s="1"/>
  <c r="H617" i="35"/>
  <c r="H616" i="35" s="1"/>
  <c r="L615" i="35"/>
  <c r="G615" i="35"/>
  <c r="N615" i="35" s="1"/>
  <c r="K614" i="35"/>
  <c r="J614" i="35"/>
  <c r="I614" i="35"/>
  <c r="I613" i="35" s="1"/>
  <c r="H614" i="35"/>
  <c r="H613" i="35" s="1"/>
  <c r="L612" i="35"/>
  <c r="K612" i="35"/>
  <c r="G612" i="35"/>
  <c r="M612" i="35" s="1"/>
  <c r="K611" i="35"/>
  <c r="J611" i="35"/>
  <c r="I611" i="35"/>
  <c r="I610" i="35" s="1"/>
  <c r="H611" i="35"/>
  <c r="H610" i="35" s="1"/>
  <c r="M609" i="35"/>
  <c r="L609" i="35"/>
  <c r="K608" i="35"/>
  <c r="J608" i="35"/>
  <c r="I608" i="35"/>
  <c r="I607" i="35" s="1"/>
  <c r="H608" i="35"/>
  <c r="H607" i="35" s="1"/>
  <c r="G608" i="35"/>
  <c r="G607" i="35" s="1"/>
  <c r="M605" i="35"/>
  <c r="L605" i="35"/>
  <c r="K604" i="35"/>
  <c r="J604" i="35"/>
  <c r="I604" i="35"/>
  <c r="I603" i="35" s="1"/>
  <c r="H604" i="35"/>
  <c r="H603" i="35" s="1"/>
  <c r="G604" i="35"/>
  <c r="J603" i="35"/>
  <c r="L602" i="35"/>
  <c r="L601" i="35"/>
  <c r="L600" i="35"/>
  <c r="H600" i="35"/>
  <c r="G600" i="35"/>
  <c r="M599" i="35"/>
  <c r="L599" i="35"/>
  <c r="G599" i="35"/>
  <c r="K598" i="35"/>
  <c r="J598" i="35"/>
  <c r="I598" i="35"/>
  <c r="I597" i="35" s="1"/>
  <c r="H598" i="35"/>
  <c r="H597" i="35" s="1"/>
  <c r="G598" i="35"/>
  <c r="G597" i="35" s="1"/>
  <c r="J597" i="35"/>
  <c r="J596" i="35"/>
  <c r="G596" i="35"/>
  <c r="G595" i="35" s="1"/>
  <c r="G594" i="35" s="1"/>
  <c r="K595" i="35"/>
  <c r="I595" i="35"/>
  <c r="I594" i="35" s="1"/>
  <c r="H595" i="35"/>
  <c r="H594" i="35" s="1"/>
  <c r="M593" i="35"/>
  <c r="L593" i="35"/>
  <c r="K592" i="35"/>
  <c r="J592" i="35"/>
  <c r="I592" i="35"/>
  <c r="H592" i="35"/>
  <c r="H591" i="35" s="1"/>
  <c r="G592" i="35"/>
  <c r="G591" i="35" s="1"/>
  <c r="J591" i="35"/>
  <c r="I591" i="35"/>
  <c r="L586" i="35"/>
  <c r="L585" i="35"/>
  <c r="H585" i="35"/>
  <c r="H584" i="35" s="1"/>
  <c r="H583" i="35" s="1"/>
  <c r="G585" i="35"/>
  <c r="L584" i="35"/>
  <c r="L583" i="35"/>
  <c r="L582" i="35"/>
  <c r="H582" i="35"/>
  <c r="G582" i="35"/>
  <c r="G581" i="35" s="1"/>
  <c r="G580" i="35" s="1"/>
  <c r="K581" i="35"/>
  <c r="J581" i="35"/>
  <c r="I581" i="35"/>
  <c r="I580" i="35" s="1"/>
  <c r="H581" i="35"/>
  <c r="H580" i="35" s="1"/>
  <c r="K580" i="35"/>
  <c r="J580" i="35"/>
  <c r="L579" i="35"/>
  <c r="L578" i="35"/>
  <c r="H578" i="35"/>
  <c r="H577" i="35" s="1"/>
  <c r="G578" i="35"/>
  <c r="L577" i="35"/>
  <c r="L576" i="35"/>
  <c r="G576" i="35"/>
  <c r="M576" i="35" s="1"/>
  <c r="L575" i="35"/>
  <c r="H575" i="35"/>
  <c r="H574" i="35" s="1"/>
  <c r="L574" i="35"/>
  <c r="L573" i="35"/>
  <c r="K573" i="35"/>
  <c r="G573" i="35"/>
  <c r="M573" i="35" s="1"/>
  <c r="K572" i="35"/>
  <c r="J572" i="35"/>
  <c r="J571" i="35" s="1"/>
  <c r="I572" i="35"/>
  <c r="I571" i="35" s="1"/>
  <c r="H572" i="35"/>
  <c r="H571" i="35" s="1"/>
  <c r="L570" i="35"/>
  <c r="K570" i="35"/>
  <c r="G570" i="35"/>
  <c r="G569" i="35" s="1"/>
  <c r="G568" i="35" s="1"/>
  <c r="K569" i="35"/>
  <c r="J569" i="35"/>
  <c r="I569" i="35"/>
  <c r="I568" i="35" s="1"/>
  <c r="H569" i="35"/>
  <c r="H568" i="35" s="1"/>
  <c r="K568" i="35"/>
  <c r="M567" i="35"/>
  <c r="L567" i="35"/>
  <c r="K566" i="35"/>
  <c r="J566" i="35"/>
  <c r="H566" i="35"/>
  <c r="H565" i="35" s="1"/>
  <c r="G566" i="35"/>
  <c r="G565" i="35" s="1"/>
  <c r="K565" i="35"/>
  <c r="I565" i="35"/>
  <c r="M564" i="35"/>
  <c r="L564" i="35"/>
  <c r="K563" i="35"/>
  <c r="J563" i="35"/>
  <c r="J562" i="35" s="1"/>
  <c r="I563" i="35"/>
  <c r="I562" i="35" s="1"/>
  <c r="H563" i="35"/>
  <c r="H562" i="35" s="1"/>
  <c r="G563" i="35"/>
  <c r="G562" i="35" s="1"/>
  <c r="M560" i="35"/>
  <c r="L560" i="35"/>
  <c r="G560" i="35"/>
  <c r="K559" i="35"/>
  <c r="J559" i="35"/>
  <c r="I559" i="35"/>
  <c r="I558" i="35" s="1"/>
  <c r="H559" i="35"/>
  <c r="H558" i="35" s="1"/>
  <c r="G559" i="35"/>
  <c r="G558" i="35" s="1"/>
  <c r="J557" i="35"/>
  <c r="G557" i="35"/>
  <c r="N557" i="35" s="1"/>
  <c r="K556" i="35"/>
  <c r="I556" i="35"/>
  <c r="I555" i="35" s="1"/>
  <c r="H556" i="35"/>
  <c r="H555" i="35" s="1"/>
  <c r="G556" i="35"/>
  <c r="G555" i="35" s="1"/>
  <c r="K555" i="35"/>
  <c r="L548" i="35"/>
  <c r="K547" i="35"/>
  <c r="J547" i="35"/>
  <c r="J546" i="35" s="1"/>
  <c r="J545" i="35" s="1"/>
  <c r="J544" i="35" s="1"/>
  <c r="M543" i="35"/>
  <c r="L543" i="35"/>
  <c r="I543" i="35"/>
  <c r="I542" i="35" s="1"/>
  <c r="I541" i="35" s="1"/>
  <c r="I540" i="35" s="1"/>
  <c r="K542" i="35"/>
  <c r="J542" i="35"/>
  <c r="J541" i="35" s="1"/>
  <c r="J540" i="35" s="1"/>
  <c r="G542" i="35"/>
  <c r="G541" i="35" s="1"/>
  <c r="G540" i="35" s="1"/>
  <c r="H540" i="35"/>
  <c r="H534" i="35" s="1"/>
  <c r="M539" i="35"/>
  <c r="L539" i="35"/>
  <c r="I539" i="35"/>
  <c r="K538" i="35"/>
  <c r="J538" i="35"/>
  <c r="I538" i="35"/>
  <c r="I537" i="35" s="1"/>
  <c r="I536" i="35" s="1"/>
  <c r="I535" i="35" s="1"/>
  <c r="G538" i="35"/>
  <c r="G537" i="35" s="1"/>
  <c r="G536" i="35" s="1"/>
  <c r="G535" i="35" s="1"/>
  <c r="K537" i="35"/>
  <c r="L533" i="35"/>
  <c r="L532" i="35"/>
  <c r="H532" i="35"/>
  <c r="H531" i="35" s="1"/>
  <c r="H530" i="35" s="1"/>
  <c r="H529" i="35" s="1"/>
  <c r="G532" i="35"/>
  <c r="L531" i="35"/>
  <c r="L530" i="35"/>
  <c r="L529" i="35"/>
  <c r="M528" i="35"/>
  <c r="L528" i="35"/>
  <c r="I528" i="35"/>
  <c r="I527" i="35" s="1"/>
  <c r="I526" i="35" s="1"/>
  <c r="K527" i="35"/>
  <c r="J527" i="35"/>
  <c r="G527" i="35"/>
  <c r="G526" i="35" s="1"/>
  <c r="K526" i="35"/>
  <c r="J526" i="35"/>
  <c r="H526" i="35"/>
  <c r="M525" i="35"/>
  <c r="L525" i="35"/>
  <c r="I525" i="35"/>
  <c r="I524" i="35" s="1"/>
  <c r="K524" i="35"/>
  <c r="J524" i="35"/>
  <c r="G524" i="35"/>
  <c r="M523" i="35"/>
  <c r="L523" i="35"/>
  <c r="I523" i="35"/>
  <c r="K522" i="35"/>
  <c r="J522" i="35"/>
  <c r="I522" i="35"/>
  <c r="G522" i="35"/>
  <c r="L521" i="35"/>
  <c r="K521" i="35"/>
  <c r="K520" i="35" s="1"/>
  <c r="J521" i="35"/>
  <c r="I521" i="35"/>
  <c r="G521" i="35"/>
  <c r="N521" i="35" s="1"/>
  <c r="J520" i="35"/>
  <c r="I520" i="35"/>
  <c r="H519" i="35"/>
  <c r="L518" i="35"/>
  <c r="I518" i="35"/>
  <c r="I517" i="35" s="1"/>
  <c r="I516" i="35" s="1"/>
  <c r="G518" i="35"/>
  <c r="N518" i="35" s="1"/>
  <c r="K517" i="35"/>
  <c r="J517" i="35"/>
  <c r="H516" i="35"/>
  <c r="L511" i="35"/>
  <c r="G511" i="35"/>
  <c r="N511" i="35" s="1"/>
  <c r="K510" i="35"/>
  <c r="J510" i="35"/>
  <c r="I510" i="35"/>
  <c r="I509" i="35" s="1"/>
  <c r="I508" i="35" s="1"/>
  <c r="I507" i="35" s="1"/>
  <c r="I506" i="35" s="1"/>
  <c r="I505" i="35" s="1"/>
  <c r="I785" i="35" s="1"/>
  <c r="H509" i="35"/>
  <c r="H508" i="35" s="1"/>
  <c r="H507" i="35" s="1"/>
  <c r="H506" i="35" s="1"/>
  <c r="H505" i="35" s="1"/>
  <c r="M504" i="35"/>
  <c r="L504" i="35"/>
  <c r="K503" i="35"/>
  <c r="J503" i="35"/>
  <c r="I503" i="35"/>
  <c r="I502" i="35" s="1"/>
  <c r="I501" i="35" s="1"/>
  <c r="I500" i="35" s="1"/>
  <c r="I804" i="35" s="1"/>
  <c r="G503" i="35"/>
  <c r="K502" i="35"/>
  <c r="J502" i="35"/>
  <c r="H502" i="35"/>
  <c r="H501" i="35" s="1"/>
  <c r="H500" i="35" s="1"/>
  <c r="L499" i="35"/>
  <c r="K498" i="35"/>
  <c r="J498" i="35"/>
  <c r="J497" i="35" s="1"/>
  <c r="I498" i="35"/>
  <c r="I497" i="35" s="1"/>
  <c r="L496" i="35"/>
  <c r="K495" i="35"/>
  <c r="J495" i="35"/>
  <c r="J494" i="35" s="1"/>
  <c r="I495" i="35"/>
  <c r="I494" i="35" s="1"/>
  <c r="M493" i="35"/>
  <c r="L493" i="35"/>
  <c r="G493" i="35"/>
  <c r="K492" i="35"/>
  <c r="J492" i="35"/>
  <c r="J491" i="35" s="1"/>
  <c r="G492" i="35"/>
  <c r="H491" i="35"/>
  <c r="L490" i="35"/>
  <c r="G490" i="35"/>
  <c r="N490" i="35" s="1"/>
  <c r="K489" i="35"/>
  <c r="J489" i="35"/>
  <c r="H488" i="35"/>
  <c r="L487" i="35"/>
  <c r="H487" i="35"/>
  <c r="G487" i="35"/>
  <c r="K486" i="35"/>
  <c r="J486" i="35"/>
  <c r="I486" i="35"/>
  <c r="H486" i="35"/>
  <c r="H485" i="35" s="1"/>
  <c r="G486" i="35"/>
  <c r="G485" i="35" s="1"/>
  <c r="J485" i="35"/>
  <c r="J484" i="35" s="1"/>
  <c r="I485" i="35"/>
  <c r="L483" i="35"/>
  <c r="K482" i="35"/>
  <c r="J482" i="35"/>
  <c r="J481" i="35" s="1"/>
  <c r="L480" i="35"/>
  <c r="K479" i="35"/>
  <c r="J479" i="35"/>
  <c r="J478" i="35" s="1"/>
  <c r="M477" i="35"/>
  <c r="L477" i="35"/>
  <c r="K476" i="35"/>
  <c r="J476" i="35"/>
  <c r="J475" i="35" s="1"/>
  <c r="I476" i="35"/>
  <c r="I475" i="35" s="1"/>
  <c r="G476" i="35"/>
  <c r="G475" i="35" s="1"/>
  <c r="H475" i="35"/>
  <c r="M474" i="35"/>
  <c r="L474" i="35"/>
  <c r="K473" i="35"/>
  <c r="J473" i="35"/>
  <c r="I473" i="35"/>
  <c r="I472" i="35" s="1"/>
  <c r="G473" i="35"/>
  <c r="G472" i="35" s="1"/>
  <c r="H472" i="35"/>
  <c r="K471" i="35"/>
  <c r="L471" i="35" s="1"/>
  <c r="J471" i="35"/>
  <c r="J470" i="35" s="1"/>
  <c r="J469" i="35" s="1"/>
  <c r="H471" i="35"/>
  <c r="H470" i="35" s="1"/>
  <c r="H469" i="35" s="1"/>
  <c r="G471" i="35"/>
  <c r="G470" i="35"/>
  <c r="G469" i="35" s="1"/>
  <c r="M468" i="35"/>
  <c r="L468" i="35"/>
  <c r="K467" i="35"/>
  <c r="J467" i="35"/>
  <c r="J466" i="35" s="1"/>
  <c r="G467" i="35"/>
  <c r="G466" i="35" s="1"/>
  <c r="H466" i="35"/>
  <c r="M465" i="35"/>
  <c r="L465" i="35"/>
  <c r="K464" i="35"/>
  <c r="J464" i="35"/>
  <c r="I464" i="35"/>
  <c r="G464" i="35"/>
  <c r="L463" i="35"/>
  <c r="G463" i="35"/>
  <c r="N463" i="35" s="1"/>
  <c r="K462" i="35"/>
  <c r="J462" i="35"/>
  <c r="I462" i="35"/>
  <c r="H461" i="35"/>
  <c r="L456" i="35"/>
  <c r="G456" i="35"/>
  <c r="K455" i="35"/>
  <c r="J455" i="35"/>
  <c r="I455" i="35"/>
  <c r="I454" i="35" s="1"/>
  <c r="H454" i="35"/>
  <c r="M453" i="35"/>
  <c r="L453" i="35"/>
  <c r="K452" i="35"/>
  <c r="J452" i="35"/>
  <c r="J451" i="35" s="1"/>
  <c r="I452" i="35"/>
  <c r="I451" i="35" s="1"/>
  <c r="G452" i="35"/>
  <c r="G451" i="35" s="1"/>
  <c r="K451" i="35"/>
  <c r="H451" i="35"/>
  <c r="M450" i="35"/>
  <c r="L450" i="35"/>
  <c r="M449" i="35"/>
  <c r="L449" i="35"/>
  <c r="G449" i="35"/>
  <c r="G810" i="35" s="1"/>
  <c r="K448" i="35"/>
  <c r="J448" i="35"/>
  <c r="I448" i="35"/>
  <c r="G448" i="35"/>
  <c r="M447" i="35"/>
  <c r="L447" i="35"/>
  <c r="K446" i="35"/>
  <c r="J446" i="35"/>
  <c r="I446" i="35"/>
  <c r="G446" i="35"/>
  <c r="H445" i="35"/>
  <c r="L441" i="35"/>
  <c r="G441" i="35"/>
  <c r="M441" i="35" s="1"/>
  <c r="K440" i="35"/>
  <c r="J440" i="35"/>
  <c r="J439" i="35" s="1"/>
  <c r="I440" i="35"/>
  <c r="I439" i="35" s="1"/>
  <c r="I438" i="35" s="1"/>
  <c r="G440" i="35"/>
  <c r="G439" i="35" s="1"/>
  <c r="G438" i="35" s="1"/>
  <c r="K439" i="35"/>
  <c r="H439" i="35"/>
  <c r="H438" i="35" s="1"/>
  <c r="L437" i="35"/>
  <c r="K437" i="35"/>
  <c r="K436" i="35" s="1"/>
  <c r="J437" i="35"/>
  <c r="G437" i="35"/>
  <c r="G436" i="35" s="1"/>
  <c r="G435" i="35" s="1"/>
  <c r="G434" i="35" s="1"/>
  <c r="G433" i="35" s="1"/>
  <c r="G797" i="35" s="1"/>
  <c r="J436" i="35"/>
  <c r="J435" i="35" s="1"/>
  <c r="J434" i="35" s="1"/>
  <c r="I436" i="35"/>
  <c r="I435" i="35" s="1"/>
  <c r="I434" i="35" s="1"/>
  <c r="I433" i="35" s="1"/>
  <c r="H435" i="35"/>
  <c r="H434" i="35" s="1"/>
  <c r="H433" i="35" s="1"/>
  <c r="M432" i="35"/>
  <c r="L432" i="35"/>
  <c r="K431" i="35"/>
  <c r="J431" i="35"/>
  <c r="I431" i="35"/>
  <c r="I430" i="35" s="1"/>
  <c r="I429" i="35" s="1"/>
  <c r="I428" i="35" s="1"/>
  <c r="I792" i="35" s="1"/>
  <c r="G431" i="35"/>
  <c r="G430" i="35" s="1"/>
  <c r="G429" i="35" s="1"/>
  <c r="G428" i="35" s="1"/>
  <c r="H430" i="35"/>
  <c r="H429" i="35" s="1"/>
  <c r="H428" i="35" s="1"/>
  <c r="M426" i="35"/>
  <c r="L426" i="35"/>
  <c r="K425" i="35"/>
  <c r="J425" i="35"/>
  <c r="I425" i="35"/>
  <c r="I424" i="35" s="1"/>
  <c r="I423" i="35" s="1"/>
  <c r="I422" i="35" s="1"/>
  <c r="G425" i="35"/>
  <c r="G424" i="35" s="1"/>
  <c r="G423" i="35" s="1"/>
  <c r="G422" i="35" s="1"/>
  <c r="H424" i="35"/>
  <c r="H423" i="35" s="1"/>
  <c r="H422" i="35" s="1"/>
  <c r="K420" i="35"/>
  <c r="J420" i="35"/>
  <c r="J419" i="35"/>
  <c r="J418" i="35" s="1"/>
  <c r="K417" i="35"/>
  <c r="J417" i="35"/>
  <c r="J416" i="35" s="1"/>
  <c r="I417" i="35"/>
  <c r="I416" i="35" s="1"/>
  <c r="I415" i="35" s="1"/>
  <c r="I414" i="35" s="1"/>
  <c r="I413" i="35" s="1"/>
  <c r="I401" i="35" s="1"/>
  <c r="G417" i="35"/>
  <c r="K416" i="35"/>
  <c r="G416" i="35"/>
  <c r="G415" i="35" s="1"/>
  <c r="G414" i="35" s="1"/>
  <c r="G413" i="35" s="1"/>
  <c r="H415" i="35"/>
  <c r="H414" i="35" s="1"/>
  <c r="H413" i="35" s="1"/>
  <c r="L412" i="35"/>
  <c r="K411" i="35"/>
  <c r="J411" i="35"/>
  <c r="J410" i="35" s="1"/>
  <c r="L409" i="35"/>
  <c r="K408" i="35"/>
  <c r="J408" i="35"/>
  <c r="J407" i="35" s="1"/>
  <c r="G408" i="35"/>
  <c r="G407" i="35" s="1"/>
  <c r="M406" i="35"/>
  <c r="L406" i="35"/>
  <c r="K405" i="35"/>
  <c r="J405" i="35"/>
  <c r="H405" i="35"/>
  <c r="H404" i="35" s="1"/>
  <c r="H403" i="35" s="1"/>
  <c r="H402" i="35" s="1"/>
  <c r="G405" i="35"/>
  <c r="G404" i="35" s="1"/>
  <c r="K404" i="35"/>
  <c r="J404" i="35"/>
  <c r="L400" i="35"/>
  <c r="G400" i="35"/>
  <c r="K399" i="35"/>
  <c r="J399" i="35"/>
  <c r="H398" i="35"/>
  <c r="M397" i="35"/>
  <c r="L397" i="35"/>
  <c r="L396" i="35"/>
  <c r="G396" i="35"/>
  <c r="K395" i="35"/>
  <c r="J395" i="35"/>
  <c r="I395" i="35"/>
  <c r="I394" i="35" s="1"/>
  <c r="I393" i="35" s="1"/>
  <c r="H394" i="35"/>
  <c r="H393" i="35" s="1"/>
  <c r="L392" i="35"/>
  <c r="G392" i="35"/>
  <c r="M392" i="35" s="1"/>
  <c r="K391" i="35"/>
  <c r="J391" i="35"/>
  <c r="J390" i="35" s="1"/>
  <c r="G391" i="35"/>
  <c r="G390" i="35" s="1"/>
  <c r="H390" i="35"/>
  <c r="M389" i="35"/>
  <c r="L389" i="35"/>
  <c r="G389" i="35"/>
  <c r="K388" i="35"/>
  <c r="J388" i="35"/>
  <c r="J387" i="35" s="1"/>
  <c r="G388" i="35"/>
  <c r="G387" i="35" s="1"/>
  <c r="H387" i="35"/>
  <c r="L386" i="35"/>
  <c r="I386" i="35"/>
  <c r="I385" i="35" s="1"/>
  <c r="I384" i="35" s="1"/>
  <c r="I383" i="35" s="1"/>
  <c r="G386" i="35"/>
  <c r="N386" i="35" s="1"/>
  <c r="K385" i="35"/>
  <c r="J385" i="35"/>
  <c r="H384" i="35"/>
  <c r="L382" i="35"/>
  <c r="K381" i="35"/>
  <c r="J381" i="35"/>
  <c r="J380" i="35" s="1"/>
  <c r="I381" i="35"/>
  <c r="I380" i="35" s="1"/>
  <c r="L379" i="35"/>
  <c r="K378" i="35"/>
  <c r="J378" i="35"/>
  <c r="J377" i="35" s="1"/>
  <c r="I378" i="35"/>
  <c r="I377" i="35" s="1"/>
  <c r="L376" i="35"/>
  <c r="I376" i="35"/>
  <c r="G376" i="35"/>
  <c r="M376" i="35" s="1"/>
  <c r="K375" i="35"/>
  <c r="J375" i="35"/>
  <c r="I375" i="35"/>
  <c r="I374" i="35" s="1"/>
  <c r="G375" i="35"/>
  <c r="K374" i="35"/>
  <c r="J374" i="35"/>
  <c r="H374" i="35"/>
  <c r="G374" i="35"/>
  <c r="L369" i="35"/>
  <c r="K369" i="35"/>
  <c r="J369" i="35"/>
  <c r="I369" i="35"/>
  <c r="K368" i="35"/>
  <c r="J368" i="35"/>
  <c r="J367" i="35" s="1"/>
  <c r="J366" i="35" s="1"/>
  <c r="I368" i="35"/>
  <c r="I367" i="35" s="1"/>
  <c r="I366" i="35" s="1"/>
  <c r="M365" i="35"/>
  <c r="L365" i="35"/>
  <c r="G365" i="35"/>
  <c r="G364" i="35" s="1"/>
  <c r="L364" i="35"/>
  <c r="L363" i="35"/>
  <c r="H363" i="35"/>
  <c r="L362" i="35"/>
  <c r="L361" i="35"/>
  <c r="G361" i="35"/>
  <c r="L360" i="35"/>
  <c r="L359" i="35"/>
  <c r="M358" i="35"/>
  <c r="L358" i="35"/>
  <c r="K357" i="35"/>
  <c r="J357" i="35"/>
  <c r="J356" i="35" s="1"/>
  <c r="I357" i="35"/>
  <c r="I356" i="35" s="1"/>
  <c r="G357" i="35"/>
  <c r="G356" i="35" s="1"/>
  <c r="K356" i="35"/>
  <c r="H356" i="35"/>
  <c r="L355" i="35"/>
  <c r="I355" i="35"/>
  <c r="I354" i="35" s="1"/>
  <c r="I353" i="35" s="1"/>
  <c r="G355" i="35"/>
  <c r="N355" i="35" s="1"/>
  <c r="K354" i="35"/>
  <c r="J354" i="35"/>
  <c r="H353" i="35"/>
  <c r="M348" i="35"/>
  <c r="L348" i="35"/>
  <c r="I348" i="35"/>
  <c r="I347" i="35" s="1"/>
  <c r="I346" i="35" s="1"/>
  <c r="I345" i="35" s="1"/>
  <c r="I344" i="35" s="1"/>
  <c r="I800" i="35" s="1"/>
  <c r="G348" i="35"/>
  <c r="K347" i="35"/>
  <c r="J347" i="35"/>
  <c r="J346" i="35" s="1"/>
  <c r="J345" i="35" s="1"/>
  <c r="J344" i="35" s="1"/>
  <c r="G347" i="35"/>
  <c r="H346" i="35"/>
  <c r="H345" i="35"/>
  <c r="H344" i="35" s="1"/>
  <c r="M343" i="35"/>
  <c r="L343" i="35"/>
  <c r="I343" i="35"/>
  <c r="I342" i="35" s="1"/>
  <c r="I341" i="35" s="1"/>
  <c r="I340" i="35" s="1"/>
  <c r="K342" i="35"/>
  <c r="J342" i="35"/>
  <c r="J341" i="35" s="1"/>
  <c r="J340" i="35" s="1"/>
  <c r="G342" i="35"/>
  <c r="G341" i="35" s="1"/>
  <c r="G340" i="35" s="1"/>
  <c r="K341" i="35"/>
  <c r="H341" i="35"/>
  <c r="H340" i="35" s="1"/>
  <c r="M339" i="35"/>
  <c r="L339" i="35"/>
  <c r="I339" i="35"/>
  <c r="I338" i="35" s="1"/>
  <c r="I337" i="35" s="1"/>
  <c r="I336" i="35" s="1"/>
  <c r="K338" i="35"/>
  <c r="J338" i="35"/>
  <c r="G338" i="35"/>
  <c r="K337" i="35"/>
  <c r="J337" i="35"/>
  <c r="H337" i="35"/>
  <c r="H336" i="35" s="1"/>
  <c r="G337" i="35"/>
  <c r="G336" i="35" s="1"/>
  <c r="M332" i="35"/>
  <c r="L332" i="35"/>
  <c r="K331" i="35"/>
  <c r="J331" i="35"/>
  <c r="J330" i="35" s="1"/>
  <c r="I331" i="35"/>
  <c r="I330" i="35" s="1"/>
  <c r="I326" i="35" s="1"/>
  <c r="I325" i="35" s="1"/>
  <c r="I324" i="35" s="1"/>
  <c r="G331" i="35"/>
  <c r="H330" i="35"/>
  <c r="M329" i="35"/>
  <c r="L329" i="35"/>
  <c r="K328" i="35"/>
  <c r="J328" i="35"/>
  <c r="G328" i="35"/>
  <c r="G327" i="35" s="1"/>
  <c r="H327" i="35"/>
  <c r="L323" i="35"/>
  <c r="G323" i="35"/>
  <c r="N323" i="35" s="1"/>
  <c r="L322" i="35"/>
  <c r="L321" i="35"/>
  <c r="H321" i="35"/>
  <c r="L320" i="35"/>
  <c r="K320" i="35"/>
  <c r="I320" i="35"/>
  <c r="G320" i="35"/>
  <c r="G319" i="35" s="1"/>
  <c r="G318" i="35" s="1"/>
  <c r="K319" i="35"/>
  <c r="J319" i="35"/>
  <c r="J318" i="35" s="1"/>
  <c r="I319" i="35"/>
  <c r="I318" i="35" s="1"/>
  <c r="H318" i="35"/>
  <c r="M317" i="35"/>
  <c r="L317" i="35"/>
  <c r="I317" i="35"/>
  <c r="I316" i="35" s="1"/>
  <c r="I315" i="35" s="1"/>
  <c r="K316" i="35"/>
  <c r="K315" i="35" s="1"/>
  <c r="J316" i="35"/>
  <c r="J315" i="35" s="1"/>
  <c r="G316" i="35"/>
  <c r="G315" i="35" s="1"/>
  <c r="H315" i="35"/>
  <c r="M312" i="35"/>
  <c r="L312" i="35"/>
  <c r="G312" i="35"/>
  <c r="L311" i="35"/>
  <c r="G311" i="35"/>
  <c r="L310" i="35"/>
  <c r="H310" i="35"/>
  <c r="K309" i="35"/>
  <c r="J309" i="35"/>
  <c r="I309" i="35"/>
  <c r="I308" i="35" s="1"/>
  <c r="I307" i="35" s="1"/>
  <c r="I306" i="35" s="1"/>
  <c r="I305" i="35" s="1"/>
  <c r="G309" i="35"/>
  <c r="G308" i="35"/>
  <c r="G307" i="35" s="1"/>
  <c r="G306" i="35" s="1"/>
  <c r="H307" i="35"/>
  <c r="H306" i="35" s="1"/>
  <c r="L303" i="35"/>
  <c r="G303" i="35"/>
  <c r="M303" i="35" s="1"/>
  <c r="K302" i="35"/>
  <c r="J302" i="35"/>
  <c r="G302" i="35"/>
  <c r="G301" i="35" s="1"/>
  <c r="H301" i="35"/>
  <c r="M300" i="35"/>
  <c r="L300" i="35"/>
  <c r="G300" i="35"/>
  <c r="L299" i="35"/>
  <c r="G299" i="35"/>
  <c r="L298" i="35"/>
  <c r="H298" i="35"/>
  <c r="L297" i="35"/>
  <c r="I297" i="35"/>
  <c r="I296" i="35" s="1"/>
  <c r="I295" i="35" s="1"/>
  <c r="G297" i="35"/>
  <c r="M297" i="35" s="1"/>
  <c r="K296" i="35"/>
  <c r="J296" i="35"/>
  <c r="J295" i="35" s="1"/>
  <c r="H295" i="35"/>
  <c r="L294" i="35"/>
  <c r="I294" i="35"/>
  <c r="G294" i="35"/>
  <c r="G293" i="35" s="1"/>
  <c r="G292" i="35" s="1"/>
  <c r="K293" i="35"/>
  <c r="J293" i="35"/>
  <c r="J292" i="35" s="1"/>
  <c r="I293" i="35"/>
  <c r="I292" i="35" s="1"/>
  <c r="H292" i="35"/>
  <c r="L291" i="35"/>
  <c r="I291" i="35"/>
  <c r="I290" i="35" s="1"/>
  <c r="G291" i="35"/>
  <c r="N291" i="35" s="1"/>
  <c r="K290" i="35"/>
  <c r="J290" i="35"/>
  <c r="I289" i="35"/>
  <c r="H289" i="35"/>
  <c r="L286" i="35"/>
  <c r="L285" i="35"/>
  <c r="H285" i="35"/>
  <c r="H284" i="35" s="1"/>
  <c r="G285" i="35"/>
  <c r="L284" i="35"/>
  <c r="M283" i="35"/>
  <c r="L283" i="35"/>
  <c r="I283" i="35"/>
  <c r="I282" i="35" s="1"/>
  <c r="I281" i="35" s="1"/>
  <c r="K282" i="35"/>
  <c r="J282" i="35"/>
  <c r="G282" i="35"/>
  <c r="H281" i="35"/>
  <c r="L280" i="35"/>
  <c r="I280" i="35"/>
  <c r="I279" i="35" s="1"/>
  <c r="I278" i="35" s="1"/>
  <c r="K279" i="35"/>
  <c r="J279" i="35"/>
  <c r="J278" i="35" s="1"/>
  <c r="H279" i="35"/>
  <c r="H278" i="35" s="1"/>
  <c r="G279" i="35"/>
  <c r="G278" i="35" s="1"/>
  <c r="L277" i="35"/>
  <c r="I277" i="35"/>
  <c r="I276" i="35" s="1"/>
  <c r="G277" i="35"/>
  <c r="K276" i="35"/>
  <c r="J276" i="35"/>
  <c r="I275" i="35"/>
  <c r="H275" i="35"/>
  <c r="M271" i="35"/>
  <c r="L271" i="35"/>
  <c r="K270" i="35"/>
  <c r="J270" i="35"/>
  <c r="G270" i="35"/>
  <c r="G269" i="35" s="1"/>
  <c r="G268" i="35" s="1"/>
  <c r="H269" i="35"/>
  <c r="H268" i="35" s="1"/>
  <c r="L267" i="35"/>
  <c r="L266" i="35"/>
  <c r="H266" i="35"/>
  <c r="H265" i="35" s="1"/>
  <c r="G266" i="35"/>
  <c r="L265" i="35"/>
  <c r="L264" i="35"/>
  <c r="L263" i="35"/>
  <c r="H263" i="35"/>
  <c r="H262" i="35" s="1"/>
  <c r="G263" i="35"/>
  <c r="L262" i="35"/>
  <c r="M261" i="35"/>
  <c r="L261" i="35"/>
  <c r="I261" i="35"/>
  <c r="I260" i="35" s="1"/>
  <c r="I259" i="35" s="1"/>
  <c r="K260" i="35"/>
  <c r="J260" i="35"/>
  <c r="J259" i="35" s="1"/>
  <c r="G260" i="35"/>
  <c r="G259" i="35" s="1"/>
  <c r="H259" i="35"/>
  <c r="M258" i="35"/>
  <c r="L258" i="35"/>
  <c r="I258" i="35"/>
  <c r="I257" i="35" s="1"/>
  <c r="I256" i="35" s="1"/>
  <c r="K257" i="35"/>
  <c r="J257" i="35"/>
  <c r="J256" i="35" s="1"/>
  <c r="G257" i="35"/>
  <c r="G256" i="35" s="1"/>
  <c r="H256" i="35"/>
  <c r="M255" i="35"/>
  <c r="L255" i="35"/>
  <c r="I255" i="35"/>
  <c r="G255" i="35"/>
  <c r="G254" i="35" s="1"/>
  <c r="G253" i="35" s="1"/>
  <c r="K254" i="35"/>
  <c r="J254" i="35"/>
  <c r="J253" i="35" s="1"/>
  <c r="I254" i="35"/>
  <c r="I253" i="35" s="1"/>
  <c r="H253" i="35"/>
  <c r="L252" i="35"/>
  <c r="I252" i="35"/>
  <c r="I251" i="35" s="1"/>
  <c r="I250" i="35" s="1"/>
  <c r="G252" i="35"/>
  <c r="N252" i="35" s="1"/>
  <c r="K251" i="35"/>
  <c r="J251" i="35"/>
  <c r="H250" i="35"/>
  <c r="M249" i="35"/>
  <c r="L249" i="35"/>
  <c r="I249" i="35"/>
  <c r="I248" i="35" s="1"/>
  <c r="G249" i="35"/>
  <c r="N249" i="35" s="1"/>
  <c r="K248" i="35"/>
  <c r="J248" i="35"/>
  <c r="M247" i="35"/>
  <c r="K247" i="35"/>
  <c r="J247" i="35"/>
  <c r="J246" i="35" s="1"/>
  <c r="I247" i="35"/>
  <c r="I246" i="35" s="1"/>
  <c r="G247" i="35"/>
  <c r="K246" i="35"/>
  <c r="G246" i="35"/>
  <c r="L245" i="35"/>
  <c r="I245" i="35"/>
  <c r="I244" i="35" s="1"/>
  <c r="G245" i="35"/>
  <c r="G244" i="35" s="1"/>
  <c r="K244" i="35"/>
  <c r="J244" i="35"/>
  <c r="H243" i="35"/>
  <c r="L239" i="35"/>
  <c r="L238" i="35"/>
  <c r="G238" i="35"/>
  <c r="L237" i="35"/>
  <c r="L236" i="35"/>
  <c r="L235" i="35"/>
  <c r="L234" i="35"/>
  <c r="I234" i="35"/>
  <c r="I233" i="35" s="1"/>
  <c r="I232" i="35" s="1"/>
  <c r="I231" i="35" s="1"/>
  <c r="I230" i="35" s="1"/>
  <c r="I229" i="35" s="1"/>
  <c r="G234" i="35"/>
  <c r="M234" i="35" s="1"/>
  <c r="J233" i="35"/>
  <c r="J232" i="35" s="1"/>
  <c r="J231" i="35" s="1"/>
  <c r="G233" i="35"/>
  <c r="H232" i="35"/>
  <c r="H231" i="35" s="1"/>
  <c r="H230" i="35" s="1"/>
  <c r="H229" i="35" s="1"/>
  <c r="M227" i="35"/>
  <c r="L227" i="35"/>
  <c r="K227" i="35"/>
  <c r="I227" i="35"/>
  <c r="I226" i="35" s="1"/>
  <c r="I225" i="35" s="1"/>
  <c r="I224" i="35" s="1"/>
  <c r="K226" i="35"/>
  <c r="J226" i="35"/>
  <c r="G226" i="35"/>
  <c r="G225" i="35" s="1"/>
  <c r="G224" i="35" s="1"/>
  <c r="H225" i="35"/>
  <c r="H224" i="35" s="1"/>
  <c r="L223" i="35"/>
  <c r="I223" i="35"/>
  <c r="G223" i="35"/>
  <c r="G222" i="35" s="1"/>
  <c r="K222" i="35"/>
  <c r="J222" i="35"/>
  <c r="I222" i="35"/>
  <c r="I221" i="35" s="1"/>
  <c r="I220" i="35" s="1"/>
  <c r="H221" i="35"/>
  <c r="H220" i="35" s="1"/>
  <c r="M218" i="35"/>
  <c r="L218" i="35"/>
  <c r="I218" i="35"/>
  <c r="I217" i="35" s="1"/>
  <c r="I216" i="35" s="1"/>
  <c r="I215" i="35" s="1"/>
  <c r="I214" i="35" s="1"/>
  <c r="K217" i="35"/>
  <c r="J217" i="35"/>
  <c r="J216" i="35" s="1"/>
  <c r="J215" i="35" s="1"/>
  <c r="G217" i="35"/>
  <c r="G216" i="35" s="1"/>
  <c r="H216" i="35"/>
  <c r="H215" i="35" s="1"/>
  <c r="H214" i="35" s="1"/>
  <c r="L212" i="35"/>
  <c r="I212" i="35"/>
  <c r="I211" i="35" s="1"/>
  <c r="I210" i="35" s="1"/>
  <c r="G212" i="35"/>
  <c r="K211" i="35"/>
  <c r="J211" i="35"/>
  <c r="J210" i="35" s="1"/>
  <c r="H211" i="35"/>
  <c r="H210" i="35" s="1"/>
  <c r="G211" i="35"/>
  <c r="G210" i="35" s="1"/>
  <c r="L209" i="35"/>
  <c r="K208" i="35"/>
  <c r="J208" i="35"/>
  <c r="J207" i="35" s="1"/>
  <c r="H208" i="35"/>
  <c r="H207" i="35" s="1"/>
  <c r="G208" i="35"/>
  <c r="G207" i="35" s="1"/>
  <c r="L206" i="35"/>
  <c r="I206" i="35"/>
  <c r="I205" i="35" s="1"/>
  <c r="I204" i="35" s="1"/>
  <c r="G206" i="35"/>
  <c r="M206" i="35" s="1"/>
  <c r="K205" i="35"/>
  <c r="J205" i="35"/>
  <c r="J204" i="35" s="1"/>
  <c r="J203" i="35" s="1"/>
  <c r="H204" i="35"/>
  <c r="M200" i="35"/>
  <c r="L200" i="35"/>
  <c r="I200" i="35"/>
  <c r="I199" i="35" s="1"/>
  <c r="I198" i="35" s="1"/>
  <c r="I197" i="35" s="1"/>
  <c r="I196" i="35" s="1"/>
  <c r="I803" i="35" s="1"/>
  <c r="K199" i="35"/>
  <c r="J199" i="35"/>
  <c r="J198" i="35" s="1"/>
  <c r="J197" i="35" s="1"/>
  <c r="G199" i="35"/>
  <c r="K198" i="35"/>
  <c r="H198" i="35"/>
  <c r="H197" i="35" s="1"/>
  <c r="H196" i="35" s="1"/>
  <c r="M195" i="35"/>
  <c r="L195" i="35"/>
  <c r="I195" i="35"/>
  <c r="I194" i="35" s="1"/>
  <c r="I193" i="35" s="1"/>
  <c r="I192" i="35" s="1"/>
  <c r="I191" i="35" s="1"/>
  <c r="K194" i="35"/>
  <c r="J194" i="35"/>
  <c r="J193" i="35" s="1"/>
  <c r="G194" i="35"/>
  <c r="G193" i="35" s="1"/>
  <c r="H193" i="35"/>
  <c r="H191" i="35" s="1"/>
  <c r="M189" i="35"/>
  <c r="L189" i="35"/>
  <c r="I189" i="35"/>
  <c r="G189" i="35"/>
  <c r="K188" i="35"/>
  <c r="J188" i="35"/>
  <c r="I188" i="35"/>
  <c r="I187" i="35" s="1"/>
  <c r="G188" i="35"/>
  <c r="K187" i="35"/>
  <c r="J187" i="35"/>
  <c r="J185" i="35" s="1"/>
  <c r="H187" i="35"/>
  <c r="H186" i="35" s="1"/>
  <c r="M182" i="35"/>
  <c r="K182" i="35"/>
  <c r="I182" i="35"/>
  <c r="J181" i="35"/>
  <c r="I181" i="35"/>
  <c r="I180" i="35" s="1"/>
  <c r="I179" i="35" s="1"/>
  <c r="I178" i="35" s="1"/>
  <c r="G181" i="35"/>
  <c r="G180" i="35" s="1"/>
  <c r="G179" i="35" s="1"/>
  <c r="G178" i="35" s="1"/>
  <c r="H180" i="35"/>
  <c r="H179" i="35" s="1"/>
  <c r="H178" i="35" s="1"/>
  <c r="M177" i="35"/>
  <c r="L177" i="35"/>
  <c r="I177" i="35"/>
  <c r="G177" i="35"/>
  <c r="N177" i="35" s="1"/>
  <c r="K176" i="35"/>
  <c r="J176" i="35"/>
  <c r="J175" i="35" s="1"/>
  <c r="J174" i="35" s="1"/>
  <c r="I176" i="35"/>
  <c r="I175" i="35" s="1"/>
  <c r="I174" i="35" s="1"/>
  <c r="I173" i="35" s="1"/>
  <c r="G176" i="35"/>
  <c r="K175" i="35"/>
  <c r="H175" i="35"/>
  <c r="H174" i="35" s="1"/>
  <c r="H173" i="35" s="1"/>
  <c r="L171" i="35"/>
  <c r="I171" i="35"/>
  <c r="I170" i="35" s="1"/>
  <c r="I169" i="35" s="1"/>
  <c r="G171" i="35"/>
  <c r="G170" i="35" s="1"/>
  <c r="G169" i="35" s="1"/>
  <c r="K170" i="35"/>
  <c r="J170" i="35"/>
  <c r="J169" i="35" s="1"/>
  <c r="H169" i="35"/>
  <c r="M168" i="35"/>
  <c r="L168" i="35"/>
  <c r="I168" i="35"/>
  <c r="I167" i="35" s="1"/>
  <c r="I166" i="35" s="1"/>
  <c r="I165" i="35" s="1"/>
  <c r="K167" i="35"/>
  <c r="J167" i="35"/>
  <c r="J166" i="35" s="1"/>
  <c r="G167" i="35"/>
  <c r="G166" i="35" s="1"/>
  <c r="G165" i="35" s="1"/>
  <c r="H166" i="35"/>
  <c r="H165" i="35" s="1"/>
  <c r="L161" i="35"/>
  <c r="I161" i="35"/>
  <c r="I160" i="35" s="1"/>
  <c r="G161" i="35"/>
  <c r="M161" i="35" s="1"/>
  <c r="K160" i="35"/>
  <c r="J160" i="35"/>
  <c r="G160" i="35"/>
  <c r="M159" i="35"/>
  <c r="L159" i="35"/>
  <c r="I159" i="35"/>
  <c r="G159" i="35"/>
  <c r="G158" i="35" s="1"/>
  <c r="G157" i="35" s="1"/>
  <c r="K158" i="35"/>
  <c r="J158" i="35"/>
  <c r="I158" i="35"/>
  <c r="H157" i="35"/>
  <c r="M156" i="35"/>
  <c r="L156" i="35"/>
  <c r="I156" i="35"/>
  <c r="I155" i="35" s="1"/>
  <c r="K155" i="35"/>
  <c r="J155" i="35"/>
  <c r="G155" i="35"/>
  <c r="M154" i="35"/>
  <c r="L154" i="35"/>
  <c r="I154" i="35"/>
  <c r="I153" i="35" s="1"/>
  <c r="K153" i="35"/>
  <c r="J153" i="35"/>
  <c r="G153" i="35"/>
  <c r="H152" i="35"/>
  <c r="M151" i="35"/>
  <c r="L151" i="35"/>
  <c r="I151" i="35"/>
  <c r="I150" i="35" s="1"/>
  <c r="K150" i="35"/>
  <c r="J150" i="35"/>
  <c r="G150" i="35"/>
  <c r="M149" i="35"/>
  <c r="L149" i="35"/>
  <c r="K149" i="35"/>
  <c r="K148" i="35" s="1"/>
  <c r="J149" i="35"/>
  <c r="I149" i="35"/>
  <c r="I148" i="35" s="1"/>
  <c r="J148" i="35"/>
  <c r="G148" i="35"/>
  <c r="H147" i="35"/>
  <c r="M146" i="35"/>
  <c r="L146" i="35"/>
  <c r="I146" i="35"/>
  <c r="I145" i="35" s="1"/>
  <c r="K145" i="35"/>
  <c r="J145" i="35"/>
  <c r="G145" i="35"/>
  <c r="M144" i="35"/>
  <c r="L144" i="35"/>
  <c r="I144" i="35"/>
  <c r="I143" i="35" s="1"/>
  <c r="K143" i="35"/>
  <c r="J143" i="35"/>
  <c r="G143" i="35"/>
  <c r="H142" i="35"/>
  <c r="M141" i="35"/>
  <c r="L141" i="35"/>
  <c r="I141" i="35"/>
  <c r="I140" i="35" s="1"/>
  <c r="I139" i="35" s="1"/>
  <c r="K140" i="35"/>
  <c r="J140" i="35"/>
  <c r="G140" i="35"/>
  <c r="G139" i="35" s="1"/>
  <c r="H139" i="35"/>
  <c r="L138" i="35"/>
  <c r="I138" i="35"/>
  <c r="I137" i="35" s="1"/>
  <c r="G138" i="35"/>
  <c r="M138" i="35" s="1"/>
  <c r="K137" i="35"/>
  <c r="J137" i="35"/>
  <c r="G137" i="35"/>
  <c r="M136" i="35"/>
  <c r="K136" i="35"/>
  <c r="J136" i="35"/>
  <c r="L136" i="35" s="1"/>
  <c r="I136" i="35"/>
  <c r="I135" i="35" s="1"/>
  <c r="I134" i="35" s="1"/>
  <c r="G136" i="35"/>
  <c r="K135" i="35"/>
  <c r="G135" i="35"/>
  <c r="H134" i="35"/>
  <c r="M132" i="35"/>
  <c r="L132" i="35"/>
  <c r="I132" i="35"/>
  <c r="I131" i="35" s="1"/>
  <c r="I130" i="35" s="1"/>
  <c r="K131" i="35"/>
  <c r="J131" i="35"/>
  <c r="G131" i="35"/>
  <c r="G130" i="35" s="1"/>
  <c r="H130" i="35"/>
  <c r="L129" i="35"/>
  <c r="L128" i="35"/>
  <c r="H128" i="35"/>
  <c r="G128" i="35"/>
  <c r="L127" i="35"/>
  <c r="L126" i="35"/>
  <c r="H126" i="35"/>
  <c r="H125" i="35" s="1"/>
  <c r="G126" i="35"/>
  <c r="L125" i="35"/>
  <c r="L124" i="35"/>
  <c r="I124" i="35"/>
  <c r="G124" i="35"/>
  <c r="K123" i="35"/>
  <c r="N123" i="35" s="1"/>
  <c r="J123" i="35"/>
  <c r="I123" i="35"/>
  <c r="I122" i="35" s="1"/>
  <c r="G123" i="35"/>
  <c r="K122" i="35"/>
  <c r="G122" i="35"/>
  <c r="M121" i="35"/>
  <c r="L121" i="35"/>
  <c r="G121" i="35"/>
  <c r="K120" i="35"/>
  <c r="J120" i="35"/>
  <c r="I120" i="35"/>
  <c r="G120" i="35"/>
  <c r="H119" i="35"/>
  <c r="J118" i="35"/>
  <c r="M118" i="35" s="1"/>
  <c r="I118" i="35"/>
  <c r="I117" i="35" s="1"/>
  <c r="K117" i="35"/>
  <c r="G117" i="35"/>
  <c r="K116" i="35"/>
  <c r="J116" i="35"/>
  <c r="I116" i="35"/>
  <c r="I115" i="35" s="1"/>
  <c r="G116" i="35"/>
  <c r="G115" i="35" s="1"/>
  <c r="J115" i="35"/>
  <c r="H114" i="35"/>
  <c r="M113" i="35"/>
  <c r="L113" i="35"/>
  <c r="K112" i="35"/>
  <c r="K111" i="35" s="1"/>
  <c r="G112" i="35"/>
  <c r="M112" i="35" s="1"/>
  <c r="H111" i="35"/>
  <c r="M109" i="35"/>
  <c r="L109" i="35"/>
  <c r="K108" i="35"/>
  <c r="J108" i="35"/>
  <c r="I108" i="35"/>
  <c r="I107" i="35" s="1"/>
  <c r="I106" i="35" s="1"/>
  <c r="I105" i="35" s="1"/>
  <c r="G108" i="35"/>
  <c r="G107" i="35" s="1"/>
  <c r="N107" i="35" s="1"/>
  <c r="L107" i="35"/>
  <c r="K106" i="35"/>
  <c r="J106" i="35"/>
  <c r="J105" i="35" s="1"/>
  <c r="J104" i="35"/>
  <c r="J103" i="35" s="1"/>
  <c r="I104" i="35"/>
  <c r="K103" i="35"/>
  <c r="I103" i="35"/>
  <c r="G103" i="35"/>
  <c r="L102" i="35"/>
  <c r="I102" i="35"/>
  <c r="I101" i="35" s="1"/>
  <c r="G102" i="35"/>
  <c r="M102" i="35" s="1"/>
  <c r="K101" i="35"/>
  <c r="J101" i="35"/>
  <c r="G101" i="35"/>
  <c r="H100" i="35"/>
  <c r="H99" i="35" s="1"/>
  <c r="H98" i="35" s="1"/>
  <c r="M97" i="35"/>
  <c r="L97" i="35"/>
  <c r="I97" i="35"/>
  <c r="I96" i="35" s="1"/>
  <c r="I95" i="35" s="1"/>
  <c r="K96" i="35"/>
  <c r="J96" i="35"/>
  <c r="G96" i="35"/>
  <c r="G95" i="35" s="1"/>
  <c r="K95" i="35"/>
  <c r="H95" i="35"/>
  <c r="K94" i="35"/>
  <c r="I94" i="35"/>
  <c r="I93" i="35" s="1"/>
  <c r="I92" i="35" s="1"/>
  <c r="G94" i="35"/>
  <c r="M94" i="35" s="1"/>
  <c r="J93" i="35"/>
  <c r="J92" i="35" s="1"/>
  <c r="H92" i="35"/>
  <c r="J89" i="35"/>
  <c r="I89" i="35"/>
  <c r="I88" i="35" s="1"/>
  <c r="I87" i="35" s="1"/>
  <c r="I86" i="35" s="1"/>
  <c r="I85" i="35" s="1"/>
  <c r="I795" i="35" s="1"/>
  <c r="K88" i="35"/>
  <c r="G88" i="35"/>
  <c r="G87" i="35" s="1"/>
  <c r="G86" i="35" s="1"/>
  <c r="G85" i="35" s="1"/>
  <c r="G795" i="35" s="1"/>
  <c r="H87" i="35"/>
  <c r="H86" i="35" s="1"/>
  <c r="H85" i="35" s="1"/>
  <c r="M84" i="35"/>
  <c r="L84" i="35"/>
  <c r="I84" i="35"/>
  <c r="G84" i="35"/>
  <c r="G83" i="35" s="1"/>
  <c r="K83" i="35"/>
  <c r="J83" i="35"/>
  <c r="I83" i="35"/>
  <c r="I80" i="35" s="1"/>
  <c r="M82" i="35"/>
  <c r="L82" i="35"/>
  <c r="K81" i="35"/>
  <c r="J81" i="35"/>
  <c r="G81" i="35"/>
  <c r="H80" i="35"/>
  <c r="L79" i="35"/>
  <c r="I79" i="35"/>
  <c r="I78" i="35" s="1"/>
  <c r="I77" i="35" s="1"/>
  <c r="K78" i="35"/>
  <c r="J78" i="35"/>
  <c r="J77" i="35" s="1"/>
  <c r="H78" i="35"/>
  <c r="H77" i="35" s="1"/>
  <c r="G78" i="35"/>
  <c r="G77" i="35" s="1"/>
  <c r="M75" i="35"/>
  <c r="L75" i="35"/>
  <c r="I75" i="35"/>
  <c r="I74" i="35" s="1"/>
  <c r="L74" i="35"/>
  <c r="G74" i="35"/>
  <c r="I73" i="35"/>
  <c r="I72" i="35" s="1"/>
  <c r="G73" i="35"/>
  <c r="G72" i="35" s="1"/>
  <c r="J72" i="35"/>
  <c r="L71" i="35"/>
  <c r="I71" i="35"/>
  <c r="G71" i="35"/>
  <c r="N71" i="35" s="1"/>
  <c r="K70" i="35"/>
  <c r="J70" i="35"/>
  <c r="I70" i="35"/>
  <c r="G70" i="35"/>
  <c r="H69" i="35"/>
  <c r="H68" i="35" s="1"/>
  <c r="L67" i="35"/>
  <c r="K67" i="35"/>
  <c r="J67" i="35"/>
  <c r="I67" i="35"/>
  <c r="I66" i="35" s="1"/>
  <c r="I65" i="35" s="1"/>
  <c r="G67" i="35"/>
  <c r="G66" i="35" s="1"/>
  <c r="G65" i="35" s="1"/>
  <c r="K66" i="35"/>
  <c r="J66" i="35"/>
  <c r="M64" i="35"/>
  <c r="L64" i="35"/>
  <c r="I64" i="35"/>
  <c r="I63" i="35" s="1"/>
  <c r="I62" i="35" s="1"/>
  <c r="K63" i="35"/>
  <c r="J63" i="35"/>
  <c r="G63" i="35"/>
  <c r="G62" i="35" s="1"/>
  <c r="K62" i="35"/>
  <c r="H61" i="35"/>
  <c r="L58" i="35"/>
  <c r="G58" i="35"/>
  <c r="N58" i="35" s="1"/>
  <c r="K57" i="35"/>
  <c r="J57" i="35"/>
  <c r="J56" i="35" s="1"/>
  <c r="I57" i="35"/>
  <c r="I56" i="35" s="1"/>
  <c r="I55" i="35" s="1"/>
  <c r="I54" i="35" s="1"/>
  <c r="G57" i="35"/>
  <c r="G56" i="35" s="1"/>
  <c r="G55" i="35" s="1"/>
  <c r="G54" i="35" s="1"/>
  <c r="M53" i="35"/>
  <c r="L53" i="35"/>
  <c r="I53" i="35"/>
  <c r="G53" i="35"/>
  <c r="K52" i="35"/>
  <c r="J52" i="35"/>
  <c r="J51" i="35" s="1"/>
  <c r="I52" i="35"/>
  <c r="I51" i="35" s="1"/>
  <c r="I50" i="35" s="1"/>
  <c r="I49" i="35" s="1"/>
  <c r="G52" i="35"/>
  <c r="G51" i="35" s="1"/>
  <c r="G50" i="35" s="1"/>
  <c r="G49" i="35" s="1"/>
  <c r="K51" i="35"/>
  <c r="M48" i="35"/>
  <c r="L48" i="35"/>
  <c r="K47" i="35"/>
  <c r="J47" i="35"/>
  <c r="I47" i="35"/>
  <c r="I46" i="35" s="1"/>
  <c r="I45" i="35" s="1"/>
  <c r="I44" i="35" s="1"/>
  <c r="I43" i="35" s="1"/>
  <c r="G47" i="35"/>
  <c r="G46" i="35" s="1"/>
  <c r="M42" i="35"/>
  <c r="L42" i="35"/>
  <c r="I42" i="35"/>
  <c r="I41" i="35" s="1"/>
  <c r="K41" i="35"/>
  <c r="J41" i="35"/>
  <c r="G41" i="35"/>
  <c r="K40" i="35"/>
  <c r="J40" i="35"/>
  <c r="J39" i="35" s="1"/>
  <c r="I40" i="35"/>
  <c r="I39" i="35" s="1"/>
  <c r="G40" i="35"/>
  <c r="N40" i="35" s="1"/>
  <c r="K39" i="35"/>
  <c r="G39" i="35"/>
  <c r="L35" i="35"/>
  <c r="I35" i="35"/>
  <c r="I34" i="35" s="1"/>
  <c r="I33" i="35" s="1"/>
  <c r="I32" i="35" s="1"/>
  <c r="I31" i="35" s="1"/>
  <c r="G35" i="35"/>
  <c r="M35" i="35" s="1"/>
  <c r="K34" i="35"/>
  <c r="J34" i="35"/>
  <c r="J33" i="35" s="1"/>
  <c r="J32" i="35" s="1"/>
  <c r="J31" i="35" s="1"/>
  <c r="G34" i="35"/>
  <c r="G33" i="35" s="1"/>
  <c r="G32" i="35" s="1"/>
  <c r="G31" i="35" s="1"/>
  <c r="H33" i="35"/>
  <c r="H32" i="35" s="1"/>
  <c r="M28" i="35"/>
  <c r="L28" i="35"/>
  <c r="I28" i="35"/>
  <c r="I27" i="35" s="1"/>
  <c r="I26" i="35" s="1"/>
  <c r="I25" i="35" s="1"/>
  <c r="I24" i="35" s="1"/>
  <c r="K27" i="35"/>
  <c r="K26" i="35" s="1"/>
  <c r="J27" i="35"/>
  <c r="J26" i="35" s="1"/>
  <c r="J25" i="35" s="1"/>
  <c r="H27" i="35"/>
  <c r="H26" i="35" s="1"/>
  <c r="H25" i="35" s="1"/>
  <c r="H24" i="35" s="1"/>
  <c r="G27" i="35"/>
  <c r="G26" i="35" s="1"/>
  <c r="M23" i="35"/>
  <c r="L23" i="35"/>
  <c r="I23" i="35"/>
  <c r="I22" i="35" s="1"/>
  <c r="I21" i="35" s="1"/>
  <c r="I20" i="35" s="1"/>
  <c r="I19" i="35" s="1"/>
  <c r="K22" i="35"/>
  <c r="J22" i="35"/>
  <c r="H22" i="35"/>
  <c r="H21" i="35" s="1"/>
  <c r="H20" i="35" s="1"/>
  <c r="H19" i="35" s="1"/>
  <c r="G22" i="35"/>
  <c r="G21" i="35" s="1"/>
  <c r="G20" i="35" s="1"/>
  <c r="G19" i="35" s="1"/>
  <c r="J21" i="35"/>
  <c r="J20" i="35" s="1"/>
  <c r="J19" i="35" s="1"/>
  <c r="L17" i="35"/>
  <c r="K16" i="35"/>
  <c r="J16" i="35"/>
  <c r="H16" i="35"/>
  <c r="H11" i="35" s="1"/>
  <c r="H10" i="35" s="1"/>
  <c r="G16" i="35"/>
  <c r="M15" i="35"/>
  <c r="L15" i="35"/>
  <c r="I15" i="35"/>
  <c r="G15" i="35"/>
  <c r="K14" i="35"/>
  <c r="N14" i="35" s="1"/>
  <c r="J14" i="35"/>
  <c r="I14" i="35"/>
  <c r="G14" i="35"/>
  <c r="K13" i="35"/>
  <c r="J13" i="35"/>
  <c r="I13" i="35"/>
  <c r="I12" i="35" s="1"/>
  <c r="G13" i="35"/>
  <c r="N13" i="35" s="1"/>
  <c r="K227" i="34"/>
  <c r="J521" i="34"/>
  <c r="K294" i="34"/>
  <c r="K297" i="34"/>
  <c r="K642" i="34"/>
  <c r="J596" i="34"/>
  <c r="J595" i="34"/>
  <c r="J594" i="34" s="1"/>
  <c r="K596" i="34"/>
  <c r="J557" i="34"/>
  <c r="L557" i="34" s="1"/>
  <c r="J116" i="34"/>
  <c r="J40" i="34"/>
  <c r="J13" i="34"/>
  <c r="G813" i="34"/>
  <c r="J810" i="34"/>
  <c r="I810" i="34"/>
  <c r="J772" i="34"/>
  <c r="I772" i="34"/>
  <c r="G772" i="34"/>
  <c r="G767" i="34"/>
  <c r="I766" i="34"/>
  <c r="I765" i="34"/>
  <c r="I764" i="34"/>
  <c r="I767" i="34" s="1"/>
  <c r="L761" i="34"/>
  <c r="K760" i="34"/>
  <c r="K759" i="34" s="1"/>
  <c r="J760" i="34"/>
  <c r="J759" i="34" s="1"/>
  <c r="J758" i="34" s="1"/>
  <c r="J757" i="34" s="1"/>
  <c r="L756" i="34"/>
  <c r="K755" i="34"/>
  <c r="J755" i="34"/>
  <c r="J754" i="34" s="1"/>
  <c r="J753" i="34" s="1"/>
  <c r="J752" i="34" s="1"/>
  <c r="L750" i="34"/>
  <c r="K749" i="34"/>
  <c r="L749" i="34" s="1"/>
  <c r="J749" i="34"/>
  <c r="M748" i="34"/>
  <c r="L748" i="34"/>
  <c r="I748" i="34"/>
  <c r="G748" i="34"/>
  <c r="K747" i="34"/>
  <c r="J747" i="34"/>
  <c r="I747" i="34"/>
  <c r="H747" i="34"/>
  <c r="G747" i="34"/>
  <c r="L746" i="34"/>
  <c r="I746" i="34"/>
  <c r="I745" i="34" s="1"/>
  <c r="I744" i="34" s="1"/>
  <c r="G746" i="34"/>
  <c r="G745" i="34" s="1"/>
  <c r="K745" i="34"/>
  <c r="J745" i="34"/>
  <c r="H745" i="34"/>
  <c r="H744" i="34" s="1"/>
  <c r="L743" i="34"/>
  <c r="I743" i="34"/>
  <c r="G743" i="34"/>
  <c r="M743" i="34" s="1"/>
  <c r="K742" i="34"/>
  <c r="J742" i="34"/>
  <c r="I742" i="34"/>
  <c r="I741" i="34" s="1"/>
  <c r="H742" i="34"/>
  <c r="H741" i="34" s="1"/>
  <c r="H740" i="34" s="1"/>
  <c r="H739" i="34" s="1"/>
  <c r="H738" i="34" s="1"/>
  <c r="H737" i="34" s="1"/>
  <c r="K741" i="34"/>
  <c r="M736" i="34"/>
  <c r="L736" i="34"/>
  <c r="L735" i="34"/>
  <c r="H735" i="34"/>
  <c r="H734" i="34" s="1"/>
  <c r="G735" i="34"/>
  <c r="M735" i="34" s="1"/>
  <c r="L734" i="34"/>
  <c r="G734" i="34"/>
  <c r="M734" i="34" s="1"/>
  <c r="L733" i="34"/>
  <c r="L732" i="34"/>
  <c r="H732" i="34"/>
  <c r="H731" i="34" s="1"/>
  <c r="G732" i="34"/>
  <c r="G731" i="34" s="1"/>
  <c r="L731" i="34"/>
  <c r="L730" i="34"/>
  <c r="L729" i="34"/>
  <c r="H729" i="34"/>
  <c r="H728" i="34" s="1"/>
  <c r="G729" i="34"/>
  <c r="L728" i="34"/>
  <c r="G728" i="34"/>
  <c r="L727" i="34"/>
  <c r="G727" i="34"/>
  <c r="G726" i="34" s="1"/>
  <c r="G725" i="34" s="1"/>
  <c r="K726" i="34"/>
  <c r="J726" i="34"/>
  <c r="I726" i="34"/>
  <c r="I725" i="34" s="1"/>
  <c r="I724" i="34" s="1"/>
  <c r="I720" i="34" s="1"/>
  <c r="I719" i="34" s="1"/>
  <c r="I718" i="34" s="1"/>
  <c r="I717" i="34" s="1"/>
  <c r="H726" i="34"/>
  <c r="H725" i="34" s="1"/>
  <c r="K725" i="34"/>
  <c r="K724" i="34" s="1"/>
  <c r="J725" i="34"/>
  <c r="J724" i="34" s="1"/>
  <c r="M723" i="34"/>
  <c r="L723" i="34"/>
  <c r="L722" i="34"/>
  <c r="H722" i="34"/>
  <c r="H721" i="34" s="1"/>
  <c r="H720" i="34" s="1"/>
  <c r="H719" i="34" s="1"/>
  <c r="H718" i="34" s="1"/>
  <c r="H717" i="34" s="1"/>
  <c r="G722" i="34"/>
  <c r="M722" i="34" s="1"/>
  <c r="L721" i="34"/>
  <c r="J720" i="34"/>
  <c r="M716" i="34"/>
  <c r="L716" i="34"/>
  <c r="G716" i="34"/>
  <c r="K715" i="34"/>
  <c r="L715" i="34" s="1"/>
  <c r="J715" i="34"/>
  <c r="I715" i="34"/>
  <c r="I712" i="34" s="1"/>
  <c r="I711" i="34" s="1"/>
  <c r="I710" i="34" s="1"/>
  <c r="I709" i="34" s="1"/>
  <c r="I708" i="34" s="1"/>
  <c r="H715" i="34"/>
  <c r="G715" i="34"/>
  <c r="M715" i="34" s="1"/>
  <c r="L714" i="34"/>
  <c r="G714" i="34"/>
  <c r="M714" i="34" s="1"/>
  <c r="K713" i="34"/>
  <c r="J713" i="34"/>
  <c r="J712" i="34" s="1"/>
  <c r="J711" i="34" s="1"/>
  <c r="H713" i="34"/>
  <c r="M707" i="34"/>
  <c r="L707" i="34"/>
  <c r="K706" i="34"/>
  <c r="K705" i="34" s="1"/>
  <c r="J706" i="34"/>
  <c r="I706" i="34"/>
  <c r="H706" i="34"/>
  <c r="H705" i="34" s="1"/>
  <c r="G706" i="34"/>
  <c r="G705" i="34" s="1"/>
  <c r="G704" i="34" s="1"/>
  <c r="G703" i="34" s="1"/>
  <c r="G702" i="34" s="1"/>
  <c r="I705" i="34"/>
  <c r="I704" i="34" s="1"/>
  <c r="H704" i="34"/>
  <c r="H703" i="34" s="1"/>
  <c r="H702" i="34" s="1"/>
  <c r="I703" i="34"/>
  <c r="I702" i="34" s="1"/>
  <c r="M700" i="34"/>
  <c r="L700" i="34"/>
  <c r="G700" i="34"/>
  <c r="K699" i="34"/>
  <c r="K698" i="34" s="1"/>
  <c r="L698" i="34" s="1"/>
  <c r="J699" i="34"/>
  <c r="I699" i="34"/>
  <c r="H699" i="34"/>
  <c r="H698" i="34" s="1"/>
  <c r="G699" i="34"/>
  <c r="G698" i="34" s="1"/>
  <c r="J698" i="34"/>
  <c r="I698" i="34"/>
  <c r="M697" i="34"/>
  <c r="L697" i="34"/>
  <c r="K696" i="34"/>
  <c r="L696" i="34" s="1"/>
  <c r="J696" i="34"/>
  <c r="I696" i="34"/>
  <c r="H696" i="34"/>
  <c r="G696" i="34"/>
  <c r="L695" i="34"/>
  <c r="G695" i="34"/>
  <c r="G694" i="34" s="1"/>
  <c r="K694" i="34"/>
  <c r="J694" i="34"/>
  <c r="I694" i="34"/>
  <c r="H694" i="34"/>
  <c r="M693" i="34"/>
  <c r="L693" i="34"/>
  <c r="G693" i="34"/>
  <c r="K692" i="34"/>
  <c r="J692" i="34"/>
  <c r="I692" i="34"/>
  <c r="I691" i="34" s="1"/>
  <c r="H692" i="34"/>
  <c r="G692" i="34"/>
  <c r="G691" i="34"/>
  <c r="L690" i="34"/>
  <c r="L689" i="34"/>
  <c r="I689" i="34"/>
  <c r="H689" i="34"/>
  <c r="G689" i="34"/>
  <c r="L688" i="34"/>
  <c r="G688" i="34"/>
  <c r="G687" i="34" s="1"/>
  <c r="K687" i="34"/>
  <c r="J687" i="34"/>
  <c r="I687" i="34"/>
  <c r="H687" i="34"/>
  <c r="M686" i="34"/>
  <c r="L686" i="34"/>
  <c r="G686" i="34"/>
  <c r="K685" i="34"/>
  <c r="J685" i="34"/>
  <c r="M685" i="34" s="1"/>
  <c r="I685" i="34"/>
  <c r="I684" i="34" s="1"/>
  <c r="I683" i="34" s="1"/>
  <c r="I682" i="34" s="1"/>
  <c r="I681" i="34" s="1"/>
  <c r="H685" i="34"/>
  <c r="G685" i="34"/>
  <c r="G684" i="34"/>
  <c r="M680" i="34"/>
  <c r="L680" i="34"/>
  <c r="K679" i="34"/>
  <c r="L679" i="34" s="1"/>
  <c r="J679" i="34"/>
  <c r="J678" i="34" s="1"/>
  <c r="M678" i="34" s="1"/>
  <c r="I679" i="34"/>
  <c r="I678" i="34" s="1"/>
  <c r="I677" i="34" s="1"/>
  <c r="H679" i="34"/>
  <c r="H678" i="34" s="1"/>
  <c r="H677" i="34" s="1"/>
  <c r="G679" i="34"/>
  <c r="G678" i="34" s="1"/>
  <c r="G677" i="34" s="1"/>
  <c r="M676" i="34"/>
  <c r="L676" i="34"/>
  <c r="K675" i="34"/>
  <c r="J675" i="34"/>
  <c r="M675" i="34" s="1"/>
  <c r="I675" i="34"/>
  <c r="I670" i="34" s="1"/>
  <c r="I669" i="34" s="1"/>
  <c r="M674" i="34"/>
  <c r="L674" i="34"/>
  <c r="K673" i="34"/>
  <c r="J673" i="34"/>
  <c r="I673" i="34"/>
  <c r="H673" i="34"/>
  <c r="G673" i="34"/>
  <c r="L672" i="34"/>
  <c r="K671" i="34"/>
  <c r="L671" i="34" s="1"/>
  <c r="J671" i="34"/>
  <c r="I671" i="34"/>
  <c r="H671" i="34"/>
  <c r="G671" i="34"/>
  <c r="G670" i="34" s="1"/>
  <c r="G669" i="34" s="1"/>
  <c r="L670" i="34"/>
  <c r="K669" i="34"/>
  <c r="J669" i="34"/>
  <c r="L669" i="34" s="1"/>
  <c r="M668" i="34"/>
  <c r="L668" i="34"/>
  <c r="K667" i="34"/>
  <c r="J667" i="34"/>
  <c r="I667" i="34"/>
  <c r="I666" i="34" s="1"/>
  <c r="I665" i="34" s="1"/>
  <c r="H667" i="34"/>
  <c r="H666" i="34" s="1"/>
  <c r="H665" i="34" s="1"/>
  <c r="G667" i="34"/>
  <c r="G666" i="34" s="1"/>
  <c r="G665" i="34" s="1"/>
  <c r="L661" i="34"/>
  <c r="L660" i="34"/>
  <c r="H660" i="34"/>
  <c r="H659" i="34" s="1"/>
  <c r="L659" i="34"/>
  <c r="L658" i="34"/>
  <c r="L657" i="34"/>
  <c r="I657" i="34"/>
  <c r="H657" i="34"/>
  <c r="G657" i="34"/>
  <c r="L656" i="34"/>
  <c r="I656" i="34"/>
  <c r="H656" i="34"/>
  <c r="G656" i="34"/>
  <c r="M655" i="34"/>
  <c r="L655" i="34"/>
  <c r="K654" i="34"/>
  <c r="K653" i="34" s="1"/>
  <c r="J654" i="34"/>
  <c r="I654" i="34"/>
  <c r="I653" i="34" s="1"/>
  <c r="H654" i="34"/>
  <c r="H653" i="34" s="1"/>
  <c r="G654" i="34"/>
  <c r="G653" i="34" s="1"/>
  <c r="J653" i="34"/>
  <c r="M652" i="34"/>
  <c r="L652" i="34"/>
  <c r="K651" i="34"/>
  <c r="L651" i="34" s="1"/>
  <c r="J651" i="34"/>
  <c r="J650" i="34" s="1"/>
  <c r="M650" i="34" s="1"/>
  <c r="I651" i="34"/>
  <c r="I650" i="34" s="1"/>
  <c r="H651" i="34"/>
  <c r="H650" i="34" s="1"/>
  <c r="G651" i="34"/>
  <c r="G650" i="34" s="1"/>
  <c r="K650" i="34"/>
  <c r="L649" i="34"/>
  <c r="L648" i="34"/>
  <c r="H648" i="34"/>
  <c r="H647" i="34" s="1"/>
  <c r="G648" i="34"/>
  <c r="L647" i="34"/>
  <c r="G647" i="34"/>
  <c r="M646" i="34"/>
  <c r="L646" i="34"/>
  <c r="K645" i="34"/>
  <c r="K644" i="34" s="1"/>
  <c r="J645" i="34"/>
  <c r="I645" i="34"/>
  <c r="H645" i="34"/>
  <c r="H644" i="34" s="1"/>
  <c r="G645" i="34"/>
  <c r="G644" i="34" s="1"/>
  <c r="J644" i="34"/>
  <c r="I644" i="34"/>
  <c r="I643" i="34" s="1"/>
  <c r="M642" i="34"/>
  <c r="L642" i="34"/>
  <c r="G642" i="34"/>
  <c r="K641" i="34"/>
  <c r="J641" i="34"/>
  <c r="I641" i="34"/>
  <c r="I640" i="34" s="1"/>
  <c r="I639" i="34" s="1"/>
  <c r="I638" i="34" s="1"/>
  <c r="I637" i="34" s="1"/>
  <c r="I636" i="34" s="1"/>
  <c r="H641" i="34"/>
  <c r="H640" i="34" s="1"/>
  <c r="H639" i="34" s="1"/>
  <c r="G641" i="34"/>
  <c r="G640" i="34"/>
  <c r="G639" i="34" s="1"/>
  <c r="M635" i="34"/>
  <c r="L635" i="34"/>
  <c r="G635" i="34"/>
  <c r="L634" i="34"/>
  <c r="H634" i="34"/>
  <c r="H633" i="34" s="1"/>
  <c r="G634" i="34"/>
  <c r="M634" i="34" s="1"/>
  <c r="L633" i="34"/>
  <c r="G633" i="34"/>
  <c r="M633" i="34" s="1"/>
  <c r="K632" i="34"/>
  <c r="L632" i="34" s="1"/>
  <c r="J632" i="34"/>
  <c r="J631" i="34" s="1"/>
  <c r="J630" i="34" s="1"/>
  <c r="J629" i="34" s="1"/>
  <c r="I631" i="34"/>
  <c r="I630" i="34" s="1"/>
  <c r="I629" i="34" s="1"/>
  <c r="H631" i="34"/>
  <c r="H630" i="34" s="1"/>
  <c r="H629" i="34" s="1"/>
  <c r="G631" i="34"/>
  <c r="G630" i="34" s="1"/>
  <c r="G629" i="34" s="1"/>
  <c r="M628" i="34"/>
  <c r="L628" i="34"/>
  <c r="K627" i="34"/>
  <c r="K626" i="34" s="1"/>
  <c r="J627" i="34"/>
  <c r="I627" i="34"/>
  <c r="H627" i="34"/>
  <c r="H626" i="34" s="1"/>
  <c r="H625" i="34" s="1"/>
  <c r="G627" i="34"/>
  <c r="I626" i="34"/>
  <c r="I625" i="34" s="1"/>
  <c r="G626" i="34"/>
  <c r="G625" i="34" s="1"/>
  <c r="L624" i="34"/>
  <c r="G624" i="34"/>
  <c r="G623" i="34" s="1"/>
  <c r="M623" i="34" s="1"/>
  <c r="L623" i="34"/>
  <c r="H623" i="34"/>
  <c r="H622" i="34" s="1"/>
  <c r="L622" i="34"/>
  <c r="L621" i="34"/>
  <c r="G621" i="34"/>
  <c r="M621" i="34" s="1"/>
  <c r="K620" i="34"/>
  <c r="J620" i="34"/>
  <c r="I620" i="34"/>
  <c r="H620" i="34"/>
  <c r="G620" i="34"/>
  <c r="M620" i="34" s="1"/>
  <c r="J619" i="34"/>
  <c r="I619" i="34"/>
  <c r="H619" i="34"/>
  <c r="M618" i="34"/>
  <c r="L618" i="34"/>
  <c r="G618" i="34"/>
  <c r="K617" i="34"/>
  <c r="J617" i="34"/>
  <c r="I617" i="34"/>
  <c r="I616" i="34" s="1"/>
  <c r="H617" i="34"/>
  <c r="H616" i="34" s="1"/>
  <c r="G617" i="34"/>
  <c r="G616" i="34" s="1"/>
  <c r="J616" i="34"/>
  <c r="L615" i="34"/>
  <c r="G615" i="34"/>
  <c r="G614" i="34" s="1"/>
  <c r="G613" i="34" s="1"/>
  <c r="K614" i="34"/>
  <c r="J614" i="34"/>
  <c r="J613" i="34" s="1"/>
  <c r="I614" i="34"/>
  <c r="I613" i="34" s="1"/>
  <c r="H614" i="34"/>
  <c r="H613" i="34" s="1"/>
  <c r="K613" i="34"/>
  <c r="L612" i="34"/>
  <c r="K612" i="34"/>
  <c r="G612" i="34"/>
  <c r="M612" i="34" s="1"/>
  <c r="K611" i="34"/>
  <c r="K610" i="34" s="1"/>
  <c r="J611" i="34"/>
  <c r="I611" i="34"/>
  <c r="H611" i="34"/>
  <c r="H610" i="34" s="1"/>
  <c r="G611" i="34"/>
  <c r="G610" i="34" s="1"/>
  <c r="J610" i="34"/>
  <c r="I610" i="34"/>
  <c r="M609" i="34"/>
  <c r="L609" i="34"/>
  <c r="K608" i="34"/>
  <c r="K607" i="34" s="1"/>
  <c r="J608" i="34"/>
  <c r="J607" i="34" s="1"/>
  <c r="M607" i="34" s="1"/>
  <c r="I608" i="34"/>
  <c r="I607" i="34" s="1"/>
  <c r="H608" i="34"/>
  <c r="H607" i="34" s="1"/>
  <c r="G608" i="34"/>
  <c r="G607" i="34" s="1"/>
  <c r="M605" i="34"/>
  <c r="L605" i="34"/>
  <c r="K604" i="34"/>
  <c r="J604" i="34"/>
  <c r="M604" i="34" s="1"/>
  <c r="I604" i="34"/>
  <c r="I603" i="34" s="1"/>
  <c r="H604" i="34"/>
  <c r="G604" i="34"/>
  <c r="G603" i="34" s="1"/>
  <c r="H603" i="34"/>
  <c r="L602" i="34"/>
  <c r="L601" i="34"/>
  <c r="L600" i="34"/>
  <c r="H600" i="34"/>
  <c r="G600" i="34"/>
  <c r="M599" i="34"/>
  <c r="L599" i="34"/>
  <c r="G599" i="34"/>
  <c r="K598" i="34"/>
  <c r="L598" i="34" s="1"/>
  <c r="J598" i="34"/>
  <c r="I598" i="34"/>
  <c r="I597" i="34" s="1"/>
  <c r="H598" i="34"/>
  <c r="H597" i="34" s="1"/>
  <c r="G598" i="34"/>
  <c r="G597" i="34" s="1"/>
  <c r="J597" i="34"/>
  <c r="G596" i="34"/>
  <c r="G595" i="34" s="1"/>
  <c r="G594" i="34" s="1"/>
  <c r="K595" i="34"/>
  <c r="K594" i="34" s="1"/>
  <c r="I595" i="34"/>
  <c r="I594" i="34" s="1"/>
  <c r="H595" i="34"/>
  <c r="H594" i="34" s="1"/>
  <c r="M593" i="34"/>
  <c r="L593" i="34"/>
  <c r="K592" i="34"/>
  <c r="J592" i="34"/>
  <c r="I592" i="34"/>
  <c r="I591" i="34" s="1"/>
  <c r="H592" i="34"/>
  <c r="H591" i="34" s="1"/>
  <c r="G592" i="34"/>
  <c r="G591" i="34" s="1"/>
  <c r="L586" i="34"/>
  <c r="L585" i="34"/>
  <c r="H585" i="34"/>
  <c r="G585" i="34"/>
  <c r="G584" i="34" s="1"/>
  <c r="L584" i="34"/>
  <c r="H584" i="34"/>
  <c r="H583" i="34" s="1"/>
  <c r="L583" i="34"/>
  <c r="G583" i="34"/>
  <c r="L582" i="34"/>
  <c r="H582" i="34"/>
  <c r="H581" i="34" s="1"/>
  <c r="H580" i="34" s="1"/>
  <c r="G582" i="34"/>
  <c r="G581" i="34" s="1"/>
  <c r="K581" i="34"/>
  <c r="K580" i="34" s="1"/>
  <c r="J581" i="34"/>
  <c r="L581" i="34" s="1"/>
  <c r="I581" i="34"/>
  <c r="I580" i="34" s="1"/>
  <c r="G580" i="34"/>
  <c r="L579" i="34"/>
  <c r="L578" i="34"/>
  <c r="H578" i="34"/>
  <c r="H577" i="34" s="1"/>
  <c r="G578" i="34"/>
  <c r="G577" i="34" s="1"/>
  <c r="L577" i="34"/>
  <c r="L576" i="34"/>
  <c r="G576" i="34"/>
  <c r="M576" i="34" s="1"/>
  <c r="L575" i="34"/>
  <c r="H575" i="34"/>
  <c r="G575" i="34"/>
  <c r="M575" i="34" s="1"/>
  <c r="L574" i="34"/>
  <c r="H574" i="34"/>
  <c r="G574" i="34"/>
  <c r="M574" i="34" s="1"/>
  <c r="K573" i="34"/>
  <c r="L573" i="34" s="1"/>
  <c r="G573" i="34"/>
  <c r="G572" i="34" s="1"/>
  <c r="G571" i="34" s="1"/>
  <c r="K572" i="34"/>
  <c r="J572" i="34"/>
  <c r="I572" i="34"/>
  <c r="I571" i="34" s="1"/>
  <c r="H572" i="34"/>
  <c r="J571" i="34"/>
  <c r="H571" i="34"/>
  <c r="K570" i="34"/>
  <c r="L570" i="34" s="1"/>
  <c r="G570" i="34"/>
  <c r="M570" i="34" s="1"/>
  <c r="J569" i="34"/>
  <c r="I569" i="34"/>
  <c r="I568" i="34" s="1"/>
  <c r="H569" i="34"/>
  <c r="H568" i="34" s="1"/>
  <c r="M567" i="34"/>
  <c r="L567" i="34"/>
  <c r="K566" i="34"/>
  <c r="J566" i="34"/>
  <c r="J565" i="34" s="1"/>
  <c r="H566" i="34"/>
  <c r="H565" i="34" s="1"/>
  <c r="G566" i="34"/>
  <c r="G565" i="34" s="1"/>
  <c r="K565" i="34"/>
  <c r="L565" i="34" s="1"/>
  <c r="I565" i="34"/>
  <c r="M564" i="34"/>
  <c r="L564" i="34"/>
  <c r="K563" i="34"/>
  <c r="J563" i="34"/>
  <c r="J562" i="34" s="1"/>
  <c r="I563" i="34"/>
  <c r="I562" i="34" s="1"/>
  <c r="H563" i="34"/>
  <c r="H562" i="34" s="1"/>
  <c r="G563" i="34"/>
  <c r="G562" i="34" s="1"/>
  <c r="L560" i="34"/>
  <c r="G560" i="34"/>
  <c r="G559" i="34" s="1"/>
  <c r="G558" i="34" s="1"/>
  <c r="K559" i="34"/>
  <c r="J559" i="34"/>
  <c r="J558" i="34" s="1"/>
  <c r="I559" i="34"/>
  <c r="I558" i="34" s="1"/>
  <c r="H559" i="34"/>
  <c r="H558" i="34" s="1"/>
  <c r="K558" i="34"/>
  <c r="K557" i="34"/>
  <c r="K556" i="34" s="1"/>
  <c r="G557" i="34"/>
  <c r="G556" i="34" s="1"/>
  <c r="G555" i="34" s="1"/>
  <c r="I556" i="34"/>
  <c r="I555" i="34" s="1"/>
  <c r="H556" i="34"/>
  <c r="H555" i="34" s="1"/>
  <c r="L548" i="34"/>
  <c r="K547" i="34"/>
  <c r="J547" i="34"/>
  <c r="J546" i="34" s="1"/>
  <c r="J545" i="34" s="1"/>
  <c r="J544" i="34" s="1"/>
  <c r="M543" i="34"/>
  <c r="L543" i="34"/>
  <c r="I543" i="34"/>
  <c r="I542" i="34" s="1"/>
  <c r="I541" i="34" s="1"/>
  <c r="I540" i="34" s="1"/>
  <c r="K542" i="34"/>
  <c r="J542" i="34"/>
  <c r="G542" i="34"/>
  <c r="G541" i="34" s="1"/>
  <c r="G540" i="34" s="1"/>
  <c r="K541" i="34"/>
  <c r="J541" i="34"/>
  <c r="J540" i="34" s="1"/>
  <c r="K540" i="34"/>
  <c r="L540" i="34" s="1"/>
  <c r="H540" i="34"/>
  <c r="H534" i="34" s="1"/>
  <c r="M539" i="34"/>
  <c r="L539" i="34"/>
  <c r="I539" i="34"/>
  <c r="I538" i="34" s="1"/>
  <c r="I537" i="34" s="1"/>
  <c r="I536" i="34" s="1"/>
  <c r="I535" i="34" s="1"/>
  <c r="K538" i="34"/>
  <c r="J538" i="34"/>
  <c r="J537" i="34" s="1"/>
  <c r="J536" i="34" s="1"/>
  <c r="J535" i="34" s="1"/>
  <c r="G538" i="34"/>
  <c r="G537" i="34" s="1"/>
  <c r="G536" i="34" s="1"/>
  <c r="G535" i="34" s="1"/>
  <c r="L533" i="34"/>
  <c r="L532" i="34"/>
  <c r="H532" i="34"/>
  <c r="G532" i="34"/>
  <c r="G531" i="34" s="1"/>
  <c r="L531" i="34"/>
  <c r="H531" i="34"/>
  <c r="H530" i="34" s="1"/>
  <c r="H529" i="34" s="1"/>
  <c r="L530" i="34"/>
  <c r="G530" i="34"/>
  <c r="G529" i="34" s="1"/>
  <c r="L529" i="34"/>
  <c r="M528" i="34"/>
  <c r="L528" i="34"/>
  <c r="I528" i="34"/>
  <c r="I527" i="34" s="1"/>
  <c r="I526" i="34" s="1"/>
  <c r="K527" i="34"/>
  <c r="L527" i="34" s="1"/>
  <c r="J527" i="34"/>
  <c r="G527" i="34"/>
  <c r="G526" i="34" s="1"/>
  <c r="H526" i="34"/>
  <c r="M525" i="34"/>
  <c r="L525" i="34"/>
  <c r="I525" i="34"/>
  <c r="I524" i="34" s="1"/>
  <c r="K524" i="34"/>
  <c r="J524" i="34"/>
  <c r="G524" i="34"/>
  <c r="M523" i="34"/>
  <c r="L523" i="34"/>
  <c r="I523" i="34"/>
  <c r="I522" i="34" s="1"/>
  <c r="K522" i="34"/>
  <c r="J522" i="34"/>
  <c r="G522" i="34"/>
  <c r="L521" i="34"/>
  <c r="K521" i="34"/>
  <c r="K520" i="34" s="1"/>
  <c r="L520" i="34" s="1"/>
  <c r="I521" i="34"/>
  <c r="I520" i="34" s="1"/>
  <c r="G521" i="34"/>
  <c r="G520" i="34" s="1"/>
  <c r="J520" i="34"/>
  <c r="H519" i="34"/>
  <c r="L518" i="34"/>
  <c r="I518" i="34"/>
  <c r="I517" i="34" s="1"/>
  <c r="I516" i="34" s="1"/>
  <c r="G518" i="34"/>
  <c r="G517" i="34" s="1"/>
  <c r="G516" i="34" s="1"/>
  <c r="K517" i="34"/>
  <c r="K516" i="34" s="1"/>
  <c r="J517" i="34"/>
  <c r="J516" i="34" s="1"/>
  <c r="H516" i="34"/>
  <c r="L511" i="34"/>
  <c r="G511" i="34"/>
  <c r="K510" i="34"/>
  <c r="J510" i="34"/>
  <c r="J509" i="34" s="1"/>
  <c r="I510" i="34"/>
  <c r="I509" i="34" s="1"/>
  <c r="I508" i="34" s="1"/>
  <c r="I507" i="34" s="1"/>
  <c r="I506" i="34" s="1"/>
  <c r="I505" i="34" s="1"/>
  <c r="I785" i="34" s="1"/>
  <c r="H509" i="34"/>
  <c r="H508" i="34"/>
  <c r="H507" i="34" s="1"/>
  <c r="H506" i="34" s="1"/>
  <c r="H505" i="34" s="1"/>
  <c r="M504" i="34"/>
  <c r="L504" i="34"/>
  <c r="K503" i="34"/>
  <c r="L503" i="34" s="1"/>
  <c r="J503" i="34"/>
  <c r="I503" i="34"/>
  <c r="I502" i="34" s="1"/>
  <c r="I501" i="34" s="1"/>
  <c r="I500" i="34" s="1"/>
  <c r="I804" i="34" s="1"/>
  <c r="G503" i="34"/>
  <c r="G502" i="34" s="1"/>
  <c r="G501" i="34" s="1"/>
  <c r="G500" i="34" s="1"/>
  <c r="G804" i="34" s="1"/>
  <c r="K502" i="34"/>
  <c r="J502" i="34"/>
  <c r="J501" i="34" s="1"/>
  <c r="H502" i="34"/>
  <c r="H501" i="34" s="1"/>
  <c r="H500" i="34" s="1"/>
  <c r="K501" i="34"/>
  <c r="L499" i="34"/>
  <c r="K498" i="34"/>
  <c r="K497" i="34" s="1"/>
  <c r="J498" i="34"/>
  <c r="J497" i="34" s="1"/>
  <c r="I498" i="34"/>
  <c r="I497" i="34" s="1"/>
  <c r="L496" i="34"/>
  <c r="K495" i="34"/>
  <c r="K494" i="34" s="1"/>
  <c r="J495" i="34"/>
  <c r="J494" i="34" s="1"/>
  <c r="I495" i="34"/>
  <c r="I494" i="34"/>
  <c r="L493" i="34"/>
  <c r="G493" i="34"/>
  <c r="G492" i="34" s="1"/>
  <c r="G491" i="34" s="1"/>
  <c r="K492" i="34"/>
  <c r="K491" i="34" s="1"/>
  <c r="J492" i="34"/>
  <c r="J491" i="34" s="1"/>
  <c r="M491" i="34" s="1"/>
  <c r="H491" i="34"/>
  <c r="L490" i="34"/>
  <c r="G490" i="34"/>
  <c r="G489" i="34" s="1"/>
  <c r="G488" i="34" s="1"/>
  <c r="K489" i="34"/>
  <c r="K488" i="34" s="1"/>
  <c r="J489" i="34"/>
  <c r="H488" i="34"/>
  <c r="L487" i="34"/>
  <c r="H487" i="34"/>
  <c r="G487" i="34"/>
  <c r="G486" i="34" s="1"/>
  <c r="G485" i="34" s="1"/>
  <c r="K486" i="34"/>
  <c r="K485" i="34" s="1"/>
  <c r="J486" i="34"/>
  <c r="J485" i="34" s="1"/>
  <c r="I486" i="34"/>
  <c r="I485" i="34" s="1"/>
  <c r="H486" i="34"/>
  <c r="H485" i="34" s="1"/>
  <c r="L483" i="34"/>
  <c r="K482" i="34"/>
  <c r="L482" i="34" s="1"/>
  <c r="J482" i="34"/>
  <c r="J481" i="34"/>
  <c r="L480" i="34"/>
  <c r="K479" i="34"/>
  <c r="L479" i="34" s="1"/>
  <c r="J479" i="34"/>
  <c r="J478" i="34"/>
  <c r="M477" i="34"/>
  <c r="L477" i="34"/>
  <c r="K476" i="34"/>
  <c r="K475" i="34" s="1"/>
  <c r="J476" i="34"/>
  <c r="I476" i="34"/>
  <c r="I475" i="34" s="1"/>
  <c r="G476" i="34"/>
  <c r="G475" i="34" s="1"/>
  <c r="H475" i="34"/>
  <c r="M474" i="34"/>
  <c r="L474" i="34"/>
  <c r="K473" i="34"/>
  <c r="K472" i="34" s="1"/>
  <c r="J473" i="34"/>
  <c r="I473" i="34"/>
  <c r="I472" i="34" s="1"/>
  <c r="G473" i="34"/>
  <c r="G472" i="34" s="1"/>
  <c r="H472" i="34"/>
  <c r="K471" i="34"/>
  <c r="L471" i="34" s="1"/>
  <c r="J471" i="34"/>
  <c r="J470" i="34" s="1"/>
  <c r="J469" i="34" s="1"/>
  <c r="H471" i="34"/>
  <c r="H470" i="34" s="1"/>
  <c r="H469" i="34" s="1"/>
  <c r="G471" i="34"/>
  <c r="K470" i="34"/>
  <c r="K469" i="34" s="1"/>
  <c r="L469" i="34" s="1"/>
  <c r="G470" i="34"/>
  <c r="G469" i="34" s="1"/>
  <c r="M468" i="34"/>
  <c r="L468" i="34"/>
  <c r="L467" i="34"/>
  <c r="K467" i="34"/>
  <c r="K466" i="34" s="1"/>
  <c r="J467" i="34"/>
  <c r="G467" i="34"/>
  <c r="G466" i="34" s="1"/>
  <c r="J466" i="34"/>
  <c r="H466" i="34"/>
  <c r="M465" i="34"/>
  <c r="L465" i="34"/>
  <c r="K464" i="34"/>
  <c r="J464" i="34"/>
  <c r="I464" i="34"/>
  <c r="G464" i="34"/>
  <c r="L463" i="34"/>
  <c r="G463" i="34"/>
  <c r="K462" i="34"/>
  <c r="J462" i="34"/>
  <c r="I462" i="34"/>
  <c r="H461" i="34"/>
  <c r="L456" i="34"/>
  <c r="G456" i="34"/>
  <c r="K455" i="34"/>
  <c r="J455" i="34"/>
  <c r="J454" i="34" s="1"/>
  <c r="I455" i="34"/>
  <c r="I454" i="34" s="1"/>
  <c r="H454" i="34"/>
  <c r="M453" i="34"/>
  <c r="L453" i="34"/>
  <c r="K452" i="34"/>
  <c r="J452" i="34"/>
  <c r="L452" i="34" s="1"/>
  <c r="I452" i="34"/>
  <c r="I451" i="34" s="1"/>
  <c r="G452" i="34"/>
  <c r="G451" i="34" s="1"/>
  <c r="K451" i="34"/>
  <c r="J451" i="34"/>
  <c r="H451" i="34"/>
  <c r="M450" i="34"/>
  <c r="L450" i="34"/>
  <c r="L449" i="34"/>
  <c r="G449" i="34"/>
  <c r="G810" i="34" s="1"/>
  <c r="K448" i="34"/>
  <c r="J448" i="34"/>
  <c r="I448" i="34"/>
  <c r="G448" i="34"/>
  <c r="M447" i="34"/>
  <c r="L447" i="34"/>
  <c r="K446" i="34"/>
  <c r="K445" i="34" s="1"/>
  <c r="J446" i="34"/>
  <c r="I446" i="34"/>
  <c r="G446" i="34"/>
  <c r="I445" i="34"/>
  <c r="H445" i="34"/>
  <c r="L441" i="34"/>
  <c r="G441" i="34"/>
  <c r="M441" i="34" s="1"/>
  <c r="K440" i="34"/>
  <c r="L440" i="34" s="1"/>
  <c r="J440" i="34"/>
  <c r="I440" i="34"/>
  <c r="I439" i="34" s="1"/>
  <c r="I438" i="34" s="1"/>
  <c r="G440" i="34"/>
  <c r="G439" i="34" s="1"/>
  <c r="G438" i="34" s="1"/>
  <c r="K439" i="34"/>
  <c r="J439" i="34"/>
  <c r="H439" i="34"/>
  <c r="H438" i="34"/>
  <c r="K437" i="34"/>
  <c r="K436" i="34" s="1"/>
  <c r="K435" i="34" s="1"/>
  <c r="J437" i="34"/>
  <c r="G437" i="34"/>
  <c r="M437" i="34" s="1"/>
  <c r="J436" i="34"/>
  <c r="I436" i="34"/>
  <c r="I435" i="34" s="1"/>
  <c r="I434" i="34" s="1"/>
  <c r="I433" i="34" s="1"/>
  <c r="I797" i="34" s="1"/>
  <c r="H435" i="34"/>
  <c r="H434" i="34" s="1"/>
  <c r="H433" i="34"/>
  <c r="M432" i="34"/>
  <c r="L432" i="34"/>
  <c r="K431" i="34"/>
  <c r="J431" i="34"/>
  <c r="J430" i="34" s="1"/>
  <c r="I431" i="34"/>
  <c r="I430" i="34" s="1"/>
  <c r="I429" i="34" s="1"/>
  <c r="I428" i="34" s="1"/>
  <c r="G431" i="34"/>
  <c r="G430" i="34" s="1"/>
  <c r="G429" i="34" s="1"/>
  <c r="G428" i="34" s="1"/>
  <c r="H430" i="34"/>
  <c r="H429" i="34" s="1"/>
  <c r="H428" i="34" s="1"/>
  <c r="M426" i="34"/>
  <c r="L426" i="34"/>
  <c r="K425" i="34"/>
  <c r="J425" i="34"/>
  <c r="J424" i="34" s="1"/>
  <c r="J423" i="34" s="1"/>
  <c r="I425" i="34"/>
  <c r="I424" i="34" s="1"/>
  <c r="I423" i="34" s="1"/>
  <c r="I422" i="34" s="1"/>
  <c r="G425" i="34"/>
  <c r="H424" i="34"/>
  <c r="H423" i="34" s="1"/>
  <c r="H422" i="34" s="1"/>
  <c r="G424" i="34"/>
  <c r="M424" i="34" s="1"/>
  <c r="K420" i="34"/>
  <c r="L420" i="34" s="1"/>
  <c r="J420" i="34"/>
  <c r="J419" i="34" s="1"/>
  <c r="J418" i="34" s="1"/>
  <c r="K419" i="34"/>
  <c r="K417" i="34"/>
  <c r="J417" i="34"/>
  <c r="M417" i="34" s="1"/>
  <c r="I417" i="34"/>
  <c r="I416" i="34" s="1"/>
  <c r="I415" i="34" s="1"/>
  <c r="I414" i="34" s="1"/>
  <c r="I413" i="34" s="1"/>
  <c r="I401" i="34" s="1"/>
  <c r="G417" i="34"/>
  <c r="K416" i="34"/>
  <c r="K415" i="34" s="1"/>
  <c r="G416" i="34"/>
  <c r="G415" i="34" s="1"/>
  <c r="G414" i="34" s="1"/>
  <c r="G413" i="34" s="1"/>
  <c r="H415" i="34"/>
  <c r="H414" i="34" s="1"/>
  <c r="H413" i="34" s="1"/>
  <c r="L412" i="34"/>
  <c r="K411" i="34"/>
  <c r="J411" i="34"/>
  <c r="J410" i="34" s="1"/>
  <c r="L409" i="34"/>
  <c r="L408" i="34"/>
  <c r="K408" i="34"/>
  <c r="J408" i="34"/>
  <c r="G408" i="34"/>
  <c r="L407" i="34"/>
  <c r="K407" i="34"/>
  <c r="J407" i="34"/>
  <c r="G407" i="34"/>
  <c r="M406" i="34"/>
  <c r="L406" i="34"/>
  <c r="K405" i="34"/>
  <c r="K404" i="34" s="1"/>
  <c r="J405" i="34"/>
  <c r="J404" i="34" s="1"/>
  <c r="H405" i="34"/>
  <c r="H404" i="34" s="1"/>
  <c r="H403" i="34" s="1"/>
  <c r="H402" i="34" s="1"/>
  <c r="H401" i="34" s="1"/>
  <c r="G405" i="34"/>
  <c r="G404" i="34" s="1"/>
  <c r="L400" i="34"/>
  <c r="G400" i="34"/>
  <c r="M400" i="34" s="1"/>
  <c r="K399" i="34"/>
  <c r="K398" i="34" s="1"/>
  <c r="J399" i="34"/>
  <c r="G399" i="34"/>
  <c r="G398" i="34" s="1"/>
  <c r="J398" i="34"/>
  <c r="H398" i="34"/>
  <c r="M397" i="34"/>
  <c r="L397" i="34"/>
  <c r="L396" i="34"/>
  <c r="G396" i="34"/>
  <c r="K395" i="34"/>
  <c r="J395" i="34"/>
  <c r="J394" i="34" s="1"/>
  <c r="I395" i="34"/>
  <c r="I394" i="34" s="1"/>
  <c r="I393" i="34" s="1"/>
  <c r="H394" i="34"/>
  <c r="H393" i="34"/>
  <c r="L392" i="34"/>
  <c r="G392" i="34"/>
  <c r="G391" i="34" s="1"/>
  <c r="G390" i="34" s="1"/>
  <c r="K391" i="34"/>
  <c r="J391" i="34"/>
  <c r="J390" i="34" s="1"/>
  <c r="K390" i="34"/>
  <c r="H390" i="34"/>
  <c r="L389" i="34"/>
  <c r="G389" i="34"/>
  <c r="G388" i="34" s="1"/>
  <c r="G387" i="34" s="1"/>
  <c r="K388" i="34"/>
  <c r="K387" i="34" s="1"/>
  <c r="J388" i="34"/>
  <c r="L388" i="34" s="1"/>
  <c r="H387" i="34"/>
  <c r="L386" i="34"/>
  <c r="I386" i="34"/>
  <c r="G386" i="34"/>
  <c r="G385" i="34" s="1"/>
  <c r="K385" i="34"/>
  <c r="K384" i="34" s="1"/>
  <c r="K383" i="34" s="1"/>
  <c r="J385" i="34"/>
  <c r="J384" i="34" s="1"/>
  <c r="I385" i="34"/>
  <c r="I384" i="34" s="1"/>
  <c r="I383" i="34" s="1"/>
  <c r="H384" i="34"/>
  <c r="L382" i="34"/>
  <c r="K381" i="34"/>
  <c r="J381" i="34"/>
  <c r="J380" i="34" s="1"/>
  <c r="I381" i="34"/>
  <c r="I380" i="34" s="1"/>
  <c r="K380" i="34"/>
  <c r="L379" i="34"/>
  <c r="K378" i="34"/>
  <c r="L378" i="34" s="1"/>
  <c r="J378" i="34"/>
  <c r="I378" i="34"/>
  <c r="K377" i="34"/>
  <c r="L377" i="34" s="1"/>
  <c r="J377" i="34"/>
  <c r="I377" i="34"/>
  <c r="L376" i="34"/>
  <c r="I376" i="34"/>
  <c r="G376" i="34"/>
  <c r="M376" i="34" s="1"/>
  <c r="K375" i="34"/>
  <c r="J375" i="34"/>
  <c r="L375" i="34" s="1"/>
  <c r="I375" i="34"/>
  <c r="I374" i="34" s="1"/>
  <c r="G375" i="34"/>
  <c r="G374" i="34" s="1"/>
  <c r="K374" i="34"/>
  <c r="J374" i="34"/>
  <c r="H374" i="34"/>
  <c r="H373" i="34" s="1"/>
  <c r="L369" i="34"/>
  <c r="K369" i="34"/>
  <c r="J369" i="34"/>
  <c r="I369" i="34"/>
  <c r="K368" i="34"/>
  <c r="J368" i="34"/>
  <c r="J367" i="34" s="1"/>
  <c r="J366" i="34" s="1"/>
  <c r="I368" i="34"/>
  <c r="I367" i="34" s="1"/>
  <c r="I366" i="34" s="1"/>
  <c r="K367" i="34"/>
  <c r="K366" i="34"/>
  <c r="M365" i="34"/>
  <c r="L365" i="34"/>
  <c r="G365" i="34"/>
  <c r="L364" i="34"/>
  <c r="G364" i="34"/>
  <c r="M364" i="34" s="1"/>
  <c r="L363" i="34"/>
  <c r="H363" i="34"/>
  <c r="L362" i="34"/>
  <c r="L361" i="34"/>
  <c r="G361" i="34"/>
  <c r="G360" i="34" s="1"/>
  <c r="G359" i="34" s="1"/>
  <c r="L360" i="34"/>
  <c r="L359" i="34"/>
  <c r="M358" i="34"/>
  <c r="L358" i="34"/>
  <c r="K357" i="34"/>
  <c r="J357" i="34"/>
  <c r="I357" i="34"/>
  <c r="I356" i="34" s="1"/>
  <c r="G357" i="34"/>
  <c r="G356" i="34" s="1"/>
  <c r="J356" i="34"/>
  <c r="H356" i="34"/>
  <c r="L355" i="34"/>
  <c r="I355" i="34"/>
  <c r="G355" i="34"/>
  <c r="G354" i="34" s="1"/>
  <c r="G353" i="34" s="1"/>
  <c r="K354" i="34"/>
  <c r="K353" i="34" s="1"/>
  <c r="J354" i="34"/>
  <c r="L354" i="34" s="1"/>
  <c r="I354" i="34"/>
  <c r="I353" i="34" s="1"/>
  <c r="H353" i="34"/>
  <c r="L348" i="34"/>
  <c r="I348" i="34"/>
  <c r="I347" i="34" s="1"/>
  <c r="I346" i="34" s="1"/>
  <c r="I345" i="34" s="1"/>
  <c r="I344" i="34" s="1"/>
  <c r="I800" i="34" s="1"/>
  <c r="G348" i="34"/>
  <c r="G347" i="34" s="1"/>
  <c r="G346" i="34" s="1"/>
  <c r="K347" i="34"/>
  <c r="K346" i="34" s="1"/>
  <c r="J347" i="34"/>
  <c r="J346" i="34" s="1"/>
  <c r="M346" i="34" s="1"/>
  <c r="H346" i="34"/>
  <c r="H345" i="34"/>
  <c r="H344" i="34" s="1"/>
  <c r="G345" i="34"/>
  <c r="G344" i="34" s="1"/>
  <c r="G800" i="34" s="1"/>
  <c r="M343" i="34"/>
  <c r="L343" i="34"/>
  <c r="I343" i="34"/>
  <c r="K342" i="34"/>
  <c r="J342" i="34"/>
  <c r="I342" i="34"/>
  <c r="I341" i="34" s="1"/>
  <c r="I340" i="34" s="1"/>
  <c r="G342" i="34"/>
  <c r="K341" i="34"/>
  <c r="J341" i="34"/>
  <c r="H341" i="34"/>
  <c r="H340" i="34" s="1"/>
  <c r="G341" i="34"/>
  <c r="G340" i="34" s="1"/>
  <c r="M339" i="34"/>
  <c r="L339" i="34"/>
  <c r="I339" i="34"/>
  <c r="I338" i="34" s="1"/>
  <c r="I337" i="34" s="1"/>
  <c r="I336" i="34" s="1"/>
  <c r="K338" i="34"/>
  <c r="K337" i="34" s="1"/>
  <c r="J338" i="34"/>
  <c r="L338" i="34" s="1"/>
  <c r="G338" i="34"/>
  <c r="G337" i="34" s="1"/>
  <c r="G336" i="34" s="1"/>
  <c r="G335" i="34" s="1"/>
  <c r="H337" i="34"/>
  <c r="H336" i="34" s="1"/>
  <c r="K336" i="34"/>
  <c r="M332" i="34"/>
  <c r="L332" i="34"/>
  <c r="K331" i="34"/>
  <c r="J331" i="34"/>
  <c r="J330" i="34" s="1"/>
  <c r="I331" i="34"/>
  <c r="I330" i="34" s="1"/>
  <c r="I326" i="34" s="1"/>
  <c r="I325" i="34" s="1"/>
  <c r="I324" i="34" s="1"/>
  <c r="G331" i="34"/>
  <c r="M331" i="34" s="1"/>
  <c r="K330" i="34"/>
  <c r="L330" i="34" s="1"/>
  <c r="H330" i="34"/>
  <c r="M329" i="34"/>
  <c r="L329" i="34"/>
  <c r="K328" i="34"/>
  <c r="J328" i="34"/>
  <c r="G328" i="34"/>
  <c r="G327" i="34" s="1"/>
  <c r="K327" i="34"/>
  <c r="L327" i="34" s="1"/>
  <c r="J327" i="34"/>
  <c r="H327" i="34"/>
  <c r="H326" i="34"/>
  <c r="H325" i="34" s="1"/>
  <c r="H324" i="34" s="1"/>
  <c r="M323" i="34"/>
  <c r="L323" i="34"/>
  <c r="G323" i="34"/>
  <c r="L322" i="34"/>
  <c r="G322" i="34"/>
  <c r="G321" i="34" s="1"/>
  <c r="M321" i="34" s="1"/>
  <c r="L321" i="34"/>
  <c r="H321" i="34"/>
  <c r="L320" i="34"/>
  <c r="K320" i="34"/>
  <c r="K319" i="34" s="1"/>
  <c r="I320" i="34"/>
  <c r="I319" i="34" s="1"/>
  <c r="I318" i="34" s="1"/>
  <c r="G320" i="34"/>
  <c r="M320" i="34" s="1"/>
  <c r="J319" i="34"/>
  <c r="J318" i="34" s="1"/>
  <c r="J314" i="34" s="1"/>
  <c r="J313" i="34" s="1"/>
  <c r="G319" i="34"/>
  <c r="H318" i="34"/>
  <c r="M317" i="34"/>
  <c r="L317" i="34"/>
  <c r="I317" i="34"/>
  <c r="I316" i="34" s="1"/>
  <c r="I315" i="34" s="1"/>
  <c r="K316" i="34"/>
  <c r="L316" i="34" s="1"/>
  <c r="J316" i="34"/>
  <c r="G316" i="34"/>
  <c r="M316" i="34" s="1"/>
  <c r="K315" i="34"/>
  <c r="L315" i="34" s="1"/>
  <c r="J315" i="34"/>
  <c r="H315" i="34"/>
  <c r="G315" i="34"/>
  <c r="L312" i="34"/>
  <c r="G312" i="34"/>
  <c r="M312" i="34" s="1"/>
  <c r="L311" i="34"/>
  <c r="G311" i="34"/>
  <c r="M311" i="34" s="1"/>
  <c r="L310" i="34"/>
  <c r="H310" i="34"/>
  <c r="K309" i="34"/>
  <c r="L309" i="34" s="1"/>
  <c r="J309" i="34"/>
  <c r="M309" i="34" s="1"/>
  <c r="I309" i="34"/>
  <c r="I308" i="34" s="1"/>
  <c r="I307" i="34" s="1"/>
  <c r="I306" i="34" s="1"/>
  <c r="I305" i="34" s="1"/>
  <c r="G309" i="34"/>
  <c r="K308" i="34"/>
  <c r="K307" i="34" s="1"/>
  <c r="G308" i="34"/>
  <c r="G307" i="34" s="1"/>
  <c r="G306" i="34" s="1"/>
  <c r="H307" i="34"/>
  <c r="H306" i="34"/>
  <c r="H305" i="34" s="1"/>
  <c r="M303" i="34"/>
  <c r="L303" i="34"/>
  <c r="G303" i="34"/>
  <c r="K302" i="34"/>
  <c r="K301" i="34" s="1"/>
  <c r="J302" i="34"/>
  <c r="G302" i="34"/>
  <c r="H301" i="34"/>
  <c r="L300" i="34"/>
  <c r="G300" i="34"/>
  <c r="M300" i="34" s="1"/>
  <c r="L299" i="34"/>
  <c r="G299" i="34"/>
  <c r="L298" i="34"/>
  <c r="H298" i="34"/>
  <c r="L297" i="34"/>
  <c r="I297" i="34"/>
  <c r="I296" i="34" s="1"/>
  <c r="I295" i="34" s="1"/>
  <c r="G297" i="34"/>
  <c r="G296" i="34" s="1"/>
  <c r="G295" i="34" s="1"/>
  <c r="K296" i="34"/>
  <c r="J296" i="34"/>
  <c r="J295" i="34" s="1"/>
  <c r="H295" i="34"/>
  <c r="M294" i="34"/>
  <c r="L294" i="34"/>
  <c r="I294" i="34"/>
  <c r="I293" i="34" s="1"/>
  <c r="I292" i="34" s="1"/>
  <c r="G294" i="34"/>
  <c r="K293" i="34"/>
  <c r="K292" i="34" s="1"/>
  <c r="J293" i="34"/>
  <c r="G293" i="34"/>
  <c r="M293" i="34" s="1"/>
  <c r="J292" i="34"/>
  <c r="H292" i="34"/>
  <c r="L291" i="34"/>
  <c r="I291" i="34"/>
  <c r="G291" i="34"/>
  <c r="M291" i="34" s="1"/>
  <c r="K290" i="34"/>
  <c r="J290" i="34"/>
  <c r="I290" i="34"/>
  <c r="I289" i="34" s="1"/>
  <c r="G290" i="34"/>
  <c r="K289" i="34"/>
  <c r="J289" i="34"/>
  <c r="H289" i="34"/>
  <c r="G289" i="34"/>
  <c r="L286" i="34"/>
  <c r="L285" i="34"/>
  <c r="H285" i="34"/>
  <c r="H284" i="34" s="1"/>
  <c r="G285" i="34"/>
  <c r="G284" i="34" s="1"/>
  <c r="L284" i="34"/>
  <c r="M283" i="34"/>
  <c r="L283" i="34"/>
  <c r="I283" i="34"/>
  <c r="I282" i="34" s="1"/>
  <c r="I281" i="34" s="1"/>
  <c r="K282" i="34"/>
  <c r="K281" i="34" s="1"/>
  <c r="J282" i="34"/>
  <c r="G282" i="34"/>
  <c r="G281" i="34" s="1"/>
  <c r="H281" i="34"/>
  <c r="L280" i="34"/>
  <c r="I280" i="34"/>
  <c r="K279" i="34"/>
  <c r="K278" i="34" s="1"/>
  <c r="J279" i="34"/>
  <c r="I279" i="34"/>
  <c r="H279" i="34"/>
  <c r="H278" i="34" s="1"/>
  <c r="G279" i="34"/>
  <c r="G278" i="34" s="1"/>
  <c r="J278" i="34"/>
  <c r="I278" i="34"/>
  <c r="M277" i="34"/>
  <c r="L277" i="34"/>
  <c r="I277" i="34"/>
  <c r="G277" i="34"/>
  <c r="K276" i="34"/>
  <c r="J276" i="34"/>
  <c r="M276" i="34" s="1"/>
  <c r="I276" i="34"/>
  <c r="I275" i="34" s="1"/>
  <c r="G276" i="34"/>
  <c r="K275" i="34"/>
  <c r="J275" i="34"/>
  <c r="M275" i="34" s="1"/>
  <c r="H275" i="34"/>
  <c r="G275" i="34"/>
  <c r="M271" i="34"/>
  <c r="L271" i="34"/>
  <c r="L270" i="34"/>
  <c r="K270" i="34"/>
  <c r="J270" i="34"/>
  <c r="J269" i="34" s="1"/>
  <c r="G270" i="34"/>
  <c r="G269" i="34" s="1"/>
  <c r="K269" i="34"/>
  <c r="K268" i="34" s="1"/>
  <c r="H269" i="34"/>
  <c r="H268" i="34" s="1"/>
  <c r="G268" i="34"/>
  <c r="L267" i="34"/>
  <c r="L266" i="34"/>
  <c r="H266" i="34"/>
  <c r="H265" i="34" s="1"/>
  <c r="G266" i="34"/>
  <c r="G265" i="34" s="1"/>
  <c r="L265" i="34"/>
  <c r="L264" i="34"/>
  <c r="L263" i="34"/>
  <c r="H263" i="34"/>
  <c r="H262" i="34" s="1"/>
  <c r="G263" i="34"/>
  <c r="G262" i="34" s="1"/>
  <c r="L262" i="34"/>
  <c r="M261" i="34"/>
  <c r="L261" i="34"/>
  <c r="I261" i="34"/>
  <c r="I260" i="34" s="1"/>
  <c r="I259" i="34" s="1"/>
  <c r="K260" i="34"/>
  <c r="J260" i="34"/>
  <c r="J259" i="34" s="1"/>
  <c r="G260" i="34"/>
  <c r="G259" i="34" s="1"/>
  <c r="H259" i="34"/>
  <c r="M258" i="34"/>
  <c r="L258" i="34"/>
  <c r="I258" i="34"/>
  <c r="I257" i="34" s="1"/>
  <c r="K257" i="34"/>
  <c r="J257" i="34"/>
  <c r="J256" i="34" s="1"/>
  <c r="G257" i="34"/>
  <c r="G256" i="34" s="1"/>
  <c r="I256" i="34"/>
  <c r="H256" i="34"/>
  <c r="L255" i="34"/>
  <c r="I255" i="34"/>
  <c r="G255" i="34"/>
  <c r="M255" i="34" s="1"/>
  <c r="K254" i="34"/>
  <c r="K253" i="34" s="1"/>
  <c r="J254" i="34"/>
  <c r="J253" i="34" s="1"/>
  <c r="I254" i="34"/>
  <c r="I253" i="34" s="1"/>
  <c r="G254" i="34"/>
  <c r="H253" i="34"/>
  <c r="L252" i="34"/>
  <c r="I252" i="34"/>
  <c r="G252" i="34"/>
  <c r="M252" i="34" s="1"/>
  <c r="K251" i="34"/>
  <c r="J251" i="34"/>
  <c r="L251" i="34" s="1"/>
  <c r="I251" i="34"/>
  <c r="I250" i="34" s="1"/>
  <c r="G251" i="34"/>
  <c r="K250" i="34"/>
  <c r="J250" i="34"/>
  <c r="H250" i="34"/>
  <c r="H242" i="34" s="1"/>
  <c r="H241" i="34" s="1"/>
  <c r="H240" i="34" s="1"/>
  <c r="G250" i="34"/>
  <c r="L249" i="34"/>
  <c r="I249" i="34"/>
  <c r="G249" i="34"/>
  <c r="K248" i="34"/>
  <c r="J248" i="34"/>
  <c r="I248" i="34"/>
  <c r="K247" i="34"/>
  <c r="L247" i="34" s="1"/>
  <c r="J247" i="34"/>
  <c r="I247" i="34"/>
  <c r="G247" i="34"/>
  <c r="K246" i="34"/>
  <c r="L246" i="34" s="1"/>
  <c r="J246" i="34"/>
  <c r="I246" i="34"/>
  <c r="M245" i="34"/>
  <c r="L245" i="34"/>
  <c r="I245" i="34"/>
  <c r="I244" i="34" s="1"/>
  <c r="G245" i="34"/>
  <c r="L244" i="34"/>
  <c r="K244" i="34"/>
  <c r="J244" i="34"/>
  <c r="G244" i="34"/>
  <c r="M244" i="34" s="1"/>
  <c r="K243" i="34"/>
  <c r="H243" i="34"/>
  <c r="L239" i="34"/>
  <c r="L238" i="34"/>
  <c r="G238" i="34"/>
  <c r="G237" i="34" s="1"/>
  <c r="G236" i="34" s="1"/>
  <c r="G235" i="34" s="1"/>
  <c r="L237" i="34"/>
  <c r="L236" i="34"/>
  <c r="L235" i="34"/>
  <c r="L234" i="34"/>
  <c r="K234" i="34"/>
  <c r="I234" i="34"/>
  <c r="I233" i="34" s="1"/>
  <c r="I232" i="34" s="1"/>
  <c r="I231" i="34" s="1"/>
  <c r="I230" i="34" s="1"/>
  <c r="I229" i="34" s="1"/>
  <c r="G234" i="34"/>
  <c r="M234" i="34" s="1"/>
  <c r="K233" i="34"/>
  <c r="K232" i="34" s="1"/>
  <c r="J233" i="34"/>
  <c r="J232" i="34" s="1"/>
  <c r="G233" i="34"/>
  <c r="G232" i="34" s="1"/>
  <c r="G231" i="34" s="1"/>
  <c r="G230" i="34" s="1"/>
  <c r="H232" i="34"/>
  <c r="H231" i="34" s="1"/>
  <c r="H230" i="34" s="1"/>
  <c r="H229" i="34" s="1"/>
  <c r="M227" i="34"/>
  <c r="L227" i="34"/>
  <c r="I227" i="34"/>
  <c r="I226" i="34" s="1"/>
  <c r="I225" i="34" s="1"/>
  <c r="I224" i="34" s="1"/>
  <c r="K226" i="34"/>
  <c r="J226" i="34"/>
  <c r="G226" i="34"/>
  <c r="G225" i="34" s="1"/>
  <c r="G224" i="34" s="1"/>
  <c r="H225" i="34"/>
  <c r="H224" i="34" s="1"/>
  <c r="L223" i="34"/>
  <c r="I223" i="34"/>
  <c r="G223" i="34"/>
  <c r="M223" i="34" s="1"/>
  <c r="K222" i="34"/>
  <c r="J222" i="34"/>
  <c r="L222" i="34" s="1"/>
  <c r="I222" i="34"/>
  <c r="I221" i="34" s="1"/>
  <c r="G222" i="34"/>
  <c r="G221" i="34" s="1"/>
  <c r="G220" i="34" s="1"/>
  <c r="K221" i="34"/>
  <c r="H221" i="34"/>
  <c r="H220" i="34" s="1"/>
  <c r="I220" i="34"/>
  <c r="M218" i="34"/>
  <c r="L218" i="34"/>
  <c r="I218" i="34"/>
  <c r="I217" i="34" s="1"/>
  <c r="K217" i="34"/>
  <c r="K216" i="34" s="1"/>
  <c r="K215" i="34" s="1"/>
  <c r="J217" i="34"/>
  <c r="J216" i="34" s="1"/>
  <c r="J215" i="34" s="1"/>
  <c r="J214" i="34" s="1"/>
  <c r="G217" i="34"/>
  <c r="G216" i="34" s="1"/>
  <c r="G215" i="34" s="1"/>
  <c r="I216" i="34"/>
  <c r="I215" i="34" s="1"/>
  <c r="I214" i="34" s="1"/>
  <c r="H216" i="34"/>
  <c r="H215" i="34" s="1"/>
  <c r="H214" i="34" s="1"/>
  <c r="L212" i="34"/>
  <c r="I212" i="34"/>
  <c r="I211" i="34" s="1"/>
  <c r="I210" i="34" s="1"/>
  <c r="G212" i="34"/>
  <c r="K211" i="34"/>
  <c r="K210" i="34" s="1"/>
  <c r="J211" i="34"/>
  <c r="H211" i="34"/>
  <c r="H210" i="34" s="1"/>
  <c r="G211" i="34"/>
  <c r="G210" i="34" s="1"/>
  <c r="J210" i="34"/>
  <c r="L210" i="34" s="1"/>
  <c r="L209" i="34"/>
  <c r="K208" i="34"/>
  <c r="K207" i="34" s="1"/>
  <c r="J208" i="34"/>
  <c r="H208" i="34"/>
  <c r="G208" i="34"/>
  <c r="G207" i="34" s="1"/>
  <c r="J207" i="34"/>
  <c r="L207" i="34" s="1"/>
  <c r="H207" i="34"/>
  <c r="L206" i="34"/>
  <c r="I206" i="34"/>
  <c r="I205" i="34" s="1"/>
  <c r="I204" i="34" s="1"/>
  <c r="G206" i="34"/>
  <c r="M206" i="34" s="1"/>
  <c r="K205" i="34"/>
  <c r="K204" i="34" s="1"/>
  <c r="J205" i="34"/>
  <c r="J204" i="34" s="1"/>
  <c r="H204" i="34"/>
  <c r="M200" i="34"/>
  <c r="L200" i="34"/>
  <c r="I200" i="34"/>
  <c r="I199" i="34" s="1"/>
  <c r="I198" i="34" s="1"/>
  <c r="I197" i="34" s="1"/>
  <c r="I196" i="34" s="1"/>
  <c r="I803" i="34" s="1"/>
  <c r="K199" i="34"/>
  <c r="L199" i="34" s="1"/>
  <c r="J199" i="34"/>
  <c r="G199" i="34"/>
  <c r="G198" i="34" s="1"/>
  <c r="G197" i="34" s="1"/>
  <c r="G196" i="34" s="1"/>
  <c r="G803" i="34" s="1"/>
  <c r="K198" i="34"/>
  <c r="J198" i="34"/>
  <c r="H198" i="34"/>
  <c r="H197" i="34" s="1"/>
  <c r="H196" i="34" s="1"/>
  <c r="M195" i="34"/>
  <c r="L195" i="34"/>
  <c r="I195" i="34"/>
  <c r="K194" i="34"/>
  <c r="J194" i="34"/>
  <c r="J193" i="34" s="1"/>
  <c r="I194" i="34"/>
  <c r="I193" i="34" s="1"/>
  <c r="I192" i="34" s="1"/>
  <c r="I191" i="34" s="1"/>
  <c r="G194" i="34"/>
  <c r="H193" i="34"/>
  <c r="H191" i="34" s="1"/>
  <c r="G193" i="34"/>
  <c r="G191" i="34" s="1"/>
  <c r="J192" i="34"/>
  <c r="H190" i="34"/>
  <c r="M189" i="34"/>
  <c r="L189" i="34"/>
  <c r="I189" i="34"/>
  <c r="G189" i="34"/>
  <c r="K188" i="34"/>
  <c r="L188" i="34" s="1"/>
  <c r="J188" i="34"/>
  <c r="I188" i="34"/>
  <c r="G188" i="34"/>
  <c r="K187" i="34"/>
  <c r="K185" i="34" s="1"/>
  <c r="K184" i="34" s="1"/>
  <c r="J187" i="34"/>
  <c r="J185" i="34" s="1"/>
  <c r="J184" i="34" s="1"/>
  <c r="I187" i="34"/>
  <c r="I185" i="34" s="1"/>
  <c r="I184" i="34" s="1"/>
  <c r="H187" i="34"/>
  <c r="H185" i="34" s="1"/>
  <c r="H184" i="34" s="1"/>
  <c r="M182" i="34"/>
  <c r="K182" i="34"/>
  <c r="L182" i="34" s="1"/>
  <c r="I182" i="34"/>
  <c r="J181" i="34"/>
  <c r="J180" i="34" s="1"/>
  <c r="J179" i="34" s="1"/>
  <c r="I181" i="34"/>
  <c r="I180" i="34" s="1"/>
  <c r="G181" i="34"/>
  <c r="H180" i="34"/>
  <c r="H179" i="34" s="1"/>
  <c r="H178" i="34" s="1"/>
  <c r="G180" i="34"/>
  <c r="G179" i="34" s="1"/>
  <c r="G178" i="34" s="1"/>
  <c r="I179" i="34"/>
  <c r="I178" i="34" s="1"/>
  <c r="L177" i="34"/>
  <c r="I177" i="34"/>
  <c r="I176" i="34" s="1"/>
  <c r="I175" i="34" s="1"/>
  <c r="I174" i="34" s="1"/>
  <c r="I173" i="34" s="1"/>
  <c r="G177" i="34"/>
  <c r="G176" i="34" s="1"/>
  <c r="G175" i="34" s="1"/>
  <c r="K176" i="34"/>
  <c r="L176" i="34" s="1"/>
  <c r="J176" i="34"/>
  <c r="J175" i="34" s="1"/>
  <c r="J174" i="34" s="1"/>
  <c r="J173" i="34" s="1"/>
  <c r="H175" i="34"/>
  <c r="H174" i="34" s="1"/>
  <c r="H173" i="34" s="1"/>
  <c r="H172" i="34" s="1"/>
  <c r="L171" i="34"/>
  <c r="I171" i="34"/>
  <c r="G171" i="34"/>
  <c r="G170" i="34" s="1"/>
  <c r="G169" i="34" s="1"/>
  <c r="K170" i="34"/>
  <c r="J170" i="34"/>
  <c r="J169" i="34" s="1"/>
  <c r="I170" i="34"/>
  <c r="I169" i="34" s="1"/>
  <c r="H169" i="34"/>
  <c r="M168" i="34"/>
  <c r="L168" i="34"/>
  <c r="I168" i="34"/>
  <c r="I167" i="34" s="1"/>
  <c r="I166" i="34" s="1"/>
  <c r="I165" i="34" s="1"/>
  <c r="K167" i="34"/>
  <c r="K166" i="34" s="1"/>
  <c r="J167" i="34"/>
  <c r="J166" i="34" s="1"/>
  <c r="G167" i="34"/>
  <c r="G166" i="34" s="1"/>
  <c r="G165" i="34" s="1"/>
  <c r="H166" i="34"/>
  <c r="H165" i="34" s="1"/>
  <c r="H164" i="34" s="1"/>
  <c r="H163" i="34" s="1"/>
  <c r="H162" i="34" s="1"/>
  <c r="L161" i="34"/>
  <c r="I161" i="34"/>
  <c r="I160" i="34" s="1"/>
  <c r="G161" i="34"/>
  <c r="M161" i="34" s="1"/>
  <c r="K160" i="34"/>
  <c r="J160" i="34"/>
  <c r="G160" i="34"/>
  <c r="L159" i="34"/>
  <c r="I159" i="34"/>
  <c r="I158" i="34" s="1"/>
  <c r="G159" i="34"/>
  <c r="M159" i="34" s="1"/>
  <c r="L158" i="34"/>
  <c r="K158" i="34"/>
  <c r="J158" i="34"/>
  <c r="G158" i="34"/>
  <c r="G157" i="34" s="1"/>
  <c r="H157" i="34"/>
  <c r="M156" i="34"/>
  <c r="L156" i="34"/>
  <c r="I156" i="34"/>
  <c r="I155" i="34" s="1"/>
  <c r="K155" i="34"/>
  <c r="J155" i="34"/>
  <c r="G155" i="34"/>
  <c r="M154" i="34"/>
  <c r="L154" i="34"/>
  <c r="I154" i="34"/>
  <c r="I153" i="34" s="1"/>
  <c r="K153" i="34"/>
  <c r="J153" i="34"/>
  <c r="J152" i="34" s="1"/>
  <c r="M152" i="34" s="1"/>
  <c r="G153" i="34"/>
  <c r="K152" i="34"/>
  <c r="H152" i="34"/>
  <c r="G152" i="34"/>
  <c r="M151" i="34"/>
  <c r="L151" i="34"/>
  <c r="I151" i="34"/>
  <c r="I150" i="34" s="1"/>
  <c r="K150" i="34"/>
  <c r="J150" i="34"/>
  <c r="G150" i="34"/>
  <c r="M149" i="34"/>
  <c r="L149" i="34"/>
  <c r="K149" i="34"/>
  <c r="K148" i="34" s="1"/>
  <c r="K147" i="34" s="1"/>
  <c r="L147" i="34" s="1"/>
  <c r="J149" i="34"/>
  <c r="I149" i="34"/>
  <c r="I148" i="34" s="1"/>
  <c r="J148" i="34"/>
  <c r="J147" i="34" s="1"/>
  <c r="G148" i="34"/>
  <c r="G147" i="34" s="1"/>
  <c r="H147" i="34"/>
  <c r="M146" i="34"/>
  <c r="L146" i="34"/>
  <c r="I146" i="34"/>
  <c r="I145" i="34" s="1"/>
  <c r="K145" i="34"/>
  <c r="J145" i="34"/>
  <c r="M145" i="34" s="1"/>
  <c r="G145" i="34"/>
  <c r="M144" i="34"/>
  <c r="L144" i="34"/>
  <c r="I144" i="34"/>
  <c r="I143" i="34" s="1"/>
  <c r="K143" i="34"/>
  <c r="K142" i="34" s="1"/>
  <c r="J143" i="34"/>
  <c r="G143" i="34"/>
  <c r="H142" i="34"/>
  <c r="M141" i="34"/>
  <c r="L141" i="34"/>
  <c r="I141" i="34"/>
  <c r="I140" i="34" s="1"/>
  <c r="I139" i="34" s="1"/>
  <c r="K140" i="34"/>
  <c r="J140" i="34"/>
  <c r="J139" i="34" s="1"/>
  <c r="G140" i="34"/>
  <c r="K139" i="34"/>
  <c r="H139" i="34"/>
  <c r="G139" i="34"/>
  <c r="L138" i="34"/>
  <c r="I138" i="34"/>
  <c r="I137" i="34" s="1"/>
  <c r="G138" i="34"/>
  <c r="M138" i="34" s="1"/>
  <c r="K137" i="34"/>
  <c r="L137" i="34" s="1"/>
  <c r="J137" i="34"/>
  <c r="M137" i="34" s="1"/>
  <c r="G137" i="34"/>
  <c r="M136" i="34"/>
  <c r="L136" i="34"/>
  <c r="K136" i="34"/>
  <c r="J136" i="34"/>
  <c r="I136" i="34"/>
  <c r="I135" i="34" s="1"/>
  <c r="G136" i="34"/>
  <c r="K135" i="34"/>
  <c r="J135" i="34"/>
  <c r="G135" i="34"/>
  <c r="G134" i="34" s="1"/>
  <c r="J134" i="34"/>
  <c r="M134" i="34" s="1"/>
  <c r="H134" i="34"/>
  <c r="M132" i="34"/>
  <c r="L132" i="34"/>
  <c r="I132" i="34"/>
  <c r="K131" i="34"/>
  <c r="K130" i="34" s="1"/>
  <c r="L130" i="34" s="1"/>
  <c r="J131" i="34"/>
  <c r="J130" i="34" s="1"/>
  <c r="I131" i="34"/>
  <c r="I130" i="34" s="1"/>
  <c r="G131" i="34"/>
  <c r="G130" i="34" s="1"/>
  <c r="H130" i="34"/>
  <c r="L129" i="34"/>
  <c r="L128" i="34"/>
  <c r="H128" i="34"/>
  <c r="G128" i="34"/>
  <c r="L127" i="34"/>
  <c r="L126" i="34"/>
  <c r="H126" i="34"/>
  <c r="G126" i="34"/>
  <c r="G125" i="34" s="1"/>
  <c r="L125" i="34"/>
  <c r="H125" i="34"/>
  <c r="L124" i="34"/>
  <c r="I124" i="34"/>
  <c r="G124" i="34"/>
  <c r="K123" i="34"/>
  <c r="J123" i="34"/>
  <c r="M123" i="34" s="1"/>
  <c r="I123" i="34"/>
  <c r="I122" i="34" s="1"/>
  <c r="G123" i="34"/>
  <c r="K122" i="34"/>
  <c r="G122" i="34"/>
  <c r="M121" i="34"/>
  <c r="L121" i="34"/>
  <c r="G121" i="34"/>
  <c r="K120" i="34"/>
  <c r="J120" i="34"/>
  <c r="I120" i="34"/>
  <c r="G120" i="34"/>
  <c r="H119" i="34"/>
  <c r="M118" i="34"/>
  <c r="J118" i="34"/>
  <c r="L118" i="34" s="1"/>
  <c r="I118" i="34"/>
  <c r="I117" i="34" s="1"/>
  <c r="K117" i="34"/>
  <c r="G117" i="34"/>
  <c r="K116" i="34"/>
  <c r="K115" i="34" s="1"/>
  <c r="K114" i="34" s="1"/>
  <c r="I116" i="34"/>
  <c r="G116" i="34"/>
  <c r="G115" i="34" s="1"/>
  <c r="G114" i="34" s="1"/>
  <c r="I115" i="34"/>
  <c r="H114" i="34"/>
  <c r="M113" i="34"/>
  <c r="L113" i="34"/>
  <c r="K112" i="34"/>
  <c r="L112" i="34" s="1"/>
  <c r="G112" i="34"/>
  <c r="M112" i="34" s="1"/>
  <c r="H111" i="34"/>
  <c r="M109" i="34"/>
  <c r="L109" i="34"/>
  <c r="K108" i="34"/>
  <c r="J108" i="34"/>
  <c r="I108" i="34"/>
  <c r="G108" i="34"/>
  <c r="L107" i="34"/>
  <c r="I107" i="34"/>
  <c r="G107" i="34"/>
  <c r="G106" i="34" s="1"/>
  <c r="K106" i="34"/>
  <c r="L106" i="34" s="1"/>
  <c r="J106" i="34"/>
  <c r="J105" i="34" s="1"/>
  <c r="I106" i="34"/>
  <c r="I105" i="34" s="1"/>
  <c r="J104" i="34"/>
  <c r="J103" i="34" s="1"/>
  <c r="I104" i="34"/>
  <c r="K103" i="34"/>
  <c r="I103" i="34"/>
  <c r="G103" i="34"/>
  <c r="K102" i="34"/>
  <c r="L102" i="34" s="1"/>
  <c r="I102" i="34"/>
  <c r="I101" i="34" s="1"/>
  <c r="G102" i="34"/>
  <c r="M102" i="34" s="1"/>
  <c r="J101" i="34"/>
  <c r="M101" i="34" s="1"/>
  <c r="G101" i="34"/>
  <c r="H100" i="34"/>
  <c r="H99" i="34" s="1"/>
  <c r="H98" i="34" s="1"/>
  <c r="M97" i="34"/>
  <c r="L97" i="34"/>
  <c r="I97" i="34"/>
  <c r="I96" i="34" s="1"/>
  <c r="I95" i="34" s="1"/>
  <c r="K96" i="34"/>
  <c r="J96" i="34"/>
  <c r="M96" i="34" s="1"/>
  <c r="G96" i="34"/>
  <c r="G95" i="34" s="1"/>
  <c r="H95" i="34"/>
  <c r="K94" i="34"/>
  <c r="L94" i="34" s="1"/>
  <c r="I94" i="34"/>
  <c r="I93" i="34" s="1"/>
  <c r="I92" i="34" s="1"/>
  <c r="G94" i="34"/>
  <c r="M94" i="34" s="1"/>
  <c r="J93" i="34"/>
  <c r="G93" i="34"/>
  <c r="M93" i="34" s="1"/>
  <c r="J92" i="34"/>
  <c r="H92" i="34"/>
  <c r="H91" i="34" s="1"/>
  <c r="H90" i="34" s="1"/>
  <c r="J89" i="34"/>
  <c r="L89" i="34" s="1"/>
  <c r="I89" i="34"/>
  <c r="I88" i="34" s="1"/>
  <c r="I87" i="34" s="1"/>
  <c r="I86" i="34" s="1"/>
  <c r="I85" i="34" s="1"/>
  <c r="I795" i="34" s="1"/>
  <c r="K88" i="34"/>
  <c r="K87" i="34" s="1"/>
  <c r="G88" i="34"/>
  <c r="G87" i="34" s="1"/>
  <c r="G86" i="34" s="1"/>
  <c r="G85" i="34" s="1"/>
  <c r="G795" i="34" s="1"/>
  <c r="H87" i="34"/>
  <c r="H86" i="34" s="1"/>
  <c r="H85" i="34" s="1"/>
  <c r="L84" i="34"/>
  <c r="I84" i="34"/>
  <c r="I83" i="34" s="1"/>
  <c r="I80" i="34" s="1"/>
  <c r="G84" i="34"/>
  <c r="G83" i="34" s="1"/>
  <c r="K83" i="34"/>
  <c r="K80" i="34" s="1"/>
  <c r="J83" i="34"/>
  <c r="M82" i="34"/>
  <c r="L82" i="34"/>
  <c r="K81" i="34"/>
  <c r="J81" i="34"/>
  <c r="G81" i="34"/>
  <c r="H80" i="34"/>
  <c r="L79" i="34"/>
  <c r="I79" i="34"/>
  <c r="I78" i="34" s="1"/>
  <c r="I77" i="34" s="1"/>
  <c r="I76" i="34" s="1"/>
  <c r="K78" i="34"/>
  <c r="J78" i="34"/>
  <c r="H78" i="34"/>
  <c r="H77" i="34" s="1"/>
  <c r="H76" i="34" s="1"/>
  <c r="G78" i="34"/>
  <c r="G77" i="34" s="1"/>
  <c r="J77" i="34"/>
  <c r="M75" i="34"/>
  <c r="L75" i="34"/>
  <c r="I75" i="34"/>
  <c r="I74" i="34" s="1"/>
  <c r="L74" i="34"/>
  <c r="G74" i="34"/>
  <c r="M74" i="34" s="1"/>
  <c r="K73" i="34"/>
  <c r="L73" i="34" s="1"/>
  <c r="I73" i="34"/>
  <c r="I72" i="34" s="1"/>
  <c r="G73" i="34"/>
  <c r="M73" i="34" s="1"/>
  <c r="J72" i="34"/>
  <c r="G72" i="34"/>
  <c r="M72" i="34" s="1"/>
  <c r="M71" i="34"/>
  <c r="L71" i="34"/>
  <c r="I71" i="34"/>
  <c r="G71" i="34"/>
  <c r="G70" i="34" s="1"/>
  <c r="K70" i="34"/>
  <c r="L70" i="34" s="1"/>
  <c r="J70" i="34"/>
  <c r="I70" i="34"/>
  <c r="H69" i="34"/>
  <c r="H68" i="34" s="1"/>
  <c r="M67" i="34"/>
  <c r="K67" i="34"/>
  <c r="L67" i="34" s="1"/>
  <c r="J67" i="34"/>
  <c r="J66" i="34" s="1"/>
  <c r="I67" i="34"/>
  <c r="I66" i="34" s="1"/>
  <c r="I65" i="34" s="1"/>
  <c r="G67" i="34"/>
  <c r="K66" i="34"/>
  <c r="G66" i="34"/>
  <c r="G65" i="34" s="1"/>
  <c r="M64" i="34"/>
  <c r="L64" i="34"/>
  <c r="I64" i="34"/>
  <c r="I63" i="34" s="1"/>
  <c r="I62" i="34" s="1"/>
  <c r="K63" i="34"/>
  <c r="J63" i="34"/>
  <c r="M63" i="34" s="1"/>
  <c r="G63" i="34"/>
  <c r="G62" i="34" s="1"/>
  <c r="H61" i="34"/>
  <c r="L58" i="34"/>
  <c r="G58" i="34"/>
  <c r="M58" i="34" s="1"/>
  <c r="K57" i="34"/>
  <c r="J57" i="34"/>
  <c r="J56" i="34" s="1"/>
  <c r="I57" i="34"/>
  <c r="I56" i="34" s="1"/>
  <c r="I55" i="34" s="1"/>
  <c r="I54" i="34" s="1"/>
  <c r="M53" i="34"/>
  <c r="L53" i="34"/>
  <c r="I53" i="34"/>
  <c r="G53" i="34"/>
  <c r="G52" i="34" s="1"/>
  <c r="K52" i="34"/>
  <c r="K51" i="34" s="1"/>
  <c r="L51" i="34" s="1"/>
  <c r="J52" i="34"/>
  <c r="J51" i="34" s="1"/>
  <c r="I52" i="34"/>
  <c r="I51" i="34" s="1"/>
  <c r="I50" i="34" s="1"/>
  <c r="I49" i="34" s="1"/>
  <c r="M48" i="34"/>
  <c r="L48" i="34"/>
  <c r="K47" i="34"/>
  <c r="J47" i="34"/>
  <c r="I47" i="34"/>
  <c r="I46" i="34" s="1"/>
  <c r="I45" i="34" s="1"/>
  <c r="I44" i="34" s="1"/>
  <c r="I43" i="34" s="1"/>
  <c r="G47" i="34"/>
  <c r="M47" i="34" s="1"/>
  <c r="J46" i="34"/>
  <c r="J45" i="34" s="1"/>
  <c r="M42" i="34"/>
  <c r="L42" i="34"/>
  <c r="I42" i="34"/>
  <c r="I41" i="34" s="1"/>
  <c r="K41" i="34"/>
  <c r="L41" i="34" s="1"/>
  <c r="J41" i="34"/>
  <c r="G41" i="34"/>
  <c r="K40" i="34"/>
  <c r="L40" i="34" s="1"/>
  <c r="J39" i="34"/>
  <c r="I40" i="34"/>
  <c r="G40" i="34"/>
  <c r="G39" i="34" s="1"/>
  <c r="G38" i="34" s="1"/>
  <c r="G37" i="34" s="1"/>
  <c r="G36" i="34" s="1"/>
  <c r="I39" i="34"/>
  <c r="M35" i="34"/>
  <c r="L35" i="34"/>
  <c r="I35" i="34"/>
  <c r="G35" i="34"/>
  <c r="K34" i="34"/>
  <c r="L34" i="34" s="1"/>
  <c r="J34" i="34"/>
  <c r="I34" i="34"/>
  <c r="I33" i="34" s="1"/>
  <c r="I32" i="34" s="1"/>
  <c r="I31" i="34" s="1"/>
  <c r="G34" i="34"/>
  <c r="K33" i="34"/>
  <c r="K32" i="34" s="1"/>
  <c r="J33" i="34"/>
  <c r="J32" i="34" s="1"/>
  <c r="H33" i="34"/>
  <c r="H32" i="34" s="1"/>
  <c r="M28" i="34"/>
  <c r="K28" i="34"/>
  <c r="K27" i="34" s="1"/>
  <c r="I28" i="34"/>
  <c r="I27" i="34" s="1"/>
  <c r="I26" i="34" s="1"/>
  <c r="I25" i="34" s="1"/>
  <c r="I24" i="34" s="1"/>
  <c r="J27" i="34"/>
  <c r="J26" i="34" s="1"/>
  <c r="H27" i="34"/>
  <c r="H26" i="34" s="1"/>
  <c r="H25" i="34" s="1"/>
  <c r="H24" i="34" s="1"/>
  <c r="G27" i="34"/>
  <c r="G26" i="34" s="1"/>
  <c r="G25" i="34" s="1"/>
  <c r="G24" i="34" s="1"/>
  <c r="M23" i="34"/>
  <c r="L23" i="34"/>
  <c r="I23" i="34"/>
  <c r="K22" i="34"/>
  <c r="J22" i="34"/>
  <c r="J21" i="34" s="1"/>
  <c r="I22" i="34"/>
  <c r="I21" i="34" s="1"/>
  <c r="I20" i="34" s="1"/>
  <c r="I19" i="34" s="1"/>
  <c r="H22" i="34"/>
  <c r="G22" i="34"/>
  <c r="G21" i="34" s="1"/>
  <c r="G20" i="34" s="1"/>
  <c r="G19" i="34" s="1"/>
  <c r="H21" i="34"/>
  <c r="H20" i="34" s="1"/>
  <c r="H19" i="34" s="1"/>
  <c r="L17" i="34"/>
  <c r="K16" i="34"/>
  <c r="J16" i="34"/>
  <c r="H16" i="34"/>
  <c r="H11" i="34" s="1"/>
  <c r="H10" i="34" s="1"/>
  <c r="G16" i="34"/>
  <c r="M15" i="34"/>
  <c r="L15" i="34"/>
  <c r="I15" i="34"/>
  <c r="I14" i="34" s="1"/>
  <c r="G15" i="34"/>
  <c r="G14" i="34" s="1"/>
  <c r="K14" i="34"/>
  <c r="J14" i="34"/>
  <c r="M14" i="34" s="1"/>
  <c r="K13" i="34"/>
  <c r="I13" i="34"/>
  <c r="I12" i="34" s="1"/>
  <c r="G13" i="34"/>
  <c r="M13" i="34" s="1"/>
  <c r="J12" i="34"/>
  <c r="J11" i="34" s="1"/>
  <c r="G12" i="34"/>
  <c r="K182" i="33"/>
  <c r="K227" i="33"/>
  <c r="K234" i="33"/>
  <c r="K102" i="33"/>
  <c r="K94" i="33"/>
  <c r="K73" i="33"/>
  <c r="M104" i="34" l="1"/>
  <c r="K119" i="34"/>
  <c r="L123" i="35"/>
  <c r="I190" i="34"/>
  <c r="M573" i="34"/>
  <c r="I740" i="34"/>
  <c r="I739" i="34" s="1"/>
  <c r="I738" i="34" s="1"/>
  <c r="I737" i="34" s="1"/>
  <c r="M71" i="35"/>
  <c r="I152" i="35"/>
  <c r="M223" i="35"/>
  <c r="I164" i="34"/>
  <c r="I163" i="34" s="1"/>
  <c r="I162" i="34" s="1"/>
  <c r="I776" i="34" s="1"/>
  <c r="I38" i="35"/>
  <c r="I37" i="35" s="1"/>
  <c r="I36" i="35" s="1"/>
  <c r="L247" i="35"/>
  <c r="G296" i="35"/>
  <c r="G12" i="35"/>
  <c r="L104" i="35"/>
  <c r="G575" i="35"/>
  <c r="M642" i="35"/>
  <c r="N743" i="35"/>
  <c r="N695" i="35"/>
  <c r="N576" i="35"/>
  <c r="N441" i="35"/>
  <c r="N376" i="35"/>
  <c r="N297" i="35"/>
  <c r="N255" i="35"/>
  <c r="N245" i="35"/>
  <c r="N206" i="35"/>
  <c r="N688" i="35"/>
  <c r="I147" i="34"/>
  <c r="M177" i="34"/>
  <c r="M596" i="34"/>
  <c r="M104" i="35"/>
  <c r="M116" i="35"/>
  <c r="J117" i="35"/>
  <c r="L118" i="35"/>
  <c r="M123" i="35"/>
  <c r="G205" i="35"/>
  <c r="G204" i="35" s="1"/>
  <c r="G623" i="35"/>
  <c r="M686" i="35"/>
  <c r="N573" i="35"/>
  <c r="N171" i="35"/>
  <c r="M116" i="34"/>
  <c r="J117" i="34"/>
  <c r="L123" i="34"/>
  <c r="M58" i="35"/>
  <c r="G93" i="35"/>
  <c r="G92" i="35" s="1"/>
  <c r="I142" i="35"/>
  <c r="G248" i="35"/>
  <c r="G685" i="35"/>
  <c r="N748" i="35"/>
  <c r="N624" i="35"/>
  <c r="N596" i="35"/>
  <c r="N223" i="35"/>
  <c r="N116" i="35"/>
  <c r="I172" i="34"/>
  <c r="I777" i="34" s="1"/>
  <c r="I186" i="34"/>
  <c r="G205" i="34"/>
  <c r="G204" i="34" s="1"/>
  <c r="M747" i="34"/>
  <c r="G572" i="35"/>
  <c r="G571" i="35" s="1"/>
  <c r="M596" i="35"/>
  <c r="M746" i="35"/>
  <c r="N746" i="35"/>
  <c r="N642" i="35"/>
  <c r="N247" i="35"/>
  <c r="J706" i="36"/>
  <c r="L706" i="36" s="1"/>
  <c r="M288" i="36"/>
  <c r="M707" i="36"/>
  <c r="G272" i="36"/>
  <c r="N716" i="36"/>
  <c r="G660" i="36"/>
  <c r="N661" i="36"/>
  <c r="M661" i="36"/>
  <c r="I806" i="36"/>
  <c r="I778" i="36"/>
  <c r="N242" i="36"/>
  <c r="L748" i="36"/>
  <c r="I29" i="36"/>
  <c r="I759" i="36" s="1"/>
  <c r="I770" i="36" s="1"/>
  <c r="I772" i="36"/>
  <c r="J805" i="36"/>
  <c r="G715" i="36"/>
  <c r="N715" i="36" s="1"/>
  <c r="M716" i="36"/>
  <c r="G443" i="36"/>
  <c r="G805" i="36" s="1"/>
  <c r="M444" i="36"/>
  <c r="L68" i="36"/>
  <c r="N68" i="36"/>
  <c r="M19" i="36"/>
  <c r="J18" i="36"/>
  <c r="M18" i="36" s="1"/>
  <c r="L19" i="36"/>
  <c r="M383" i="36"/>
  <c r="M700" i="36"/>
  <c r="G699" i="36"/>
  <c r="N700" i="36"/>
  <c r="L700" i="36"/>
  <c r="K699" i="36"/>
  <c r="G371" i="36"/>
  <c r="G370" i="36" s="1"/>
  <c r="G779" i="36" s="1"/>
  <c r="G786" i="36"/>
  <c r="J802" i="36"/>
  <c r="M287" i="36"/>
  <c r="M9" i="36"/>
  <c r="N402" i="36"/>
  <c r="L402" i="36"/>
  <c r="L196" i="36"/>
  <c r="N196" i="36"/>
  <c r="N133" i="36"/>
  <c r="K110" i="36"/>
  <c r="L133" i="36"/>
  <c r="L500" i="36"/>
  <c r="N500" i="36"/>
  <c r="K714" i="36"/>
  <c r="L715" i="36"/>
  <c r="J786" i="36"/>
  <c r="J350" i="36"/>
  <c r="M351" i="36"/>
  <c r="J513" i="36"/>
  <c r="M514" i="36"/>
  <c r="L61" i="36"/>
  <c r="K60" i="36"/>
  <c r="N61" i="36"/>
  <c r="G54" i="36"/>
  <c r="N54" i="36" s="1"/>
  <c r="M55" i="36"/>
  <c r="L443" i="36"/>
  <c r="K442" i="36"/>
  <c r="K421" i="36" s="1"/>
  <c r="K350" i="36"/>
  <c r="N351" i="36"/>
  <c r="L351" i="36"/>
  <c r="N25" i="36"/>
  <c r="L25" i="36"/>
  <c r="K24" i="36"/>
  <c r="K588" i="36"/>
  <c r="L545" i="36"/>
  <c r="K544" i="36"/>
  <c r="L544" i="36" s="1"/>
  <c r="G589" i="36"/>
  <c r="G588" i="36" s="1"/>
  <c r="G587" i="36" s="1"/>
  <c r="M603" i="36"/>
  <c r="N603" i="36"/>
  <c r="K324" i="36"/>
  <c r="N325" i="36"/>
  <c r="L325" i="36"/>
  <c r="L90" i="36"/>
  <c r="N90" i="36"/>
  <c r="L383" i="36"/>
  <c r="N383" i="36"/>
  <c r="M553" i="36"/>
  <c r="M242" i="36"/>
  <c r="K506" i="36"/>
  <c r="L507" i="36"/>
  <c r="K514" i="36"/>
  <c r="N515" i="36"/>
  <c r="L515" i="36"/>
  <c r="J800" i="36"/>
  <c r="M196" i="36"/>
  <c r="J797" i="36"/>
  <c r="M344" i="36"/>
  <c r="M273" i="36"/>
  <c r="M230" i="36"/>
  <c r="J229" i="36"/>
  <c r="M458" i="36"/>
  <c r="J457" i="36"/>
  <c r="K679" i="36"/>
  <c r="N680" i="36"/>
  <c r="L680" i="36"/>
  <c r="N202" i="36"/>
  <c r="L202" i="36"/>
  <c r="K201" i="36"/>
  <c r="L10" i="36"/>
  <c r="K9" i="36"/>
  <c r="N10" i="36"/>
  <c r="J162" i="36"/>
  <c r="M163" i="36"/>
  <c r="L163" i="36"/>
  <c r="J304" i="36"/>
  <c r="J272" i="36" s="1"/>
  <c r="M305" i="36"/>
  <c r="K735" i="36"/>
  <c r="G507" i="36"/>
  <c r="M508" i="36"/>
  <c r="N508" i="36"/>
  <c r="K240" i="36"/>
  <c r="N241" i="36"/>
  <c r="L241" i="36"/>
  <c r="L230" i="36"/>
  <c r="K229" i="36"/>
  <c r="N230" i="36"/>
  <c r="L313" i="36"/>
  <c r="N313" i="36"/>
  <c r="G633" i="36"/>
  <c r="M633" i="36" s="1"/>
  <c r="M634" i="36"/>
  <c r="N55" i="36"/>
  <c r="L636" i="36"/>
  <c r="K635" i="36"/>
  <c r="N636" i="36"/>
  <c r="L44" i="36"/>
  <c r="K43" i="36"/>
  <c r="N44" i="36"/>
  <c r="N37" i="36"/>
  <c r="L37" i="36"/>
  <c r="K36" i="36"/>
  <c r="L219" i="36"/>
  <c r="K213" i="36"/>
  <c r="N219" i="36"/>
  <c r="K413" i="36"/>
  <c r="K401" i="36" s="1"/>
  <c r="L414" i="36"/>
  <c r="N414" i="36"/>
  <c r="J793" i="36"/>
  <c r="L214" i="36"/>
  <c r="J213" i="36"/>
  <c r="M213" i="36" s="1"/>
  <c r="M214" i="36"/>
  <c r="J371" i="36"/>
  <c r="M372" i="36"/>
  <c r="J789" i="36"/>
  <c r="J427" i="36"/>
  <c r="J421" i="36" s="1"/>
  <c r="M428" i="36"/>
  <c r="K305" i="36"/>
  <c r="N306" i="36"/>
  <c r="L306" i="36"/>
  <c r="M438" i="36"/>
  <c r="G427" i="36"/>
  <c r="L179" i="36"/>
  <c r="K178" i="36"/>
  <c r="N179" i="36"/>
  <c r="N287" i="36"/>
  <c r="L287" i="36"/>
  <c r="N459" i="36"/>
  <c r="K458" i="36"/>
  <c r="L459" i="36"/>
  <c r="L31" i="36"/>
  <c r="N31" i="36"/>
  <c r="L372" i="36"/>
  <c r="K371" i="36"/>
  <c r="N372" i="36"/>
  <c r="J798" i="36"/>
  <c r="M219" i="36"/>
  <c r="L535" i="36"/>
  <c r="N535" i="36"/>
  <c r="J794" i="36"/>
  <c r="M433" i="36"/>
  <c r="N433" i="36"/>
  <c r="L433" i="36"/>
  <c r="J324" i="36"/>
  <c r="M324" i="36" s="1"/>
  <c r="M325" i="36"/>
  <c r="L184" i="36"/>
  <c r="M184" i="36"/>
  <c r="N85" i="36"/>
  <c r="J551" i="36"/>
  <c r="M552" i="36"/>
  <c r="J791" i="36"/>
  <c r="J240" i="36"/>
  <c r="M241" i="36"/>
  <c r="L173" i="36"/>
  <c r="J172" i="36"/>
  <c r="M173" i="36"/>
  <c r="M590" i="36"/>
  <c r="J589" i="36"/>
  <c r="L589" i="36" s="1"/>
  <c r="N344" i="36"/>
  <c r="L344" i="36"/>
  <c r="K334" i="36"/>
  <c r="L659" i="36"/>
  <c r="G551" i="36"/>
  <c r="M422" i="36"/>
  <c r="G791" i="36"/>
  <c r="G240" i="36"/>
  <c r="L191" i="36"/>
  <c r="J190" i="36"/>
  <c r="M191" i="36"/>
  <c r="J85" i="36"/>
  <c r="L85" i="36" s="1"/>
  <c r="M86" i="36"/>
  <c r="N273" i="36"/>
  <c r="L273" i="36"/>
  <c r="M414" i="36"/>
  <c r="J413" i="36"/>
  <c r="J734" i="36"/>
  <c r="M734" i="36" s="1"/>
  <c r="M735" i="36"/>
  <c r="K553" i="36"/>
  <c r="N554" i="36"/>
  <c r="L554" i="36"/>
  <c r="J705" i="36"/>
  <c r="M706" i="36"/>
  <c r="L54" i="36"/>
  <c r="L98" i="36"/>
  <c r="N98" i="36"/>
  <c r="L49" i="36"/>
  <c r="J334" i="36"/>
  <c r="M201" i="36"/>
  <c r="N438" i="36"/>
  <c r="K687" i="35"/>
  <c r="L687" i="35" s="1"/>
  <c r="N555" i="35"/>
  <c r="N556" i="35"/>
  <c r="N595" i="35"/>
  <c r="N706" i="35"/>
  <c r="N47" i="35"/>
  <c r="N650" i="35"/>
  <c r="N685" i="35"/>
  <c r="N735" i="35"/>
  <c r="N155" i="35"/>
  <c r="N745" i="35"/>
  <c r="N337" i="35"/>
  <c r="N338" i="35"/>
  <c r="N464" i="35"/>
  <c r="N522" i="35"/>
  <c r="N537" i="35"/>
  <c r="N538" i="35"/>
  <c r="N542" i="35"/>
  <c r="G114" i="35"/>
  <c r="N103" i="35"/>
  <c r="N131" i="35"/>
  <c r="N143" i="35"/>
  <c r="N651" i="35"/>
  <c r="N51" i="35"/>
  <c r="N52" i="35"/>
  <c r="N619" i="35"/>
  <c r="N620" i="35"/>
  <c r="N713" i="35"/>
  <c r="N747" i="35"/>
  <c r="N698" i="35"/>
  <c r="N66" i="35"/>
  <c r="N95" i="35"/>
  <c r="N96" i="35"/>
  <c r="N108" i="35"/>
  <c r="N122" i="35"/>
  <c r="N145" i="35"/>
  <c r="G152" i="35"/>
  <c r="N158" i="35"/>
  <c r="N170" i="35"/>
  <c r="N188" i="35"/>
  <c r="N194" i="35"/>
  <c r="N244" i="35"/>
  <c r="N254" i="35"/>
  <c r="N341" i="35"/>
  <c r="N342" i="35"/>
  <c r="N356" i="35"/>
  <c r="N357" i="35"/>
  <c r="N374" i="35"/>
  <c r="N375" i="35"/>
  <c r="N439" i="35"/>
  <c r="N440" i="35"/>
  <c r="N446" i="35"/>
  <c r="N526" i="35"/>
  <c r="N527" i="35"/>
  <c r="N568" i="35"/>
  <c r="N569" i="35"/>
  <c r="N627" i="35"/>
  <c r="N644" i="35"/>
  <c r="N645" i="35"/>
  <c r="N667" i="35"/>
  <c r="N673" i="35"/>
  <c r="N678" i="35"/>
  <c r="N135" i="35"/>
  <c r="N671" i="35"/>
  <c r="N27" i="35"/>
  <c r="K38" i="35"/>
  <c r="N39" i="35"/>
  <c r="N41" i="35"/>
  <c r="K56" i="35"/>
  <c r="N56" i="35" s="1"/>
  <c r="N57" i="35"/>
  <c r="N70" i="35"/>
  <c r="L73" i="35"/>
  <c r="N73" i="35"/>
  <c r="N81" i="35"/>
  <c r="N88" i="35"/>
  <c r="L94" i="35"/>
  <c r="N94" i="35"/>
  <c r="N117" i="35"/>
  <c r="G125" i="35"/>
  <c r="N140" i="35"/>
  <c r="N148" i="35"/>
  <c r="N153" i="35"/>
  <c r="N167" i="35"/>
  <c r="N176" i="35"/>
  <c r="N199" i="35"/>
  <c r="N246" i="35"/>
  <c r="N248" i="35"/>
  <c r="K318" i="35"/>
  <c r="N318" i="35" s="1"/>
  <c r="N319" i="35"/>
  <c r="K330" i="35"/>
  <c r="N331" i="35"/>
  <c r="G360" i="35"/>
  <c r="K390" i="35"/>
  <c r="N390" i="35" s="1"/>
  <c r="N391" i="35"/>
  <c r="N431" i="35"/>
  <c r="K435" i="35"/>
  <c r="N435" i="35" s="1"/>
  <c r="N436" i="35"/>
  <c r="N451" i="35"/>
  <c r="N452" i="35"/>
  <c r="K466" i="35"/>
  <c r="N466" i="35" s="1"/>
  <c r="N467" i="35"/>
  <c r="N473" i="35"/>
  <c r="K488" i="35"/>
  <c r="N503" i="35"/>
  <c r="N559" i="35"/>
  <c r="K562" i="35"/>
  <c r="N562" i="35" s="1"/>
  <c r="N563" i="35"/>
  <c r="N565" i="35"/>
  <c r="N566" i="35"/>
  <c r="N572" i="35"/>
  <c r="G577" i="35"/>
  <c r="K603" i="35"/>
  <c r="L603" i="35" s="1"/>
  <c r="N604" i="35"/>
  <c r="N62" i="35"/>
  <c r="N63" i="35"/>
  <c r="M74" i="35"/>
  <c r="N74" i="35"/>
  <c r="N83" i="35"/>
  <c r="N101" i="35"/>
  <c r="K105" i="35"/>
  <c r="L105" i="35" s="1"/>
  <c r="N120" i="35"/>
  <c r="N137" i="35"/>
  <c r="N150" i="35"/>
  <c r="N160" i="35"/>
  <c r="K221" i="35"/>
  <c r="N222" i="35"/>
  <c r="G237" i="35"/>
  <c r="K256" i="35"/>
  <c r="N256" i="35" s="1"/>
  <c r="N257" i="35"/>
  <c r="K259" i="35"/>
  <c r="N259" i="35" s="1"/>
  <c r="N260" i="35"/>
  <c r="K292" i="35"/>
  <c r="N292" i="35" s="1"/>
  <c r="N293" i="35"/>
  <c r="K295" i="35"/>
  <c r="N296" i="35"/>
  <c r="N315" i="35"/>
  <c r="N316" i="35"/>
  <c r="N328" i="35"/>
  <c r="N388" i="35"/>
  <c r="K398" i="35"/>
  <c r="N404" i="35"/>
  <c r="N405" i="35"/>
  <c r="K415" i="35"/>
  <c r="N415" i="35" s="1"/>
  <c r="N416" i="35"/>
  <c r="N425" i="35"/>
  <c r="N448" i="35"/>
  <c r="N524" i="35"/>
  <c r="M575" i="35"/>
  <c r="N575" i="35"/>
  <c r="N592" i="35"/>
  <c r="K610" i="35"/>
  <c r="N692" i="35"/>
  <c r="K21" i="35"/>
  <c r="N21" i="35" s="1"/>
  <c r="N22" i="35"/>
  <c r="K25" i="35"/>
  <c r="K24" i="35" s="1"/>
  <c r="N26" i="35"/>
  <c r="K33" i="35"/>
  <c r="N33" i="35" s="1"/>
  <c r="N34" i="35"/>
  <c r="L182" i="35"/>
  <c r="N182" i="35"/>
  <c r="K207" i="35"/>
  <c r="K216" i="35"/>
  <c r="N216" i="35" s="1"/>
  <c r="N217" i="35"/>
  <c r="K225" i="35"/>
  <c r="N225" i="35" s="1"/>
  <c r="N226" i="35"/>
  <c r="G262" i="35"/>
  <c r="K269" i="35"/>
  <c r="N270" i="35"/>
  <c r="K281" i="35"/>
  <c r="N282" i="35"/>
  <c r="G363" i="35"/>
  <c r="N364" i="35"/>
  <c r="K380" i="35"/>
  <c r="K407" i="35"/>
  <c r="K485" i="35"/>
  <c r="K484" i="35" s="1"/>
  <c r="K491" i="35"/>
  <c r="L491" i="35" s="1"/>
  <c r="N492" i="35"/>
  <c r="K509" i="35"/>
  <c r="G531" i="35"/>
  <c r="K597" i="35"/>
  <c r="N597" i="35" s="1"/>
  <c r="N598" i="35"/>
  <c r="N617" i="35"/>
  <c r="M623" i="35"/>
  <c r="N623" i="35"/>
  <c r="N641" i="35"/>
  <c r="N699" i="35"/>
  <c r="L112" i="35"/>
  <c r="N112" i="35"/>
  <c r="I114" i="35"/>
  <c r="K204" i="35"/>
  <c r="N204" i="35" s="1"/>
  <c r="N205" i="35"/>
  <c r="K210" i="35"/>
  <c r="G265" i="35"/>
  <c r="K278" i="35"/>
  <c r="G284" i="35"/>
  <c r="M299" i="35"/>
  <c r="N299" i="35"/>
  <c r="K301" i="35"/>
  <c r="N301" i="35" s="1"/>
  <c r="N302" i="35"/>
  <c r="M311" i="35"/>
  <c r="N311" i="35"/>
  <c r="K346" i="35"/>
  <c r="K345" i="35" s="1"/>
  <c r="N347" i="35"/>
  <c r="K475" i="35"/>
  <c r="N475" i="35" s="1"/>
  <c r="N476" i="35"/>
  <c r="G584" i="35"/>
  <c r="N608" i="35"/>
  <c r="K653" i="35"/>
  <c r="N653" i="35" s="1"/>
  <c r="N654" i="35"/>
  <c r="N696" i="35"/>
  <c r="G731" i="35"/>
  <c r="G724" i="35" s="1"/>
  <c r="N742" i="35"/>
  <c r="N722" i="35"/>
  <c r="N679" i="35"/>
  <c r="G670" i="35"/>
  <c r="K712" i="35"/>
  <c r="L688" i="35"/>
  <c r="L678" i="35"/>
  <c r="I335" i="35"/>
  <c r="I334" i="35" s="1"/>
  <c r="I333" i="35" s="1"/>
  <c r="I780" i="35" s="1"/>
  <c r="M446" i="35"/>
  <c r="M522" i="35"/>
  <c r="H185" i="35"/>
  <c r="H184" i="35" s="1"/>
  <c r="H288" i="35"/>
  <c r="H287" i="35" s="1"/>
  <c r="K80" i="35"/>
  <c r="M256" i="35"/>
  <c r="M257" i="35"/>
  <c r="I701" i="35"/>
  <c r="M107" i="35"/>
  <c r="G106" i="35"/>
  <c r="G105" i="35" s="1"/>
  <c r="M105" i="35" s="1"/>
  <c r="J147" i="35"/>
  <c r="M158" i="35"/>
  <c r="M374" i="35"/>
  <c r="L650" i="35"/>
  <c r="I119" i="35"/>
  <c r="M439" i="35"/>
  <c r="I157" i="35"/>
  <c r="L176" i="35"/>
  <c r="H190" i="35"/>
  <c r="I190" i="35"/>
  <c r="M337" i="35"/>
  <c r="M338" i="35"/>
  <c r="H670" i="35"/>
  <c r="H669" i="35" s="1"/>
  <c r="H664" i="35" s="1"/>
  <c r="H663" i="35" s="1"/>
  <c r="H662" i="35" s="1"/>
  <c r="G11" i="35"/>
  <c r="G10" i="35" s="1"/>
  <c r="L81" i="35"/>
  <c r="G100" i="35"/>
  <c r="G99" i="35" s="1"/>
  <c r="G98" i="35" s="1"/>
  <c r="L103" i="35"/>
  <c r="M108" i="35"/>
  <c r="G111" i="35"/>
  <c r="M111" i="35" s="1"/>
  <c r="G164" i="35"/>
  <c r="G163" i="35" s="1"/>
  <c r="G162" i="35" s="1"/>
  <c r="G776" i="35" s="1"/>
  <c r="M176" i="35"/>
  <c r="M566" i="35"/>
  <c r="M569" i="35"/>
  <c r="M713" i="35"/>
  <c r="H335" i="35"/>
  <c r="H334" i="35" s="1"/>
  <c r="H333" i="35" s="1"/>
  <c r="H383" i="35"/>
  <c r="L620" i="35"/>
  <c r="G622" i="35"/>
  <c r="L669" i="35"/>
  <c r="K691" i="35"/>
  <c r="M83" i="35"/>
  <c r="M254" i="35"/>
  <c r="I461" i="35"/>
  <c r="I460" i="35" s="1"/>
  <c r="L495" i="35"/>
  <c r="L547" i="35"/>
  <c r="L563" i="35"/>
  <c r="J712" i="35"/>
  <c r="M26" i="35"/>
  <c r="L226" i="35"/>
  <c r="L341" i="35"/>
  <c r="K494" i="35"/>
  <c r="L522" i="35"/>
  <c r="M22" i="35"/>
  <c r="L254" i="35"/>
  <c r="L482" i="35"/>
  <c r="I519" i="35"/>
  <c r="I515" i="35" s="1"/>
  <c r="I514" i="35" s="1"/>
  <c r="L527" i="35"/>
  <c r="L559" i="35"/>
  <c r="G734" i="35"/>
  <c r="L755" i="35"/>
  <c r="L52" i="35"/>
  <c r="G69" i="35"/>
  <c r="G68" i="35" s="1"/>
  <c r="L120" i="35"/>
  <c r="I172" i="35"/>
  <c r="I777" i="35" s="1"/>
  <c r="J243" i="35"/>
  <c r="L282" i="35"/>
  <c r="H305" i="35"/>
  <c r="J445" i="35"/>
  <c r="M563" i="35"/>
  <c r="L699" i="35"/>
  <c r="L715" i="35"/>
  <c r="H76" i="35"/>
  <c r="H60" i="35" s="1"/>
  <c r="G142" i="35"/>
  <c r="L145" i="35"/>
  <c r="M246" i="35"/>
  <c r="M248" i="35"/>
  <c r="M364" i="35"/>
  <c r="M524" i="35"/>
  <c r="I590" i="35"/>
  <c r="K93" i="35"/>
  <c r="J114" i="35"/>
  <c r="L188" i="35"/>
  <c r="I243" i="35"/>
  <c r="I242" i="35" s="1"/>
  <c r="I241" i="35" s="1"/>
  <c r="I240" i="35" s="1"/>
  <c r="L246" i="35"/>
  <c r="L248" i="35"/>
  <c r="I744" i="35"/>
  <c r="I740" i="35" s="1"/>
  <c r="I739" i="35" s="1"/>
  <c r="I738" i="35" s="1"/>
  <c r="I737" i="35" s="1"/>
  <c r="G191" i="35"/>
  <c r="G192" i="35"/>
  <c r="G38" i="35"/>
  <c r="G37" i="35" s="1"/>
  <c r="G36" i="35" s="1"/>
  <c r="M41" i="35"/>
  <c r="M70" i="35"/>
  <c r="G147" i="35"/>
  <c r="H219" i="35"/>
  <c r="H213" i="35" s="1"/>
  <c r="M226" i="35"/>
  <c r="M233" i="35"/>
  <c r="G243" i="35"/>
  <c r="M259" i="35"/>
  <c r="L260" i="35"/>
  <c r="H274" i="35"/>
  <c r="H273" i="35" s="1"/>
  <c r="L296" i="35"/>
  <c r="G298" i="35"/>
  <c r="H314" i="35"/>
  <c r="H313" i="35" s="1"/>
  <c r="M315" i="35"/>
  <c r="H326" i="35"/>
  <c r="H325" i="35" s="1"/>
  <c r="H324" i="35" s="1"/>
  <c r="H352" i="35"/>
  <c r="H351" i="35" s="1"/>
  <c r="H350" i="35" s="1"/>
  <c r="H349" i="35" s="1"/>
  <c r="I352" i="35"/>
  <c r="I351" i="35" s="1"/>
  <c r="I350" i="35" s="1"/>
  <c r="I349" i="35" s="1"/>
  <c r="I373" i="35"/>
  <c r="I372" i="35" s="1"/>
  <c r="I371" i="35" s="1"/>
  <c r="I370" i="35" s="1"/>
  <c r="I782" i="35" s="1"/>
  <c r="H427" i="35"/>
  <c r="M466" i="35"/>
  <c r="M475" i="35"/>
  <c r="M492" i="35"/>
  <c r="L503" i="35"/>
  <c r="L524" i="35"/>
  <c r="M527" i="35"/>
  <c r="M559" i="35"/>
  <c r="G574" i="35"/>
  <c r="L608" i="35"/>
  <c r="L611" i="35"/>
  <c r="M626" i="35"/>
  <c r="M627" i="35"/>
  <c r="L671" i="35"/>
  <c r="I691" i="35"/>
  <c r="M696" i="35"/>
  <c r="L696" i="35"/>
  <c r="J698" i="35"/>
  <c r="L698" i="35" s="1"/>
  <c r="J744" i="35"/>
  <c r="L747" i="35"/>
  <c r="L749" i="35"/>
  <c r="L117" i="35"/>
  <c r="L155" i="35"/>
  <c r="M597" i="35"/>
  <c r="M644" i="35"/>
  <c r="M653" i="35"/>
  <c r="M673" i="35"/>
  <c r="G721" i="35"/>
  <c r="N721" i="35" s="1"/>
  <c r="L160" i="35"/>
  <c r="L199" i="35"/>
  <c r="H203" i="35"/>
  <c r="H202" i="35" s="1"/>
  <c r="H201" i="35" s="1"/>
  <c r="M302" i="35"/>
  <c r="L368" i="35"/>
  <c r="L375" i="35"/>
  <c r="L378" i="35"/>
  <c r="G373" i="35"/>
  <c r="L405" i="35"/>
  <c r="L440" i="35"/>
  <c r="L464" i="35"/>
  <c r="L476" i="35"/>
  <c r="L510" i="35"/>
  <c r="K519" i="35"/>
  <c r="L562" i="35"/>
  <c r="K677" i="35"/>
  <c r="N677" i="35" s="1"/>
  <c r="L679" i="35"/>
  <c r="L685" i="35"/>
  <c r="L692" i="35"/>
  <c r="L713" i="35"/>
  <c r="I11" i="35"/>
  <c r="I10" i="35" s="1"/>
  <c r="I9" i="35" s="1"/>
  <c r="L14" i="35"/>
  <c r="L22" i="35"/>
  <c r="L57" i="35"/>
  <c r="L70" i="35"/>
  <c r="H91" i="35"/>
  <c r="H90" i="35" s="1"/>
  <c r="M96" i="35"/>
  <c r="L106" i="35"/>
  <c r="M148" i="35"/>
  <c r="L153" i="35"/>
  <c r="M155" i="35"/>
  <c r="K243" i="35"/>
  <c r="L328" i="35"/>
  <c r="L338" i="35"/>
  <c r="K367" i="35"/>
  <c r="G403" i="35"/>
  <c r="G402" i="35" s="1"/>
  <c r="G401" i="35" s="1"/>
  <c r="I445" i="35"/>
  <c r="I444" i="35" s="1"/>
  <c r="I443" i="35" s="1"/>
  <c r="I442" i="35" s="1"/>
  <c r="I534" i="35"/>
  <c r="L581" i="35"/>
  <c r="L645" i="35"/>
  <c r="L675" i="35"/>
  <c r="M679" i="35"/>
  <c r="G45" i="35"/>
  <c r="G44" i="35"/>
  <c r="G43" i="35" s="1"/>
  <c r="M14" i="35"/>
  <c r="G25" i="35"/>
  <c r="G24" i="35" s="1"/>
  <c r="G18" i="35" s="1"/>
  <c r="M57" i="35"/>
  <c r="M72" i="35"/>
  <c r="G80" i="35"/>
  <c r="G76" i="35" s="1"/>
  <c r="M101" i="35"/>
  <c r="M117" i="35"/>
  <c r="G134" i="35"/>
  <c r="M137" i="35"/>
  <c r="H164" i="35"/>
  <c r="H163" i="35" s="1"/>
  <c r="H162" i="35" s="1"/>
  <c r="I164" i="35"/>
  <c r="I163" i="35" s="1"/>
  <c r="I162" i="35" s="1"/>
  <c r="I776" i="35" s="1"/>
  <c r="M169" i="35"/>
  <c r="M188" i="35"/>
  <c r="I203" i="35"/>
  <c r="I202" i="35" s="1"/>
  <c r="I799" i="35" s="1"/>
  <c r="L208" i="35"/>
  <c r="I61" i="35"/>
  <c r="J69" i="35"/>
  <c r="K72" i="35"/>
  <c r="L83" i="35"/>
  <c r="L137" i="35"/>
  <c r="L140" i="35"/>
  <c r="M145" i="35"/>
  <c r="L148" i="35"/>
  <c r="M150" i="35"/>
  <c r="L158" i="35"/>
  <c r="M160" i="35"/>
  <c r="L170" i="35"/>
  <c r="L175" i="35"/>
  <c r="K181" i="35"/>
  <c r="H242" i="35"/>
  <c r="H241" i="35" s="1"/>
  <c r="H240" i="35" s="1"/>
  <c r="K253" i="35"/>
  <c r="L257" i="35"/>
  <c r="M260" i="35"/>
  <c r="M678" i="35"/>
  <c r="J677" i="35"/>
  <c r="M677" i="35" s="1"/>
  <c r="M39" i="35"/>
  <c r="I91" i="35"/>
  <c r="I90" i="35" s="1"/>
  <c r="I798" i="35" s="1"/>
  <c r="M181" i="35"/>
  <c r="M34" i="35"/>
  <c r="L41" i="35"/>
  <c r="I100" i="35"/>
  <c r="I99" i="35" s="1"/>
  <c r="I98" i="35" s="1"/>
  <c r="I802" i="35" s="1"/>
  <c r="L108" i="35"/>
  <c r="M115" i="35"/>
  <c r="H133" i="35"/>
  <c r="H110" i="35" s="1"/>
  <c r="L167" i="35"/>
  <c r="L187" i="35"/>
  <c r="L194" i="35"/>
  <c r="L198" i="35"/>
  <c r="M205" i="35"/>
  <c r="J281" i="35"/>
  <c r="L281" i="35" s="1"/>
  <c r="I288" i="35"/>
  <c r="I287" i="35" s="1"/>
  <c r="I805" i="35" s="1"/>
  <c r="J314" i="35"/>
  <c r="J313" i="35" s="1"/>
  <c r="L319" i="35"/>
  <c r="J336" i="35"/>
  <c r="J335" i="35" s="1"/>
  <c r="J334" i="35" s="1"/>
  <c r="M375" i="35"/>
  <c r="M388" i="35"/>
  <c r="M390" i="35"/>
  <c r="J438" i="35"/>
  <c r="M438" i="35" s="1"/>
  <c r="H444" i="35"/>
  <c r="H443" i="35" s="1"/>
  <c r="H442" i="35" s="1"/>
  <c r="M451" i="35"/>
  <c r="H484" i="35"/>
  <c r="L486" i="35"/>
  <c r="L498" i="35"/>
  <c r="K546" i="35"/>
  <c r="J558" i="35"/>
  <c r="M558" i="35" s="1"/>
  <c r="I554" i="35"/>
  <c r="L604" i="35"/>
  <c r="L627" i="35"/>
  <c r="L641" i="35"/>
  <c r="M645" i="35"/>
  <c r="M651" i="35"/>
  <c r="M654" i="35"/>
  <c r="I684" i="35"/>
  <c r="H691" i="35"/>
  <c r="H712" i="35"/>
  <c r="H711" i="35" s="1"/>
  <c r="H710" i="35" s="1"/>
  <c r="H709" i="35" s="1"/>
  <c r="H708" i="35" s="1"/>
  <c r="H701" i="35" s="1"/>
  <c r="M199" i="35"/>
  <c r="M217" i="35"/>
  <c r="L222" i="35"/>
  <c r="M253" i="35"/>
  <c r="I314" i="35"/>
  <c r="I313" i="35" s="1"/>
  <c r="I304" i="35" s="1"/>
  <c r="I806" i="35" s="1"/>
  <c r="M319" i="35"/>
  <c r="M341" i="35"/>
  <c r="H373" i="35"/>
  <c r="M436" i="35"/>
  <c r="M440" i="35"/>
  <c r="L448" i="35"/>
  <c r="L451" i="35"/>
  <c r="L467" i="35"/>
  <c r="K481" i="35"/>
  <c r="I484" i="35"/>
  <c r="J509" i="35"/>
  <c r="L509" i="35" s="1"/>
  <c r="L520" i="35"/>
  <c r="M526" i="35"/>
  <c r="G554" i="35"/>
  <c r="K558" i="35"/>
  <c r="H590" i="35"/>
  <c r="L598" i="35"/>
  <c r="K607" i="35"/>
  <c r="N607" i="35" s="1"/>
  <c r="M608" i="35"/>
  <c r="M641" i="35"/>
  <c r="G643" i="35"/>
  <c r="G638" i="35" s="1"/>
  <c r="G637" i="35" s="1"/>
  <c r="G636" i="35" s="1"/>
  <c r="I643" i="35"/>
  <c r="I638" i="35" s="1"/>
  <c r="I637" i="35" s="1"/>
  <c r="I636" i="35" s="1"/>
  <c r="K684" i="35"/>
  <c r="M685" i="35"/>
  <c r="M699" i="35"/>
  <c r="H740" i="35"/>
  <c r="H739" i="35" s="1"/>
  <c r="H738" i="35" s="1"/>
  <c r="H737" i="35" s="1"/>
  <c r="M747" i="35"/>
  <c r="M356" i="35"/>
  <c r="H401" i="35"/>
  <c r="H643" i="35"/>
  <c r="H638" i="35" s="1"/>
  <c r="H637" i="35" s="1"/>
  <c r="H636" i="35" s="1"/>
  <c r="H720" i="35"/>
  <c r="H719" i="35" s="1"/>
  <c r="H718" i="35" s="1"/>
  <c r="H717" i="35" s="1"/>
  <c r="L279" i="35"/>
  <c r="G310" i="35"/>
  <c r="L315" i="35"/>
  <c r="M318" i="35"/>
  <c r="K327" i="35"/>
  <c r="L356" i="35"/>
  <c r="K377" i="35"/>
  <c r="H460" i="35"/>
  <c r="L492" i="35"/>
  <c r="H515" i="35"/>
  <c r="H514" i="35" s="1"/>
  <c r="H513" i="35" s="1"/>
  <c r="H512" i="35" s="1"/>
  <c r="M541" i="35"/>
  <c r="L572" i="35"/>
  <c r="L617" i="35"/>
  <c r="H606" i="35"/>
  <c r="I670" i="35"/>
  <c r="I669" i="35" s="1"/>
  <c r="I664" i="35" s="1"/>
  <c r="I663" i="35" s="1"/>
  <c r="I662" i="35" s="1"/>
  <c r="L673" i="35"/>
  <c r="H684" i="35"/>
  <c r="M692" i="35"/>
  <c r="L694" i="35"/>
  <c r="L745" i="35"/>
  <c r="L760" i="35"/>
  <c r="I18" i="35"/>
  <c r="L13" i="35"/>
  <c r="K12" i="35"/>
  <c r="N12" i="35" s="1"/>
  <c r="M20" i="35"/>
  <c r="M21" i="35"/>
  <c r="L26" i="35"/>
  <c r="J50" i="35"/>
  <c r="M51" i="35"/>
  <c r="G61" i="35"/>
  <c r="L66" i="35"/>
  <c r="K65" i="35"/>
  <c r="I69" i="35"/>
  <c r="I68" i="35" s="1"/>
  <c r="K87" i="35"/>
  <c r="N87" i="35" s="1"/>
  <c r="M93" i="35"/>
  <c r="L96" i="35"/>
  <c r="J95" i="35"/>
  <c r="J91" i="35" s="1"/>
  <c r="M103" i="35"/>
  <c r="J100" i="35"/>
  <c r="K134" i="35"/>
  <c r="J139" i="35"/>
  <c r="M139" i="35" s="1"/>
  <c r="M140" i="35"/>
  <c r="K147" i="35"/>
  <c r="L150" i="35"/>
  <c r="J152" i="35"/>
  <c r="M152" i="35" s="1"/>
  <c r="M153" i="35"/>
  <c r="M216" i="35"/>
  <c r="G215" i="35"/>
  <c r="G214" i="35" s="1"/>
  <c r="I219" i="35"/>
  <c r="I801" i="35" s="1"/>
  <c r="L51" i="35"/>
  <c r="K50" i="35"/>
  <c r="N50" i="35" s="1"/>
  <c r="L63" i="35"/>
  <c r="J62" i="35"/>
  <c r="L62" i="35" s="1"/>
  <c r="L78" i="35"/>
  <c r="K77" i="35"/>
  <c r="K115" i="35"/>
  <c r="N115" i="35" s="1"/>
  <c r="L116" i="35"/>
  <c r="M120" i="35"/>
  <c r="G119" i="35"/>
  <c r="J130" i="35"/>
  <c r="M130" i="35" s="1"/>
  <c r="M131" i="35"/>
  <c r="J142" i="35"/>
  <c r="M143" i="35"/>
  <c r="J173" i="35"/>
  <c r="L204" i="35"/>
  <c r="M19" i="35"/>
  <c r="J24" i="35"/>
  <c r="J18" i="35" s="1"/>
  <c r="L27" i="35"/>
  <c r="M31" i="35"/>
  <c r="K32" i="35"/>
  <c r="N32" i="35" s="1"/>
  <c r="J38" i="35"/>
  <c r="L39" i="35"/>
  <c r="L40" i="35"/>
  <c r="J46" i="35"/>
  <c r="M47" i="35"/>
  <c r="J55" i="35"/>
  <c r="M56" i="35"/>
  <c r="M67" i="35"/>
  <c r="J80" i="35"/>
  <c r="L89" i="35"/>
  <c r="M89" i="35"/>
  <c r="M92" i="35"/>
  <c r="K119" i="35"/>
  <c r="L131" i="35"/>
  <c r="L143" i="35"/>
  <c r="I147" i="35"/>
  <c r="H172" i="35"/>
  <c r="I185" i="35"/>
  <c r="I184" i="35" s="1"/>
  <c r="I186" i="35"/>
  <c r="J202" i="35"/>
  <c r="L216" i="35"/>
  <c r="J230" i="35"/>
  <c r="L16" i="35"/>
  <c r="J12" i="35"/>
  <c r="M13" i="35"/>
  <c r="M27" i="35"/>
  <c r="M32" i="35"/>
  <c r="M33" i="35"/>
  <c r="L34" i="35"/>
  <c r="K37" i="35"/>
  <c r="M40" i="35"/>
  <c r="L47" i="35"/>
  <c r="K46" i="35"/>
  <c r="N46" i="35" s="1"/>
  <c r="M52" i="35"/>
  <c r="L56" i="35"/>
  <c r="K55" i="35"/>
  <c r="N55" i="35" s="1"/>
  <c r="M63" i="35"/>
  <c r="J65" i="35"/>
  <c r="M65" i="35" s="1"/>
  <c r="M66" i="35"/>
  <c r="M73" i="35"/>
  <c r="I76" i="35"/>
  <c r="M81" i="35"/>
  <c r="J88" i="35"/>
  <c r="G91" i="35"/>
  <c r="G90" i="35" s="1"/>
  <c r="K100" i="35"/>
  <c r="L101" i="35"/>
  <c r="K157" i="35"/>
  <c r="N157" i="35" s="1"/>
  <c r="M166" i="35"/>
  <c r="J165" i="35"/>
  <c r="J184" i="35"/>
  <c r="M193" i="35"/>
  <c r="J192" i="35"/>
  <c r="J196" i="35"/>
  <c r="M204" i="35"/>
  <c r="G203" i="35"/>
  <c r="G202" i="35" s="1"/>
  <c r="M215" i="35"/>
  <c r="J214" i="35"/>
  <c r="I796" i="35"/>
  <c r="M222" i="35"/>
  <c r="G221" i="35"/>
  <c r="G220" i="35" s="1"/>
  <c r="G219" i="35" s="1"/>
  <c r="G801" i="35" s="1"/>
  <c r="J122" i="35"/>
  <c r="L122" i="35" s="1"/>
  <c r="K130" i="35"/>
  <c r="N130" i="35" s="1"/>
  <c r="J135" i="35"/>
  <c r="L135" i="35" s="1"/>
  <c r="K139" i="35"/>
  <c r="K142" i="35"/>
  <c r="N142" i="35" s="1"/>
  <c r="K152" i="35"/>
  <c r="N152" i="35" s="1"/>
  <c r="J157" i="35"/>
  <c r="K166" i="35"/>
  <c r="N166" i="35" s="1"/>
  <c r="M167" i="35"/>
  <c r="K169" i="35"/>
  <c r="M170" i="35"/>
  <c r="M171" i="35"/>
  <c r="J180" i="35"/>
  <c r="K185" i="35"/>
  <c r="K193" i="35"/>
  <c r="N193" i="35" s="1"/>
  <c r="M194" i="35"/>
  <c r="J221" i="35"/>
  <c r="L221" i="35" s="1"/>
  <c r="J225" i="35"/>
  <c r="K233" i="35"/>
  <c r="N233" i="35" s="1"/>
  <c r="G251" i="35"/>
  <c r="G250" i="35" s="1"/>
  <c r="M252" i="35"/>
  <c r="J275" i="35"/>
  <c r="M282" i="35"/>
  <c r="G281" i="35"/>
  <c r="J289" i="35"/>
  <c r="M293" i="35"/>
  <c r="L295" i="35"/>
  <c r="L309" i="35"/>
  <c r="K308" i="35"/>
  <c r="N308" i="35" s="1"/>
  <c r="G335" i="35"/>
  <c r="M342" i="35"/>
  <c r="M347" i="35"/>
  <c r="G346" i="35"/>
  <c r="M346" i="35" s="1"/>
  <c r="G345" i="35"/>
  <c r="G344" i="35" s="1"/>
  <c r="G800" i="35" s="1"/>
  <c r="G354" i="35"/>
  <c r="G353" i="35" s="1"/>
  <c r="G352" i="35" s="1"/>
  <c r="M355" i="35"/>
  <c r="M434" i="35"/>
  <c r="J433" i="35"/>
  <c r="I274" i="35"/>
  <c r="I273" i="35" s="1"/>
  <c r="L276" i="35"/>
  <c r="K275" i="35"/>
  <c r="L290" i="35"/>
  <c r="K289" i="35"/>
  <c r="M294" i="35"/>
  <c r="G322" i="35"/>
  <c r="N322" i="35" s="1"/>
  <c r="M323" i="35"/>
  <c r="L404" i="35"/>
  <c r="L425" i="35"/>
  <c r="K424" i="35"/>
  <c r="N424" i="35" s="1"/>
  <c r="G175" i="35"/>
  <c r="G174" i="35" s="1"/>
  <c r="G173" i="35" s="1"/>
  <c r="G172" i="35" s="1"/>
  <c r="G777" i="35" s="1"/>
  <c r="J186" i="35"/>
  <c r="G187" i="35"/>
  <c r="N187" i="35" s="1"/>
  <c r="H192" i="35"/>
  <c r="G198" i="35"/>
  <c r="G197" i="35" s="1"/>
  <c r="G196" i="35" s="1"/>
  <c r="G803" i="35" s="1"/>
  <c r="L205" i="35"/>
  <c r="L211" i="35"/>
  <c r="L217" i="35"/>
  <c r="K220" i="35"/>
  <c r="K224" i="35"/>
  <c r="N224" i="35" s="1"/>
  <c r="G232" i="35"/>
  <c r="G231" i="35" s="1"/>
  <c r="G230" i="35" s="1"/>
  <c r="L244" i="35"/>
  <c r="J250" i="35"/>
  <c r="L256" i="35"/>
  <c r="M270" i="35"/>
  <c r="J269" i="35"/>
  <c r="G276" i="35"/>
  <c r="G275" i="35" s="1"/>
  <c r="M277" i="35"/>
  <c r="G290" i="35"/>
  <c r="G289" i="35" s="1"/>
  <c r="M291" i="35"/>
  <c r="M292" i="35"/>
  <c r="M296" i="35"/>
  <c r="G295" i="35"/>
  <c r="M295" i="35" s="1"/>
  <c r="J301" i="35"/>
  <c r="M301" i="35" s="1"/>
  <c r="L302" i="35"/>
  <c r="K314" i="35"/>
  <c r="L316" i="35"/>
  <c r="L330" i="35"/>
  <c r="M340" i="35"/>
  <c r="J800" i="35"/>
  <c r="L346" i="35"/>
  <c r="J353" i="35"/>
  <c r="L357" i="35"/>
  <c r="J373" i="35"/>
  <c r="L380" i="35"/>
  <c r="K387" i="35"/>
  <c r="L388" i="35"/>
  <c r="K419" i="35"/>
  <c r="L420" i="35"/>
  <c r="G792" i="35"/>
  <c r="G427" i="35"/>
  <c r="L435" i="35"/>
  <c r="K174" i="35"/>
  <c r="N174" i="35" s="1"/>
  <c r="K186" i="35"/>
  <c r="K197" i="35"/>
  <c r="M244" i="35"/>
  <c r="M245" i="35"/>
  <c r="L251" i="35"/>
  <c r="K250" i="35"/>
  <c r="L259" i="35"/>
  <c r="L270" i="35"/>
  <c r="L293" i="35"/>
  <c r="J308" i="35"/>
  <c r="M309" i="35"/>
  <c r="M316" i="35"/>
  <c r="M320" i="35"/>
  <c r="M328" i="35"/>
  <c r="J327" i="35"/>
  <c r="M331" i="35"/>
  <c r="G330" i="35"/>
  <c r="M330" i="35" s="1"/>
  <c r="L331" i="35"/>
  <c r="L337" i="35"/>
  <c r="K336" i="35"/>
  <c r="N336" i="35" s="1"/>
  <c r="K340" i="35"/>
  <c r="L342" i="35"/>
  <c r="L347" i="35"/>
  <c r="L354" i="35"/>
  <c r="K353" i="35"/>
  <c r="M357" i="35"/>
  <c r="J384" i="35"/>
  <c r="L395" i="35"/>
  <c r="K394" i="35"/>
  <c r="J430" i="35"/>
  <c r="M431" i="35"/>
  <c r="I797" i="35"/>
  <c r="I427" i="35"/>
  <c r="L390" i="35"/>
  <c r="M391" i="35"/>
  <c r="J394" i="35"/>
  <c r="M400" i="35"/>
  <c r="G399" i="35"/>
  <c r="G398" i="35" s="1"/>
  <c r="J403" i="35"/>
  <c r="M404" i="35"/>
  <c r="L407" i="35"/>
  <c r="M417" i="35"/>
  <c r="J424" i="35"/>
  <c r="M425" i="35"/>
  <c r="M435" i="35"/>
  <c r="L436" i="35"/>
  <c r="M448" i="35"/>
  <c r="M452" i="35"/>
  <c r="J454" i="35"/>
  <c r="L462" i="35"/>
  <c r="K461" i="35"/>
  <c r="K470" i="35"/>
  <c r="L475" i="35"/>
  <c r="J516" i="35"/>
  <c r="J537" i="35"/>
  <c r="L537" i="35" s="1"/>
  <c r="M538" i="35"/>
  <c r="L455" i="35"/>
  <c r="K454" i="35"/>
  <c r="M463" i="35"/>
  <c r="G462" i="35"/>
  <c r="G461" i="35" s="1"/>
  <c r="G460" i="35" s="1"/>
  <c r="M467" i="35"/>
  <c r="J472" i="35"/>
  <c r="M472" i="35" s="1"/>
  <c r="M473" i="35"/>
  <c r="J488" i="35"/>
  <c r="J501" i="35"/>
  <c r="M511" i="35"/>
  <c r="G510" i="35"/>
  <c r="G509" i="35" s="1"/>
  <c r="G508" i="35" s="1"/>
  <c r="G507" i="35" s="1"/>
  <c r="G506" i="35" s="1"/>
  <c r="G505" i="35" s="1"/>
  <c r="G785" i="35" s="1"/>
  <c r="K536" i="35"/>
  <c r="N536" i="35" s="1"/>
  <c r="K541" i="35"/>
  <c r="N541" i="35" s="1"/>
  <c r="L542" i="35"/>
  <c r="M557" i="35"/>
  <c r="J556" i="35"/>
  <c r="L556" i="35" s="1"/>
  <c r="L374" i="35"/>
  <c r="L385" i="35"/>
  <c r="K384" i="35"/>
  <c r="M387" i="35"/>
  <c r="M396" i="35"/>
  <c r="G395" i="35"/>
  <c r="G394" i="35" s="1"/>
  <c r="J398" i="35"/>
  <c r="M416" i="35"/>
  <c r="L431" i="35"/>
  <c r="K430" i="35"/>
  <c r="N430" i="35" s="1"/>
  <c r="M437" i="35"/>
  <c r="L439" i="35"/>
  <c r="K438" i="35"/>
  <c r="N438" i="35" s="1"/>
  <c r="K445" i="35"/>
  <c r="M456" i="35"/>
  <c r="G455" i="35"/>
  <c r="G454" i="35" s="1"/>
  <c r="L473" i="35"/>
  <c r="K472" i="35"/>
  <c r="N472" i="35" s="1"/>
  <c r="L479" i="35"/>
  <c r="K478" i="35"/>
  <c r="L489" i="35"/>
  <c r="K497" i="35"/>
  <c r="L502" i="35"/>
  <c r="M521" i="35"/>
  <c r="G520" i="35"/>
  <c r="N520" i="35" s="1"/>
  <c r="L381" i="35"/>
  <c r="G385" i="35"/>
  <c r="G384" i="35" s="1"/>
  <c r="G383" i="35" s="1"/>
  <c r="M386" i="35"/>
  <c r="L391" i="35"/>
  <c r="L399" i="35"/>
  <c r="M405" i="35"/>
  <c r="L408" i="35"/>
  <c r="L411" i="35"/>
  <c r="K410" i="35"/>
  <c r="J415" i="35"/>
  <c r="L415" i="35" s="1"/>
  <c r="L416" i="35"/>
  <c r="L417" i="35"/>
  <c r="G445" i="35"/>
  <c r="L446" i="35"/>
  <c r="L452" i="35"/>
  <c r="J461" i="35"/>
  <c r="M464" i="35"/>
  <c r="L466" i="35"/>
  <c r="M476" i="35"/>
  <c r="M490" i="35"/>
  <c r="G489" i="35"/>
  <c r="G488" i="35" s="1"/>
  <c r="M503" i="35"/>
  <c r="G502" i="35"/>
  <c r="G501" i="35" s="1"/>
  <c r="G500" i="35" s="1"/>
  <c r="G804" i="35" s="1"/>
  <c r="G491" i="35"/>
  <c r="M491" i="35" s="1"/>
  <c r="M540" i="35"/>
  <c r="M542" i="35"/>
  <c r="H554" i="35"/>
  <c r="M570" i="35"/>
  <c r="K571" i="35"/>
  <c r="M572" i="35"/>
  <c r="H561" i="35"/>
  <c r="L592" i="35"/>
  <c r="K591" i="35"/>
  <c r="N591" i="35" s="1"/>
  <c r="M604" i="35"/>
  <c r="G603" i="35"/>
  <c r="M603" i="35" s="1"/>
  <c r="M634" i="35"/>
  <c r="G633" i="35"/>
  <c r="I561" i="35"/>
  <c r="L667" i="35"/>
  <c r="K666" i="35"/>
  <c r="N666" i="35" s="1"/>
  <c r="L517" i="35"/>
  <c r="K516" i="35"/>
  <c r="L526" i="35"/>
  <c r="G534" i="35"/>
  <c r="L538" i="35"/>
  <c r="L557" i="35"/>
  <c r="L566" i="35"/>
  <c r="J565" i="35"/>
  <c r="M565" i="35" s="1"/>
  <c r="J568" i="35"/>
  <c r="L569" i="35"/>
  <c r="J595" i="35"/>
  <c r="L595" i="35" s="1"/>
  <c r="L596" i="35"/>
  <c r="G616" i="35"/>
  <c r="M616" i="35" s="1"/>
  <c r="M617" i="35"/>
  <c r="M650" i="35"/>
  <c r="J643" i="35"/>
  <c r="K501" i="35"/>
  <c r="N501" i="35" s="1"/>
  <c r="G517" i="35"/>
  <c r="G516" i="35" s="1"/>
  <c r="M518" i="35"/>
  <c r="J519" i="35"/>
  <c r="M562" i="35"/>
  <c r="M571" i="35"/>
  <c r="L580" i="35"/>
  <c r="M591" i="35"/>
  <c r="M592" i="35"/>
  <c r="K594" i="35"/>
  <c r="N594" i="35" s="1"/>
  <c r="M598" i="35"/>
  <c r="M640" i="35"/>
  <c r="J639" i="35"/>
  <c r="M615" i="35"/>
  <c r="G614" i="35"/>
  <c r="G613" i="35" s="1"/>
  <c r="J665" i="35"/>
  <c r="M666" i="35"/>
  <c r="M667" i="35"/>
  <c r="J613" i="35"/>
  <c r="I606" i="35"/>
  <c r="I589" i="35" s="1"/>
  <c r="I588" i="35" s="1"/>
  <c r="I587" i="35" s="1"/>
  <c r="L614" i="35"/>
  <c r="M620" i="35"/>
  <c r="L644" i="35"/>
  <c r="K643" i="35"/>
  <c r="N643" i="35" s="1"/>
  <c r="J719" i="35"/>
  <c r="J607" i="35"/>
  <c r="M607" i="35" s="1"/>
  <c r="J610" i="35"/>
  <c r="G611" i="35"/>
  <c r="G610" i="35" s="1"/>
  <c r="K616" i="35"/>
  <c r="M618" i="35"/>
  <c r="J619" i="35"/>
  <c r="L619" i="35" s="1"/>
  <c r="J625" i="35"/>
  <c r="M625" i="35" s="1"/>
  <c r="K626" i="35"/>
  <c r="N626" i="35" s="1"/>
  <c r="K631" i="35"/>
  <c r="K640" i="35"/>
  <c r="N640" i="35" s="1"/>
  <c r="L651" i="35"/>
  <c r="L654" i="35"/>
  <c r="J684" i="35"/>
  <c r="J691" i="35"/>
  <c r="L706" i="35"/>
  <c r="K705" i="35"/>
  <c r="N705" i="35" s="1"/>
  <c r="M745" i="35"/>
  <c r="G744" i="35"/>
  <c r="G740" i="35" s="1"/>
  <c r="G739" i="35" s="1"/>
  <c r="G738" i="35" s="1"/>
  <c r="G737" i="35" s="1"/>
  <c r="M670" i="35"/>
  <c r="M716" i="35"/>
  <c r="G715" i="35"/>
  <c r="G712" i="35" s="1"/>
  <c r="G711" i="35" s="1"/>
  <c r="G710" i="35" s="1"/>
  <c r="G709" i="35" s="1"/>
  <c r="G708" i="35" s="1"/>
  <c r="G701" i="35" s="1"/>
  <c r="G687" i="35"/>
  <c r="G694" i="35"/>
  <c r="L726" i="35"/>
  <c r="M742" i="35"/>
  <c r="M744" i="35"/>
  <c r="K613" i="35"/>
  <c r="J704" i="35"/>
  <c r="M705" i="35"/>
  <c r="M706" i="35"/>
  <c r="J711" i="35"/>
  <c r="H724" i="35"/>
  <c r="J740" i="35"/>
  <c r="M741" i="35"/>
  <c r="L742" i="35"/>
  <c r="K741" i="35"/>
  <c r="N741" i="35" s="1"/>
  <c r="K725" i="35"/>
  <c r="K744" i="35"/>
  <c r="M748" i="35"/>
  <c r="K753" i="35"/>
  <c r="K759" i="35"/>
  <c r="J754" i="35"/>
  <c r="J753" i="35" s="1"/>
  <c r="J752" i="35" s="1"/>
  <c r="J751" i="35" s="1"/>
  <c r="K711" i="35"/>
  <c r="L184" i="34"/>
  <c r="H606" i="34"/>
  <c r="M120" i="34"/>
  <c r="M150" i="34"/>
  <c r="M155" i="34"/>
  <c r="M166" i="34"/>
  <c r="K175" i="34"/>
  <c r="K181" i="34"/>
  <c r="K180" i="34" s="1"/>
  <c r="M188" i="34"/>
  <c r="M198" i="34"/>
  <c r="L226" i="34"/>
  <c r="L254" i="34"/>
  <c r="L279" i="34"/>
  <c r="M289" i="34"/>
  <c r="M290" i="34"/>
  <c r="H314" i="34"/>
  <c r="H313" i="34" s="1"/>
  <c r="I314" i="34"/>
  <c r="I313" i="34" s="1"/>
  <c r="I304" i="34" s="1"/>
  <c r="I806" i="34" s="1"/>
  <c r="M342" i="34"/>
  <c r="L368" i="34"/>
  <c r="M375" i="34"/>
  <c r="H383" i="34"/>
  <c r="J383" i="34"/>
  <c r="L383" i="34" s="1"/>
  <c r="M399" i="34"/>
  <c r="M425" i="34"/>
  <c r="M430" i="34"/>
  <c r="I444" i="34"/>
  <c r="I443" i="34" s="1"/>
  <c r="I442" i="34" s="1"/>
  <c r="I461" i="34"/>
  <c r="I460" i="34" s="1"/>
  <c r="M476" i="34"/>
  <c r="L491" i="34"/>
  <c r="K526" i="34"/>
  <c r="M542" i="34"/>
  <c r="G554" i="34"/>
  <c r="L610" i="34"/>
  <c r="M651" i="34"/>
  <c r="M673" i="34"/>
  <c r="M679" i="34"/>
  <c r="L745" i="34"/>
  <c r="J751" i="34"/>
  <c r="L63" i="34"/>
  <c r="G111" i="34"/>
  <c r="M111" i="34" s="1"/>
  <c r="M117" i="34"/>
  <c r="M139" i="34"/>
  <c r="J142" i="34"/>
  <c r="L145" i="34"/>
  <c r="L170" i="34"/>
  <c r="M233" i="34"/>
  <c r="M251" i="34"/>
  <c r="L289" i="34"/>
  <c r="L290" i="34"/>
  <c r="I352" i="34"/>
  <c r="I351" i="34" s="1"/>
  <c r="I350" i="34" s="1"/>
  <c r="I349" i="34" s="1"/>
  <c r="M356" i="34"/>
  <c r="L367" i="34"/>
  <c r="H372" i="34"/>
  <c r="H371" i="34" s="1"/>
  <c r="H370" i="34" s="1"/>
  <c r="I373" i="34"/>
  <c r="I372" i="34" s="1"/>
  <c r="I371" i="34" s="1"/>
  <c r="I370" i="34" s="1"/>
  <c r="I782" i="34" s="1"/>
  <c r="L398" i="34"/>
  <c r="M440" i="34"/>
  <c r="L448" i="34"/>
  <c r="L464" i="34"/>
  <c r="J475" i="34"/>
  <c r="M475" i="34" s="1"/>
  <c r="H484" i="34"/>
  <c r="L486" i="34"/>
  <c r="H554" i="34"/>
  <c r="H553" i="34" s="1"/>
  <c r="H552" i="34" s="1"/>
  <c r="H551" i="34" s="1"/>
  <c r="M562" i="34"/>
  <c r="L563" i="34"/>
  <c r="L592" i="34"/>
  <c r="M627" i="34"/>
  <c r="L641" i="34"/>
  <c r="H691" i="34"/>
  <c r="M696" i="34"/>
  <c r="G744" i="34"/>
  <c r="L755" i="34"/>
  <c r="I38" i="34"/>
  <c r="I37" i="34" s="1"/>
  <c r="I36" i="34" s="1"/>
  <c r="L47" i="34"/>
  <c r="L78" i="34"/>
  <c r="M107" i="34"/>
  <c r="L108" i="34"/>
  <c r="L142" i="34"/>
  <c r="I152" i="34"/>
  <c r="I203" i="34"/>
  <c r="I202" i="34" s="1"/>
  <c r="I201" i="34" s="1"/>
  <c r="H274" i="34"/>
  <c r="H273" i="34" s="1"/>
  <c r="L366" i="34"/>
  <c r="I534" i="34"/>
  <c r="M608" i="34"/>
  <c r="M644" i="34"/>
  <c r="K678" i="34"/>
  <c r="K677" i="34" s="1"/>
  <c r="L687" i="34"/>
  <c r="L694" i="34"/>
  <c r="L152" i="34"/>
  <c r="G190" i="34"/>
  <c r="M193" i="34"/>
  <c r="M259" i="34"/>
  <c r="L282" i="34"/>
  <c r="H304" i="34"/>
  <c r="G310" i="34"/>
  <c r="M310" i="34" s="1"/>
  <c r="L342" i="34"/>
  <c r="L346" i="34"/>
  <c r="L425" i="34"/>
  <c r="M466" i="34"/>
  <c r="G643" i="34"/>
  <c r="L180" i="34"/>
  <c r="K179" i="34"/>
  <c r="K178" i="34" s="1"/>
  <c r="L178" i="34" s="1"/>
  <c r="L204" i="34"/>
  <c r="M232" i="34"/>
  <c r="J231" i="34"/>
  <c r="J230" i="34" s="1"/>
  <c r="M230" i="34" s="1"/>
  <c r="G229" i="34"/>
  <c r="L22" i="34"/>
  <c r="L57" i="34"/>
  <c r="I69" i="34"/>
  <c r="I68" i="34" s="1"/>
  <c r="M81" i="34"/>
  <c r="L96" i="34"/>
  <c r="L16" i="34"/>
  <c r="M22" i="34"/>
  <c r="M41" i="34"/>
  <c r="K56" i="34"/>
  <c r="L56" i="34" s="1"/>
  <c r="J69" i="34"/>
  <c r="J68" i="34" s="1"/>
  <c r="K72" i="34"/>
  <c r="L81" i="34"/>
  <c r="L83" i="34"/>
  <c r="G100" i="34"/>
  <c r="G99" i="34" s="1"/>
  <c r="G98" i="34" s="1"/>
  <c r="G802" i="34" s="1"/>
  <c r="L103" i="34"/>
  <c r="K105" i="34"/>
  <c r="L105" i="34" s="1"/>
  <c r="M108" i="34"/>
  <c r="K111" i="34"/>
  <c r="L111" i="34" s="1"/>
  <c r="L117" i="34"/>
  <c r="G119" i="34"/>
  <c r="I134" i="34"/>
  <c r="M143" i="34"/>
  <c r="G142" i="34"/>
  <c r="G133" i="34" s="1"/>
  <c r="G110" i="34" s="1"/>
  <c r="I142" i="34"/>
  <c r="M181" i="34"/>
  <c r="H186" i="34"/>
  <c r="H213" i="34"/>
  <c r="L216" i="34"/>
  <c r="H219" i="34"/>
  <c r="M222" i="34"/>
  <c r="I219" i="34"/>
  <c r="I801" i="34" s="1"/>
  <c r="L250" i="34"/>
  <c r="L275" i="34"/>
  <c r="L14" i="34"/>
  <c r="G61" i="34"/>
  <c r="M34" i="34"/>
  <c r="G80" i="34"/>
  <c r="I100" i="34"/>
  <c r="I99" i="34" s="1"/>
  <c r="I98" i="34" s="1"/>
  <c r="I802" i="34" s="1"/>
  <c r="I119" i="34"/>
  <c r="M130" i="34"/>
  <c r="M135" i="34"/>
  <c r="M158" i="34"/>
  <c r="K157" i="34"/>
  <c r="M167" i="34"/>
  <c r="M169" i="34"/>
  <c r="G192" i="34"/>
  <c r="M192" i="34" s="1"/>
  <c r="L194" i="34"/>
  <c r="M199" i="34"/>
  <c r="K203" i="34"/>
  <c r="K202" i="34" s="1"/>
  <c r="H203" i="34"/>
  <c r="H202" i="34" s="1"/>
  <c r="H201" i="34" s="1"/>
  <c r="M226" i="34"/>
  <c r="M256" i="34"/>
  <c r="G274" i="34"/>
  <c r="G273" i="34" s="1"/>
  <c r="L276" i="34"/>
  <c r="L278" i="34"/>
  <c r="M282" i="34"/>
  <c r="M302" i="34"/>
  <c r="G318" i="34"/>
  <c r="G314" i="34" s="1"/>
  <c r="M319" i="34"/>
  <c r="H133" i="34"/>
  <c r="H110" i="34" s="1"/>
  <c r="G164" i="34"/>
  <c r="G163" i="34" s="1"/>
  <c r="G162" i="34" s="1"/>
  <c r="G776" i="34" s="1"/>
  <c r="L181" i="34"/>
  <c r="G187" i="34"/>
  <c r="G186" i="34" s="1"/>
  <c r="M204" i="34"/>
  <c r="I274" i="34"/>
  <c r="I273" i="34" s="1"/>
  <c r="L302" i="34"/>
  <c r="J301" i="34"/>
  <c r="L301" i="34" s="1"/>
  <c r="J534" i="34"/>
  <c r="I590" i="34"/>
  <c r="L52" i="34"/>
  <c r="L66" i="34"/>
  <c r="K225" i="34"/>
  <c r="I243" i="34"/>
  <c r="I242" i="34" s="1"/>
  <c r="I241" i="34" s="1"/>
  <c r="M299" i="34"/>
  <c r="G298" i="34"/>
  <c r="M298" i="34" s="1"/>
  <c r="H288" i="34"/>
  <c r="H287" i="34" s="1"/>
  <c r="H272" i="34" s="1"/>
  <c r="H228" i="34" s="1"/>
  <c r="I288" i="34"/>
  <c r="I287" i="34" s="1"/>
  <c r="I805" i="34" s="1"/>
  <c r="L296" i="34"/>
  <c r="G305" i="34"/>
  <c r="M315" i="34"/>
  <c r="L328" i="34"/>
  <c r="G330" i="34"/>
  <c r="G326" i="34" s="1"/>
  <c r="G325" i="34" s="1"/>
  <c r="G324" i="34" s="1"/>
  <c r="M341" i="34"/>
  <c r="L357" i="34"/>
  <c r="G363" i="34"/>
  <c r="M363" i="34" s="1"/>
  <c r="L381" i="34"/>
  <c r="L395" i="34"/>
  <c r="M404" i="34"/>
  <c r="L405" i="34"/>
  <c r="G423" i="34"/>
  <c r="G422" i="34" s="1"/>
  <c r="M431" i="34"/>
  <c r="L451" i="34"/>
  <c r="H444" i="34"/>
  <c r="H443" i="34" s="1"/>
  <c r="H442" i="34" s="1"/>
  <c r="L455" i="34"/>
  <c r="L476" i="34"/>
  <c r="K481" i="34"/>
  <c r="L481" i="34" s="1"/>
  <c r="L510" i="34"/>
  <c r="M527" i="34"/>
  <c r="M538" i="34"/>
  <c r="L547" i="34"/>
  <c r="I554" i="34"/>
  <c r="L558" i="34"/>
  <c r="M563" i="34"/>
  <c r="L613" i="34"/>
  <c r="M641" i="34"/>
  <c r="L654" i="34"/>
  <c r="H670" i="34"/>
  <c r="H669" i="34" s="1"/>
  <c r="H664" i="34" s="1"/>
  <c r="H663" i="34" s="1"/>
  <c r="H662" i="34" s="1"/>
  <c r="K684" i="34"/>
  <c r="M692" i="34"/>
  <c r="K712" i="34"/>
  <c r="L712" i="34" s="1"/>
  <c r="I701" i="34"/>
  <c r="L726" i="34"/>
  <c r="K744" i="34"/>
  <c r="L747" i="34"/>
  <c r="L760" i="34"/>
  <c r="L292" i="34"/>
  <c r="M327" i="34"/>
  <c r="M330" i="34"/>
  <c r="J337" i="34"/>
  <c r="J336" i="34" s="1"/>
  <c r="M336" i="34" s="1"/>
  <c r="M357" i="34"/>
  <c r="L380" i="34"/>
  <c r="L384" i="34"/>
  <c r="M385" i="34"/>
  <c r="H427" i="34"/>
  <c r="M439" i="34"/>
  <c r="J445" i="34"/>
  <c r="M452" i="34"/>
  <c r="M464" i="34"/>
  <c r="H460" i="34"/>
  <c r="H459" i="34" s="1"/>
  <c r="H458" i="34" s="1"/>
  <c r="H457" i="34" s="1"/>
  <c r="M473" i="34"/>
  <c r="L489" i="34"/>
  <c r="J519" i="34"/>
  <c r="K519" i="34"/>
  <c r="K515" i="34" s="1"/>
  <c r="K514" i="34" s="1"/>
  <c r="M522" i="34"/>
  <c r="L542" i="34"/>
  <c r="M559" i="34"/>
  <c r="K562" i="34"/>
  <c r="L562" i="34" s="1"/>
  <c r="H561" i="34"/>
  <c r="M592" i="34"/>
  <c r="L608" i="34"/>
  <c r="M614" i="34"/>
  <c r="J606" i="34"/>
  <c r="G622" i="34"/>
  <c r="M622" i="34" s="1"/>
  <c r="J643" i="34"/>
  <c r="M643" i="34" s="1"/>
  <c r="H643" i="34"/>
  <c r="M667" i="34"/>
  <c r="K691" i="34"/>
  <c r="H712" i="34"/>
  <c r="H711" i="34" s="1"/>
  <c r="H710" i="34" s="1"/>
  <c r="H709" i="34" s="1"/>
  <c r="H708" i="34" s="1"/>
  <c r="H724" i="34"/>
  <c r="G724" i="34"/>
  <c r="M594" i="34"/>
  <c r="G534" i="34"/>
  <c r="I606" i="34"/>
  <c r="G664" i="34"/>
  <c r="G663" i="34" s="1"/>
  <c r="G662" i="34" s="1"/>
  <c r="J744" i="34"/>
  <c r="H335" i="34"/>
  <c r="H334" i="34" s="1"/>
  <c r="H333" i="34" s="1"/>
  <c r="J429" i="34"/>
  <c r="M429" i="34" s="1"/>
  <c r="L431" i="34"/>
  <c r="L436" i="34"/>
  <c r="L475" i="34"/>
  <c r="M503" i="34"/>
  <c r="H515" i="34"/>
  <c r="H514" i="34" s="1"/>
  <c r="H513" i="34" s="1"/>
  <c r="H512" i="34" s="1"/>
  <c r="M524" i="34"/>
  <c r="L538" i="34"/>
  <c r="M540" i="34"/>
  <c r="M558" i="34"/>
  <c r="M565" i="34"/>
  <c r="L566" i="34"/>
  <c r="M572" i="34"/>
  <c r="L572" i="34"/>
  <c r="H590" i="34"/>
  <c r="H589" i="34" s="1"/>
  <c r="H588" i="34" s="1"/>
  <c r="H587" i="34" s="1"/>
  <c r="M613" i="34"/>
  <c r="M617" i="34"/>
  <c r="L617" i="34"/>
  <c r="G638" i="34"/>
  <c r="G637" i="34" s="1"/>
  <c r="G636" i="34" s="1"/>
  <c r="L650" i="34"/>
  <c r="M654" i="34"/>
  <c r="L653" i="34"/>
  <c r="L713" i="34"/>
  <c r="L495" i="34"/>
  <c r="I484" i="34"/>
  <c r="L497" i="34"/>
  <c r="L498" i="34"/>
  <c r="L494" i="34"/>
  <c r="I459" i="34"/>
  <c r="I791" i="34" s="1"/>
  <c r="M520" i="34"/>
  <c r="M521" i="34"/>
  <c r="L293" i="34"/>
  <c r="L595" i="34"/>
  <c r="G18" i="34"/>
  <c r="L32" i="34"/>
  <c r="K31" i="34"/>
  <c r="G105" i="34"/>
  <c r="M105" i="34" s="1"/>
  <c r="M106" i="34"/>
  <c r="J44" i="34"/>
  <c r="M215" i="34"/>
  <c r="G214" i="34"/>
  <c r="L232" i="34"/>
  <c r="K231" i="34"/>
  <c r="I11" i="34"/>
  <c r="I10" i="34" s="1"/>
  <c r="J31" i="34"/>
  <c r="I61" i="34"/>
  <c r="M83" i="34"/>
  <c r="I91" i="34"/>
  <c r="I90" i="34" s="1"/>
  <c r="I798" i="34" s="1"/>
  <c r="M147" i="34"/>
  <c r="L215" i="34"/>
  <c r="K214" i="34"/>
  <c r="L27" i="34"/>
  <c r="K26" i="34"/>
  <c r="G51" i="34"/>
  <c r="G50" i="34" s="1"/>
  <c r="G49" i="34" s="1"/>
  <c r="M52" i="34"/>
  <c r="K165" i="34"/>
  <c r="L166" i="34"/>
  <c r="G174" i="34"/>
  <c r="G173" i="34" s="1"/>
  <c r="M175" i="34"/>
  <c r="J20" i="34"/>
  <c r="M21" i="34"/>
  <c r="L13" i="34"/>
  <c r="K12" i="34"/>
  <c r="J10" i="34"/>
  <c r="K86" i="34"/>
  <c r="J178" i="34"/>
  <c r="M179" i="34"/>
  <c r="K201" i="34"/>
  <c r="M12" i="34"/>
  <c r="G11" i="34"/>
  <c r="M11" i="34" s="1"/>
  <c r="I18" i="34"/>
  <c r="J25" i="34"/>
  <c r="M26" i="34"/>
  <c r="M39" i="34"/>
  <c r="J38" i="34"/>
  <c r="J50" i="34"/>
  <c r="M51" i="34"/>
  <c r="J55" i="34"/>
  <c r="H60" i="34"/>
  <c r="J65" i="34"/>
  <c r="M65" i="34" s="1"/>
  <c r="M66" i="34"/>
  <c r="M70" i="34"/>
  <c r="G69" i="34"/>
  <c r="G68" i="34" s="1"/>
  <c r="G76" i="34"/>
  <c r="M103" i="34"/>
  <c r="J100" i="34"/>
  <c r="I796" i="34"/>
  <c r="I213" i="34"/>
  <c r="G219" i="34"/>
  <c r="G801" i="34" s="1"/>
  <c r="G33" i="34"/>
  <c r="G32" i="34" s="1"/>
  <c r="G31" i="34" s="1"/>
  <c r="L28" i="34"/>
  <c r="L33" i="34"/>
  <c r="K46" i="34"/>
  <c r="K50" i="34"/>
  <c r="K55" i="34"/>
  <c r="J62" i="34"/>
  <c r="K65" i="34"/>
  <c r="L65" i="34" s="1"/>
  <c r="K77" i="34"/>
  <c r="M89" i="34"/>
  <c r="J95" i="34"/>
  <c r="M95" i="34" s="1"/>
  <c r="I114" i="34"/>
  <c r="L116" i="34"/>
  <c r="M131" i="34"/>
  <c r="L139" i="34"/>
  <c r="K21" i="34"/>
  <c r="M27" i="34"/>
  <c r="K39" i="34"/>
  <c r="M40" i="34"/>
  <c r="G46" i="34"/>
  <c r="G57" i="34"/>
  <c r="K62" i="34"/>
  <c r="J80" i="34"/>
  <c r="M80" i="34" s="1"/>
  <c r="M84" i="34"/>
  <c r="J88" i="34"/>
  <c r="L88" i="34" s="1"/>
  <c r="K93" i="34"/>
  <c r="K95" i="34"/>
  <c r="K101" i="34"/>
  <c r="L104" i="34"/>
  <c r="J115" i="34"/>
  <c r="L120" i="34"/>
  <c r="K134" i="34"/>
  <c r="L134" i="34" s="1"/>
  <c r="L140" i="34"/>
  <c r="L148" i="34"/>
  <c r="L153" i="34"/>
  <c r="J157" i="34"/>
  <c r="I157" i="34"/>
  <c r="L160" i="34"/>
  <c r="M170" i="34"/>
  <c r="M171" i="34"/>
  <c r="M174" i="34"/>
  <c r="M176" i="34"/>
  <c r="G185" i="34"/>
  <c r="L185" i="34"/>
  <c r="J186" i="34"/>
  <c r="M187" i="34"/>
  <c r="M194" i="34"/>
  <c r="J197" i="34"/>
  <c r="G203" i="34"/>
  <c r="G202" i="34" s="1"/>
  <c r="J203" i="34"/>
  <c r="L203" i="34" s="1"/>
  <c r="M205" i="34"/>
  <c r="L211" i="34"/>
  <c r="M216" i="34"/>
  <c r="L217" i="34"/>
  <c r="K220" i="34"/>
  <c r="J221" i="34"/>
  <c r="L221" i="34" s="1"/>
  <c r="K224" i="34"/>
  <c r="J225" i="34"/>
  <c r="L233" i="34"/>
  <c r="M250" i="34"/>
  <c r="K318" i="34"/>
  <c r="L318" i="34" s="1"/>
  <c r="L319" i="34"/>
  <c r="I335" i="34"/>
  <c r="L135" i="34"/>
  <c r="M140" i="34"/>
  <c r="M148" i="34"/>
  <c r="M153" i="34"/>
  <c r="L155" i="34"/>
  <c r="L175" i="34"/>
  <c r="K174" i="34"/>
  <c r="L179" i="34"/>
  <c r="M180" i="34"/>
  <c r="K193" i="34"/>
  <c r="M231" i="34"/>
  <c r="L257" i="34"/>
  <c r="K256" i="34"/>
  <c r="L256" i="34" s="1"/>
  <c r="M269" i="34"/>
  <c r="J268" i="34"/>
  <c r="K306" i="34"/>
  <c r="G92" i="34"/>
  <c r="G91" i="34" s="1"/>
  <c r="G90" i="34" s="1"/>
  <c r="J122" i="34"/>
  <c r="L131" i="34"/>
  <c r="L143" i="34"/>
  <c r="L150" i="34"/>
  <c r="M160" i="34"/>
  <c r="J165" i="34"/>
  <c r="L167" i="34"/>
  <c r="K169" i="34"/>
  <c r="L169" i="34" s="1"/>
  <c r="J191" i="34"/>
  <c r="H192" i="34"/>
  <c r="L205" i="34"/>
  <c r="L208" i="34"/>
  <c r="M217" i="34"/>
  <c r="J243" i="34"/>
  <c r="L248" i="34"/>
  <c r="L253" i="34"/>
  <c r="L260" i="34"/>
  <c r="K259" i="34"/>
  <c r="L259" i="34" s="1"/>
  <c r="L269" i="34"/>
  <c r="G790" i="34"/>
  <c r="G334" i="34"/>
  <c r="G333" i="34" s="1"/>
  <c r="G780" i="34" s="1"/>
  <c r="I792" i="34"/>
  <c r="I427" i="34"/>
  <c r="I421" i="34" s="1"/>
  <c r="I783" i="34" s="1"/>
  <c r="L445" i="34"/>
  <c r="L187" i="34"/>
  <c r="K186" i="34"/>
  <c r="L186" i="34" s="1"/>
  <c r="L198" i="34"/>
  <c r="K197" i="34"/>
  <c r="J796" i="34"/>
  <c r="M214" i="34"/>
  <c r="K242" i="34"/>
  <c r="M247" i="34"/>
  <c r="G246" i="34"/>
  <c r="M249" i="34"/>
  <c r="G248" i="34"/>
  <c r="M248" i="34" s="1"/>
  <c r="M254" i="34"/>
  <c r="G253" i="34"/>
  <c r="M253" i="34" s="1"/>
  <c r="M270" i="34"/>
  <c r="M295" i="34"/>
  <c r="J288" i="34"/>
  <c r="M374" i="34"/>
  <c r="M391" i="34"/>
  <c r="L404" i="34"/>
  <c r="H421" i="34"/>
  <c r="M257" i="34"/>
  <c r="M260" i="34"/>
  <c r="J281" i="34"/>
  <c r="K295" i="34"/>
  <c r="L295" i="34" s="1"/>
  <c r="M296" i="34"/>
  <c r="G301" i="34"/>
  <c r="M301" i="34" s="1"/>
  <c r="J308" i="34"/>
  <c r="M322" i="34"/>
  <c r="M328" i="34"/>
  <c r="L331" i="34"/>
  <c r="J345" i="34"/>
  <c r="M347" i="34"/>
  <c r="M348" i="34"/>
  <c r="J353" i="34"/>
  <c r="M354" i="34"/>
  <c r="M355" i="34"/>
  <c r="G384" i="34"/>
  <c r="L385" i="34"/>
  <c r="M389" i="34"/>
  <c r="M390" i="34"/>
  <c r="L391" i="34"/>
  <c r="M392" i="34"/>
  <c r="M396" i="34"/>
  <c r="G395" i="34"/>
  <c r="G394" i="34" s="1"/>
  <c r="G393" i="34" s="1"/>
  <c r="L417" i="34"/>
  <c r="J422" i="34"/>
  <c r="J428" i="34"/>
  <c r="G436" i="34"/>
  <c r="G435" i="34" s="1"/>
  <c r="G434" i="34" s="1"/>
  <c r="G433" i="34" s="1"/>
  <c r="G797" i="34" s="1"/>
  <c r="L437" i="34"/>
  <c r="J438" i="34"/>
  <c r="M438" i="34" s="1"/>
  <c r="M448" i="34"/>
  <c r="K454" i="34"/>
  <c r="J444" i="34"/>
  <c r="M492" i="34"/>
  <c r="M516" i="34"/>
  <c r="M535" i="34"/>
  <c r="I589" i="34"/>
  <c r="I588" i="34" s="1"/>
  <c r="I587" i="34" s="1"/>
  <c r="M297" i="34"/>
  <c r="K326" i="34"/>
  <c r="M337" i="34"/>
  <c r="K345" i="34"/>
  <c r="K356" i="34"/>
  <c r="L356" i="34" s="1"/>
  <c r="K373" i="34"/>
  <c r="M386" i="34"/>
  <c r="K394" i="34"/>
  <c r="G403" i="34"/>
  <c r="G402" i="34" s="1"/>
  <c r="G401" i="34" s="1"/>
  <c r="J416" i="34"/>
  <c r="L419" i="34"/>
  <c r="K418" i="34"/>
  <c r="L418" i="34" s="1"/>
  <c r="K434" i="34"/>
  <c r="J435" i="34"/>
  <c r="L435" i="34" s="1"/>
  <c r="M446" i="34"/>
  <c r="M449" i="34"/>
  <c r="J461" i="34"/>
  <c r="L466" i="34"/>
  <c r="L485" i="34"/>
  <c r="K484" i="34"/>
  <c r="M534" i="34"/>
  <c r="M610" i="34"/>
  <c r="L341" i="34"/>
  <c r="K340" i="34"/>
  <c r="K335" i="34" s="1"/>
  <c r="G373" i="34"/>
  <c r="M398" i="34"/>
  <c r="L411" i="34"/>
  <c r="K410" i="34"/>
  <c r="L410" i="34" s="1"/>
  <c r="G792" i="34"/>
  <c r="M451" i="34"/>
  <c r="K461" i="34"/>
  <c r="L462" i="34"/>
  <c r="K555" i="34"/>
  <c r="K274" i="34"/>
  <c r="K288" i="34"/>
  <c r="G292" i="34"/>
  <c r="G288" i="34" s="1"/>
  <c r="G287" i="34" s="1"/>
  <c r="K314" i="34"/>
  <c r="J326" i="34"/>
  <c r="M338" i="34"/>
  <c r="J340" i="34"/>
  <c r="M340" i="34" s="1"/>
  <c r="L347" i="34"/>
  <c r="H352" i="34"/>
  <c r="H351" i="34" s="1"/>
  <c r="H350" i="34" s="1"/>
  <c r="H349" i="34" s="1"/>
  <c r="L374" i="34"/>
  <c r="M388" i="34"/>
  <c r="J387" i="34"/>
  <c r="L390" i="34"/>
  <c r="J393" i="34"/>
  <c r="M395" i="34"/>
  <c r="L399" i="34"/>
  <c r="J403" i="34"/>
  <c r="J402" i="34" s="1"/>
  <c r="M405" i="34"/>
  <c r="L416" i="34"/>
  <c r="K424" i="34"/>
  <c r="K430" i="34"/>
  <c r="L439" i="34"/>
  <c r="K438" i="34"/>
  <c r="L438" i="34" s="1"/>
  <c r="G445" i="34"/>
  <c r="M445" i="34" s="1"/>
  <c r="L446" i="34"/>
  <c r="M456" i="34"/>
  <c r="G455" i="34"/>
  <c r="M463" i="34"/>
  <c r="G462" i="34"/>
  <c r="G461" i="34" s="1"/>
  <c r="G460" i="34" s="1"/>
  <c r="M467" i="34"/>
  <c r="L470" i="34"/>
  <c r="G484" i="34"/>
  <c r="J500" i="34"/>
  <c r="M501" i="34"/>
  <c r="J472" i="34"/>
  <c r="M472" i="34" s="1"/>
  <c r="L473" i="34"/>
  <c r="K478" i="34"/>
  <c r="L478" i="34" s="1"/>
  <c r="M490" i="34"/>
  <c r="L492" i="34"/>
  <c r="M493" i="34"/>
  <c r="J508" i="34"/>
  <c r="L516" i="34"/>
  <c r="L517" i="34"/>
  <c r="I519" i="34"/>
  <c r="I515" i="34" s="1"/>
  <c r="I514" i="34" s="1"/>
  <c r="I513" i="34" s="1"/>
  <c r="I512" i="34" s="1"/>
  <c r="L522" i="34"/>
  <c r="J526" i="34"/>
  <c r="J515" i="34" s="1"/>
  <c r="K537" i="34"/>
  <c r="M541" i="34"/>
  <c r="M557" i="34"/>
  <c r="J556" i="34"/>
  <c r="M566" i="34"/>
  <c r="G569" i="34"/>
  <c r="G568" i="34" s="1"/>
  <c r="G561" i="34" s="1"/>
  <c r="G553" i="34" s="1"/>
  <c r="G552" i="34" s="1"/>
  <c r="K569" i="34"/>
  <c r="K571" i="34"/>
  <c r="L571" i="34" s="1"/>
  <c r="J580" i="34"/>
  <c r="I561" i="34"/>
  <c r="I553" i="34" s="1"/>
  <c r="I552" i="34" s="1"/>
  <c r="K591" i="34"/>
  <c r="K597" i="34"/>
  <c r="L597" i="34" s="1"/>
  <c r="M598" i="34"/>
  <c r="M611" i="34"/>
  <c r="L614" i="34"/>
  <c r="M615" i="34"/>
  <c r="K616" i="34"/>
  <c r="L616" i="34" s="1"/>
  <c r="G619" i="34"/>
  <c r="G606" i="34" s="1"/>
  <c r="M606" i="34" s="1"/>
  <c r="M624" i="34"/>
  <c r="K625" i="34"/>
  <c r="L644" i="34"/>
  <c r="K643" i="34"/>
  <c r="L643" i="34" s="1"/>
  <c r="I664" i="34"/>
  <c r="I663" i="34" s="1"/>
  <c r="I662" i="34" s="1"/>
  <c r="K683" i="34"/>
  <c r="M698" i="34"/>
  <c r="L502" i="34"/>
  <c r="M511" i="34"/>
  <c r="G510" i="34"/>
  <c r="G509" i="34" s="1"/>
  <c r="G508" i="34" s="1"/>
  <c r="G507" i="34" s="1"/>
  <c r="G506" i="34" s="1"/>
  <c r="G505" i="34" s="1"/>
  <c r="G785" i="34" s="1"/>
  <c r="M517" i="34"/>
  <c r="M518" i="34"/>
  <c r="L524" i="34"/>
  <c r="M536" i="34"/>
  <c r="L559" i="34"/>
  <c r="M560" i="34"/>
  <c r="J568" i="34"/>
  <c r="G590" i="34"/>
  <c r="L594" i="34"/>
  <c r="L620" i="34"/>
  <c r="K619" i="34"/>
  <c r="H701" i="34"/>
  <c r="K509" i="34"/>
  <c r="G519" i="34"/>
  <c r="M519" i="34" s="1"/>
  <c r="M537" i="34"/>
  <c r="M595" i="34"/>
  <c r="L604" i="34"/>
  <c r="K603" i="34"/>
  <c r="L607" i="34"/>
  <c r="L611" i="34"/>
  <c r="H638" i="34"/>
  <c r="H637" i="34" s="1"/>
  <c r="H636" i="34" s="1"/>
  <c r="M489" i="34"/>
  <c r="J488" i="34"/>
  <c r="J484" i="34" s="1"/>
  <c r="L501" i="34"/>
  <c r="K500" i="34"/>
  <c r="L500" i="34" s="1"/>
  <c r="M502" i="34"/>
  <c r="L541" i="34"/>
  <c r="K546" i="34"/>
  <c r="M571" i="34"/>
  <c r="J591" i="34"/>
  <c r="L596" i="34"/>
  <c r="M597" i="34"/>
  <c r="J603" i="34"/>
  <c r="M603" i="34" s="1"/>
  <c r="M616" i="34"/>
  <c r="J626" i="34"/>
  <c r="L626" i="34" s="1"/>
  <c r="L627" i="34"/>
  <c r="K631" i="34"/>
  <c r="K640" i="34"/>
  <c r="M645" i="34"/>
  <c r="J666" i="34"/>
  <c r="M669" i="34"/>
  <c r="M670" i="34"/>
  <c r="L673" i="34"/>
  <c r="J677" i="34"/>
  <c r="M677" i="34" s="1"/>
  <c r="M687" i="34"/>
  <c r="M694" i="34"/>
  <c r="M699" i="34"/>
  <c r="K704" i="34"/>
  <c r="G683" i="34"/>
  <c r="G682" i="34" s="1"/>
  <c r="G681" i="34" s="1"/>
  <c r="M706" i="34"/>
  <c r="J705" i="34"/>
  <c r="L706" i="34"/>
  <c r="K711" i="34"/>
  <c r="L759" i="34"/>
  <c r="L645" i="34"/>
  <c r="L699" i="34"/>
  <c r="J710" i="34"/>
  <c r="J719" i="34"/>
  <c r="M744" i="34"/>
  <c r="J640" i="34"/>
  <c r="M653" i="34"/>
  <c r="L667" i="34"/>
  <c r="K666" i="34"/>
  <c r="L675" i="34"/>
  <c r="L678" i="34"/>
  <c r="J684" i="34"/>
  <c r="L684" i="34" s="1"/>
  <c r="H684" i="34"/>
  <c r="H683" i="34" s="1"/>
  <c r="H682" i="34" s="1"/>
  <c r="H681" i="34" s="1"/>
  <c r="L685" i="34"/>
  <c r="M688" i="34"/>
  <c r="J691" i="34"/>
  <c r="M691" i="34" s="1"/>
  <c r="L692" i="34"/>
  <c r="M695" i="34"/>
  <c r="G721" i="34"/>
  <c r="M742" i="34"/>
  <c r="L724" i="34"/>
  <c r="K720" i="34"/>
  <c r="L744" i="34"/>
  <c r="G713" i="34"/>
  <c r="L725" i="34"/>
  <c r="J741" i="34"/>
  <c r="G742" i="34"/>
  <c r="G741" i="34" s="1"/>
  <c r="G740" i="34" s="1"/>
  <c r="G739" i="34" s="1"/>
  <c r="G738" i="34" s="1"/>
  <c r="G737" i="34" s="1"/>
  <c r="M745" i="34"/>
  <c r="M746" i="34"/>
  <c r="K758" i="34"/>
  <c r="L742" i="34"/>
  <c r="K740" i="34"/>
  <c r="K754" i="34"/>
  <c r="K28" i="33"/>
  <c r="K612" i="33"/>
  <c r="K570" i="33"/>
  <c r="N353" i="35" l="1"/>
  <c r="I799" i="34"/>
  <c r="N613" i="35"/>
  <c r="N250" i="35"/>
  <c r="G228" i="36"/>
  <c r="G776" i="36" s="1"/>
  <c r="M272" i="36"/>
  <c r="M660" i="36"/>
  <c r="G659" i="36"/>
  <c r="N660" i="36"/>
  <c r="I783" i="36"/>
  <c r="I771" i="36"/>
  <c r="K534" i="36"/>
  <c r="L534" i="36" s="1"/>
  <c r="N443" i="36"/>
  <c r="G785" i="36"/>
  <c r="J8" i="36"/>
  <c r="M8" i="36" s="1"/>
  <c r="G442" i="36"/>
  <c r="M442" i="36" s="1"/>
  <c r="M443" i="36"/>
  <c r="M699" i="36"/>
  <c r="G698" i="36"/>
  <c r="L699" i="36"/>
  <c r="N699" i="36"/>
  <c r="K698" i="36"/>
  <c r="M427" i="36"/>
  <c r="G714" i="36"/>
  <c r="N714" i="36" s="1"/>
  <c r="M715" i="36"/>
  <c r="N401" i="36"/>
  <c r="M190" i="36"/>
  <c r="L190" i="36"/>
  <c r="L635" i="36"/>
  <c r="K634" i="36"/>
  <c r="N635" i="36"/>
  <c r="J773" i="36"/>
  <c r="M162" i="36"/>
  <c r="L162" i="36"/>
  <c r="J183" i="36"/>
  <c r="G550" i="36"/>
  <c r="M240" i="36"/>
  <c r="L178" i="36"/>
  <c r="K172" i="36"/>
  <c r="N178" i="36"/>
  <c r="L213" i="36"/>
  <c r="N213" i="36"/>
  <c r="K734" i="36"/>
  <c r="N735" i="36"/>
  <c r="L735" i="36"/>
  <c r="N514" i="36"/>
  <c r="L514" i="36"/>
  <c r="N324" i="36"/>
  <c r="L324" i="36"/>
  <c r="L442" i="36"/>
  <c r="G30" i="36"/>
  <c r="M54" i="36"/>
  <c r="L110" i="36"/>
  <c r="N110" i="36"/>
  <c r="M413" i="36"/>
  <c r="J401" i="36"/>
  <c r="M401" i="36" s="1"/>
  <c r="N201" i="36"/>
  <c r="K183" i="36"/>
  <c r="L201" i="36"/>
  <c r="J799" i="36"/>
  <c r="N24" i="36"/>
  <c r="L24" i="36"/>
  <c r="K18" i="36"/>
  <c r="K8" i="36" s="1"/>
  <c r="J512" i="36"/>
  <c r="M512" i="36" s="1"/>
  <c r="M513" i="36"/>
  <c r="L421" i="36"/>
  <c r="M334" i="36"/>
  <c r="J333" i="36"/>
  <c r="K552" i="36"/>
  <c r="N553" i="36"/>
  <c r="L553" i="36"/>
  <c r="J588" i="36"/>
  <c r="L588" i="36" s="1"/>
  <c r="M589" i="36"/>
  <c r="K304" i="36"/>
  <c r="N305" i="36"/>
  <c r="L305" i="36"/>
  <c r="L413" i="36"/>
  <c r="N413" i="36"/>
  <c r="L36" i="36"/>
  <c r="N36" i="36"/>
  <c r="N43" i="36"/>
  <c r="L43" i="36"/>
  <c r="J803" i="36"/>
  <c r="M304" i="36"/>
  <c r="N679" i="36"/>
  <c r="L679" i="36"/>
  <c r="K678" i="36"/>
  <c r="M229" i="36"/>
  <c r="J228" i="36"/>
  <c r="K505" i="36"/>
  <c r="L506" i="36"/>
  <c r="N588" i="36"/>
  <c r="K587" i="36"/>
  <c r="K349" i="36"/>
  <c r="N350" i="36"/>
  <c r="L350" i="36"/>
  <c r="L60" i="36"/>
  <c r="K59" i="36"/>
  <c r="N60" i="36"/>
  <c r="N427" i="36"/>
  <c r="J774" i="36"/>
  <c r="M172" i="36"/>
  <c r="L371" i="36"/>
  <c r="K370" i="36"/>
  <c r="N371" i="36"/>
  <c r="M705" i="36"/>
  <c r="J698" i="36"/>
  <c r="L705" i="36"/>
  <c r="J792" i="36"/>
  <c r="M85" i="36"/>
  <c r="J59" i="36"/>
  <c r="L334" i="36"/>
  <c r="N334" i="36"/>
  <c r="K333" i="36"/>
  <c r="M551" i="36"/>
  <c r="N458" i="36"/>
  <c r="K457" i="36"/>
  <c r="L458" i="36"/>
  <c r="M371" i="36"/>
  <c r="L229" i="36"/>
  <c r="N229" i="36"/>
  <c r="N240" i="36"/>
  <c r="L240" i="36"/>
  <c r="G506" i="36"/>
  <c r="M507" i="36"/>
  <c r="G795" i="36"/>
  <c r="L9" i="36"/>
  <c r="N9" i="36"/>
  <c r="J781" i="36"/>
  <c r="M457" i="36"/>
  <c r="N507" i="36"/>
  <c r="N589" i="36"/>
  <c r="J349" i="36"/>
  <c r="M350" i="36"/>
  <c r="L714" i="36"/>
  <c r="L427" i="36"/>
  <c r="K434" i="35"/>
  <c r="N434" i="35" s="1"/>
  <c r="K215" i="35"/>
  <c r="N215" i="35" s="1"/>
  <c r="L292" i="35"/>
  <c r="L318" i="35"/>
  <c r="M114" i="35"/>
  <c r="N289" i="35"/>
  <c r="L712" i="35"/>
  <c r="J460" i="35"/>
  <c r="L485" i="35"/>
  <c r="I790" i="35"/>
  <c r="N100" i="35"/>
  <c r="K203" i="35"/>
  <c r="L203" i="35" s="1"/>
  <c r="L21" i="35"/>
  <c r="N220" i="35"/>
  <c r="N24" i="35"/>
  <c r="L33" i="35"/>
  <c r="L597" i="35"/>
  <c r="K20" i="35"/>
  <c r="K19" i="35" s="1"/>
  <c r="L653" i="35"/>
  <c r="N203" i="35"/>
  <c r="N105" i="35"/>
  <c r="N711" i="35"/>
  <c r="N37" i="35"/>
  <c r="N243" i="35"/>
  <c r="N106" i="35"/>
  <c r="I683" i="35"/>
  <c r="I682" i="35" s="1"/>
  <c r="I681" i="35" s="1"/>
  <c r="L744" i="35"/>
  <c r="N744" i="35"/>
  <c r="I459" i="35"/>
  <c r="I458" i="35" s="1"/>
  <c r="I457" i="35" s="1"/>
  <c r="I784" i="35" s="1"/>
  <c r="N454" i="35"/>
  <c r="N461" i="35"/>
  <c r="N345" i="35"/>
  <c r="N275" i="35"/>
  <c r="N119" i="35"/>
  <c r="L377" i="35"/>
  <c r="L546" i="35"/>
  <c r="L278" i="35"/>
  <c r="K69" i="35"/>
  <c r="L69" i="35" s="1"/>
  <c r="N72" i="35"/>
  <c r="L111" i="35"/>
  <c r="N111" i="35"/>
  <c r="M298" i="35"/>
  <c r="N298" i="35"/>
  <c r="M622" i="35"/>
  <c r="N622" i="35"/>
  <c r="N517" i="35"/>
  <c r="N346" i="35"/>
  <c r="K508" i="35"/>
  <c r="N509" i="35"/>
  <c r="N395" i="35"/>
  <c r="N610" i="35"/>
  <c r="N399" i="35"/>
  <c r="N489" i="35"/>
  <c r="N330" i="35"/>
  <c r="N38" i="35"/>
  <c r="G684" i="35"/>
  <c r="N684" i="35" s="1"/>
  <c r="N687" i="35"/>
  <c r="N445" i="35"/>
  <c r="L616" i="35"/>
  <c r="N616" i="35"/>
  <c r="N516" i="35"/>
  <c r="L478" i="35"/>
  <c r="N197" i="35"/>
  <c r="L139" i="35"/>
  <c r="N139" i="35"/>
  <c r="N134" i="35"/>
  <c r="M310" i="35"/>
  <c r="N310" i="35"/>
  <c r="K554" i="35"/>
  <c r="N554" i="35" s="1"/>
  <c r="N558" i="35"/>
  <c r="L210" i="35"/>
  <c r="L207" i="35"/>
  <c r="K180" i="35"/>
  <c r="N181" i="35"/>
  <c r="M574" i="35"/>
  <c r="N574" i="35"/>
  <c r="K92" i="35"/>
  <c r="L92" i="35" s="1"/>
  <c r="N93" i="35"/>
  <c r="N251" i="35"/>
  <c r="N455" i="35"/>
  <c r="N385" i="35"/>
  <c r="M363" i="35"/>
  <c r="N363" i="35"/>
  <c r="N281" i="35"/>
  <c r="N398" i="35"/>
  <c r="N221" i="35"/>
  <c r="N603" i="35"/>
  <c r="N488" i="35"/>
  <c r="N462" i="35"/>
  <c r="N175" i="35"/>
  <c r="G691" i="35"/>
  <c r="N691" i="35" s="1"/>
  <c r="N694" i="35"/>
  <c r="M633" i="35"/>
  <c r="N633" i="35"/>
  <c r="L571" i="35"/>
  <c r="N571" i="35"/>
  <c r="N384" i="35"/>
  <c r="N394" i="35"/>
  <c r="L340" i="35"/>
  <c r="N340" i="35"/>
  <c r="L147" i="35"/>
  <c r="N147" i="35"/>
  <c r="K61" i="35"/>
  <c r="N61" i="35" s="1"/>
  <c r="N65" i="35"/>
  <c r="K326" i="35"/>
  <c r="N327" i="35"/>
  <c r="M734" i="35"/>
  <c r="N734" i="35"/>
  <c r="L494" i="35"/>
  <c r="N80" i="35"/>
  <c r="N712" i="35"/>
  <c r="G530" i="35"/>
  <c r="N491" i="35"/>
  <c r="N354" i="35"/>
  <c r="G359" i="35"/>
  <c r="N715" i="35"/>
  <c r="L410" i="35"/>
  <c r="L497" i="35"/>
  <c r="L387" i="35"/>
  <c r="N387" i="35"/>
  <c r="L169" i="35"/>
  <c r="N169" i="35"/>
  <c r="L481" i="35"/>
  <c r="L253" i="35"/>
  <c r="N253" i="35"/>
  <c r="L20" i="35"/>
  <c r="N20" i="35"/>
  <c r="G669" i="35"/>
  <c r="N670" i="35"/>
  <c r="G583" i="35"/>
  <c r="N510" i="35"/>
  <c r="N290" i="35"/>
  <c r="K268" i="35"/>
  <c r="N268" i="35" s="1"/>
  <c r="N269" i="35"/>
  <c r="L25" i="35"/>
  <c r="N25" i="35"/>
  <c r="N611" i="35"/>
  <c r="N295" i="35"/>
  <c r="G236" i="35"/>
  <c r="G229" i="35" s="1"/>
  <c r="N614" i="35"/>
  <c r="N502" i="35"/>
  <c r="N276" i="35"/>
  <c r="N198" i="35"/>
  <c r="H421" i="35"/>
  <c r="L250" i="35"/>
  <c r="I201" i="35"/>
  <c r="M344" i="35"/>
  <c r="M281" i="35"/>
  <c r="K545" i="35"/>
  <c r="I133" i="35"/>
  <c r="M698" i="35"/>
  <c r="M106" i="35"/>
  <c r="I421" i="35"/>
  <c r="I783" i="35" s="1"/>
  <c r="I110" i="35"/>
  <c r="I808" i="35" s="1"/>
  <c r="H372" i="35"/>
  <c r="H371" i="35" s="1"/>
  <c r="H370" i="35" s="1"/>
  <c r="M643" i="35"/>
  <c r="M336" i="35"/>
  <c r="M243" i="35"/>
  <c r="L445" i="35"/>
  <c r="L142" i="35"/>
  <c r="H459" i="35"/>
  <c r="H458" i="35" s="1"/>
  <c r="H457" i="35" s="1"/>
  <c r="G305" i="35"/>
  <c r="M147" i="35"/>
  <c r="M354" i="35"/>
  <c r="M445" i="35"/>
  <c r="J508" i="35"/>
  <c r="J507" i="35" s="1"/>
  <c r="J242" i="35"/>
  <c r="J241" i="35" s="1"/>
  <c r="H683" i="35"/>
  <c r="H682" i="35" s="1"/>
  <c r="H681" i="35" s="1"/>
  <c r="K683" i="35"/>
  <c r="M25" i="35"/>
  <c r="I513" i="35"/>
  <c r="I512" i="35" s="1"/>
  <c r="I789" i="35"/>
  <c r="M712" i="35"/>
  <c r="J790" i="35"/>
  <c r="I272" i="35"/>
  <c r="I228" i="35" s="1"/>
  <c r="I779" i="35" s="1"/>
  <c r="L93" i="35"/>
  <c r="L152" i="35"/>
  <c r="G133" i="35"/>
  <c r="G110" i="35" s="1"/>
  <c r="L243" i="35"/>
  <c r="L677" i="35"/>
  <c r="H304" i="35"/>
  <c r="H272" i="35" s="1"/>
  <c r="H228" i="35" s="1"/>
  <c r="H183" i="35"/>
  <c r="G484" i="35"/>
  <c r="G459" i="35" s="1"/>
  <c r="G458" i="35" s="1"/>
  <c r="G457" i="35" s="1"/>
  <c r="I213" i="35"/>
  <c r="M142" i="35"/>
  <c r="G60" i="35"/>
  <c r="L684" i="35"/>
  <c r="G242" i="35"/>
  <c r="G241" i="35" s="1"/>
  <c r="G240" i="35" s="1"/>
  <c r="M610" i="35"/>
  <c r="G606" i="35"/>
  <c r="I553" i="35"/>
  <c r="I552" i="35" s="1"/>
  <c r="I551" i="35" s="1"/>
  <c r="I550" i="35" s="1"/>
  <c r="I549" i="35" s="1"/>
  <c r="M462" i="35"/>
  <c r="L438" i="35"/>
  <c r="L24" i="35"/>
  <c r="M80" i="35"/>
  <c r="G561" i="35"/>
  <c r="G553" i="35" s="1"/>
  <c r="G552" i="35" s="1"/>
  <c r="G551" i="35" s="1"/>
  <c r="M175" i="35"/>
  <c r="L367" i="35"/>
  <c r="K366" i="35"/>
  <c r="M721" i="35"/>
  <c r="G720" i="35"/>
  <c r="L180" i="35"/>
  <c r="M691" i="35"/>
  <c r="M510" i="35"/>
  <c r="H553" i="35"/>
  <c r="H552" i="35" s="1"/>
  <c r="H551" i="35" s="1"/>
  <c r="M399" i="35"/>
  <c r="M489" i="35"/>
  <c r="M395" i="35"/>
  <c r="M335" i="35"/>
  <c r="M197" i="35"/>
  <c r="G444" i="35"/>
  <c r="G443" i="35" s="1"/>
  <c r="G442" i="35" s="1"/>
  <c r="G421" i="35" s="1"/>
  <c r="G783" i="35" s="1"/>
  <c r="G393" i="35"/>
  <c r="G372" i="35" s="1"/>
  <c r="G326" i="35"/>
  <c r="G325" i="35" s="1"/>
  <c r="G324" i="35" s="1"/>
  <c r="M203" i="35"/>
  <c r="M18" i="35"/>
  <c r="H589" i="35"/>
  <c r="H588" i="35" s="1"/>
  <c r="H587" i="35" s="1"/>
  <c r="L181" i="35"/>
  <c r="M517" i="35"/>
  <c r="G798" i="35"/>
  <c r="M69" i="35"/>
  <c r="J68" i="35"/>
  <c r="M68" i="35" s="1"/>
  <c r="M715" i="35"/>
  <c r="M488" i="35"/>
  <c r="L186" i="35"/>
  <c r="L80" i="35"/>
  <c r="L72" i="35"/>
  <c r="I60" i="35"/>
  <c r="L558" i="35"/>
  <c r="L640" i="35"/>
  <c r="K639" i="35"/>
  <c r="N639" i="35" s="1"/>
  <c r="L759" i="35"/>
  <c r="K758" i="35"/>
  <c r="K724" i="35"/>
  <c r="L725" i="35"/>
  <c r="J703" i="35"/>
  <c r="M704" i="35"/>
  <c r="K630" i="35"/>
  <c r="L631" i="35"/>
  <c r="L607" i="35"/>
  <c r="G590" i="35"/>
  <c r="M461" i="35"/>
  <c r="L711" i="35"/>
  <c r="K710" i="35"/>
  <c r="N710" i="35" s="1"/>
  <c r="L741" i="35"/>
  <c r="K740" i="35"/>
  <c r="N740" i="35" s="1"/>
  <c r="L691" i="35"/>
  <c r="M613" i="35"/>
  <c r="M639" i="35"/>
  <c r="J638" i="35"/>
  <c r="L501" i="35"/>
  <c r="K500" i="35"/>
  <c r="N500" i="35" s="1"/>
  <c r="L610" i="35"/>
  <c r="L591" i="35"/>
  <c r="K590" i="35"/>
  <c r="J561" i="35"/>
  <c r="J500" i="35"/>
  <c r="M501" i="35"/>
  <c r="K444" i="35"/>
  <c r="L454" i="35"/>
  <c r="K469" i="35"/>
  <c r="K460" i="35" s="1"/>
  <c r="L470" i="35"/>
  <c r="J444" i="35"/>
  <c r="M454" i="35"/>
  <c r="L353" i="35"/>
  <c r="K352" i="35"/>
  <c r="N352" i="35" s="1"/>
  <c r="M345" i="35"/>
  <c r="L434" i="35"/>
  <c r="K433" i="35"/>
  <c r="J333" i="35"/>
  <c r="G274" i="35"/>
  <c r="G273" i="35" s="1"/>
  <c r="M251" i="35"/>
  <c r="K403" i="35"/>
  <c r="N403" i="35" s="1"/>
  <c r="L275" i="35"/>
  <c r="K274" i="35"/>
  <c r="N274" i="35" s="1"/>
  <c r="J797" i="35"/>
  <c r="M433" i="35"/>
  <c r="J288" i="35"/>
  <c r="M289" i="35"/>
  <c r="J274" i="35"/>
  <c r="M275" i="35"/>
  <c r="M232" i="35"/>
  <c r="M180" i="35"/>
  <c r="J179" i="35"/>
  <c r="L130" i="35"/>
  <c r="G799" i="35"/>
  <c r="G201" i="35"/>
  <c r="M192" i="35"/>
  <c r="J191" i="35"/>
  <c r="M165" i="35"/>
  <c r="J164" i="35"/>
  <c r="J87" i="35"/>
  <c r="L87" i="35" s="1"/>
  <c r="M88" i="35"/>
  <c r="K54" i="35"/>
  <c r="N54" i="35" s="1"/>
  <c r="L55" i="35"/>
  <c r="M55" i="35"/>
  <c r="J54" i="35"/>
  <c r="M54" i="35" s="1"/>
  <c r="K242" i="35"/>
  <c r="M174" i="35"/>
  <c r="L77" i="35"/>
  <c r="K76" i="35"/>
  <c r="N76" i="35" s="1"/>
  <c r="G796" i="35"/>
  <c r="G213" i="35"/>
  <c r="J76" i="35"/>
  <c r="M76" i="35" s="1"/>
  <c r="M687" i="35"/>
  <c r="L519" i="35"/>
  <c r="M568" i="35"/>
  <c r="L568" i="35"/>
  <c r="J414" i="35"/>
  <c r="M415" i="35"/>
  <c r="L545" i="35"/>
  <c r="K544" i="35"/>
  <c r="M398" i="35"/>
  <c r="L398" i="35"/>
  <c r="L541" i="35"/>
  <c r="K540" i="35"/>
  <c r="M537" i="35"/>
  <c r="J536" i="35"/>
  <c r="L536" i="35" s="1"/>
  <c r="L461" i="35"/>
  <c r="M385" i="35"/>
  <c r="M327" i="35"/>
  <c r="L327" i="35"/>
  <c r="L197" i="35"/>
  <c r="K196" i="35"/>
  <c r="L419" i="35"/>
  <c r="K418" i="35"/>
  <c r="M269" i="35"/>
  <c r="J268" i="35"/>
  <c r="L269" i="35"/>
  <c r="M250" i="35"/>
  <c r="G186" i="35"/>
  <c r="M186" i="35" s="1"/>
  <c r="G185" i="35"/>
  <c r="N185" i="35" s="1"/>
  <c r="L488" i="35"/>
  <c r="G790" i="35"/>
  <c r="G334" i="35"/>
  <c r="G333" i="35" s="1"/>
  <c r="G780" i="35" s="1"/>
  <c r="M225" i="35"/>
  <c r="J224" i="35"/>
  <c r="M224" i="35" s="1"/>
  <c r="L193" i="35"/>
  <c r="K192" i="35"/>
  <c r="N192" i="35" s="1"/>
  <c r="M122" i="35"/>
  <c r="J119" i="35"/>
  <c r="M119" i="35" s="1"/>
  <c r="M231" i="35"/>
  <c r="J799" i="35"/>
  <c r="M202" i="35"/>
  <c r="J201" i="35"/>
  <c r="J37" i="35"/>
  <c r="L37" i="35" s="1"/>
  <c r="M38" i="35"/>
  <c r="L225" i="35"/>
  <c r="M173" i="35"/>
  <c r="K49" i="35"/>
  <c r="N49" i="35" s="1"/>
  <c r="L50" i="35"/>
  <c r="J99" i="35"/>
  <c r="M100" i="35"/>
  <c r="G802" i="35"/>
  <c r="J664" i="35"/>
  <c r="M665" i="35"/>
  <c r="L516" i="35"/>
  <c r="K515" i="35"/>
  <c r="M403" i="35"/>
  <c r="J402" i="35"/>
  <c r="J383" i="35"/>
  <c r="M383" i="35" s="1"/>
  <c r="M384" i="35"/>
  <c r="J307" i="35"/>
  <c r="M308" i="35"/>
  <c r="J352" i="35"/>
  <c r="M353" i="35"/>
  <c r="L314" i="35"/>
  <c r="K313" i="35"/>
  <c r="G288" i="35"/>
  <c r="G287" i="35" s="1"/>
  <c r="G805" i="35" s="1"/>
  <c r="K423" i="35"/>
  <c r="N423" i="35" s="1"/>
  <c r="L424" i="35"/>
  <c r="L289" i="35"/>
  <c r="K288" i="35"/>
  <c r="N288" i="35" s="1"/>
  <c r="J326" i="35"/>
  <c r="M221" i="35"/>
  <c r="J220" i="35"/>
  <c r="L220" i="35" s="1"/>
  <c r="M187" i="35"/>
  <c r="L166" i="35"/>
  <c r="K165" i="35"/>
  <c r="N165" i="35" s="1"/>
  <c r="L157" i="35"/>
  <c r="K133" i="35"/>
  <c r="L100" i="35"/>
  <c r="K99" i="35"/>
  <c r="N99" i="35" s="1"/>
  <c r="K36" i="35"/>
  <c r="N36" i="35" s="1"/>
  <c r="J11" i="35"/>
  <c r="M12" i="35"/>
  <c r="M230" i="35"/>
  <c r="J229" i="35"/>
  <c r="M46" i="35"/>
  <c r="J45" i="35"/>
  <c r="L32" i="35"/>
  <c r="K31" i="35"/>
  <c r="N31" i="35" s="1"/>
  <c r="L115" i="35"/>
  <c r="K114" i="35"/>
  <c r="M62" i="35"/>
  <c r="J61" i="35"/>
  <c r="G9" i="35"/>
  <c r="G8" i="35" s="1"/>
  <c r="K86" i="35"/>
  <c r="N86" i="35" s="1"/>
  <c r="L65" i="35"/>
  <c r="M50" i="35"/>
  <c r="J49" i="35"/>
  <c r="M49" i="35" s="1"/>
  <c r="L12" i="35"/>
  <c r="K11" i="35"/>
  <c r="N11" i="35" s="1"/>
  <c r="M619" i="35"/>
  <c r="J606" i="35"/>
  <c r="J683" i="35"/>
  <c r="M595" i="35"/>
  <c r="J594" i="35"/>
  <c r="L594" i="35" s="1"/>
  <c r="L666" i="35"/>
  <c r="K665" i="35"/>
  <c r="N665" i="35" s="1"/>
  <c r="M556" i="35"/>
  <c r="J555" i="35"/>
  <c r="J423" i="35"/>
  <c r="M424" i="35"/>
  <c r="J393" i="35"/>
  <c r="M394" i="35"/>
  <c r="J429" i="35"/>
  <c r="M430" i="35"/>
  <c r="L753" i="35"/>
  <c r="K752" i="35"/>
  <c r="J739" i="35"/>
  <c r="M740" i="35"/>
  <c r="J710" i="35"/>
  <c r="M711" i="35"/>
  <c r="L613" i="35"/>
  <c r="L754" i="35"/>
  <c r="L705" i="35"/>
  <c r="K704" i="35"/>
  <c r="N704" i="35" s="1"/>
  <c r="L626" i="35"/>
  <c r="K625" i="35"/>
  <c r="J718" i="35"/>
  <c r="L643" i="35"/>
  <c r="M694" i="35"/>
  <c r="M614" i="35"/>
  <c r="K606" i="35"/>
  <c r="M611" i="35"/>
  <c r="K561" i="35"/>
  <c r="I791" i="35"/>
  <c r="K373" i="35"/>
  <c r="N373" i="35" s="1"/>
  <c r="G519" i="35"/>
  <c r="M519" i="35" s="1"/>
  <c r="M520" i="35"/>
  <c r="L472" i="35"/>
  <c r="K429" i="35"/>
  <c r="N429" i="35" s="1"/>
  <c r="L430" i="35"/>
  <c r="L384" i="35"/>
  <c r="K383" i="35"/>
  <c r="N383" i="35" s="1"/>
  <c r="K535" i="35"/>
  <c r="N535" i="35" s="1"/>
  <c r="M509" i="35"/>
  <c r="M502" i="35"/>
  <c r="L565" i="35"/>
  <c r="J515" i="35"/>
  <c r="M516" i="35"/>
  <c r="M455" i="35"/>
  <c r="K393" i="35"/>
  <c r="N393" i="35" s="1"/>
  <c r="L394" i="35"/>
  <c r="L336" i="35"/>
  <c r="K335" i="35"/>
  <c r="N335" i="35" s="1"/>
  <c r="L301" i="35"/>
  <c r="L174" i="35"/>
  <c r="K173" i="35"/>
  <c r="N173" i="35" s="1"/>
  <c r="M373" i="35"/>
  <c r="L345" i="35"/>
  <c r="K344" i="35"/>
  <c r="K325" i="35"/>
  <c r="N325" i="35" s="1"/>
  <c r="K219" i="35"/>
  <c r="N219" i="35" s="1"/>
  <c r="G321" i="35"/>
  <c r="N321" i="35" s="1"/>
  <c r="M322" i="35"/>
  <c r="L308" i="35"/>
  <c r="K307" i="35"/>
  <c r="N307" i="35" s="1"/>
  <c r="M290" i="35"/>
  <c r="M276" i="35"/>
  <c r="K232" i="35"/>
  <c r="N232" i="35" s="1"/>
  <c r="L233" i="35"/>
  <c r="M198" i="35"/>
  <c r="L185" i="35"/>
  <c r="K184" i="35"/>
  <c r="M157" i="35"/>
  <c r="M135" i="35"/>
  <c r="J134" i="35"/>
  <c r="M134" i="35" s="1"/>
  <c r="J796" i="35"/>
  <c r="M214" i="35"/>
  <c r="J803" i="35"/>
  <c r="M196" i="35"/>
  <c r="K45" i="35"/>
  <c r="N45" i="35" s="1"/>
  <c r="L46" i="35"/>
  <c r="I8" i="35"/>
  <c r="L215" i="35"/>
  <c r="K214" i="35"/>
  <c r="N214" i="35" s="1"/>
  <c r="G190" i="35"/>
  <c r="M24" i="35"/>
  <c r="I794" i="35"/>
  <c r="J90" i="35"/>
  <c r="M90" i="35" s="1"/>
  <c r="M91" i="35"/>
  <c r="L38" i="35"/>
  <c r="M95" i="35"/>
  <c r="L95" i="35"/>
  <c r="L88" i="35"/>
  <c r="M619" i="34"/>
  <c r="M484" i="34"/>
  <c r="L519" i="34"/>
  <c r="I133" i="34"/>
  <c r="I110" i="34" s="1"/>
  <c r="L336" i="34"/>
  <c r="H183" i="34"/>
  <c r="G798" i="34"/>
  <c r="H550" i="34"/>
  <c r="H549" i="34" s="1"/>
  <c r="H762" i="34" s="1"/>
  <c r="G589" i="34"/>
  <c r="G588" i="34" s="1"/>
  <c r="G587" i="34" s="1"/>
  <c r="M568" i="34"/>
  <c r="G313" i="34"/>
  <c r="M314" i="34"/>
  <c r="M393" i="34"/>
  <c r="L337" i="34"/>
  <c r="I789" i="34"/>
  <c r="M186" i="34"/>
  <c r="M142" i="34"/>
  <c r="I60" i="34"/>
  <c r="I793" i="34" s="1"/>
  <c r="M423" i="34"/>
  <c r="L677" i="34"/>
  <c r="L603" i="34"/>
  <c r="J229" i="34"/>
  <c r="L157" i="34"/>
  <c r="G60" i="34"/>
  <c r="G793" i="34" s="1"/>
  <c r="G352" i="34"/>
  <c r="G351" i="34" s="1"/>
  <c r="G350" i="34" s="1"/>
  <c r="G349" i="34" s="1"/>
  <c r="M318" i="34"/>
  <c r="I272" i="34"/>
  <c r="L72" i="34"/>
  <c r="K69" i="34"/>
  <c r="I458" i="34"/>
  <c r="I457" i="34" s="1"/>
  <c r="I784" i="34" s="1"/>
  <c r="G805" i="34"/>
  <c r="G59" i="34"/>
  <c r="I788" i="34"/>
  <c r="I551" i="34"/>
  <c r="I550" i="34" s="1"/>
  <c r="I549" i="34" s="1"/>
  <c r="G551" i="34"/>
  <c r="G550" i="34" s="1"/>
  <c r="M705" i="34"/>
  <c r="J704" i="34"/>
  <c r="L704" i="34" s="1"/>
  <c r="K739" i="34"/>
  <c r="M713" i="34"/>
  <c r="G712" i="34"/>
  <c r="J625" i="34"/>
  <c r="M625" i="34" s="1"/>
  <c r="M626" i="34"/>
  <c r="K545" i="34"/>
  <c r="L546" i="34"/>
  <c r="M508" i="34"/>
  <c r="J507" i="34"/>
  <c r="J804" i="34"/>
  <c r="M500" i="34"/>
  <c r="G459" i="34"/>
  <c r="K429" i="34"/>
  <c r="L430" i="34"/>
  <c r="M403" i="34"/>
  <c r="M326" i="34"/>
  <c r="J325" i="34"/>
  <c r="K273" i="34"/>
  <c r="L472" i="34"/>
  <c r="G427" i="34"/>
  <c r="L394" i="34"/>
  <c r="K393" i="34"/>
  <c r="L393" i="34" s="1"/>
  <c r="L345" i="34"/>
  <c r="K344" i="34"/>
  <c r="K334" i="34" s="1"/>
  <c r="J443" i="34"/>
  <c r="M422" i="34"/>
  <c r="M353" i="34"/>
  <c r="J352" i="34"/>
  <c r="L353" i="34"/>
  <c r="M394" i="34"/>
  <c r="G243" i="34"/>
  <c r="G242" i="34" s="1"/>
  <c r="G241" i="34" s="1"/>
  <c r="M246" i="34"/>
  <c r="M292" i="34"/>
  <c r="L174" i="34"/>
  <c r="K173" i="34"/>
  <c r="I790" i="34"/>
  <c r="I334" i="34"/>
  <c r="I333" i="34" s="1"/>
  <c r="I780" i="34" s="1"/>
  <c r="M225" i="34"/>
  <c r="J224" i="34"/>
  <c r="M224" i="34" s="1"/>
  <c r="M203" i="34"/>
  <c r="J202" i="34"/>
  <c r="G184" i="34"/>
  <c r="M184" i="34" s="1"/>
  <c r="M185" i="34"/>
  <c r="L95" i="34"/>
  <c r="G45" i="34"/>
  <c r="M45" i="34" s="1"/>
  <c r="M46" i="34"/>
  <c r="G44" i="34"/>
  <c r="G43" i="34" s="1"/>
  <c r="L77" i="34"/>
  <c r="K76" i="34"/>
  <c r="K49" i="34"/>
  <c r="L50" i="34"/>
  <c r="J54" i="34"/>
  <c r="K85" i="34"/>
  <c r="J91" i="34"/>
  <c r="M20" i="34"/>
  <c r="J19" i="34"/>
  <c r="M173" i="34"/>
  <c r="G172" i="34"/>
  <c r="G777" i="34" s="1"/>
  <c r="L225" i="34"/>
  <c r="I183" i="34"/>
  <c r="I778" i="34" s="1"/>
  <c r="K133" i="34"/>
  <c r="J639" i="34"/>
  <c r="M640" i="34"/>
  <c r="L640" i="34"/>
  <c r="K639" i="34"/>
  <c r="M488" i="34"/>
  <c r="L488" i="34"/>
  <c r="L691" i="34"/>
  <c r="J561" i="34"/>
  <c r="M561" i="34" s="1"/>
  <c r="L537" i="34"/>
  <c r="K536" i="34"/>
  <c r="K423" i="34"/>
  <c r="L424" i="34"/>
  <c r="M387" i="34"/>
  <c r="L387" i="34"/>
  <c r="J373" i="34"/>
  <c r="L314" i="34"/>
  <c r="K313" i="34"/>
  <c r="L313" i="34" s="1"/>
  <c r="M569" i="34"/>
  <c r="G515" i="34"/>
  <c r="G514" i="34" s="1"/>
  <c r="G513" i="34" s="1"/>
  <c r="G512" i="34" s="1"/>
  <c r="K444" i="34"/>
  <c r="L454" i="34"/>
  <c r="M436" i="34"/>
  <c r="G383" i="34"/>
  <c r="M383" i="34" s="1"/>
  <c r="M384" i="34"/>
  <c r="J335" i="34"/>
  <c r="M308" i="34"/>
  <c r="L308" i="34"/>
  <c r="J307" i="34"/>
  <c r="M281" i="34"/>
  <c r="L281" i="34"/>
  <c r="J274" i="34"/>
  <c r="L274" i="34" s="1"/>
  <c r="K414" i="34"/>
  <c r="J287" i="34"/>
  <c r="M288" i="34"/>
  <c r="K352" i="34"/>
  <c r="M268" i="34"/>
  <c r="L268" i="34"/>
  <c r="J114" i="34"/>
  <c r="M115" i="34"/>
  <c r="L115" i="34"/>
  <c r="K92" i="34"/>
  <c r="L93" i="34"/>
  <c r="K20" i="34"/>
  <c r="L21" i="34"/>
  <c r="K45" i="34"/>
  <c r="L46" i="34"/>
  <c r="G812" i="34"/>
  <c r="G10" i="34"/>
  <c r="M10" i="34" s="1"/>
  <c r="J9" i="34"/>
  <c r="M69" i="34"/>
  <c r="L26" i="34"/>
  <c r="K25" i="34"/>
  <c r="L214" i="34"/>
  <c r="M32" i="34"/>
  <c r="I9" i="34"/>
  <c r="I8" i="34" s="1"/>
  <c r="G796" i="34"/>
  <c r="G213" i="34"/>
  <c r="J740" i="34"/>
  <c r="M741" i="34"/>
  <c r="K665" i="34"/>
  <c r="L666" i="34"/>
  <c r="K703" i="34"/>
  <c r="L631" i="34"/>
  <c r="K630" i="34"/>
  <c r="J590" i="34"/>
  <c r="M591" i="34"/>
  <c r="M515" i="34"/>
  <c r="J514" i="34"/>
  <c r="L514" i="34" s="1"/>
  <c r="M556" i="34"/>
  <c r="J555" i="34"/>
  <c r="M526" i="34"/>
  <c r="L526" i="34"/>
  <c r="L515" i="34"/>
  <c r="M455" i="34"/>
  <c r="G454" i="34"/>
  <c r="L556" i="34"/>
  <c r="L461" i="34"/>
  <c r="K460" i="34"/>
  <c r="L484" i="34"/>
  <c r="J460" i="34"/>
  <c r="M461" i="34"/>
  <c r="M435" i="34"/>
  <c r="J434" i="34"/>
  <c r="L434" i="34" s="1"/>
  <c r="M416" i="34"/>
  <c r="J415" i="34"/>
  <c r="K372" i="34"/>
  <c r="L373" i="34"/>
  <c r="L335" i="34"/>
  <c r="K403" i="34"/>
  <c r="K241" i="34"/>
  <c r="K196" i="34"/>
  <c r="L197" i="34"/>
  <c r="J242" i="34"/>
  <c r="L242" i="34" s="1"/>
  <c r="M165" i="34"/>
  <c r="J164" i="34"/>
  <c r="K305" i="34"/>
  <c r="M221" i="34"/>
  <c r="J220" i="34"/>
  <c r="G799" i="34"/>
  <c r="G201" i="34"/>
  <c r="M92" i="34"/>
  <c r="K61" i="34"/>
  <c r="L62" i="34"/>
  <c r="K38" i="34"/>
  <c r="L39" i="34"/>
  <c r="M62" i="34"/>
  <c r="J61" i="34"/>
  <c r="J99" i="34"/>
  <c r="M100" i="34"/>
  <c r="M50" i="34"/>
  <c r="J49" i="34"/>
  <c r="M49" i="34" s="1"/>
  <c r="J172" i="34"/>
  <c r="M178" i="34"/>
  <c r="L80" i="34"/>
  <c r="K11" i="34"/>
  <c r="L12" i="34"/>
  <c r="M68" i="34"/>
  <c r="K164" i="34"/>
  <c r="L165" i="34"/>
  <c r="M31" i="34"/>
  <c r="K230" i="34"/>
  <c r="L231" i="34"/>
  <c r="L758" i="34"/>
  <c r="K757" i="34"/>
  <c r="L757" i="34" s="1"/>
  <c r="L741" i="34"/>
  <c r="J709" i="34"/>
  <c r="K606" i="34"/>
  <c r="L606" i="34" s="1"/>
  <c r="L619" i="34"/>
  <c r="L754" i="34"/>
  <c r="K753" i="34"/>
  <c r="L720" i="34"/>
  <c r="K719" i="34"/>
  <c r="M721" i="34"/>
  <c r="G720" i="34"/>
  <c r="J683" i="34"/>
  <c r="L683" i="34" s="1"/>
  <c r="M684" i="34"/>
  <c r="J718" i="34"/>
  <c r="L711" i="34"/>
  <c r="K710" i="34"/>
  <c r="L705" i="34"/>
  <c r="J665" i="34"/>
  <c r="M666" i="34"/>
  <c r="L509" i="34"/>
  <c r="K508" i="34"/>
  <c r="K682" i="34"/>
  <c r="L591" i="34"/>
  <c r="K590" i="34"/>
  <c r="L569" i="34"/>
  <c r="K568" i="34"/>
  <c r="M510" i="34"/>
  <c r="L288" i="34"/>
  <c r="K287" i="34"/>
  <c r="L287" i="34" s="1"/>
  <c r="K554" i="34"/>
  <c r="L555" i="34"/>
  <c r="M509" i="34"/>
  <c r="L340" i="34"/>
  <c r="L580" i="34"/>
  <c r="M462" i="34"/>
  <c r="K433" i="34"/>
  <c r="L326" i="34"/>
  <c r="K325" i="34"/>
  <c r="J792" i="34"/>
  <c r="M428" i="34"/>
  <c r="M345" i="34"/>
  <c r="J344" i="34"/>
  <c r="I781" i="34"/>
  <c r="L243" i="34"/>
  <c r="J190" i="34"/>
  <c r="M190" i="34" s="1"/>
  <c r="M191" i="34"/>
  <c r="M122" i="34"/>
  <c r="J119" i="34"/>
  <c r="G781" i="34"/>
  <c r="L193" i="34"/>
  <c r="K192" i="34"/>
  <c r="M229" i="34"/>
  <c r="L220" i="34"/>
  <c r="K219" i="34"/>
  <c r="K213" i="34" s="1"/>
  <c r="J196" i="34"/>
  <c r="M197" i="34"/>
  <c r="M157" i="34"/>
  <c r="J133" i="34"/>
  <c r="K100" i="34"/>
  <c r="L101" i="34"/>
  <c r="M88" i="34"/>
  <c r="J87" i="34"/>
  <c r="G56" i="34"/>
  <c r="M57" i="34"/>
  <c r="M33" i="34"/>
  <c r="K54" i="34"/>
  <c r="L55" i="34"/>
  <c r="J37" i="34"/>
  <c r="M38" i="34"/>
  <c r="M25" i="34"/>
  <c r="J24" i="34"/>
  <c r="L122" i="34"/>
  <c r="J76" i="34"/>
  <c r="M76" i="34" s="1"/>
  <c r="I794" i="34"/>
  <c r="I240" i="34"/>
  <c r="I228" i="34" s="1"/>
  <c r="I779" i="34" s="1"/>
  <c r="J43" i="34"/>
  <c r="L31" i="34"/>
  <c r="K297" i="33"/>
  <c r="I808" i="34" l="1"/>
  <c r="I59" i="34"/>
  <c r="I30" i="34" s="1"/>
  <c r="G372" i="34"/>
  <c r="I183" i="35"/>
  <c r="I778" i="35" s="1"/>
  <c r="M659" i="36"/>
  <c r="N659" i="36"/>
  <c r="G806" i="36"/>
  <c r="J7" i="36"/>
  <c r="M7" i="36" s="1"/>
  <c r="N442" i="36"/>
  <c r="K513" i="36"/>
  <c r="K512" i="36" s="1"/>
  <c r="N534" i="36"/>
  <c r="N698" i="36"/>
  <c r="G421" i="36"/>
  <c r="M714" i="36"/>
  <c r="G781" i="36"/>
  <c r="L333" i="36"/>
  <c r="N333" i="36"/>
  <c r="N457" i="36"/>
  <c r="L457" i="36"/>
  <c r="M698" i="36"/>
  <c r="L698" i="36"/>
  <c r="G549" i="36"/>
  <c r="G778" i="36"/>
  <c r="M349" i="36"/>
  <c r="L59" i="36"/>
  <c r="N59" i="36"/>
  <c r="K30" i="36"/>
  <c r="N349" i="36"/>
  <c r="L349" i="36"/>
  <c r="M588" i="36"/>
  <c r="J587" i="36"/>
  <c r="L587" i="36" s="1"/>
  <c r="J785" i="36"/>
  <c r="J806" i="36" s="1"/>
  <c r="N18" i="36"/>
  <c r="L18" i="36"/>
  <c r="G772" i="36"/>
  <c r="J775" i="36"/>
  <c r="M183" i="36"/>
  <c r="M59" i="36"/>
  <c r="J30" i="36"/>
  <c r="J776" i="36"/>
  <c r="M228" i="36"/>
  <c r="J370" i="36"/>
  <c r="L370" i="36" s="1"/>
  <c r="N587" i="36"/>
  <c r="L505" i="36"/>
  <c r="N678" i="36"/>
  <c r="L678" i="36"/>
  <c r="K551" i="36"/>
  <c r="N552" i="36"/>
  <c r="L552" i="36"/>
  <c r="L183" i="36"/>
  <c r="N183" i="36"/>
  <c r="L634" i="36"/>
  <c r="K633" i="36"/>
  <c r="N634" i="36"/>
  <c r="K7" i="36"/>
  <c r="N8" i="36"/>
  <c r="L8" i="36"/>
  <c r="G505" i="36"/>
  <c r="M506" i="36"/>
  <c r="N370" i="36"/>
  <c r="N506" i="36"/>
  <c r="N304" i="36"/>
  <c r="L304" i="36"/>
  <c r="K272" i="36"/>
  <c r="J780" i="36"/>
  <c r="J777" i="36"/>
  <c r="M333" i="36"/>
  <c r="N734" i="36"/>
  <c r="L734" i="36"/>
  <c r="L172" i="36"/>
  <c r="N172" i="36"/>
  <c r="L401" i="36"/>
  <c r="K202" i="35"/>
  <c r="N202" i="35" s="1"/>
  <c r="M508" i="35"/>
  <c r="G683" i="35"/>
  <c r="G682" i="35" s="1"/>
  <c r="G681" i="35" s="1"/>
  <c r="N133" i="35"/>
  <c r="N561" i="35"/>
  <c r="M684" i="35"/>
  <c r="N590" i="35"/>
  <c r="I59" i="35"/>
  <c r="I30" i="35" s="1"/>
  <c r="I29" i="35" s="1"/>
  <c r="N606" i="35"/>
  <c r="L326" i="35"/>
  <c r="L114" i="35"/>
  <c r="N114" i="35"/>
  <c r="L313" i="35"/>
  <c r="L344" i="35"/>
  <c r="N344" i="35"/>
  <c r="N242" i="35"/>
  <c r="N444" i="35"/>
  <c r="L484" i="35"/>
  <c r="N484" i="35"/>
  <c r="L508" i="35"/>
  <c r="G529" i="35"/>
  <c r="N326" i="35"/>
  <c r="K91" i="35"/>
  <c r="N92" i="35"/>
  <c r="K179" i="35"/>
  <c r="L179" i="35" s="1"/>
  <c r="N180" i="35"/>
  <c r="L184" i="35"/>
  <c r="L196" i="35"/>
  <c r="N196" i="35"/>
  <c r="L19" i="35"/>
  <c r="N19" i="35"/>
  <c r="K682" i="35"/>
  <c r="G235" i="35"/>
  <c r="N669" i="35"/>
  <c r="G664" i="35"/>
  <c r="G663" i="35" s="1"/>
  <c r="G662" i="35" s="1"/>
  <c r="M669" i="35"/>
  <c r="G351" i="35"/>
  <c r="G350" i="35" s="1"/>
  <c r="G349" i="35" s="1"/>
  <c r="K68" i="35"/>
  <c r="N68" i="35" s="1"/>
  <c r="N69" i="35"/>
  <c r="L625" i="35"/>
  <c r="N625" i="35"/>
  <c r="L540" i="35"/>
  <c r="N540" i="35"/>
  <c r="L544" i="35"/>
  <c r="L433" i="35"/>
  <c r="N433" i="35"/>
  <c r="L469" i="35"/>
  <c r="L366" i="35"/>
  <c r="N519" i="35"/>
  <c r="N186" i="35"/>
  <c r="K507" i="35"/>
  <c r="N508" i="35"/>
  <c r="K18" i="35"/>
  <c r="L683" i="35"/>
  <c r="M484" i="35"/>
  <c r="M561" i="35"/>
  <c r="L606" i="35"/>
  <c r="I788" i="35"/>
  <c r="G59" i="35"/>
  <c r="G30" i="35" s="1"/>
  <c r="G793" i="35"/>
  <c r="M242" i="35"/>
  <c r="L68" i="35"/>
  <c r="M606" i="35"/>
  <c r="I781" i="35"/>
  <c r="J133" i="35"/>
  <c r="M133" i="35" s="1"/>
  <c r="M393" i="35"/>
  <c r="G589" i="35"/>
  <c r="G588" i="35" s="1"/>
  <c r="G587" i="35" s="1"/>
  <c r="G719" i="35"/>
  <c r="M720" i="35"/>
  <c r="L76" i="35"/>
  <c r="H550" i="35"/>
  <c r="H549" i="35" s="1"/>
  <c r="H762" i="35" s="1"/>
  <c r="G371" i="35"/>
  <c r="G370" i="35" s="1"/>
  <c r="G782" i="35" s="1"/>
  <c r="G789" i="35"/>
  <c r="L134" i="35"/>
  <c r="I793" i="35"/>
  <c r="L119" i="35"/>
  <c r="L561" i="35"/>
  <c r="M334" i="35"/>
  <c r="I775" i="35"/>
  <c r="I7" i="35"/>
  <c r="J798" i="35"/>
  <c r="M321" i="35"/>
  <c r="G314" i="35"/>
  <c r="N314" i="35" s="1"/>
  <c r="L173" i="35"/>
  <c r="L704" i="35"/>
  <c r="K703" i="35"/>
  <c r="N703" i="35" s="1"/>
  <c r="L752" i="35"/>
  <c r="L665" i="35"/>
  <c r="K664" i="35"/>
  <c r="J682" i="35"/>
  <c r="L682" i="35" s="1"/>
  <c r="K85" i="35"/>
  <c r="N85" i="35" s="1"/>
  <c r="L31" i="35"/>
  <c r="J765" i="35"/>
  <c r="M11" i="35"/>
  <c r="J10" i="35"/>
  <c r="J219" i="35"/>
  <c r="L219" i="35" s="1"/>
  <c r="M220" i="35"/>
  <c r="L224" i="35"/>
  <c r="L515" i="35"/>
  <c r="K514" i="35"/>
  <c r="L49" i="35"/>
  <c r="M37" i="35"/>
  <c r="J36" i="35"/>
  <c r="L36" i="35" s="1"/>
  <c r="J86" i="35"/>
  <c r="M87" i="35"/>
  <c r="J178" i="35"/>
  <c r="M179" i="35"/>
  <c r="M274" i="35"/>
  <c r="J273" i="35"/>
  <c r="J780" i="35"/>
  <c r="M333" i="35"/>
  <c r="J443" i="35"/>
  <c r="M444" i="35"/>
  <c r="L500" i="35"/>
  <c r="J637" i="35"/>
  <c r="M638" i="35"/>
  <c r="L740" i="35"/>
  <c r="K739" i="35"/>
  <c r="N739" i="35" s="1"/>
  <c r="L758" i="35"/>
  <c r="K757" i="35"/>
  <c r="L307" i="35"/>
  <c r="K306" i="35"/>
  <c r="N306" i="35" s="1"/>
  <c r="J514" i="35"/>
  <c r="M229" i="35"/>
  <c r="L165" i="35"/>
  <c r="K164" i="35"/>
  <c r="N164" i="35" s="1"/>
  <c r="M201" i="35"/>
  <c r="L418" i="35"/>
  <c r="K414" i="35"/>
  <c r="N414" i="35" s="1"/>
  <c r="J413" i="35"/>
  <c r="M413" i="35" s="1"/>
  <c r="M414" i="35"/>
  <c r="J163" i="35"/>
  <c r="M164" i="35"/>
  <c r="K402" i="35"/>
  <c r="N402" i="35" s="1"/>
  <c r="L403" i="35"/>
  <c r="L352" i="35"/>
  <c r="K351" i="35"/>
  <c r="L444" i="35"/>
  <c r="K443" i="35"/>
  <c r="N443" i="35" s="1"/>
  <c r="M507" i="35"/>
  <c r="J506" i="35"/>
  <c r="M460" i="35"/>
  <c r="J459" i="35"/>
  <c r="M703" i="35"/>
  <c r="J702" i="35"/>
  <c r="M241" i="35"/>
  <c r="J240" i="35"/>
  <c r="M240" i="35" s="1"/>
  <c r="K534" i="35"/>
  <c r="N534" i="35" s="1"/>
  <c r="J717" i="35"/>
  <c r="M710" i="35"/>
  <c r="J709" i="35"/>
  <c r="K110" i="35"/>
  <c r="N110" i="35" s="1"/>
  <c r="M352" i="35"/>
  <c r="J351" i="35"/>
  <c r="G812" i="35"/>
  <c r="L232" i="35"/>
  <c r="K231" i="35"/>
  <c r="N231" i="35" s="1"/>
  <c r="K324" i="35"/>
  <c r="N324" i="35" s="1"/>
  <c r="L393" i="35"/>
  <c r="K428" i="35"/>
  <c r="N428" i="35" s="1"/>
  <c r="L429" i="35"/>
  <c r="L373" i="35"/>
  <c r="K372" i="35"/>
  <c r="N372" i="35" s="1"/>
  <c r="G515" i="35"/>
  <c r="N515" i="35" s="1"/>
  <c r="M555" i="35"/>
  <c r="J554" i="35"/>
  <c r="L555" i="35"/>
  <c r="M594" i="35"/>
  <c r="J590" i="35"/>
  <c r="K681" i="35"/>
  <c r="L11" i="35"/>
  <c r="K10" i="35"/>
  <c r="N10" i="35" s="1"/>
  <c r="G7" i="35"/>
  <c r="J60" i="35"/>
  <c r="M61" i="35"/>
  <c r="L202" i="35"/>
  <c r="K201" i="35"/>
  <c r="N201" i="35" s="1"/>
  <c r="J44" i="35"/>
  <c r="M45" i="35"/>
  <c r="J325" i="35"/>
  <c r="M326" i="35"/>
  <c r="L423" i="35"/>
  <c r="K422" i="35"/>
  <c r="N422" i="35" s="1"/>
  <c r="M402" i="35"/>
  <c r="M99" i="35"/>
  <c r="J98" i="35"/>
  <c r="G184" i="35"/>
  <c r="M184" i="35" s="1"/>
  <c r="M185" i="35"/>
  <c r="J535" i="35"/>
  <c r="M536" i="35"/>
  <c r="K553" i="35"/>
  <c r="N553" i="35" s="1"/>
  <c r="L242" i="35"/>
  <c r="K241" i="35"/>
  <c r="N241" i="35" s="1"/>
  <c r="L54" i="35"/>
  <c r="M288" i="35"/>
  <c r="J287" i="35"/>
  <c r="L710" i="35"/>
  <c r="K709" i="35"/>
  <c r="N709" i="35" s="1"/>
  <c r="L639" i="35"/>
  <c r="K638" i="35"/>
  <c r="N638" i="35" s="1"/>
  <c r="L214" i="35"/>
  <c r="K213" i="35"/>
  <c r="N213" i="35" s="1"/>
  <c r="L45" i="35"/>
  <c r="K44" i="35"/>
  <c r="N44" i="35" s="1"/>
  <c r="J372" i="35"/>
  <c r="L335" i="35"/>
  <c r="K334" i="35"/>
  <c r="N334" i="35" s="1"/>
  <c r="L383" i="35"/>
  <c r="M739" i="35"/>
  <c r="J738" i="35"/>
  <c r="M429" i="35"/>
  <c r="J428" i="35"/>
  <c r="M423" i="35"/>
  <c r="J422" i="35"/>
  <c r="K98" i="35"/>
  <c r="N98" i="35" s="1"/>
  <c r="L99" i="35"/>
  <c r="L288" i="35"/>
  <c r="K287" i="35"/>
  <c r="N287" i="35" s="1"/>
  <c r="M307" i="35"/>
  <c r="J306" i="35"/>
  <c r="M664" i="35"/>
  <c r="J663" i="35"/>
  <c r="L192" i="35"/>
  <c r="K191" i="35"/>
  <c r="N191" i="35" s="1"/>
  <c r="M268" i="35"/>
  <c r="L268" i="35"/>
  <c r="J190" i="35"/>
  <c r="M190" i="35" s="1"/>
  <c r="M191" i="35"/>
  <c r="L274" i="35"/>
  <c r="K273" i="35"/>
  <c r="N273" i="35" s="1"/>
  <c r="J804" i="35"/>
  <c r="M500" i="35"/>
  <c r="L630" i="35"/>
  <c r="K629" i="35"/>
  <c r="L724" i="35"/>
  <c r="K720" i="35"/>
  <c r="N720" i="35" s="1"/>
  <c r="G794" i="35"/>
  <c r="L61" i="35"/>
  <c r="L54" i="34"/>
  <c r="L625" i="34"/>
  <c r="I29" i="34"/>
  <c r="L69" i="34"/>
  <c r="K68" i="34"/>
  <c r="L68" i="34" s="1"/>
  <c r="G183" i="34"/>
  <c r="G778" i="34" s="1"/>
  <c r="M313" i="34"/>
  <c r="G304" i="34"/>
  <c r="M133" i="34"/>
  <c r="J110" i="34"/>
  <c r="M110" i="34" s="1"/>
  <c r="J717" i="34"/>
  <c r="J777" i="34"/>
  <c r="M172" i="34"/>
  <c r="L38" i="34"/>
  <c r="K37" i="34"/>
  <c r="J241" i="34"/>
  <c r="L241" i="34" s="1"/>
  <c r="M242" i="34"/>
  <c r="M460" i="34"/>
  <c r="J459" i="34"/>
  <c r="J589" i="34"/>
  <c r="M590" i="34"/>
  <c r="J739" i="34"/>
  <c r="M740" i="34"/>
  <c r="L25" i="34"/>
  <c r="K24" i="34"/>
  <c r="L24" i="34" s="1"/>
  <c r="K413" i="34"/>
  <c r="K443" i="34"/>
  <c r="L444" i="34"/>
  <c r="J800" i="34"/>
  <c r="M344" i="34"/>
  <c r="M43" i="34"/>
  <c r="M37" i="34"/>
  <c r="J36" i="34"/>
  <c r="K324" i="34"/>
  <c r="L325" i="34"/>
  <c r="L710" i="34"/>
  <c r="K709" i="34"/>
  <c r="L719" i="34"/>
  <c r="K718" i="34"/>
  <c r="L230" i="34"/>
  <c r="K229" i="34"/>
  <c r="L164" i="34"/>
  <c r="K163" i="34"/>
  <c r="L61" i="34"/>
  <c r="J219" i="34"/>
  <c r="M220" i="34"/>
  <c r="M164" i="34"/>
  <c r="J163" i="34"/>
  <c r="K402" i="34"/>
  <c r="L403" i="34"/>
  <c r="K371" i="34"/>
  <c r="G371" i="34"/>
  <c r="G370" i="34" s="1"/>
  <c r="G782" i="34" s="1"/>
  <c r="G789" i="34"/>
  <c r="M454" i="34"/>
  <c r="G444" i="34"/>
  <c r="K664" i="34"/>
  <c r="L665" i="34"/>
  <c r="G9" i="34"/>
  <c r="G8" i="34" s="1"/>
  <c r="K91" i="34"/>
  <c r="L92" i="34"/>
  <c r="L224" i="34"/>
  <c r="J638" i="34"/>
  <c r="M639" i="34"/>
  <c r="J90" i="34"/>
  <c r="M90" i="34" s="1"/>
  <c r="M91" i="34"/>
  <c r="L76" i="34"/>
  <c r="J799" i="34"/>
  <c r="M202" i="34"/>
  <c r="J201" i="34"/>
  <c r="L202" i="34"/>
  <c r="L429" i="34"/>
  <c r="K428" i="34"/>
  <c r="J506" i="34"/>
  <c r="M507" i="34"/>
  <c r="L739" i="34"/>
  <c r="M87" i="34"/>
  <c r="J86" i="34"/>
  <c r="L87" i="34"/>
  <c r="K191" i="34"/>
  <c r="L192" i="34"/>
  <c r="M665" i="34"/>
  <c r="J664" i="34"/>
  <c r="L753" i="34"/>
  <c r="K752" i="34"/>
  <c r="K304" i="34"/>
  <c r="J306" i="34"/>
  <c r="M307" i="34"/>
  <c r="L307" i="34"/>
  <c r="J765" i="34"/>
  <c r="J767" i="34" s="1"/>
  <c r="M44" i="34"/>
  <c r="J798" i="34"/>
  <c r="M24" i="34"/>
  <c r="G55" i="34"/>
  <c r="M56" i="34"/>
  <c r="L100" i="34"/>
  <c r="K99" i="34"/>
  <c r="J803" i="34"/>
  <c r="M196" i="34"/>
  <c r="M119" i="34"/>
  <c r="L119" i="34"/>
  <c r="L568" i="34"/>
  <c r="K561" i="34"/>
  <c r="L561" i="34" s="1"/>
  <c r="K681" i="34"/>
  <c r="J682" i="34"/>
  <c r="L682" i="34" s="1"/>
  <c r="M683" i="34"/>
  <c r="L196" i="34"/>
  <c r="K333" i="34"/>
  <c r="J414" i="34"/>
  <c r="M415" i="34"/>
  <c r="L415" i="34"/>
  <c r="L460" i="34"/>
  <c r="K459" i="34"/>
  <c r="M555" i="34"/>
  <c r="J554" i="34"/>
  <c r="K702" i="34"/>
  <c r="I775" i="34"/>
  <c r="I786" i="34" s="1"/>
  <c r="I7" i="34"/>
  <c r="I762" i="34" s="1"/>
  <c r="J805" i="34"/>
  <c r="M287" i="34"/>
  <c r="J790" i="34"/>
  <c r="M335" i="34"/>
  <c r="J334" i="34"/>
  <c r="L334" i="34" s="1"/>
  <c r="L639" i="34"/>
  <c r="K638" i="34"/>
  <c r="K110" i="34"/>
  <c r="L133" i="34"/>
  <c r="J351" i="34"/>
  <c r="M352" i="34"/>
  <c r="J442" i="34"/>
  <c r="K272" i="34"/>
  <c r="G458" i="34"/>
  <c r="G457" i="34" s="1"/>
  <c r="L740" i="34"/>
  <c r="L219" i="34"/>
  <c r="G719" i="34"/>
  <c r="M720" i="34"/>
  <c r="M99" i="34"/>
  <c r="J98" i="34"/>
  <c r="L20" i="34"/>
  <c r="K19" i="34"/>
  <c r="L536" i="34"/>
  <c r="K535" i="34"/>
  <c r="M19" i="34"/>
  <c r="J18" i="34"/>
  <c r="M18" i="34" s="1"/>
  <c r="L173" i="34"/>
  <c r="K172" i="34"/>
  <c r="L172" i="34" s="1"/>
  <c r="G794" i="34"/>
  <c r="G240" i="34"/>
  <c r="M402" i="34"/>
  <c r="G711" i="34"/>
  <c r="M712" i="34"/>
  <c r="J703" i="34"/>
  <c r="M704" i="34"/>
  <c r="L590" i="34"/>
  <c r="L508" i="34"/>
  <c r="K507" i="34"/>
  <c r="J708" i="34"/>
  <c r="L11" i="34"/>
  <c r="K10" i="34"/>
  <c r="J60" i="34"/>
  <c r="J793" i="34" s="1"/>
  <c r="M61" i="34"/>
  <c r="M243" i="34"/>
  <c r="K240" i="34"/>
  <c r="J433" i="34"/>
  <c r="M434" i="34"/>
  <c r="J513" i="34"/>
  <c r="M514" i="34"/>
  <c r="L630" i="34"/>
  <c r="K629" i="34"/>
  <c r="K589" i="34" s="1"/>
  <c r="K44" i="34"/>
  <c r="L45" i="34"/>
  <c r="M114" i="34"/>
  <c r="L114" i="34"/>
  <c r="L352" i="34"/>
  <c r="K351" i="34"/>
  <c r="J273" i="34"/>
  <c r="M274" i="34"/>
  <c r="J372" i="34"/>
  <c r="L372" i="34" s="1"/>
  <c r="M373" i="34"/>
  <c r="L423" i="34"/>
  <c r="K422" i="34"/>
  <c r="L49" i="34"/>
  <c r="L344" i="34"/>
  <c r="M325" i="34"/>
  <c r="J324" i="34"/>
  <c r="M324" i="34" s="1"/>
  <c r="L545" i="34"/>
  <c r="K544" i="34"/>
  <c r="L544" i="34" s="1"/>
  <c r="I809" i="34"/>
  <c r="K402" i="33"/>
  <c r="K573" i="33"/>
  <c r="K596" i="33"/>
  <c r="K320" i="33"/>
  <c r="K521" i="33"/>
  <c r="K116" i="33"/>
  <c r="K40" i="33"/>
  <c r="K13" i="33"/>
  <c r="N681" i="35" l="1"/>
  <c r="N683" i="35"/>
  <c r="N513" i="36"/>
  <c r="L513" i="36"/>
  <c r="G780" i="36"/>
  <c r="M421" i="36"/>
  <c r="N421" i="36"/>
  <c r="N272" i="36"/>
  <c r="L272" i="36"/>
  <c r="K228" i="36"/>
  <c r="K29" i="36" s="1"/>
  <c r="N512" i="36"/>
  <c r="L512" i="36"/>
  <c r="G782" i="36"/>
  <c r="M505" i="36"/>
  <c r="J29" i="36"/>
  <c r="M30" i="36"/>
  <c r="J772" i="36"/>
  <c r="L633" i="36"/>
  <c r="N633" i="36"/>
  <c r="J779" i="36"/>
  <c r="M370" i="36"/>
  <c r="N7" i="36"/>
  <c r="L7" i="36"/>
  <c r="K550" i="36"/>
  <c r="N551" i="36"/>
  <c r="L551" i="36"/>
  <c r="N505" i="36"/>
  <c r="G29" i="36"/>
  <c r="G759" i="36" s="1"/>
  <c r="M587" i="36"/>
  <c r="J550" i="36"/>
  <c r="N30" i="36"/>
  <c r="L30" i="36"/>
  <c r="J767" i="35"/>
  <c r="J763" i="35"/>
  <c r="M683" i="35"/>
  <c r="G550" i="35"/>
  <c r="N682" i="35"/>
  <c r="K60" i="35"/>
  <c r="N60" i="35" s="1"/>
  <c r="I786" i="35"/>
  <c r="N664" i="35"/>
  <c r="N351" i="35"/>
  <c r="N184" i="35"/>
  <c r="L757" i="35"/>
  <c r="N507" i="35"/>
  <c r="K506" i="35"/>
  <c r="L506" i="35" s="1"/>
  <c r="N91" i="35"/>
  <c r="L91" i="35"/>
  <c r="K90" i="35"/>
  <c r="K59" i="35" s="1"/>
  <c r="N59" i="35" s="1"/>
  <c r="L507" i="35"/>
  <c r="L460" i="35"/>
  <c r="N460" i="35"/>
  <c r="L629" i="35"/>
  <c r="L18" i="35"/>
  <c r="N18" i="35"/>
  <c r="N179" i="35"/>
  <c r="K178" i="35"/>
  <c r="L287" i="35"/>
  <c r="L133" i="35"/>
  <c r="J401" i="35"/>
  <c r="M401" i="35" s="1"/>
  <c r="I809" i="35"/>
  <c r="J794" i="35"/>
  <c r="J110" i="35"/>
  <c r="M110" i="35" s="1"/>
  <c r="K459" i="35"/>
  <c r="G781" i="35"/>
  <c r="G788" i="35"/>
  <c r="G718" i="35"/>
  <c r="M719" i="35"/>
  <c r="G791" i="35"/>
  <c r="K765" i="35"/>
  <c r="M738" i="35"/>
  <c r="J737" i="35"/>
  <c r="M737" i="35" s="1"/>
  <c r="J805" i="35"/>
  <c r="M287" i="35"/>
  <c r="G514" i="35"/>
  <c r="G513" i="35" s="1"/>
  <c r="G808" i="35"/>
  <c r="J371" i="35"/>
  <c r="M372" i="35"/>
  <c r="K552" i="35"/>
  <c r="N552" i="35" s="1"/>
  <c r="J324" i="35"/>
  <c r="M324" i="35" s="1"/>
  <c r="M325" i="35"/>
  <c r="L201" i="35"/>
  <c r="L372" i="35"/>
  <c r="K371" i="35"/>
  <c r="N371" i="35" s="1"/>
  <c r="M506" i="35"/>
  <c r="J505" i="35"/>
  <c r="L351" i="35"/>
  <c r="K350" i="35"/>
  <c r="N350" i="35" s="1"/>
  <c r="G183" i="35"/>
  <c r="G778" i="35" s="1"/>
  <c r="M515" i="35"/>
  <c r="M443" i="35"/>
  <c r="J442" i="35"/>
  <c r="M442" i="35" s="1"/>
  <c r="M86" i="35"/>
  <c r="J85" i="35"/>
  <c r="L85" i="35" s="1"/>
  <c r="K663" i="35"/>
  <c r="N663" i="35" s="1"/>
  <c r="L664" i="35"/>
  <c r="L703" i="35"/>
  <c r="K702" i="35"/>
  <c r="N702" i="35" s="1"/>
  <c r="G313" i="35"/>
  <c r="N313" i="35" s="1"/>
  <c r="M314" i="35"/>
  <c r="M422" i="35"/>
  <c r="M44" i="35"/>
  <c r="J43" i="35"/>
  <c r="M43" i="35" s="1"/>
  <c r="L231" i="35"/>
  <c r="K230" i="35"/>
  <c r="N230" i="35" s="1"/>
  <c r="M273" i="35"/>
  <c r="L191" i="35"/>
  <c r="K190" i="35"/>
  <c r="J305" i="35"/>
  <c r="M306" i="35"/>
  <c r="J792" i="35"/>
  <c r="M428" i="35"/>
  <c r="J427" i="35"/>
  <c r="M427" i="35" s="1"/>
  <c r="L709" i="35"/>
  <c r="K708" i="35"/>
  <c r="N708" i="35" s="1"/>
  <c r="J802" i="35"/>
  <c r="M98" i="35"/>
  <c r="L422" i="35"/>
  <c r="J553" i="35"/>
  <c r="M554" i="35"/>
  <c r="L554" i="35"/>
  <c r="M702" i="35"/>
  <c r="K589" i="35"/>
  <c r="N589" i="35" s="1"/>
  <c r="L306" i="35"/>
  <c r="K305" i="35"/>
  <c r="N305" i="35" s="1"/>
  <c r="J636" i="35"/>
  <c r="M636" i="35" s="1"/>
  <c r="M637" i="35"/>
  <c r="L86" i="35"/>
  <c r="I762" i="35"/>
  <c r="L638" i="35"/>
  <c r="K637" i="35"/>
  <c r="N637" i="35" s="1"/>
  <c r="M60" i="35"/>
  <c r="J793" i="35"/>
  <c r="L428" i="35"/>
  <c r="K427" i="35"/>
  <c r="N427" i="35" s="1"/>
  <c r="J791" i="35"/>
  <c r="M459" i="35"/>
  <c r="J458" i="35"/>
  <c r="L402" i="35"/>
  <c r="L164" i="35"/>
  <c r="K163" i="35"/>
  <c r="N163" i="35" s="1"/>
  <c r="J9" i="35"/>
  <c r="M10" i="35"/>
  <c r="L720" i="35"/>
  <c r="K719" i="35"/>
  <c r="N719" i="35" s="1"/>
  <c r="L273" i="35"/>
  <c r="L98" i="35"/>
  <c r="L334" i="35"/>
  <c r="K333" i="35"/>
  <c r="K43" i="35"/>
  <c r="N43" i="35" s="1"/>
  <c r="L44" i="35"/>
  <c r="L60" i="35"/>
  <c r="L241" i="35"/>
  <c r="K240" i="35"/>
  <c r="M535" i="35"/>
  <c r="J534" i="35"/>
  <c r="M534" i="35" s="1"/>
  <c r="L10" i="35"/>
  <c r="K9" i="35"/>
  <c r="N9" i="35" s="1"/>
  <c r="J589" i="35"/>
  <c r="M590" i="35"/>
  <c r="L325" i="35"/>
  <c r="J789" i="35"/>
  <c r="M351" i="35"/>
  <c r="J350" i="35"/>
  <c r="M709" i="35"/>
  <c r="J708" i="35"/>
  <c r="M708" i="35" s="1"/>
  <c r="L535" i="35"/>
  <c r="L590" i="35"/>
  <c r="L443" i="35"/>
  <c r="K442" i="35"/>
  <c r="N442" i="35" s="1"/>
  <c r="J162" i="35"/>
  <c r="M163" i="35"/>
  <c r="L414" i="35"/>
  <c r="K413" i="35"/>
  <c r="L739" i="35"/>
  <c r="M178" i="35"/>
  <c r="J172" i="35"/>
  <c r="L514" i="35"/>
  <c r="K513" i="35"/>
  <c r="J801" i="35"/>
  <c r="M219" i="35"/>
  <c r="J213" i="35"/>
  <c r="M213" i="35" s="1"/>
  <c r="K751" i="35"/>
  <c r="M663" i="35"/>
  <c r="J662" i="35"/>
  <c r="M662" i="35" s="1"/>
  <c r="M36" i="35"/>
  <c r="J681" i="35"/>
  <c r="M681" i="35" s="1"/>
  <c r="M682" i="35"/>
  <c r="G806" i="34"/>
  <c r="G272" i="34"/>
  <c r="G228" i="34" s="1"/>
  <c r="G779" i="34" s="1"/>
  <c r="K553" i="34"/>
  <c r="K552" i="34" s="1"/>
  <c r="K60" i="34"/>
  <c r="J8" i="34"/>
  <c r="J7" i="34" s="1"/>
  <c r="L110" i="34"/>
  <c r="J808" i="34"/>
  <c r="L589" i="34"/>
  <c r="K588" i="34"/>
  <c r="M703" i="34"/>
  <c r="J702" i="34"/>
  <c r="L702" i="34" s="1"/>
  <c r="M98" i="34"/>
  <c r="I774" i="34"/>
  <c r="I773" i="34"/>
  <c r="M201" i="34"/>
  <c r="L201" i="34"/>
  <c r="J789" i="34"/>
  <c r="J350" i="34"/>
  <c r="M351" i="34"/>
  <c r="L422" i="34"/>
  <c r="J512" i="34"/>
  <c r="M512" i="34" s="1"/>
  <c r="M513" i="34"/>
  <c r="L10" i="34"/>
  <c r="K9" i="34"/>
  <c r="L507" i="34"/>
  <c r="K506" i="34"/>
  <c r="G718" i="34"/>
  <c r="M719" i="34"/>
  <c r="G791" i="34"/>
  <c r="J333" i="34"/>
  <c r="L333" i="34" s="1"/>
  <c r="M334" i="34"/>
  <c r="L703" i="34"/>
  <c r="M682" i="34"/>
  <c r="J681" i="34"/>
  <c r="M681" i="34" s="1"/>
  <c r="L752" i="34"/>
  <c r="K751" i="34"/>
  <c r="M638" i="34"/>
  <c r="J637" i="34"/>
  <c r="G7" i="34"/>
  <c r="G443" i="34"/>
  <c r="M444" i="34"/>
  <c r="J162" i="34"/>
  <c r="M163" i="34"/>
  <c r="L60" i="34"/>
  <c r="L229" i="34"/>
  <c r="K228" i="34"/>
  <c r="K708" i="34"/>
  <c r="L708" i="34" s="1"/>
  <c r="L709" i="34"/>
  <c r="M36" i="34"/>
  <c r="M589" i="34"/>
  <c r="J588" i="34"/>
  <c r="J794" i="34"/>
  <c r="M241" i="34"/>
  <c r="J240" i="34"/>
  <c r="L240" i="34" s="1"/>
  <c r="J505" i="34"/>
  <c r="M506" i="34"/>
  <c r="J791" i="34"/>
  <c r="M459" i="34"/>
  <c r="J458" i="34"/>
  <c r="L37" i="34"/>
  <c r="K36" i="34"/>
  <c r="M273" i="34"/>
  <c r="L629" i="34"/>
  <c r="K765" i="34"/>
  <c r="K534" i="34"/>
  <c r="L535" i="34"/>
  <c r="M554" i="34"/>
  <c r="J553" i="34"/>
  <c r="M306" i="34"/>
  <c r="J305" i="34"/>
  <c r="L306" i="34"/>
  <c r="L191" i="34"/>
  <c r="K190" i="34"/>
  <c r="L351" i="34"/>
  <c r="K350" i="34"/>
  <c r="L273" i="34"/>
  <c r="L638" i="34"/>
  <c r="K637" i="34"/>
  <c r="L554" i="34"/>
  <c r="G54" i="34"/>
  <c r="M55" i="34"/>
  <c r="M664" i="34"/>
  <c r="J663" i="34"/>
  <c r="L428" i="34"/>
  <c r="K427" i="34"/>
  <c r="L427" i="34" s="1"/>
  <c r="K162" i="34"/>
  <c r="L163" i="34"/>
  <c r="L718" i="34"/>
  <c r="K717" i="34"/>
  <c r="L717" i="34" s="1"/>
  <c r="L443" i="34"/>
  <c r="K442" i="34"/>
  <c r="L442" i="34" s="1"/>
  <c r="M9" i="34"/>
  <c r="M739" i="34"/>
  <c r="J738" i="34"/>
  <c r="J797" i="34"/>
  <c r="M433" i="34"/>
  <c r="J427" i="34"/>
  <c r="M372" i="34"/>
  <c r="J371" i="34"/>
  <c r="L371" i="34" s="1"/>
  <c r="K43" i="34"/>
  <c r="L43" i="34" s="1"/>
  <c r="L44" i="34"/>
  <c r="M60" i="34"/>
  <c r="G710" i="34"/>
  <c r="M711" i="34"/>
  <c r="L19" i="34"/>
  <c r="K18" i="34"/>
  <c r="L18" i="34" s="1"/>
  <c r="K701" i="34"/>
  <c r="L459" i="34"/>
  <c r="K458" i="34"/>
  <c r="M414" i="34"/>
  <c r="J413" i="34"/>
  <c r="L413" i="34" s="1"/>
  <c r="L99" i="34"/>
  <c r="K98" i="34"/>
  <c r="L98" i="34" s="1"/>
  <c r="M86" i="34"/>
  <c r="J85" i="34"/>
  <c r="L86" i="34"/>
  <c r="L91" i="34"/>
  <c r="K90" i="34"/>
  <c r="L90" i="34" s="1"/>
  <c r="L664" i="34"/>
  <c r="K663" i="34"/>
  <c r="L402" i="34"/>
  <c r="K401" i="34"/>
  <c r="J801" i="34"/>
  <c r="M219" i="34"/>
  <c r="J213" i="34"/>
  <c r="L324" i="34"/>
  <c r="L414" i="34"/>
  <c r="L433" i="34"/>
  <c r="K557" i="33"/>
  <c r="G783" i="36" l="1"/>
  <c r="N29" i="36"/>
  <c r="L29" i="36"/>
  <c r="M29" i="36"/>
  <c r="G770" i="36"/>
  <c r="G771" i="36"/>
  <c r="K549" i="36"/>
  <c r="N550" i="36"/>
  <c r="L550" i="36"/>
  <c r="L228" i="36"/>
  <c r="N228" i="36"/>
  <c r="J549" i="36"/>
  <c r="M549" i="36" s="1"/>
  <c r="M550" i="36"/>
  <c r="J778" i="36"/>
  <c r="J783" i="36" s="1"/>
  <c r="J808" i="35"/>
  <c r="L413" i="35"/>
  <c r="N413" i="35"/>
  <c r="L240" i="35"/>
  <c r="N240" i="35"/>
  <c r="L190" i="35"/>
  <c r="N190" i="35"/>
  <c r="K458" i="35"/>
  <c r="N458" i="35" s="1"/>
  <c r="N459" i="35"/>
  <c r="L333" i="35"/>
  <c r="N333" i="35"/>
  <c r="N514" i="35"/>
  <c r="N506" i="35"/>
  <c r="K505" i="35"/>
  <c r="N505" i="35" s="1"/>
  <c r="L751" i="35"/>
  <c r="N513" i="35"/>
  <c r="N90" i="35"/>
  <c r="L90" i="35"/>
  <c r="N178" i="35"/>
  <c r="K172" i="35"/>
  <c r="N172" i="35" s="1"/>
  <c r="L178" i="35"/>
  <c r="J59" i="35"/>
  <c r="M59" i="35" s="1"/>
  <c r="L110" i="35"/>
  <c r="L459" i="35"/>
  <c r="L442" i="35"/>
  <c r="J513" i="35"/>
  <c r="L513" i="35" s="1"/>
  <c r="G717" i="35"/>
  <c r="M718" i="35"/>
  <c r="M514" i="35"/>
  <c r="L43" i="35"/>
  <c r="K30" i="35"/>
  <c r="N30" i="35" s="1"/>
  <c r="L534" i="35"/>
  <c r="I774" i="35"/>
  <c r="I773" i="35"/>
  <c r="J552" i="35"/>
  <c r="L552" i="35" s="1"/>
  <c r="M553" i="35"/>
  <c r="L230" i="35"/>
  <c r="K229" i="35"/>
  <c r="N229" i="35" s="1"/>
  <c r="J421" i="35"/>
  <c r="L702" i="35"/>
  <c r="K701" i="35"/>
  <c r="N701" i="35" s="1"/>
  <c r="L371" i="35"/>
  <c r="K183" i="35"/>
  <c r="N183" i="35" s="1"/>
  <c r="K551" i="35"/>
  <c r="N551" i="35" s="1"/>
  <c r="M371" i="35"/>
  <c r="J370" i="35"/>
  <c r="J777" i="35"/>
  <c r="M172" i="35"/>
  <c r="K401" i="35"/>
  <c r="J701" i="35"/>
  <c r="M701" i="35" s="1"/>
  <c r="L350" i="35"/>
  <c r="K349" i="35"/>
  <c r="N349" i="35" s="1"/>
  <c r="K512" i="35"/>
  <c r="J349" i="35"/>
  <c r="M350" i="35"/>
  <c r="M9" i="35"/>
  <c r="J8" i="35"/>
  <c r="L163" i="35"/>
  <c r="K162" i="35"/>
  <c r="J457" i="35"/>
  <c r="M458" i="35"/>
  <c r="L427" i="35"/>
  <c r="J183" i="35"/>
  <c r="L324" i="35"/>
  <c r="K421" i="35"/>
  <c r="N421" i="35" s="1"/>
  <c r="L708" i="35"/>
  <c r="J795" i="35"/>
  <c r="M85" i="35"/>
  <c r="L553" i="35"/>
  <c r="K8" i="35"/>
  <c r="N8" i="35" s="1"/>
  <c r="L9" i="35"/>
  <c r="J304" i="35"/>
  <c r="M305" i="35"/>
  <c r="G304" i="35"/>
  <c r="M313" i="35"/>
  <c r="L663" i="35"/>
  <c r="K662" i="35"/>
  <c r="K738" i="35"/>
  <c r="N738" i="35" s="1"/>
  <c r="J776" i="35"/>
  <c r="M162" i="35"/>
  <c r="M589" i="35"/>
  <c r="J588" i="35"/>
  <c r="L719" i="35"/>
  <c r="K718" i="35"/>
  <c r="N718" i="35" s="1"/>
  <c r="L637" i="35"/>
  <c r="K636" i="35"/>
  <c r="L305" i="35"/>
  <c r="K304" i="35"/>
  <c r="L589" i="35"/>
  <c r="K588" i="35"/>
  <c r="N588" i="35" s="1"/>
  <c r="J785" i="35"/>
  <c r="M505" i="35"/>
  <c r="L681" i="35"/>
  <c r="L213" i="35"/>
  <c r="G512" i="35"/>
  <c r="G775" i="35"/>
  <c r="L681" i="34"/>
  <c r="L553" i="34"/>
  <c r="L162" i="34"/>
  <c r="M8" i="34"/>
  <c r="G709" i="34"/>
  <c r="M710" i="34"/>
  <c r="M213" i="34"/>
  <c r="L213" i="34"/>
  <c r="L458" i="34"/>
  <c r="K457" i="34"/>
  <c r="M427" i="34"/>
  <c r="J421" i="34"/>
  <c r="M7" i="34"/>
  <c r="J662" i="34"/>
  <c r="M662" i="34" s="1"/>
  <c r="M663" i="34"/>
  <c r="G30" i="34"/>
  <c r="M54" i="34"/>
  <c r="J457" i="34"/>
  <c r="M458" i="34"/>
  <c r="G442" i="34"/>
  <c r="G808" i="34"/>
  <c r="M443" i="34"/>
  <c r="J780" i="34"/>
  <c r="M333" i="34"/>
  <c r="L506" i="34"/>
  <c r="K505" i="34"/>
  <c r="L505" i="34" s="1"/>
  <c r="M702" i="34"/>
  <c r="J701" i="34"/>
  <c r="L663" i="34"/>
  <c r="K662" i="34"/>
  <c r="L662" i="34" s="1"/>
  <c r="M738" i="34"/>
  <c r="J737" i="34"/>
  <c r="M737" i="34" s="1"/>
  <c r="L350" i="34"/>
  <c r="K349" i="34"/>
  <c r="K551" i="34"/>
  <c r="L534" i="34"/>
  <c r="K513" i="34"/>
  <c r="L751" i="34"/>
  <c r="K738" i="34"/>
  <c r="L701" i="34"/>
  <c r="M371" i="34"/>
  <c r="K636" i="34"/>
  <c r="L637" i="34"/>
  <c r="M305" i="34"/>
  <c r="J304" i="34"/>
  <c r="L305" i="34"/>
  <c r="J552" i="34"/>
  <c r="M553" i="34"/>
  <c r="L36" i="34"/>
  <c r="J785" i="34"/>
  <c r="M505" i="34"/>
  <c r="M588" i="34"/>
  <c r="J587" i="34"/>
  <c r="M587" i="34" s="1"/>
  <c r="J776" i="34"/>
  <c r="M162" i="34"/>
  <c r="K8" i="34"/>
  <c r="L9" i="34"/>
  <c r="M350" i="34"/>
  <c r="J349" i="34"/>
  <c r="J183" i="34"/>
  <c r="K587" i="34"/>
  <c r="L587" i="34" s="1"/>
  <c r="L588" i="34"/>
  <c r="J795" i="34"/>
  <c r="M85" i="34"/>
  <c r="L85" i="34"/>
  <c r="M413" i="34"/>
  <c r="J401" i="34"/>
  <c r="M401" i="34" s="1"/>
  <c r="J59" i="34"/>
  <c r="L190" i="34"/>
  <c r="K183" i="34"/>
  <c r="K370" i="34"/>
  <c r="M240" i="34"/>
  <c r="K59" i="34"/>
  <c r="K30" i="34" s="1"/>
  <c r="M637" i="34"/>
  <c r="J636" i="34"/>
  <c r="M636" i="34" s="1"/>
  <c r="G717" i="34"/>
  <c r="M718" i="34"/>
  <c r="K421" i="34"/>
  <c r="L421" i="34" s="1"/>
  <c r="J802" i="34"/>
  <c r="K111" i="33"/>
  <c r="L111" i="33" s="1"/>
  <c r="K112" i="33"/>
  <c r="M15" i="33"/>
  <c r="M23" i="33"/>
  <c r="M28" i="33"/>
  <c r="M35" i="33"/>
  <c r="M42" i="33"/>
  <c r="M48" i="33"/>
  <c r="M53" i="33"/>
  <c r="M64" i="33"/>
  <c r="M67" i="33"/>
  <c r="M75" i="33"/>
  <c r="M82" i="33"/>
  <c r="M84" i="33"/>
  <c r="M97" i="33"/>
  <c r="M102" i="33"/>
  <c r="M109" i="33"/>
  <c r="M113" i="33"/>
  <c r="M121" i="33"/>
  <c r="M132" i="33"/>
  <c r="M136" i="33"/>
  <c r="M138" i="33"/>
  <c r="M141" i="33"/>
  <c r="M144" i="33"/>
  <c r="M146" i="33"/>
  <c r="M149" i="33"/>
  <c r="M151" i="33"/>
  <c r="M154" i="33"/>
  <c r="M156" i="33"/>
  <c r="M159" i="33"/>
  <c r="M161" i="33"/>
  <c r="M168" i="33"/>
  <c r="M182" i="33"/>
  <c r="M189" i="33"/>
  <c r="M195" i="33"/>
  <c r="M200" i="33"/>
  <c r="M218" i="33"/>
  <c r="M227" i="33"/>
  <c r="M234" i="33"/>
  <c r="M258" i="33"/>
  <c r="M261" i="33"/>
  <c r="M271" i="33"/>
  <c r="M277" i="33"/>
  <c r="M283" i="33"/>
  <c r="M294" i="33"/>
  <c r="M300" i="33"/>
  <c r="M303" i="33"/>
  <c r="M309" i="33"/>
  <c r="M312" i="33"/>
  <c r="M317" i="33"/>
  <c r="M320" i="33"/>
  <c r="M329" i="33"/>
  <c r="M332" i="33"/>
  <c r="M339" i="33"/>
  <c r="M343" i="33"/>
  <c r="M348" i="33"/>
  <c r="M358" i="33"/>
  <c r="M365" i="33"/>
  <c r="M389" i="33"/>
  <c r="M392" i="33"/>
  <c r="M396" i="33"/>
  <c r="M397" i="33"/>
  <c r="M400" i="33"/>
  <c r="M406" i="33"/>
  <c r="M417" i="33"/>
  <c r="M426" i="33"/>
  <c r="M432" i="33"/>
  <c r="M437" i="33"/>
  <c r="M447" i="33"/>
  <c r="M449" i="33"/>
  <c r="M450" i="33"/>
  <c r="M453" i="33"/>
  <c r="M456" i="33"/>
  <c r="M465" i="33"/>
  <c r="M468" i="33"/>
  <c r="M474" i="33"/>
  <c r="M477" i="33"/>
  <c r="M493" i="33"/>
  <c r="M504" i="33"/>
  <c r="M523" i="33"/>
  <c r="M525" i="33"/>
  <c r="M528" i="33"/>
  <c r="M539" i="33"/>
  <c r="M543" i="33"/>
  <c r="M560" i="33"/>
  <c r="M564" i="33"/>
  <c r="M567" i="33"/>
  <c r="M570" i="33"/>
  <c r="M593" i="33"/>
  <c r="M599" i="33"/>
  <c r="M605" i="33"/>
  <c r="M609" i="33"/>
  <c r="M612" i="33"/>
  <c r="M618" i="33"/>
  <c r="M621" i="33"/>
  <c r="M628" i="33"/>
  <c r="M635" i="33"/>
  <c r="M646" i="33"/>
  <c r="M652" i="33"/>
  <c r="M655" i="33"/>
  <c r="M668" i="33"/>
  <c r="M674" i="33"/>
  <c r="M676" i="33"/>
  <c r="M680" i="33"/>
  <c r="M693" i="33"/>
  <c r="M697" i="33"/>
  <c r="M700" i="33"/>
  <c r="M707" i="33"/>
  <c r="M714" i="33"/>
  <c r="M716" i="33"/>
  <c r="M723" i="33"/>
  <c r="M736" i="33"/>
  <c r="L13" i="33"/>
  <c r="L15" i="33"/>
  <c r="L17" i="33"/>
  <c r="L23" i="33"/>
  <c r="L28" i="33"/>
  <c r="L35" i="33"/>
  <c r="L40" i="33"/>
  <c r="L42" i="33"/>
  <c r="L48" i="33"/>
  <c r="L53" i="33"/>
  <c r="L58" i="33"/>
  <c r="L64" i="33"/>
  <c r="L67" i="33"/>
  <c r="L71" i="33"/>
  <c r="L73" i="33"/>
  <c r="L74" i="33"/>
  <c r="L75" i="33"/>
  <c r="L79" i="33"/>
  <c r="L82" i="33"/>
  <c r="L84" i="33"/>
  <c r="L94" i="33"/>
  <c r="L97" i="33"/>
  <c r="L102" i="33"/>
  <c r="L107" i="33"/>
  <c r="L109" i="33"/>
  <c r="L112" i="33"/>
  <c r="L113" i="33"/>
  <c r="L116" i="33"/>
  <c r="L121" i="33"/>
  <c r="L124" i="33"/>
  <c r="L125" i="33"/>
  <c r="L126" i="33"/>
  <c r="L127" i="33"/>
  <c r="L128" i="33"/>
  <c r="L129" i="33"/>
  <c r="L132" i="33"/>
  <c r="L136" i="33"/>
  <c r="L138" i="33"/>
  <c r="L141" i="33"/>
  <c r="L144" i="33"/>
  <c r="L146" i="33"/>
  <c r="L149" i="33"/>
  <c r="L151" i="33"/>
  <c r="L154" i="33"/>
  <c r="L156" i="33"/>
  <c r="L159" i="33"/>
  <c r="L161" i="33"/>
  <c r="L168" i="33"/>
  <c r="L171" i="33"/>
  <c r="L177" i="33"/>
  <c r="L182" i="33"/>
  <c r="L189" i="33"/>
  <c r="L195" i="33"/>
  <c r="L200" i="33"/>
  <c r="L206" i="33"/>
  <c r="L209" i="33"/>
  <c r="L212" i="33"/>
  <c r="L218" i="33"/>
  <c r="L223" i="33"/>
  <c r="L227" i="33"/>
  <c r="L234" i="33"/>
  <c r="L235" i="33"/>
  <c r="L236" i="33"/>
  <c r="L237" i="33"/>
  <c r="L238" i="33"/>
  <c r="L239" i="33"/>
  <c r="L245" i="33"/>
  <c r="L249" i="33"/>
  <c r="L252" i="33"/>
  <c r="L255" i="33"/>
  <c r="L258" i="33"/>
  <c r="L261" i="33"/>
  <c r="L262" i="33"/>
  <c r="L263" i="33"/>
  <c r="L264" i="33"/>
  <c r="L265" i="33"/>
  <c r="L266" i="33"/>
  <c r="L267" i="33"/>
  <c r="L271" i="33"/>
  <c r="L277" i="33"/>
  <c r="L280" i="33"/>
  <c r="L283" i="33"/>
  <c r="L284" i="33"/>
  <c r="L285" i="33"/>
  <c r="L286" i="33"/>
  <c r="L291" i="33"/>
  <c r="L294" i="33"/>
  <c r="L297" i="33"/>
  <c r="L298" i="33"/>
  <c r="L299" i="33"/>
  <c r="L300" i="33"/>
  <c r="L303" i="33"/>
  <c r="L309" i="33"/>
  <c r="L310" i="33"/>
  <c r="L311" i="33"/>
  <c r="L312" i="33"/>
  <c r="L317" i="33"/>
  <c r="L320" i="33"/>
  <c r="L321" i="33"/>
  <c r="L322" i="33"/>
  <c r="L323" i="33"/>
  <c r="L329" i="33"/>
  <c r="L332" i="33"/>
  <c r="L339" i="33"/>
  <c r="L343" i="33"/>
  <c r="L348" i="33"/>
  <c r="L355" i="33"/>
  <c r="L358" i="33"/>
  <c r="L359" i="33"/>
  <c r="L360" i="33"/>
  <c r="L361" i="33"/>
  <c r="L362" i="33"/>
  <c r="L363" i="33"/>
  <c r="L364" i="33"/>
  <c r="L365" i="33"/>
  <c r="L369" i="33"/>
  <c r="L376" i="33"/>
  <c r="L379" i="33"/>
  <c r="L382" i="33"/>
  <c r="L386" i="33"/>
  <c r="L389" i="33"/>
  <c r="L392" i="33"/>
  <c r="L396" i="33"/>
  <c r="L397" i="33"/>
  <c r="L400" i="33"/>
  <c r="L406" i="33"/>
  <c r="L409" i="33"/>
  <c r="L412" i="33"/>
  <c r="L417" i="33"/>
  <c r="L420" i="33"/>
  <c r="L426" i="33"/>
  <c r="L432" i="33"/>
  <c r="L437" i="33"/>
  <c r="L441" i="33"/>
  <c r="L447" i="33"/>
  <c r="L449" i="33"/>
  <c r="L450" i="33"/>
  <c r="L453" i="33"/>
  <c r="L456" i="33"/>
  <c r="L463" i="33"/>
  <c r="L465" i="33"/>
  <c r="L468" i="33"/>
  <c r="L471" i="33"/>
  <c r="L474" i="33"/>
  <c r="L477" i="33"/>
  <c r="L480" i="33"/>
  <c r="L483" i="33"/>
  <c r="L487" i="33"/>
  <c r="L490" i="33"/>
  <c r="L493" i="33"/>
  <c r="L496" i="33"/>
  <c r="L499" i="33"/>
  <c r="L504" i="33"/>
  <c r="L511" i="33"/>
  <c r="L518" i="33"/>
  <c r="L521" i="33"/>
  <c r="L523" i="33"/>
  <c r="L525" i="33"/>
  <c r="L528" i="33"/>
  <c r="L529" i="33"/>
  <c r="L530" i="33"/>
  <c r="L531" i="33"/>
  <c r="L532" i="33"/>
  <c r="L533" i="33"/>
  <c r="L539" i="33"/>
  <c r="L543" i="33"/>
  <c r="L548" i="33"/>
  <c r="L557" i="33"/>
  <c r="L560" i="33"/>
  <c r="L564" i="33"/>
  <c r="L567" i="33"/>
  <c r="L570" i="33"/>
  <c r="L573" i="33"/>
  <c r="L574" i="33"/>
  <c r="L575" i="33"/>
  <c r="L576" i="33"/>
  <c r="L577" i="33"/>
  <c r="L578" i="33"/>
  <c r="L579" i="33"/>
  <c r="L582" i="33"/>
  <c r="L583" i="33"/>
  <c r="L584" i="33"/>
  <c r="L585" i="33"/>
  <c r="L586" i="33"/>
  <c r="L593" i="33"/>
  <c r="L596" i="33"/>
  <c r="L599" i="33"/>
  <c r="L600" i="33"/>
  <c r="L601" i="33"/>
  <c r="L602" i="33"/>
  <c r="L605" i="33"/>
  <c r="L609" i="33"/>
  <c r="L612" i="33"/>
  <c r="L615" i="33"/>
  <c r="L618" i="33"/>
  <c r="L621" i="33"/>
  <c r="L622" i="33"/>
  <c r="L623" i="33"/>
  <c r="L624" i="33"/>
  <c r="L628" i="33"/>
  <c r="L632" i="33"/>
  <c r="L633" i="33"/>
  <c r="L634" i="33"/>
  <c r="L635" i="33"/>
  <c r="L642" i="33"/>
  <c r="L646" i="33"/>
  <c r="L647" i="33"/>
  <c r="L648" i="33"/>
  <c r="L649" i="33"/>
  <c r="L652" i="33"/>
  <c r="L655" i="33"/>
  <c r="L656" i="33"/>
  <c r="L657" i="33"/>
  <c r="L658" i="33"/>
  <c r="L659" i="33"/>
  <c r="L660" i="33"/>
  <c r="L661" i="33"/>
  <c r="L668" i="33"/>
  <c r="L670" i="33"/>
  <c r="L672" i="33"/>
  <c r="L674" i="33"/>
  <c r="L676" i="33"/>
  <c r="L680" i="33"/>
  <c r="L686" i="33"/>
  <c r="L688" i="33"/>
  <c r="L689" i="33"/>
  <c r="L690" i="33"/>
  <c r="L693" i="33"/>
  <c r="L695" i="33"/>
  <c r="L697" i="33"/>
  <c r="L700" i="33"/>
  <c r="L707" i="33"/>
  <c r="L714" i="33"/>
  <c r="L716" i="33"/>
  <c r="L721" i="33"/>
  <c r="L722" i="33"/>
  <c r="L723" i="33"/>
  <c r="L727" i="33"/>
  <c r="L728" i="33"/>
  <c r="L729" i="33"/>
  <c r="L730" i="33"/>
  <c r="L731" i="33"/>
  <c r="L732" i="33"/>
  <c r="L733" i="33"/>
  <c r="L734" i="33"/>
  <c r="L735" i="33"/>
  <c r="L736" i="33"/>
  <c r="L743" i="33"/>
  <c r="L746" i="33"/>
  <c r="L748" i="33"/>
  <c r="L750" i="33"/>
  <c r="L756" i="33"/>
  <c r="L761" i="33"/>
  <c r="K760" i="33"/>
  <c r="K755" i="33"/>
  <c r="K754" i="33" s="1"/>
  <c r="K753" i="33" s="1"/>
  <c r="K752" i="33" s="1"/>
  <c r="K749" i="33"/>
  <c r="K747" i="33"/>
  <c r="K745" i="33"/>
  <c r="K742" i="33"/>
  <c r="K741" i="33" s="1"/>
  <c r="K726" i="33"/>
  <c r="K725" i="33" s="1"/>
  <c r="K715" i="33"/>
  <c r="K713" i="33"/>
  <c r="K706" i="33"/>
  <c r="K705" i="33" s="1"/>
  <c r="K699" i="33"/>
  <c r="K698" i="33" s="1"/>
  <c r="K696" i="33"/>
  <c r="K694" i="33"/>
  <c r="K692" i="33"/>
  <c r="K687" i="33"/>
  <c r="K685" i="33"/>
  <c r="K679" i="33"/>
  <c r="K678" i="33" s="1"/>
  <c r="K677" i="33" s="1"/>
  <c r="K675" i="33"/>
  <c r="K673" i="33"/>
  <c r="K671" i="33"/>
  <c r="K669" i="33"/>
  <c r="K667" i="33"/>
  <c r="K666" i="33" s="1"/>
  <c r="K665" i="33" s="1"/>
  <c r="K654" i="33"/>
  <c r="K651" i="33"/>
  <c r="K650" i="33" s="1"/>
  <c r="K645" i="33"/>
  <c r="K644" i="33" s="1"/>
  <c r="K641" i="33"/>
  <c r="K632" i="33"/>
  <c r="K631" i="33" s="1"/>
  <c r="K630" i="33" s="1"/>
  <c r="K629" i="33" s="1"/>
  <c r="K627" i="33"/>
  <c r="K626" i="33" s="1"/>
  <c r="K625" i="33" s="1"/>
  <c r="K620" i="33"/>
  <c r="K619" i="33" s="1"/>
  <c r="K617" i="33"/>
  <c r="K616" i="33" s="1"/>
  <c r="K614" i="33"/>
  <c r="K613" i="33" s="1"/>
  <c r="K611" i="33"/>
  <c r="K610" i="33" s="1"/>
  <c r="K608" i="33"/>
  <c r="K607" i="33" s="1"/>
  <c r="K604" i="33"/>
  <c r="K598" i="33"/>
  <c r="K595" i="33"/>
  <c r="K594" i="33" s="1"/>
  <c r="K592" i="33"/>
  <c r="K581" i="33"/>
  <c r="K572" i="33"/>
  <c r="K569" i="33"/>
  <c r="K568" i="33" s="1"/>
  <c r="K566" i="33"/>
  <c r="K563" i="33"/>
  <c r="K562" i="33" s="1"/>
  <c r="K559" i="33"/>
  <c r="K558" i="33" s="1"/>
  <c r="K556" i="33"/>
  <c r="K555" i="33" s="1"/>
  <c r="K547" i="33"/>
  <c r="K542" i="33"/>
  <c r="K538" i="33"/>
  <c r="K527" i="33"/>
  <c r="K526" i="33" s="1"/>
  <c r="K524" i="33"/>
  <c r="K522" i="33"/>
  <c r="K520" i="33"/>
  <c r="K517" i="33"/>
  <c r="K516" i="33" s="1"/>
  <c r="K510" i="33"/>
  <c r="K503" i="33"/>
  <c r="K498" i="33"/>
  <c r="K495" i="33"/>
  <c r="K492" i="33"/>
  <c r="K491" i="33" s="1"/>
  <c r="K489" i="33"/>
  <c r="K488" i="33" s="1"/>
  <c r="K486" i="33"/>
  <c r="K485" i="33" s="1"/>
  <c r="K482" i="33"/>
  <c r="K479" i="33"/>
  <c r="K476" i="33"/>
  <c r="K475" i="33" s="1"/>
  <c r="K473" i="33"/>
  <c r="K471" i="33"/>
  <c r="K470" i="33" s="1"/>
  <c r="K467" i="33"/>
  <c r="K464" i="33"/>
  <c r="K462" i="33"/>
  <c r="K455" i="33"/>
  <c r="K452" i="33"/>
  <c r="K451" i="33" s="1"/>
  <c r="K448" i="33"/>
  <c r="K446" i="33"/>
  <c r="K440" i="33"/>
  <c r="K437" i="33"/>
  <c r="K436" i="33"/>
  <c r="K435" i="33" s="1"/>
  <c r="K431" i="33"/>
  <c r="K425" i="33"/>
  <c r="K420" i="33"/>
  <c r="K419" i="33" s="1"/>
  <c r="K417" i="33"/>
  <c r="K416" i="33" s="1"/>
  <c r="K411" i="33"/>
  <c r="K408" i="33"/>
  <c r="K407" i="33" s="1"/>
  <c r="K405" i="33"/>
  <c r="K404" i="33" s="1"/>
  <c r="K399" i="33"/>
  <c r="K395" i="33"/>
  <c r="K391" i="33"/>
  <c r="K390" i="33" s="1"/>
  <c r="K388" i="33"/>
  <c r="K385" i="33"/>
  <c r="K381" i="33"/>
  <c r="K378" i="33"/>
  <c r="K375" i="33"/>
  <c r="K374" i="33" s="1"/>
  <c r="K369" i="33"/>
  <c r="K368" i="33" s="1"/>
  <c r="K357" i="33"/>
  <c r="K354" i="33"/>
  <c r="K353" i="33" s="1"/>
  <c r="K347" i="33"/>
  <c r="K342" i="33"/>
  <c r="K338" i="33"/>
  <c r="K331" i="33"/>
  <c r="K328" i="33"/>
  <c r="K319" i="33"/>
  <c r="K316" i="33"/>
  <c r="K315" i="33" s="1"/>
  <c r="K309" i="33"/>
  <c r="K308" i="33"/>
  <c r="K302" i="33"/>
  <c r="K296" i="33"/>
  <c r="K293" i="33"/>
  <c r="K290" i="33"/>
  <c r="K282" i="33"/>
  <c r="K279" i="33"/>
  <c r="K276" i="33"/>
  <c r="K275" i="33" s="1"/>
  <c r="K270" i="33"/>
  <c r="K260" i="33"/>
  <c r="K257" i="33"/>
  <c r="K254" i="33"/>
  <c r="K251" i="33"/>
  <c r="K248" i="33"/>
  <c r="K247" i="33"/>
  <c r="K246" i="33" s="1"/>
  <c r="K244" i="33"/>
  <c r="K233" i="33"/>
  <c r="K226" i="33"/>
  <c r="K222" i="33"/>
  <c r="K217" i="33"/>
  <c r="K211" i="33"/>
  <c r="K208" i="33"/>
  <c r="K205" i="33"/>
  <c r="K199" i="33"/>
  <c r="K194" i="33"/>
  <c r="K188" i="33"/>
  <c r="K187" i="33"/>
  <c r="K181" i="33"/>
  <c r="K176" i="33"/>
  <c r="K170" i="33"/>
  <c r="K169" i="33" s="1"/>
  <c r="K167" i="33"/>
  <c r="K160" i="33"/>
  <c r="K158" i="33"/>
  <c r="K155" i="33"/>
  <c r="K153" i="33"/>
  <c r="K150" i="33"/>
  <c r="K149" i="33"/>
  <c r="K148" i="33" s="1"/>
  <c r="K145" i="33"/>
  <c r="K143" i="33"/>
  <c r="K140" i="33"/>
  <c r="K137" i="33"/>
  <c r="K136" i="33"/>
  <c r="K135" i="33" s="1"/>
  <c r="K131" i="33"/>
  <c r="K123" i="33"/>
  <c r="K122" i="33" s="1"/>
  <c r="K120" i="33"/>
  <c r="K117" i="33"/>
  <c r="K115" i="33"/>
  <c r="K108" i="33"/>
  <c r="K106" i="33"/>
  <c r="K105" i="33" s="1"/>
  <c r="K103" i="33"/>
  <c r="K101" i="33"/>
  <c r="K96" i="33"/>
  <c r="K93" i="33"/>
  <c r="K88" i="33"/>
  <c r="K83" i="33"/>
  <c r="K81" i="33"/>
  <c r="K78" i="33"/>
  <c r="K72" i="33"/>
  <c r="K70" i="33"/>
  <c r="K67" i="33"/>
  <c r="K66" i="33"/>
  <c r="K65" i="33" s="1"/>
  <c r="K63" i="33"/>
  <c r="K57" i="33"/>
  <c r="K52" i="33"/>
  <c r="K47" i="33"/>
  <c r="K41" i="33"/>
  <c r="K39" i="33"/>
  <c r="K34" i="33"/>
  <c r="N549" i="36" l="1"/>
  <c r="L549" i="36"/>
  <c r="K759" i="36"/>
  <c r="J759" i="36"/>
  <c r="N304" i="35"/>
  <c r="L458" i="35"/>
  <c r="L505" i="35"/>
  <c r="J30" i="35"/>
  <c r="M30" i="35" s="1"/>
  <c r="K457" i="35"/>
  <c r="N457" i="35" s="1"/>
  <c r="N512" i="35"/>
  <c r="L636" i="35"/>
  <c r="N636" i="35"/>
  <c r="L662" i="35"/>
  <c r="N662" i="35"/>
  <c r="L401" i="35"/>
  <c r="N401" i="35"/>
  <c r="L172" i="35"/>
  <c r="L162" i="35"/>
  <c r="N162" i="35"/>
  <c r="L59" i="35"/>
  <c r="L421" i="35"/>
  <c r="M513" i="35"/>
  <c r="J512" i="35"/>
  <c r="M512" i="35" s="1"/>
  <c r="G784" i="35"/>
  <c r="M717" i="35"/>
  <c r="G549" i="35"/>
  <c r="L512" i="35"/>
  <c r="L183" i="35"/>
  <c r="L701" i="35"/>
  <c r="L718" i="35"/>
  <c r="K717" i="35"/>
  <c r="L304" i="35"/>
  <c r="K272" i="35"/>
  <c r="M588" i="35"/>
  <c r="J587" i="35"/>
  <c r="M587" i="35" s="1"/>
  <c r="L738" i="35"/>
  <c r="K737" i="35"/>
  <c r="G806" i="35"/>
  <c r="G809" i="35" s="1"/>
  <c r="G272" i="35"/>
  <c r="G228" i="35" s="1"/>
  <c r="J784" i="35"/>
  <c r="M457" i="35"/>
  <c r="K370" i="35"/>
  <c r="J783" i="35"/>
  <c r="M421" i="35"/>
  <c r="J788" i="35"/>
  <c r="M552" i="35"/>
  <c r="J551" i="35"/>
  <c r="J806" i="35"/>
  <c r="M304" i="35"/>
  <c r="J272" i="35"/>
  <c r="J778" i="35"/>
  <c r="M183" i="35"/>
  <c r="L349" i="35"/>
  <c r="L229" i="35"/>
  <c r="L588" i="35"/>
  <c r="K587" i="35"/>
  <c r="N587" i="35" s="1"/>
  <c r="L8" i="35"/>
  <c r="K7" i="35"/>
  <c r="N7" i="35" s="1"/>
  <c r="M349" i="35"/>
  <c r="M8" i="35"/>
  <c r="J7" i="35"/>
  <c r="J782" i="35"/>
  <c r="M370" i="35"/>
  <c r="L401" i="34"/>
  <c r="L349" i="34"/>
  <c r="G784" i="34"/>
  <c r="M717" i="34"/>
  <c r="J788" i="34"/>
  <c r="J809" i="34" s="1"/>
  <c r="M552" i="34"/>
  <c r="J551" i="34"/>
  <c r="L551" i="34" s="1"/>
  <c r="K550" i="34"/>
  <c r="J783" i="34"/>
  <c r="M59" i="34"/>
  <c r="J30" i="34"/>
  <c r="K29" i="34"/>
  <c r="L636" i="34"/>
  <c r="L738" i="34"/>
  <c r="K737" i="34"/>
  <c r="L737" i="34" s="1"/>
  <c r="K512" i="34"/>
  <c r="L512" i="34" s="1"/>
  <c r="L513" i="34"/>
  <c r="J784" i="34"/>
  <c r="M457" i="34"/>
  <c r="J778" i="34"/>
  <c r="M183" i="34"/>
  <c r="L8" i="34"/>
  <c r="K7" i="34"/>
  <c r="J806" i="34"/>
  <c r="M304" i="34"/>
  <c r="L304" i="34"/>
  <c r="J272" i="34"/>
  <c r="J370" i="34"/>
  <c r="L457" i="34"/>
  <c r="L59" i="34"/>
  <c r="L183" i="34"/>
  <c r="M349" i="34"/>
  <c r="L552" i="34"/>
  <c r="G421" i="34"/>
  <c r="G29" i="34" s="1"/>
  <c r="M442" i="34"/>
  <c r="G775" i="34"/>
  <c r="G708" i="34"/>
  <c r="G788" i="34"/>
  <c r="G809" i="34" s="1"/>
  <c r="M709" i="34"/>
  <c r="K46" i="33"/>
  <c r="K232" i="33"/>
  <c r="K231" i="33" s="1"/>
  <c r="K269" i="33"/>
  <c r="K478" i="33"/>
  <c r="K502" i="33"/>
  <c r="K571" i="33"/>
  <c r="K597" i="33"/>
  <c r="K38" i="33"/>
  <c r="K37" i="33" s="1"/>
  <c r="K62" i="33"/>
  <c r="K221" i="33"/>
  <c r="K337" i="33"/>
  <c r="K336" i="33" s="1"/>
  <c r="K380" i="33"/>
  <c r="K430" i="33"/>
  <c r="K546" i="33"/>
  <c r="K580" i="33"/>
  <c r="K724" i="33"/>
  <c r="K720" i="33" s="1"/>
  <c r="K281" i="33"/>
  <c r="K398" i="33"/>
  <c r="K307" i="33"/>
  <c r="K759" i="33"/>
  <c r="K259" i="33"/>
  <c r="K415" i="33"/>
  <c r="K95" i="33"/>
  <c r="K91" i="33" s="1"/>
  <c r="K461" i="33"/>
  <c r="K92" i="33"/>
  <c r="K295" i="33"/>
  <c r="K712" i="33"/>
  <c r="K711" i="33" s="1"/>
  <c r="K306" i="33"/>
  <c r="K318" i="33"/>
  <c r="K394" i="33"/>
  <c r="K497" i="33"/>
  <c r="K175" i="33"/>
  <c r="K327" i="33"/>
  <c r="K377" i="33"/>
  <c r="K373" i="33" s="1"/>
  <c r="K445" i="33"/>
  <c r="K472" i="33"/>
  <c r="K606" i="33"/>
  <c r="K664" i="33"/>
  <c r="K704" i="33"/>
  <c r="K51" i="33"/>
  <c r="K87" i="33"/>
  <c r="K139" i="33"/>
  <c r="K180" i="33"/>
  <c r="K198" i="33"/>
  <c r="K216" i="33"/>
  <c r="K250" i="33"/>
  <c r="K289" i="33"/>
  <c r="K301" i="33"/>
  <c r="K330" i="33"/>
  <c r="K346" i="33"/>
  <c r="K367" i="33"/>
  <c r="K410" i="33"/>
  <c r="K429" i="33"/>
  <c r="K33" i="33"/>
  <c r="K56" i="33"/>
  <c r="K77" i="33"/>
  <c r="K114" i="33"/>
  <c r="K130" i="33"/>
  <c r="K142" i="33"/>
  <c r="K152" i="33"/>
  <c r="K166" i="33"/>
  <c r="K186" i="33"/>
  <c r="K204" i="33"/>
  <c r="K253" i="33"/>
  <c r="K278" i="33"/>
  <c r="K292" i="33"/>
  <c r="K439" i="33"/>
  <c r="K454" i="33"/>
  <c r="K466" i="33"/>
  <c r="K494" i="33"/>
  <c r="K765" i="33" s="1"/>
  <c r="K537" i="33"/>
  <c r="K565" i="33"/>
  <c r="K640" i="33"/>
  <c r="K653" i="33"/>
  <c r="K684" i="33"/>
  <c r="K744" i="33"/>
  <c r="K418" i="33"/>
  <c r="K134" i="33"/>
  <c r="K207" i="33"/>
  <c r="K434" i="33"/>
  <c r="K469" i="33"/>
  <c r="K541" i="33"/>
  <c r="K603" i="33"/>
  <c r="K193" i="33"/>
  <c r="K387" i="33"/>
  <c r="K424" i="33"/>
  <c r="K481" i="33"/>
  <c r="K545" i="33"/>
  <c r="K591" i="33"/>
  <c r="K691" i="33"/>
  <c r="K225" i="33"/>
  <c r="K256" i="33"/>
  <c r="K384" i="33"/>
  <c r="K509" i="33"/>
  <c r="K69" i="33"/>
  <c r="K80" i="33"/>
  <c r="K119" i="33"/>
  <c r="K157" i="33"/>
  <c r="K210" i="33"/>
  <c r="K341" i="33"/>
  <c r="K356" i="33"/>
  <c r="K100" i="33"/>
  <c r="K147" i="33"/>
  <c r="K243" i="33"/>
  <c r="K519" i="33"/>
  <c r="K643" i="33"/>
  <c r="K554" i="33"/>
  <c r="K185" i="33"/>
  <c r="K27" i="33"/>
  <c r="K22" i="33"/>
  <c r="K16" i="33"/>
  <c r="K14" i="33"/>
  <c r="K12" i="33"/>
  <c r="J761" i="36" l="1"/>
  <c r="M759" i="36"/>
  <c r="J771" i="36"/>
  <c r="J770" i="36"/>
  <c r="L759" i="36"/>
  <c r="K761" i="36"/>
  <c r="K764" i="36" s="1"/>
  <c r="N759" i="36"/>
  <c r="L457" i="35"/>
  <c r="J775" i="35"/>
  <c r="L30" i="35"/>
  <c r="L717" i="35"/>
  <c r="N717" i="35"/>
  <c r="L370" i="35"/>
  <c r="N370" i="35"/>
  <c r="L737" i="35"/>
  <c r="N737" i="35"/>
  <c r="K228" i="35"/>
  <c r="N228" i="35" s="1"/>
  <c r="N272" i="35"/>
  <c r="M551" i="35"/>
  <c r="J550" i="35"/>
  <c r="G779" i="35"/>
  <c r="G786" i="35" s="1"/>
  <c r="G29" i="35"/>
  <c r="G762" i="35" s="1"/>
  <c r="M7" i="35"/>
  <c r="L587" i="35"/>
  <c r="K550" i="35"/>
  <c r="N550" i="35" s="1"/>
  <c r="J809" i="35"/>
  <c r="L551" i="35"/>
  <c r="M272" i="35"/>
  <c r="J228" i="35"/>
  <c r="L272" i="35"/>
  <c r="L7" i="35"/>
  <c r="M30" i="34"/>
  <c r="J775" i="34"/>
  <c r="K549" i="34"/>
  <c r="K762" i="34" s="1"/>
  <c r="K764" i="34" s="1"/>
  <c r="L764" i="34" s="1"/>
  <c r="N764" i="34" s="1"/>
  <c r="G701" i="34"/>
  <c r="M708" i="34"/>
  <c r="G783" i="34"/>
  <c r="G786" i="34" s="1"/>
  <c r="J782" i="34"/>
  <c r="M370" i="34"/>
  <c r="M272" i="34"/>
  <c r="L272" i="34"/>
  <c r="J228" i="34"/>
  <c r="J29" i="34" s="1"/>
  <c r="L7" i="34"/>
  <c r="L370" i="34"/>
  <c r="L30" i="34"/>
  <c r="M421" i="34"/>
  <c r="M551" i="34"/>
  <c r="J550" i="34"/>
  <c r="K460" i="33"/>
  <c r="K515" i="33"/>
  <c r="K220" i="33"/>
  <c r="K501" i="33"/>
  <c r="K45" i="33"/>
  <c r="K561" i="33"/>
  <c r="K553" i="33" s="1"/>
  <c r="K242" i="33"/>
  <c r="K241" i="33" s="1"/>
  <c r="K76" i="33"/>
  <c r="K403" i="33"/>
  <c r="K61" i="33"/>
  <c r="K268" i="33"/>
  <c r="K758" i="33"/>
  <c r="K484" i="33"/>
  <c r="K683" i="33"/>
  <c r="K26" i="33"/>
  <c r="K133" i="33"/>
  <c r="K590" i="33"/>
  <c r="K340" i="33"/>
  <c r="K68" i="33"/>
  <c r="K60" i="33" s="1"/>
  <c r="K639" i="33"/>
  <c r="K184" i="33"/>
  <c r="K514" i="33"/>
  <c r="K192" i="33"/>
  <c r="K274" i="33"/>
  <c r="K203" i="33"/>
  <c r="K165" i="33"/>
  <c r="K345" i="33"/>
  <c r="K215" i="33"/>
  <c r="K179" i="33"/>
  <c r="K86" i="33"/>
  <c r="K50" i="33"/>
  <c r="K663" i="33"/>
  <c r="K99" i="33"/>
  <c r="K352" i="33"/>
  <c r="K508" i="33"/>
  <c r="K544" i="33"/>
  <c r="K438" i="33"/>
  <c r="K55" i="33"/>
  <c r="K174" i="33"/>
  <c r="K393" i="33"/>
  <c r="K36" i="33"/>
  <c r="K383" i="33"/>
  <c r="K21" i="33"/>
  <c r="K444" i="33"/>
  <c r="K740" i="33"/>
  <c r="K414" i="33"/>
  <c r="K719" i="33"/>
  <c r="K230" i="33"/>
  <c r="K224" i="33"/>
  <c r="K540" i="33"/>
  <c r="K433" i="33"/>
  <c r="K288" i="33"/>
  <c r="K32" i="33"/>
  <c r="K366" i="33"/>
  <c r="K326" i="33"/>
  <c r="K197" i="33"/>
  <c r="K703" i="33"/>
  <c r="K710" i="33"/>
  <c r="K536" i="33"/>
  <c r="K428" i="33"/>
  <c r="K314" i="33"/>
  <c r="K305" i="33"/>
  <c r="K423" i="33"/>
  <c r="K90" i="33"/>
  <c r="K11" i="33"/>
  <c r="J370" i="29"/>
  <c r="L761" i="36" l="1"/>
  <c r="N761" i="36"/>
  <c r="M761" i="36"/>
  <c r="J764" i="36"/>
  <c r="K29" i="35"/>
  <c r="N29" i="35" s="1"/>
  <c r="J779" i="35"/>
  <c r="M228" i="35"/>
  <c r="J29" i="35"/>
  <c r="L550" i="35"/>
  <c r="K549" i="35"/>
  <c r="N549" i="35" s="1"/>
  <c r="G774" i="35"/>
  <c r="G773" i="35"/>
  <c r="L228" i="35"/>
  <c r="J549" i="35"/>
  <c r="M549" i="35" s="1"/>
  <c r="M550" i="35"/>
  <c r="J781" i="35"/>
  <c r="J779" i="34"/>
  <c r="M228" i="34"/>
  <c r="L228" i="34"/>
  <c r="G549" i="34"/>
  <c r="G762" i="34" s="1"/>
  <c r="M701" i="34"/>
  <c r="J549" i="34"/>
  <c r="M550" i="34"/>
  <c r="J781" i="34"/>
  <c r="J786" i="34" s="1"/>
  <c r="M29" i="34"/>
  <c r="J762" i="34"/>
  <c r="L550" i="34"/>
  <c r="L29" i="34"/>
  <c r="K459" i="33"/>
  <c r="K458" i="33" s="1"/>
  <c r="K682" i="33"/>
  <c r="K681" i="33" s="1"/>
  <c r="K757" i="33"/>
  <c r="K500" i="33"/>
  <c r="K372" i="33"/>
  <c r="K371" i="33" s="1"/>
  <c r="K44" i="33"/>
  <c r="K552" i="33"/>
  <c r="K351" i="33"/>
  <c r="K85" i="33"/>
  <c r="K638" i="33"/>
  <c r="K589" i="33"/>
  <c r="K422" i="33"/>
  <c r="K313" i="33"/>
  <c r="K535" i="33"/>
  <c r="K702" i="33"/>
  <c r="K219" i="33"/>
  <c r="K718" i="33"/>
  <c r="K739" i="33"/>
  <c r="K54" i="33"/>
  <c r="K164" i="33"/>
  <c r="K273" i="33"/>
  <c r="K240" i="33"/>
  <c r="K10" i="33"/>
  <c r="K427" i="33"/>
  <c r="K325" i="33"/>
  <c r="K31" i="33"/>
  <c r="K413" i="33"/>
  <c r="K443" i="33"/>
  <c r="K173" i="33"/>
  <c r="K98" i="33"/>
  <c r="K49" i="33"/>
  <c r="K178" i="33"/>
  <c r="K344" i="33"/>
  <c r="K335" i="33"/>
  <c r="K110" i="33"/>
  <c r="K287" i="33"/>
  <c r="K507" i="33"/>
  <c r="K214" i="33"/>
  <c r="K191" i="33"/>
  <c r="K25" i="33"/>
  <c r="K709" i="33"/>
  <c r="K196" i="33"/>
  <c r="K229" i="33"/>
  <c r="K202" i="33"/>
  <c r="K20" i="33"/>
  <c r="K662" i="33"/>
  <c r="K762" i="35" l="1"/>
  <c r="K764" i="35" s="1"/>
  <c r="L764" i="35" s="1"/>
  <c r="N764" i="35" s="1"/>
  <c r="L29" i="35"/>
  <c r="L549" i="35"/>
  <c r="J786" i="35"/>
  <c r="M29" i="35"/>
  <c r="J762" i="35"/>
  <c r="G773" i="34"/>
  <c r="G774" i="34"/>
  <c r="J774" i="34"/>
  <c r="L762" i="34"/>
  <c r="J773" i="34"/>
  <c r="M549" i="34"/>
  <c r="L549" i="34"/>
  <c r="K43" i="33"/>
  <c r="K401" i="33"/>
  <c r="K370" i="33" s="1"/>
  <c r="K751" i="33"/>
  <c r="K738" i="33" s="1"/>
  <c r="K304" i="33"/>
  <c r="K272" i="33" s="1"/>
  <c r="K19" i="33"/>
  <c r="K201" i="33"/>
  <c r="K190" i="33"/>
  <c r="K506" i="33"/>
  <c r="K457" i="33"/>
  <c r="K708" i="33"/>
  <c r="K442" i="33"/>
  <c r="K534" i="33"/>
  <c r="K637" i="33"/>
  <c r="K350" i="33"/>
  <c r="K24" i="33"/>
  <c r="K213" i="33"/>
  <c r="K334" i="33"/>
  <c r="K59" i="33"/>
  <c r="K163" i="33"/>
  <c r="K717" i="33"/>
  <c r="K172" i="33"/>
  <c r="K324" i="33"/>
  <c r="K9" i="33"/>
  <c r="K588" i="33"/>
  <c r="K551" i="33"/>
  <c r="N762" i="35" l="1"/>
  <c r="J774" i="35"/>
  <c r="L762" i="35"/>
  <c r="J773" i="35"/>
  <c r="K701" i="33"/>
  <c r="K636" i="33"/>
  <c r="K421" i="33"/>
  <c r="K183" i="33"/>
  <c r="K587" i="33"/>
  <c r="K162" i="33"/>
  <c r="K333" i="33"/>
  <c r="K737" i="33"/>
  <c r="K30" i="33"/>
  <c r="K228" i="33"/>
  <c r="K349" i="33"/>
  <c r="K513" i="33"/>
  <c r="K18" i="33"/>
  <c r="K8" i="33" s="1"/>
  <c r="K505" i="33"/>
  <c r="K29" i="33" l="1"/>
  <c r="K550" i="33"/>
  <c r="K549" i="33" s="1"/>
  <c r="K512" i="33"/>
  <c r="K7" i="33"/>
  <c r="K762" i="33" l="1"/>
  <c r="K764" i="33" s="1"/>
  <c r="L764" i="33" s="1"/>
  <c r="N764" i="33" s="1"/>
  <c r="J369" i="33" l="1"/>
  <c r="J12" i="33" l="1"/>
  <c r="J116" i="33"/>
  <c r="J40" i="33"/>
  <c r="L12" i="33" l="1"/>
  <c r="J446" i="33"/>
  <c r="L446" i="33" l="1"/>
  <c r="J149" i="33"/>
  <c r="J150" i="33"/>
  <c r="J136" i="33"/>
  <c r="J309" i="33"/>
  <c r="J419" i="33"/>
  <c r="J417" i="33"/>
  <c r="J420" i="33"/>
  <c r="J437" i="33"/>
  <c r="J328" i="33"/>
  <c r="J482" i="33"/>
  <c r="J479" i="33"/>
  <c r="I369" i="33"/>
  <c r="J411" i="33"/>
  <c r="C13" i="14"/>
  <c r="E13" i="14" s="1"/>
  <c r="L482" i="33" l="1"/>
  <c r="L328" i="33"/>
  <c r="L150" i="33"/>
  <c r="L411" i="33"/>
  <c r="L419" i="33"/>
  <c r="L479" i="33"/>
  <c r="J478" i="33"/>
  <c r="J481" i="33"/>
  <c r="J410" i="33"/>
  <c r="J327" i="33"/>
  <c r="J418" i="33"/>
  <c r="L327" i="33" l="1"/>
  <c r="L410" i="33"/>
  <c r="L481" i="33"/>
  <c r="L418" i="33"/>
  <c r="L478" i="33"/>
  <c r="J632" i="33"/>
  <c r="C18" i="14" l="1"/>
  <c r="E18" i="14" s="1"/>
  <c r="C60" i="14"/>
  <c r="E60" i="14" s="1"/>
  <c r="G813" i="33" l="1"/>
  <c r="J810" i="33"/>
  <c r="I810" i="33"/>
  <c r="J772" i="33"/>
  <c r="I772" i="33"/>
  <c r="G772" i="33"/>
  <c r="G767" i="33"/>
  <c r="I766" i="33"/>
  <c r="I765" i="33"/>
  <c r="I764" i="33"/>
  <c r="J760" i="33"/>
  <c r="J755" i="33"/>
  <c r="J749" i="33"/>
  <c r="I748" i="33"/>
  <c r="I747" i="33" s="1"/>
  <c r="G748" i="33"/>
  <c r="M748" i="33" s="1"/>
  <c r="J747" i="33"/>
  <c r="H747" i="33"/>
  <c r="I746" i="33"/>
  <c r="I745" i="33" s="1"/>
  <c r="I744" i="33" s="1"/>
  <c r="G746" i="33"/>
  <c r="M746" i="33" s="1"/>
  <c r="J745" i="33"/>
  <c r="H745" i="33"/>
  <c r="H744" i="33" s="1"/>
  <c r="I743" i="33"/>
  <c r="I742" i="33" s="1"/>
  <c r="I741" i="33" s="1"/>
  <c r="I740" i="33" s="1"/>
  <c r="I739" i="33" s="1"/>
  <c r="I738" i="33" s="1"/>
  <c r="I737" i="33" s="1"/>
  <c r="G743" i="33"/>
  <c r="M743" i="33" s="1"/>
  <c r="J742" i="33"/>
  <c r="H742" i="33"/>
  <c r="H741" i="33" s="1"/>
  <c r="H735" i="33"/>
  <c r="H734" i="33" s="1"/>
  <c r="G735" i="33"/>
  <c r="M735" i="33" s="1"/>
  <c r="H732" i="33"/>
  <c r="H731" i="33" s="1"/>
  <c r="G732" i="33"/>
  <c r="H729" i="33"/>
  <c r="H728" i="33" s="1"/>
  <c r="G729" i="33"/>
  <c r="G727" i="33"/>
  <c r="J726" i="33"/>
  <c r="I726" i="33"/>
  <c r="I725" i="33" s="1"/>
  <c r="I724" i="33" s="1"/>
  <c r="I720" i="33" s="1"/>
  <c r="I719" i="33" s="1"/>
  <c r="I718" i="33" s="1"/>
  <c r="I717" i="33" s="1"/>
  <c r="H726" i="33"/>
  <c r="H725" i="33" s="1"/>
  <c r="H722" i="33"/>
  <c r="H721" i="33" s="1"/>
  <c r="G722" i="33"/>
  <c r="M722" i="33" s="1"/>
  <c r="G716" i="33"/>
  <c r="J715" i="33"/>
  <c r="I715" i="33"/>
  <c r="I712" i="33" s="1"/>
  <c r="I711" i="33" s="1"/>
  <c r="I710" i="33" s="1"/>
  <c r="I709" i="33" s="1"/>
  <c r="I708" i="33" s="1"/>
  <c r="H715" i="33"/>
  <c r="G715" i="33"/>
  <c r="G714" i="33"/>
  <c r="G713" i="33" s="1"/>
  <c r="J713" i="33"/>
  <c r="H713" i="33"/>
  <c r="J706" i="33"/>
  <c r="I706" i="33"/>
  <c r="I705" i="33" s="1"/>
  <c r="I704" i="33" s="1"/>
  <c r="I703" i="33" s="1"/>
  <c r="I702" i="33" s="1"/>
  <c r="H706" i="33"/>
  <c r="H705" i="33" s="1"/>
  <c r="H704" i="33" s="1"/>
  <c r="H703" i="33" s="1"/>
  <c r="H702" i="33" s="1"/>
  <c r="G706" i="33"/>
  <c r="G705" i="33" s="1"/>
  <c r="G704" i="33" s="1"/>
  <c r="G703" i="33" s="1"/>
  <c r="G702" i="33" s="1"/>
  <c r="G700" i="33"/>
  <c r="G699" i="33" s="1"/>
  <c r="G698" i="33" s="1"/>
  <c r="J699" i="33"/>
  <c r="I699" i="33"/>
  <c r="I698" i="33" s="1"/>
  <c r="H699" i="33"/>
  <c r="H698" i="33" s="1"/>
  <c r="J696" i="33"/>
  <c r="I696" i="33"/>
  <c r="H696" i="33"/>
  <c r="G696" i="33"/>
  <c r="G695" i="33"/>
  <c r="M695" i="33" s="1"/>
  <c r="J694" i="33"/>
  <c r="I694" i="33"/>
  <c r="H694" i="33"/>
  <c r="G693" i="33"/>
  <c r="G692" i="33" s="1"/>
  <c r="J692" i="33"/>
  <c r="I692" i="33"/>
  <c r="H692" i="33"/>
  <c r="I689" i="33"/>
  <c r="H689" i="33"/>
  <c r="G689" i="33"/>
  <c r="G688" i="33"/>
  <c r="M688" i="33" s="1"/>
  <c r="J687" i="33"/>
  <c r="I687" i="33"/>
  <c r="H687" i="33"/>
  <c r="G686" i="33"/>
  <c r="M686" i="33" s="1"/>
  <c r="J685" i="33"/>
  <c r="I685" i="33"/>
  <c r="H685" i="33"/>
  <c r="J679" i="33"/>
  <c r="I679" i="33"/>
  <c r="H679" i="33"/>
  <c r="G679" i="33"/>
  <c r="G678" i="33" s="1"/>
  <c r="G677" i="33" s="1"/>
  <c r="J678" i="33"/>
  <c r="I678" i="33"/>
  <c r="I677" i="33" s="1"/>
  <c r="H678" i="33"/>
  <c r="H677" i="33" s="1"/>
  <c r="J675" i="33"/>
  <c r="I675" i="33"/>
  <c r="J673" i="33"/>
  <c r="I673" i="33"/>
  <c r="H673" i="33"/>
  <c r="G673" i="33"/>
  <c r="J671" i="33"/>
  <c r="I671" i="33"/>
  <c r="H671" i="33"/>
  <c r="H670" i="33" s="1"/>
  <c r="H669" i="33" s="1"/>
  <c r="G671" i="33"/>
  <c r="J667" i="33"/>
  <c r="I667" i="33"/>
  <c r="I666" i="33" s="1"/>
  <c r="I665" i="33" s="1"/>
  <c r="H667" i="33"/>
  <c r="H666" i="33" s="1"/>
  <c r="H665" i="33" s="1"/>
  <c r="G667" i="33"/>
  <c r="G666" i="33" s="1"/>
  <c r="G665" i="33" s="1"/>
  <c r="H660" i="33"/>
  <c r="H659" i="33" s="1"/>
  <c r="I657" i="33"/>
  <c r="I656" i="33" s="1"/>
  <c r="H657" i="33"/>
  <c r="H656" i="33" s="1"/>
  <c r="G657" i="33"/>
  <c r="J654" i="33"/>
  <c r="I654" i="33"/>
  <c r="I653" i="33" s="1"/>
  <c r="H654" i="33"/>
  <c r="H653" i="33" s="1"/>
  <c r="G654" i="33"/>
  <c r="G653" i="33" s="1"/>
  <c r="J653" i="33"/>
  <c r="J651" i="33"/>
  <c r="I651" i="33"/>
  <c r="I650" i="33" s="1"/>
  <c r="H651" i="33"/>
  <c r="H650" i="33" s="1"/>
  <c r="G651" i="33"/>
  <c r="G650" i="33" s="1"/>
  <c r="H648" i="33"/>
  <c r="H647" i="33" s="1"/>
  <c r="G648" i="33"/>
  <c r="J645" i="33"/>
  <c r="I645" i="33"/>
  <c r="H645" i="33"/>
  <c r="H644" i="33" s="1"/>
  <c r="G645" i="33"/>
  <c r="G644" i="33" s="1"/>
  <c r="J644" i="33"/>
  <c r="I644" i="33"/>
  <c r="G642" i="33"/>
  <c r="M642" i="33" s="1"/>
  <c r="J641" i="33"/>
  <c r="I641" i="33"/>
  <c r="I640" i="33" s="1"/>
  <c r="I639" i="33" s="1"/>
  <c r="H641" i="33"/>
  <c r="H640" i="33" s="1"/>
  <c r="H639" i="33" s="1"/>
  <c r="G635" i="33"/>
  <c r="G634" i="33" s="1"/>
  <c r="M634" i="33" s="1"/>
  <c r="H634" i="33"/>
  <c r="H633" i="33" s="1"/>
  <c r="J631" i="33"/>
  <c r="I631" i="33"/>
  <c r="I630" i="33" s="1"/>
  <c r="I629" i="33" s="1"/>
  <c r="H631" i="33"/>
  <c r="H630" i="33" s="1"/>
  <c r="H629" i="33" s="1"/>
  <c r="G631" i="33"/>
  <c r="G630" i="33" s="1"/>
  <c r="G629" i="33" s="1"/>
  <c r="J627" i="33"/>
  <c r="I627" i="33"/>
  <c r="H627" i="33"/>
  <c r="H626" i="33" s="1"/>
  <c r="H625" i="33" s="1"/>
  <c r="G627" i="33"/>
  <c r="G626" i="33" s="1"/>
  <c r="G625" i="33" s="1"/>
  <c r="J626" i="33"/>
  <c r="I626" i="33"/>
  <c r="I625" i="33" s="1"/>
  <c r="G624" i="33"/>
  <c r="M624" i="33" s="1"/>
  <c r="H623" i="33"/>
  <c r="H622" i="33" s="1"/>
  <c r="G621" i="33"/>
  <c r="G620" i="33" s="1"/>
  <c r="G619" i="33" s="1"/>
  <c r="J620" i="33"/>
  <c r="I620" i="33"/>
  <c r="I619" i="33" s="1"/>
  <c r="H620" i="33"/>
  <c r="H619" i="33" s="1"/>
  <c r="G618" i="33"/>
  <c r="G617" i="33" s="1"/>
  <c r="G616" i="33" s="1"/>
  <c r="J617" i="33"/>
  <c r="I617" i="33"/>
  <c r="I616" i="33" s="1"/>
  <c r="H617" i="33"/>
  <c r="H616" i="33" s="1"/>
  <c r="G615" i="33"/>
  <c r="M615" i="33" s="1"/>
  <c r="J614" i="33"/>
  <c r="I614" i="33"/>
  <c r="I613" i="33" s="1"/>
  <c r="H614" i="33"/>
  <c r="H613" i="33" s="1"/>
  <c r="G612" i="33"/>
  <c r="J611" i="33"/>
  <c r="I611" i="33"/>
  <c r="I610" i="33" s="1"/>
  <c r="H611" i="33"/>
  <c r="H610" i="33" s="1"/>
  <c r="G611" i="33"/>
  <c r="G610" i="33" s="1"/>
  <c r="J608" i="33"/>
  <c r="I608" i="33"/>
  <c r="H608" i="33"/>
  <c r="H607" i="33" s="1"/>
  <c r="G608" i="33"/>
  <c r="G607" i="33" s="1"/>
  <c r="J607" i="33"/>
  <c r="I607" i="33"/>
  <c r="J604" i="33"/>
  <c r="I604" i="33"/>
  <c r="I603" i="33" s="1"/>
  <c r="H604" i="33"/>
  <c r="H603" i="33" s="1"/>
  <c r="G604" i="33"/>
  <c r="G603" i="33" s="1"/>
  <c r="H600" i="33"/>
  <c r="G600" i="33"/>
  <c r="G599" i="33"/>
  <c r="G598" i="33" s="1"/>
  <c r="G597" i="33" s="1"/>
  <c r="J598" i="33"/>
  <c r="I598" i="33"/>
  <c r="I597" i="33" s="1"/>
  <c r="H598" i="33"/>
  <c r="H597" i="33" s="1"/>
  <c r="J596" i="33"/>
  <c r="G596" i="33"/>
  <c r="M596" i="33" s="1"/>
  <c r="J595" i="33"/>
  <c r="I595" i="33"/>
  <c r="I594" i="33" s="1"/>
  <c r="H595" i="33"/>
  <c r="H594" i="33" s="1"/>
  <c r="J592" i="33"/>
  <c r="I592" i="33"/>
  <c r="I591" i="33" s="1"/>
  <c r="H592" i="33"/>
  <c r="H591" i="33" s="1"/>
  <c r="G592" i="33"/>
  <c r="G591" i="33" s="1"/>
  <c r="H585" i="33"/>
  <c r="H584" i="33" s="1"/>
  <c r="H583" i="33" s="1"/>
  <c r="G585" i="33"/>
  <c r="H582" i="33"/>
  <c r="H581" i="33" s="1"/>
  <c r="H580" i="33" s="1"/>
  <c r="G582" i="33"/>
  <c r="G581" i="33" s="1"/>
  <c r="G580" i="33" s="1"/>
  <c r="J581" i="33"/>
  <c r="I581" i="33"/>
  <c r="I580" i="33" s="1"/>
  <c r="H578" i="33"/>
  <c r="H577" i="33" s="1"/>
  <c r="G578" i="33"/>
  <c r="G576" i="33"/>
  <c r="M576" i="33" s="1"/>
  <c r="H575" i="33"/>
  <c r="H574" i="33" s="1"/>
  <c r="G573" i="33"/>
  <c r="M573" i="33" s="1"/>
  <c r="J572" i="33"/>
  <c r="I572" i="33"/>
  <c r="I571" i="33" s="1"/>
  <c r="H572" i="33"/>
  <c r="H571" i="33" s="1"/>
  <c r="G570" i="33"/>
  <c r="G569" i="33" s="1"/>
  <c r="G568" i="33" s="1"/>
  <c r="J569" i="33"/>
  <c r="I569" i="33"/>
  <c r="I568" i="33" s="1"/>
  <c r="H569" i="33"/>
  <c r="H568" i="33" s="1"/>
  <c r="J566" i="33"/>
  <c r="H566" i="33"/>
  <c r="H565" i="33" s="1"/>
  <c r="G566" i="33"/>
  <c r="G565" i="33" s="1"/>
  <c r="I565" i="33"/>
  <c r="J563" i="33"/>
  <c r="I563" i="33"/>
  <c r="I562" i="33" s="1"/>
  <c r="H563" i="33"/>
  <c r="H562" i="33" s="1"/>
  <c r="G563" i="33"/>
  <c r="G562" i="33" s="1"/>
  <c r="G560" i="33"/>
  <c r="J559" i="33"/>
  <c r="I559" i="33"/>
  <c r="I558" i="33" s="1"/>
  <c r="H559" i="33"/>
  <c r="H558" i="33" s="1"/>
  <c r="G559" i="33"/>
  <c r="G558" i="33" s="1"/>
  <c r="J557" i="33"/>
  <c r="J556" i="33" s="1"/>
  <c r="G557" i="33"/>
  <c r="M557" i="33" s="1"/>
  <c r="I556" i="33"/>
  <c r="I555" i="33" s="1"/>
  <c r="H556" i="33"/>
  <c r="H555" i="33" s="1"/>
  <c r="J547" i="33"/>
  <c r="I543" i="33"/>
  <c r="I542" i="33" s="1"/>
  <c r="I541" i="33" s="1"/>
  <c r="I540" i="33" s="1"/>
  <c r="J542" i="33"/>
  <c r="G542" i="33"/>
  <c r="G541" i="33" s="1"/>
  <c r="G540" i="33" s="1"/>
  <c r="H540" i="33"/>
  <c r="H534" i="33" s="1"/>
  <c r="I539" i="33"/>
  <c r="I538" i="33" s="1"/>
  <c r="I537" i="33" s="1"/>
  <c r="I536" i="33" s="1"/>
  <c r="I535" i="33" s="1"/>
  <c r="J538" i="33"/>
  <c r="G538" i="33"/>
  <c r="G537" i="33" s="1"/>
  <c r="G536" i="33" s="1"/>
  <c r="G535" i="33" s="1"/>
  <c r="H532" i="33"/>
  <c r="H531" i="33" s="1"/>
  <c r="H530" i="33" s="1"/>
  <c r="H529" i="33" s="1"/>
  <c r="G532" i="33"/>
  <c r="I528" i="33"/>
  <c r="I527" i="33" s="1"/>
  <c r="I526" i="33" s="1"/>
  <c r="J527" i="33"/>
  <c r="G527" i="33"/>
  <c r="G526" i="33" s="1"/>
  <c r="H526" i="33"/>
  <c r="I525" i="33"/>
  <c r="I524" i="33" s="1"/>
  <c r="J524" i="33"/>
  <c r="G524" i="33"/>
  <c r="I523" i="33"/>
  <c r="I522" i="33" s="1"/>
  <c r="J522" i="33"/>
  <c r="G522" i="33"/>
  <c r="I521" i="33"/>
  <c r="I520" i="33" s="1"/>
  <c r="G521" i="33"/>
  <c r="M521" i="33" s="1"/>
  <c r="J520" i="33"/>
  <c r="H519" i="33"/>
  <c r="I518" i="33"/>
  <c r="I517" i="33" s="1"/>
  <c r="I516" i="33" s="1"/>
  <c r="G518" i="33"/>
  <c r="M518" i="33" s="1"/>
  <c r="J517" i="33"/>
  <c r="H516" i="33"/>
  <c r="G511" i="33"/>
  <c r="M511" i="33" s="1"/>
  <c r="J510" i="33"/>
  <c r="I510" i="33"/>
  <c r="I509" i="33" s="1"/>
  <c r="I508" i="33" s="1"/>
  <c r="I507" i="33" s="1"/>
  <c r="I506" i="33" s="1"/>
  <c r="I505" i="33" s="1"/>
  <c r="I785" i="33" s="1"/>
  <c r="H509" i="33"/>
  <c r="H508" i="33" s="1"/>
  <c r="H507" i="33" s="1"/>
  <c r="H506" i="33" s="1"/>
  <c r="H505" i="33" s="1"/>
  <c r="J503" i="33"/>
  <c r="I503" i="33"/>
  <c r="I502" i="33" s="1"/>
  <c r="I501" i="33" s="1"/>
  <c r="I500" i="33" s="1"/>
  <c r="I804" i="33" s="1"/>
  <c r="G503" i="33"/>
  <c r="G502" i="33" s="1"/>
  <c r="G501" i="33" s="1"/>
  <c r="G500" i="33" s="1"/>
  <c r="G804" i="33" s="1"/>
  <c r="H502" i="33"/>
  <c r="H501" i="33" s="1"/>
  <c r="H500" i="33" s="1"/>
  <c r="J498" i="33"/>
  <c r="I498" i="33"/>
  <c r="I497" i="33" s="1"/>
  <c r="J495" i="33"/>
  <c r="I495" i="33"/>
  <c r="I494" i="33" s="1"/>
  <c r="G493" i="33"/>
  <c r="G492" i="33" s="1"/>
  <c r="G491" i="33" s="1"/>
  <c r="J492" i="33"/>
  <c r="H491" i="33"/>
  <c r="G490" i="33"/>
  <c r="M490" i="33" s="1"/>
  <c r="J489" i="33"/>
  <c r="H488" i="33"/>
  <c r="H487" i="33"/>
  <c r="G487" i="33"/>
  <c r="G486" i="33" s="1"/>
  <c r="G485" i="33" s="1"/>
  <c r="J486" i="33"/>
  <c r="I486" i="33"/>
  <c r="I485" i="33" s="1"/>
  <c r="H486" i="33"/>
  <c r="H485" i="33" s="1"/>
  <c r="J476" i="33"/>
  <c r="I476" i="33"/>
  <c r="I475" i="33" s="1"/>
  <c r="G476" i="33"/>
  <c r="G475" i="33" s="1"/>
  <c r="H475" i="33"/>
  <c r="J473" i="33"/>
  <c r="I473" i="33"/>
  <c r="I472" i="33" s="1"/>
  <c r="G473" i="33"/>
  <c r="G472" i="33" s="1"/>
  <c r="H472" i="33"/>
  <c r="J471" i="33"/>
  <c r="H471" i="33"/>
  <c r="G471" i="33"/>
  <c r="G470" i="33" s="1"/>
  <c r="G469" i="33" s="1"/>
  <c r="J470" i="33"/>
  <c r="H470" i="33"/>
  <c r="H469" i="33" s="1"/>
  <c r="J467" i="33"/>
  <c r="G467" i="33"/>
  <c r="G466" i="33" s="1"/>
  <c r="H466" i="33"/>
  <c r="J464" i="33"/>
  <c r="I464" i="33"/>
  <c r="G464" i="33"/>
  <c r="G463" i="33"/>
  <c r="M463" i="33" s="1"/>
  <c r="J462" i="33"/>
  <c r="I462" i="33"/>
  <c r="H461" i="33"/>
  <c r="G456" i="33"/>
  <c r="J455" i="33"/>
  <c r="I455" i="33"/>
  <c r="I454" i="33" s="1"/>
  <c r="G455" i="33"/>
  <c r="G454" i="33" s="1"/>
  <c r="H454" i="33"/>
  <c r="J452" i="33"/>
  <c r="I452" i="33"/>
  <c r="I451" i="33" s="1"/>
  <c r="G452" i="33"/>
  <c r="G451" i="33" s="1"/>
  <c r="H451" i="33"/>
  <c r="G449" i="33"/>
  <c r="G810" i="33" s="1"/>
  <c r="J448" i="33"/>
  <c r="I448" i="33"/>
  <c r="G448" i="33"/>
  <c r="I446" i="33"/>
  <c r="G446" i="33"/>
  <c r="M446" i="33" s="1"/>
  <c r="H445" i="33"/>
  <c r="G441" i="33"/>
  <c r="M441" i="33" s="1"/>
  <c r="J440" i="33"/>
  <c r="I440" i="33"/>
  <c r="I439" i="33" s="1"/>
  <c r="I438" i="33" s="1"/>
  <c r="H439" i="33"/>
  <c r="H438" i="33" s="1"/>
  <c r="G437" i="33"/>
  <c r="J436" i="33"/>
  <c r="I436" i="33"/>
  <c r="I435" i="33" s="1"/>
  <c r="I434" i="33" s="1"/>
  <c r="I433" i="33" s="1"/>
  <c r="I797" i="33" s="1"/>
  <c r="G436" i="33"/>
  <c r="G435" i="33" s="1"/>
  <c r="G434" i="33" s="1"/>
  <c r="G433" i="33" s="1"/>
  <c r="G797" i="33" s="1"/>
  <c r="H435" i="33"/>
  <c r="H434" i="33" s="1"/>
  <c r="H433" i="33" s="1"/>
  <c r="J431" i="33"/>
  <c r="I431" i="33"/>
  <c r="I430" i="33" s="1"/>
  <c r="I429" i="33" s="1"/>
  <c r="I428" i="33" s="1"/>
  <c r="G431" i="33"/>
  <c r="G430" i="33" s="1"/>
  <c r="G429" i="33" s="1"/>
  <c r="G428" i="33" s="1"/>
  <c r="H430" i="33"/>
  <c r="H429" i="33" s="1"/>
  <c r="H428" i="33" s="1"/>
  <c r="J425" i="33"/>
  <c r="I425" i="33"/>
  <c r="I424" i="33" s="1"/>
  <c r="I423" i="33" s="1"/>
  <c r="I422" i="33" s="1"/>
  <c r="G425" i="33"/>
  <c r="G424" i="33" s="1"/>
  <c r="G423" i="33" s="1"/>
  <c r="G422" i="33" s="1"/>
  <c r="H424" i="33"/>
  <c r="H423" i="33" s="1"/>
  <c r="H422" i="33" s="1"/>
  <c r="I417" i="33"/>
  <c r="G417" i="33"/>
  <c r="G416" i="33" s="1"/>
  <c r="G415" i="33" s="1"/>
  <c r="G414" i="33" s="1"/>
  <c r="G413" i="33" s="1"/>
  <c r="J416" i="33"/>
  <c r="I416" i="33"/>
  <c r="I415" i="33" s="1"/>
  <c r="I414" i="33" s="1"/>
  <c r="I413" i="33" s="1"/>
  <c r="I401" i="33" s="1"/>
  <c r="H415" i="33"/>
  <c r="H414" i="33" s="1"/>
  <c r="H413" i="33" s="1"/>
  <c r="J408" i="33"/>
  <c r="G408" i="33"/>
  <c r="G407" i="33" s="1"/>
  <c r="J405" i="33"/>
  <c r="H405" i="33"/>
  <c r="H404" i="33" s="1"/>
  <c r="H403" i="33" s="1"/>
  <c r="H402" i="33" s="1"/>
  <c r="H401" i="33" s="1"/>
  <c r="G405" i="33"/>
  <c r="G404" i="33" s="1"/>
  <c r="G400" i="33"/>
  <c r="J399" i="33"/>
  <c r="G399" i="33"/>
  <c r="G398" i="33" s="1"/>
  <c r="H398" i="33"/>
  <c r="G396" i="33"/>
  <c r="G395" i="33" s="1"/>
  <c r="G394" i="33" s="1"/>
  <c r="J395" i="33"/>
  <c r="I395" i="33"/>
  <c r="I394" i="33" s="1"/>
  <c r="I393" i="33" s="1"/>
  <c r="H394" i="33"/>
  <c r="G392" i="33"/>
  <c r="J391" i="33"/>
  <c r="G391" i="33"/>
  <c r="G390" i="33" s="1"/>
  <c r="H390" i="33"/>
  <c r="G389" i="33"/>
  <c r="G388" i="33" s="1"/>
  <c r="G387" i="33" s="1"/>
  <c r="J388" i="33"/>
  <c r="H387" i="33"/>
  <c r="I386" i="33"/>
  <c r="I385" i="33" s="1"/>
  <c r="I384" i="33" s="1"/>
  <c r="I383" i="33" s="1"/>
  <c r="G386" i="33"/>
  <c r="M386" i="33" s="1"/>
  <c r="J385" i="33"/>
  <c r="H384" i="33"/>
  <c r="J381" i="33"/>
  <c r="I381" i="33"/>
  <c r="I380" i="33" s="1"/>
  <c r="J378" i="33"/>
  <c r="I378" i="33"/>
  <c r="I377" i="33" s="1"/>
  <c r="I376" i="33"/>
  <c r="I375" i="33" s="1"/>
  <c r="I374" i="33" s="1"/>
  <c r="G376" i="33"/>
  <c r="M376" i="33" s="1"/>
  <c r="J375" i="33"/>
  <c r="H374" i="33"/>
  <c r="H373" i="33" s="1"/>
  <c r="J368" i="33"/>
  <c r="I368" i="33"/>
  <c r="I367" i="33" s="1"/>
  <c r="I366" i="33" s="1"/>
  <c r="G365" i="33"/>
  <c r="G364" i="33" s="1"/>
  <c r="M364" i="33" s="1"/>
  <c r="H363" i="33"/>
  <c r="G361" i="33"/>
  <c r="J357" i="33"/>
  <c r="I357" i="33"/>
  <c r="I356" i="33" s="1"/>
  <c r="G357" i="33"/>
  <c r="G356" i="33" s="1"/>
  <c r="H356" i="33"/>
  <c r="I355" i="33"/>
  <c r="I354" i="33" s="1"/>
  <c r="I353" i="33" s="1"/>
  <c r="G355" i="33"/>
  <c r="M355" i="33" s="1"/>
  <c r="J354" i="33"/>
  <c r="H353" i="33"/>
  <c r="I348" i="33"/>
  <c r="I347" i="33" s="1"/>
  <c r="I346" i="33" s="1"/>
  <c r="I345" i="33" s="1"/>
  <c r="I344" i="33" s="1"/>
  <c r="I800" i="33" s="1"/>
  <c r="G348" i="33"/>
  <c r="J347" i="33"/>
  <c r="G347" i="33"/>
  <c r="H346" i="33"/>
  <c r="H345" i="33"/>
  <c r="H344" i="33" s="1"/>
  <c r="I343" i="33"/>
  <c r="I342" i="33" s="1"/>
  <c r="I341" i="33" s="1"/>
  <c r="I340" i="33" s="1"/>
  <c r="J342" i="33"/>
  <c r="G342" i="33"/>
  <c r="G341" i="33" s="1"/>
  <c r="G340" i="33" s="1"/>
  <c r="H341" i="33"/>
  <c r="H340" i="33" s="1"/>
  <c r="I339" i="33"/>
  <c r="I338" i="33" s="1"/>
  <c r="I337" i="33" s="1"/>
  <c r="I336" i="33" s="1"/>
  <c r="J338" i="33"/>
  <c r="G338" i="33"/>
  <c r="G337" i="33" s="1"/>
  <c r="G336" i="33" s="1"/>
  <c r="H337" i="33"/>
  <c r="H336" i="33" s="1"/>
  <c r="J331" i="33"/>
  <c r="I331" i="33"/>
  <c r="I330" i="33" s="1"/>
  <c r="I326" i="33" s="1"/>
  <c r="I325" i="33" s="1"/>
  <c r="I324" i="33" s="1"/>
  <c r="G331" i="33"/>
  <c r="G330" i="33" s="1"/>
  <c r="H330" i="33"/>
  <c r="G328" i="33"/>
  <c r="M328" i="33" s="1"/>
  <c r="H327" i="33"/>
  <c r="G323" i="33"/>
  <c r="M323" i="33" s="1"/>
  <c r="H321" i="33"/>
  <c r="I320" i="33"/>
  <c r="I319" i="33" s="1"/>
  <c r="I318" i="33" s="1"/>
  <c r="G320" i="33"/>
  <c r="G319" i="33" s="1"/>
  <c r="G318" i="33" s="1"/>
  <c r="J319" i="33"/>
  <c r="H318" i="33"/>
  <c r="I317" i="33"/>
  <c r="I316" i="33" s="1"/>
  <c r="I315" i="33" s="1"/>
  <c r="J316" i="33"/>
  <c r="G316" i="33"/>
  <c r="G315" i="33" s="1"/>
  <c r="H315" i="33"/>
  <c r="G312" i="33"/>
  <c r="G311" i="33" s="1"/>
  <c r="M311" i="33" s="1"/>
  <c r="H310" i="33"/>
  <c r="I309" i="33"/>
  <c r="I308" i="33" s="1"/>
  <c r="I307" i="33" s="1"/>
  <c r="I306" i="33" s="1"/>
  <c r="I305" i="33" s="1"/>
  <c r="G309" i="33"/>
  <c r="J308" i="33"/>
  <c r="G308" i="33"/>
  <c r="G307" i="33" s="1"/>
  <c r="G306" i="33" s="1"/>
  <c r="H307" i="33"/>
  <c r="H306" i="33" s="1"/>
  <c r="G303" i="33"/>
  <c r="J302" i="33"/>
  <c r="G302" i="33"/>
  <c r="G301" i="33" s="1"/>
  <c r="H301" i="33"/>
  <c r="G300" i="33"/>
  <c r="G299" i="33" s="1"/>
  <c r="M299" i="33" s="1"/>
  <c r="H298" i="33"/>
  <c r="I297" i="33"/>
  <c r="I296" i="33" s="1"/>
  <c r="I295" i="33" s="1"/>
  <c r="G297" i="33"/>
  <c r="M297" i="33" s="1"/>
  <c r="J296" i="33"/>
  <c r="H295" i="33"/>
  <c r="I294" i="33"/>
  <c r="I293" i="33" s="1"/>
  <c r="I292" i="33" s="1"/>
  <c r="G294" i="33"/>
  <c r="G293" i="33" s="1"/>
  <c r="G292" i="33" s="1"/>
  <c r="J293" i="33"/>
  <c r="H292" i="33"/>
  <c r="I291" i="33"/>
  <c r="I290" i="33" s="1"/>
  <c r="I289" i="33" s="1"/>
  <c r="G291" i="33"/>
  <c r="M291" i="33" s="1"/>
  <c r="J290" i="33"/>
  <c r="H289" i="33"/>
  <c r="H285" i="33"/>
  <c r="H284" i="33" s="1"/>
  <c r="G285" i="33"/>
  <c r="I283" i="33"/>
  <c r="I282" i="33" s="1"/>
  <c r="I281" i="33" s="1"/>
  <c r="J282" i="33"/>
  <c r="G282" i="33"/>
  <c r="G281" i="33" s="1"/>
  <c r="H281" i="33"/>
  <c r="I280" i="33"/>
  <c r="I279" i="33" s="1"/>
  <c r="I278" i="33" s="1"/>
  <c r="J279" i="33"/>
  <c r="H279" i="33"/>
  <c r="H278" i="33" s="1"/>
  <c r="G279" i="33"/>
  <c r="G278" i="33" s="1"/>
  <c r="I277" i="33"/>
  <c r="I276" i="33" s="1"/>
  <c r="I275" i="33" s="1"/>
  <c r="G277" i="33"/>
  <c r="G276" i="33" s="1"/>
  <c r="G275" i="33" s="1"/>
  <c r="J276" i="33"/>
  <c r="H275" i="33"/>
  <c r="J270" i="33"/>
  <c r="G270" i="33"/>
  <c r="G269" i="33" s="1"/>
  <c r="G268" i="33" s="1"/>
  <c r="H269" i="33"/>
  <c r="H268" i="33" s="1"/>
  <c r="H266" i="33"/>
  <c r="H265" i="33" s="1"/>
  <c r="G266" i="33"/>
  <c r="H263" i="33"/>
  <c r="H262" i="33" s="1"/>
  <c r="G263" i="33"/>
  <c r="I261" i="33"/>
  <c r="I260" i="33" s="1"/>
  <c r="I259" i="33" s="1"/>
  <c r="J260" i="33"/>
  <c r="G260" i="33"/>
  <c r="G259" i="33" s="1"/>
  <c r="H259" i="33"/>
  <c r="I258" i="33"/>
  <c r="I257" i="33" s="1"/>
  <c r="I256" i="33" s="1"/>
  <c r="J257" i="33"/>
  <c r="G257" i="33"/>
  <c r="G256" i="33" s="1"/>
  <c r="H256" i="33"/>
  <c r="I255" i="33"/>
  <c r="I254" i="33" s="1"/>
  <c r="I253" i="33" s="1"/>
  <c r="G255" i="33"/>
  <c r="M255" i="33" s="1"/>
  <c r="J254" i="33"/>
  <c r="H253" i="33"/>
  <c r="I252" i="33"/>
  <c r="I251" i="33" s="1"/>
  <c r="I250" i="33" s="1"/>
  <c r="G252" i="33"/>
  <c r="M252" i="33" s="1"/>
  <c r="J251" i="33"/>
  <c r="H250" i="33"/>
  <c r="I249" i="33"/>
  <c r="I248" i="33" s="1"/>
  <c r="G249" i="33"/>
  <c r="M249" i="33" s="1"/>
  <c r="J248" i="33"/>
  <c r="J247" i="33"/>
  <c r="I247" i="33"/>
  <c r="I246" i="33" s="1"/>
  <c r="G247" i="33"/>
  <c r="G246" i="33" s="1"/>
  <c r="I245" i="33"/>
  <c r="I244" i="33" s="1"/>
  <c r="G245" i="33"/>
  <c r="M245" i="33" s="1"/>
  <c r="J244" i="33"/>
  <c r="H243" i="33"/>
  <c r="G238" i="33"/>
  <c r="I234" i="33"/>
  <c r="I233" i="33" s="1"/>
  <c r="I232" i="33" s="1"/>
  <c r="I231" i="33" s="1"/>
  <c r="I230" i="33" s="1"/>
  <c r="I229" i="33" s="1"/>
  <c r="G234" i="33"/>
  <c r="G233" i="33" s="1"/>
  <c r="G232" i="33" s="1"/>
  <c r="G231" i="33" s="1"/>
  <c r="G230" i="33" s="1"/>
  <c r="J233" i="33"/>
  <c r="H232" i="33"/>
  <c r="H231" i="33" s="1"/>
  <c r="H230" i="33" s="1"/>
  <c r="H229" i="33" s="1"/>
  <c r="I227" i="33"/>
  <c r="I226" i="33" s="1"/>
  <c r="I225" i="33" s="1"/>
  <c r="I224" i="33" s="1"/>
  <c r="J226" i="33"/>
  <c r="G226" i="33"/>
  <c r="G225" i="33" s="1"/>
  <c r="G224" i="33" s="1"/>
  <c r="H225" i="33"/>
  <c r="H224" i="33" s="1"/>
  <c r="I223" i="33"/>
  <c r="I222" i="33" s="1"/>
  <c r="I221" i="33" s="1"/>
  <c r="I220" i="33" s="1"/>
  <c r="G223" i="33"/>
  <c r="M223" i="33" s="1"/>
  <c r="J222" i="33"/>
  <c r="H221" i="33"/>
  <c r="H220" i="33" s="1"/>
  <c r="I218" i="33"/>
  <c r="I217" i="33" s="1"/>
  <c r="I216" i="33" s="1"/>
  <c r="I215" i="33" s="1"/>
  <c r="I214" i="33" s="1"/>
  <c r="J217" i="33"/>
  <c r="G217" i="33"/>
  <c r="G216" i="33" s="1"/>
  <c r="G215" i="33" s="1"/>
  <c r="G214" i="33" s="1"/>
  <c r="H216" i="33"/>
  <c r="H215" i="33" s="1"/>
  <c r="H214" i="33" s="1"/>
  <c r="I212" i="33"/>
  <c r="I211" i="33" s="1"/>
  <c r="I210" i="33" s="1"/>
  <c r="G212" i="33"/>
  <c r="J211" i="33"/>
  <c r="H211" i="33"/>
  <c r="H210" i="33" s="1"/>
  <c r="J208" i="33"/>
  <c r="H208" i="33"/>
  <c r="H207" i="33" s="1"/>
  <c r="G208" i="33"/>
  <c r="G207" i="33" s="1"/>
  <c r="I206" i="33"/>
  <c r="I205" i="33" s="1"/>
  <c r="I204" i="33" s="1"/>
  <c r="G206" i="33"/>
  <c r="M206" i="33" s="1"/>
  <c r="J205" i="33"/>
  <c r="H204" i="33"/>
  <c r="I200" i="33"/>
  <c r="I199" i="33" s="1"/>
  <c r="I198" i="33" s="1"/>
  <c r="I197" i="33" s="1"/>
  <c r="I196" i="33" s="1"/>
  <c r="I803" i="33" s="1"/>
  <c r="J199" i="33"/>
  <c r="G199" i="33"/>
  <c r="G198" i="33" s="1"/>
  <c r="G197" i="33" s="1"/>
  <c r="G196" i="33" s="1"/>
  <c r="G803" i="33" s="1"/>
  <c r="H198" i="33"/>
  <c r="H197" i="33" s="1"/>
  <c r="H196" i="33" s="1"/>
  <c r="I195" i="33"/>
  <c r="I194" i="33" s="1"/>
  <c r="I193" i="33" s="1"/>
  <c r="I192" i="33" s="1"/>
  <c r="I191" i="33" s="1"/>
  <c r="J194" i="33"/>
  <c r="G194" i="33"/>
  <c r="G193" i="33" s="1"/>
  <c r="G192" i="33" s="1"/>
  <c r="H193" i="33"/>
  <c r="H192" i="33" s="1"/>
  <c r="I189" i="33"/>
  <c r="I188" i="33" s="1"/>
  <c r="I187" i="33" s="1"/>
  <c r="I186" i="33" s="1"/>
  <c r="G189" i="33"/>
  <c r="G188" i="33" s="1"/>
  <c r="G187" i="33" s="1"/>
  <c r="J188" i="33"/>
  <c r="H187" i="33"/>
  <c r="H185" i="33" s="1"/>
  <c r="H184" i="33" s="1"/>
  <c r="I182" i="33"/>
  <c r="I181" i="33" s="1"/>
  <c r="I180" i="33" s="1"/>
  <c r="I179" i="33" s="1"/>
  <c r="I178" i="33" s="1"/>
  <c r="J181" i="33"/>
  <c r="G181" i="33"/>
  <c r="G180" i="33" s="1"/>
  <c r="G179" i="33" s="1"/>
  <c r="G178" i="33" s="1"/>
  <c r="H180" i="33"/>
  <c r="H179" i="33" s="1"/>
  <c r="H178" i="33" s="1"/>
  <c r="I177" i="33"/>
  <c r="I176" i="33" s="1"/>
  <c r="I175" i="33" s="1"/>
  <c r="I174" i="33" s="1"/>
  <c r="I173" i="33" s="1"/>
  <c r="G177" i="33"/>
  <c r="M177" i="33" s="1"/>
  <c r="J176" i="33"/>
  <c r="H175" i="33"/>
  <c r="H174" i="33" s="1"/>
  <c r="H173" i="33" s="1"/>
  <c r="I171" i="33"/>
  <c r="I170" i="33" s="1"/>
  <c r="I169" i="33" s="1"/>
  <c r="G171" i="33"/>
  <c r="M171" i="33" s="1"/>
  <c r="J170" i="33"/>
  <c r="H169" i="33"/>
  <c r="I168" i="33"/>
  <c r="I167" i="33" s="1"/>
  <c r="I166" i="33" s="1"/>
  <c r="I165" i="33" s="1"/>
  <c r="J167" i="33"/>
  <c r="G167" i="33"/>
  <c r="G166" i="33" s="1"/>
  <c r="G165" i="33" s="1"/>
  <c r="H166" i="33"/>
  <c r="H165" i="33" s="1"/>
  <c r="I161" i="33"/>
  <c r="I160" i="33" s="1"/>
  <c r="G161" i="33"/>
  <c r="J160" i="33"/>
  <c r="G160" i="33"/>
  <c r="I159" i="33"/>
  <c r="I158" i="33" s="1"/>
  <c r="G159" i="33"/>
  <c r="G158" i="33" s="1"/>
  <c r="J158" i="33"/>
  <c r="H157" i="33"/>
  <c r="I156" i="33"/>
  <c r="I155" i="33" s="1"/>
  <c r="J155" i="33"/>
  <c r="G155" i="33"/>
  <c r="I154" i="33"/>
  <c r="I153" i="33" s="1"/>
  <c r="J153" i="33"/>
  <c r="G153" i="33"/>
  <c r="H152" i="33"/>
  <c r="I151" i="33"/>
  <c r="I150" i="33" s="1"/>
  <c r="G150" i="33"/>
  <c r="M150" i="33" s="1"/>
  <c r="I149" i="33"/>
  <c r="I148" i="33" s="1"/>
  <c r="J148" i="33"/>
  <c r="G148" i="33"/>
  <c r="H147" i="33"/>
  <c r="I146" i="33"/>
  <c r="I145" i="33" s="1"/>
  <c r="J145" i="33"/>
  <c r="G145" i="33"/>
  <c r="I144" i="33"/>
  <c r="I143" i="33" s="1"/>
  <c r="J143" i="33"/>
  <c r="G143" i="33"/>
  <c r="H142" i="33"/>
  <c r="I141" i="33"/>
  <c r="I140" i="33" s="1"/>
  <c r="I139" i="33" s="1"/>
  <c r="J140" i="33"/>
  <c r="G140" i="33"/>
  <c r="G139" i="33" s="1"/>
  <c r="H139" i="33"/>
  <c r="I138" i="33"/>
  <c r="I137" i="33" s="1"/>
  <c r="G138" i="33"/>
  <c r="G137" i="33" s="1"/>
  <c r="J137" i="33"/>
  <c r="I136" i="33"/>
  <c r="I135" i="33" s="1"/>
  <c r="G136" i="33"/>
  <c r="J135" i="33"/>
  <c r="G135" i="33"/>
  <c r="H134" i="33"/>
  <c r="I132" i="33"/>
  <c r="I131" i="33" s="1"/>
  <c r="I130" i="33" s="1"/>
  <c r="J131" i="33"/>
  <c r="G131" i="33"/>
  <c r="G130" i="33" s="1"/>
  <c r="H130" i="33"/>
  <c r="H128" i="33"/>
  <c r="G128" i="33"/>
  <c r="H126" i="33"/>
  <c r="H125" i="33" s="1"/>
  <c r="G126" i="33"/>
  <c r="I124" i="33"/>
  <c r="G124" i="33"/>
  <c r="J123" i="33"/>
  <c r="I123" i="33"/>
  <c r="G123" i="33"/>
  <c r="G122" i="33" s="1"/>
  <c r="G121" i="33"/>
  <c r="G120" i="33" s="1"/>
  <c r="J120" i="33"/>
  <c r="I120" i="33"/>
  <c r="H119" i="33"/>
  <c r="J118" i="33"/>
  <c r="I118" i="33"/>
  <c r="I117" i="33" s="1"/>
  <c r="G117" i="33"/>
  <c r="I116" i="33"/>
  <c r="I115" i="33" s="1"/>
  <c r="G116" i="33"/>
  <c r="M116" i="33" s="1"/>
  <c r="J115" i="33"/>
  <c r="H114" i="33"/>
  <c r="G112" i="33"/>
  <c r="M112" i="33" s="1"/>
  <c r="H111" i="33"/>
  <c r="J108" i="33"/>
  <c r="I108" i="33"/>
  <c r="I107" i="33" s="1"/>
  <c r="I106" i="33" s="1"/>
  <c r="I105" i="33" s="1"/>
  <c r="G108" i="33"/>
  <c r="G107" i="33" s="1"/>
  <c r="M107" i="33" s="1"/>
  <c r="J106" i="33"/>
  <c r="J104" i="33"/>
  <c r="I104" i="33"/>
  <c r="I103" i="33" s="1"/>
  <c r="G103" i="33"/>
  <c r="I102" i="33"/>
  <c r="I101" i="33" s="1"/>
  <c r="G102" i="33"/>
  <c r="G101" i="33" s="1"/>
  <c r="J101" i="33"/>
  <c r="H100" i="33"/>
  <c r="H99" i="33" s="1"/>
  <c r="H98" i="33" s="1"/>
  <c r="I97" i="33"/>
  <c r="I96" i="33" s="1"/>
  <c r="I95" i="33" s="1"/>
  <c r="J96" i="33"/>
  <c r="G96" i="33"/>
  <c r="G95" i="33" s="1"/>
  <c r="H95" i="33"/>
  <c r="I94" i="33"/>
  <c r="I93" i="33" s="1"/>
  <c r="I92" i="33" s="1"/>
  <c r="G94" i="33"/>
  <c r="M94" i="33" s="1"/>
  <c r="J93" i="33"/>
  <c r="H92" i="33"/>
  <c r="J89" i="33"/>
  <c r="I89" i="33"/>
  <c r="I88" i="33" s="1"/>
  <c r="I87" i="33" s="1"/>
  <c r="I86" i="33" s="1"/>
  <c r="I85" i="33" s="1"/>
  <c r="I795" i="33" s="1"/>
  <c r="G88" i="33"/>
  <c r="G87" i="33" s="1"/>
  <c r="G86" i="33" s="1"/>
  <c r="G85" i="33" s="1"/>
  <c r="G795" i="33" s="1"/>
  <c r="H87" i="33"/>
  <c r="H86" i="33" s="1"/>
  <c r="H85" i="33" s="1"/>
  <c r="I84" i="33"/>
  <c r="I83" i="33" s="1"/>
  <c r="I80" i="33" s="1"/>
  <c r="G84" i="33"/>
  <c r="G83" i="33" s="1"/>
  <c r="J83" i="33"/>
  <c r="J81" i="33"/>
  <c r="G81" i="33"/>
  <c r="H80" i="33"/>
  <c r="I79" i="33"/>
  <c r="I78" i="33" s="1"/>
  <c r="I77" i="33" s="1"/>
  <c r="J78" i="33"/>
  <c r="H78" i="33"/>
  <c r="H77" i="33" s="1"/>
  <c r="G78" i="33"/>
  <c r="G77" i="33" s="1"/>
  <c r="I75" i="33"/>
  <c r="I74" i="33" s="1"/>
  <c r="G74" i="33"/>
  <c r="M74" i="33" s="1"/>
  <c r="I73" i="33"/>
  <c r="I72" i="33" s="1"/>
  <c r="G73" i="33"/>
  <c r="M73" i="33" s="1"/>
  <c r="J72" i="33"/>
  <c r="I71" i="33"/>
  <c r="I70" i="33" s="1"/>
  <c r="G71" i="33"/>
  <c r="M71" i="33" s="1"/>
  <c r="J70" i="33"/>
  <c r="H69" i="33"/>
  <c r="H68" i="33" s="1"/>
  <c r="J67" i="33"/>
  <c r="I67" i="33"/>
  <c r="I66" i="33" s="1"/>
  <c r="I65" i="33" s="1"/>
  <c r="G67" i="33"/>
  <c r="G66" i="33" s="1"/>
  <c r="G65" i="33" s="1"/>
  <c r="J66" i="33"/>
  <c r="I64" i="33"/>
  <c r="I63" i="33" s="1"/>
  <c r="I62" i="33" s="1"/>
  <c r="J63" i="33"/>
  <c r="G63" i="33"/>
  <c r="G62" i="33" s="1"/>
  <c r="H61" i="33"/>
  <c r="G58" i="33"/>
  <c r="M58" i="33" s="1"/>
  <c r="J57" i="33"/>
  <c r="I57" i="33"/>
  <c r="I56" i="33" s="1"/>
  <c r="I55" i="33" s="1"/>
  <c r="I54" i="33" s="1"/>
  <c r="I53" i="33"/>
  <c r="I52" i="33" s="1"/>
  <c r="I51" i="33" s="1"/>
  <c r="I50" i="33" s="1"/>
  <c r="I49" i="33" s="1"/>
  <c r="G53" i="33"/>
  <c r="J52" i="33"/>
  <c r="G52" i="33"/>
  <c r="G51" i="33" s="1"/>
  <c r="G50" i="33" s="1"/>
  <c r="G49" i="33" s="1"/>
  <c r="J47" i="33"/>
  <c r="I47" i="33"/>
  <c r="I46" i="33" s="1"/>
  <c r="I45" i="33" s="1"/>
  <c r="I44" i="33" s="1"/>
  <c r="I43" i="33" s="1"/>
  <c r="G47" i="33"/>
  <c r="G46" i="33" s="1"/>
  <c r="I42" i="33"/>
  <c r="I41" i="33" s="1"/>
  <c r="J41" i="33"/>
  <c r="G41" i="33"/>
  <c r="I40" i="33"/>
  <c r="I39" i="33" s="1"/>
  <c r="G40" i="33"/>
  <c r="M40" i="33" s="1"/>
  <c r="J39" i="33"/>
  <c r="I35" i="33"/>
  <c r="I34" i="33" s="1"/>
  <c r="I33" i="33" s="1"/>
  <c r="I32" i="33" s="1"/>
  <c r="I31" i="33" s="1"/>
  <c r="G35" i="33"/>
  <c r="J34" i="33"/>
  <c r="G34" i="33"/>
  <c r="G33" i="33" s="1"/>
  <c r="G32" i="33" s="1"/>
  <c r="G31" i="33" s="1"/>
  <c r="H33" i="33"/>
  <c r="H32" i="33" s="1"/>
  <c r="I28" i="33"/>
  <c r="I27" i="33" s="1"/>
  <c r="I26" i="33" s="1"/>
  <c r="I25" i="33" s="1"/>
  <c r="I24" i="33" s="1"/>
  <c r="J27" i="33"/>
  <c r="H27" i="33"/>
  <c r="H26" i="33" s="1"/>
  <c r="H25" i="33" s="1"/>
  <c r="H24" i="33" s="1"/>
  <c r="G27" i="33"/>
  <c r="G26" i="33" s="1"/>
  <c r="G25" i="33" s="1"/>
  <c r="G24" i="33" s="1"/>
  <c r="I23" i="33"/>
  <c r="I22" i="33" s="1"/>
  <c r="I21" i="33" s="1"/>
  <c r="I20" i="33" s="1"/>
  <c r="I19" i="33" s="1"/>
  <c r="J22" i="33"/>
  <c r="H22" i="33"/>
  <c r="H21" i="33" s="1"/>
  <c r="H20" i="33" s="1"/>
  <c r="H19" i="33" s="1"/>
  <c r="G22" i="33"/>
  <c r="G21" i="33" s="1"/>
  <c r="G20" i="33" s="1"/>
  <c r="G19" i="33" s="1"/>
  <c r="J16" i="33"/>
  <c r="H16" i="33"/>
  <c r="H11" i="33" s="1"/>
  <c r="H10" i="33" s="1"/>
  <c r="G16" i="33"/>
  <c r="I15" i="33"/>
  <c r="I14" i="33" s="1"/>
  <c r="G15" i="33"/>
  <c r="G14" i="33" s="1"/>
  <c r="J14" i="33"/>
  <c r="I13" i="33"/>
  <c r="I12" i="33" s="1"/>
  <c r="G13" i="33"/>
  <c r="M13" i="33" s="1"/>
  <c r="M118" i="33" l="1"/>
  <c r="L118" i="33"/>
  <c r="M247" i="33"/>
  <c r="L247" i="33"/>
  <c r="L104" i="33"/>
  <c r="M104" i="33"/>
  <c r="M123" i="33"/>
  <c r="L123" i="33"/>
  <c r="L89" i="33"/>
  <c r="M89" i="33"/>
  <c r="M14" i="33"/>
  <c r="L14" i="33"/>
  <c r="M27" i="33"/>
  <c r="L27" i="33"/>
  <c r="M34" i="33"/>
  <c r="L34" i="33"/>
  <c r="L70" i="33"/>
  <c r="M96" i="33"/>
  <c r="L96" i="33"/>
  <c r="M108" i="33"/>
  <c r="L108" i="33"/>
  <c r="L115" i="33"/>
  <c r="M120" i="33"/>
  <c r="L120" i="33"/>
  <c r="M137" i="33"/>
  <c r="L137" i="33"/>
  <c r="M145" i="33"/>
  <c r="L145" i="33"/>
  <c r="M148" i="33"/>
  <c r="L148" i="33"/>
  <c r="M158" i="33"/>
  <c r="L158" i="33"/>
  <c r="M160" i="33"/>
  <c r="L160" i="33"/>
  <c r="L170" i="33"/>
  <c r="L176" i="33"/>
  <c r="M188" i="33"/>
  <c r="L188" i="33"/>
  <c r="L205" i="33"/>
  <c r="M217" i="33"/>
  <c r="L217" i="33"/>
  <c r="M226" i="33"/>
  <c r="L226" i="33"/>
  <c r="L244" i="33"/>
  <c r="M319" i="33"/>
  <c r="L319" i="33"/>
  <c r="M357" i="33"/>
  <c r="L357" i="33"/>
  <c r="M416" i="33"/>
  <c r="L416" i="33"/>
  <c r="M492" i="33"/>
  <c r="L492" i="33"/>
  <c r="L510" i="33"/>
  <c r="L581" i="33"/>
  <c r="M592" i="33"/>
  <c r="L592" i="33"/>
  <c r="M598" i="33"/>
  <c r="L598" i="33"/>
  <c r="M651" i="33"/>
  <c r="L651" i="33"/>
  <c r="M675" i="33"/>
  <c r="L675" i="33"/>
  <c r="M713" i="33"/>
  <c r="L713" i="33"/>
  <c r="L742" i="33"/>
  <c r="L745" i="33"/>
  <c r="L747" i="33"/>
  <c r="L755" i="33"/>
  <c r="M22" i="33"/>
  <c r="L22" i="33"/>
  <c r="L16" i="33"/>
  <c r="M52" i="33"/>
  <c r="L52" i="33"/>
  <c r="L57" i="33"/>
  <c r="M63" i="33"/>
  <c r="L63" i="33"/>
  <c r="L106" i="33"/>
  <c r="M131" i="33"/>
  <c r="L131" i="33"/>
  <c r="M135" i="33"/>
  <c r="L135" i="33"/>
  <c r="M140" i="33"/>
  <c r="L140" i="33"/>
  <c r="M143" i="33"/>
  <c r="L143" i="33"/>
  <c r="M155" i="33"/>
  <c r="L155" i="33"/>
  <c r="M167" i="33"/>
  <c r="L167" i="33"/>
  <c r="M181" i="33"/>
  <c r="L181" i="33"/>
  <c r="M194" i="33"/>
  <c r="L194" i="33"/>
  <c r="M199" i="33"/>
  <c r="L199" i="33"/>
  <c r="L208" i="33"/>
  <c r="M276" i="33"/>
  <c r="L276" i="33"/>
  <c r="M316" i="33"/>
  <c r="L316" i="33"/>
  <c r="M338" i="33"/>
  <c r="L338" i="33"/>
  <c r="M342" i="33"/>
  <c r="L342" i="33"/>
  <c r="L368" i="33"/>
  <c r="L381" i="33"/>
  <c r="L408" i="33"/>
  <c r="M448" i="33"/>
  <c r="L448" i="33"/>
  <c r="M467" i="33"/>
  <c r="L467" i="33"/>
  <c r="L486" i="33"/>
  <c r="L489" i="33"/>
  <c r="L498" i="33"/>
  <c r="M503" i="33"/>
  <c r="L503" i="33"/>
  <c r="L547" i="33"/>
  <c r="L556" i="33"/>
  <c r="M559" i="33"/>
  <c r="L559" i="33"/>
  <c r="M569" i="33"/>
  <c r="L569" i="33"/>
  <c r="L572" i="33"/>
  <c r="M607" i="33"/>
  <c r="L607" i="33"/>
  <c r="M608" i="33"/>
  <c r="L608" i="33"/>
  <c r="M611" i="33"/>
  <c r="L611" i="33"/>
  <c r="L614" i="33"/>
  <c r="M617" i="33"/>
  <c r="L617" i="33"/>
  <c r="M620" i="33"/>
  <c r="L620" i="33"/>
  <c r="M692" i="33"/>
  <c r="L692" i="33"/>
  <c r="L694" i="33"/>
  <c r="M699" i="33"/>
  <c r="L699" i="33"/>
  <c r="M715" i="33"/>
  <c r="L715" i="33"/>
  <c r="L760" i="33"/>
  <c r="L78" i="33"/>
  <c r="M81" i="33"/>
  <c r="L81" i="33"/>
  <c r="M153" i="33"/>
  <c r="L153" i="33"/>
  <c r="L248" i="33"/>
  <c r="L251" i="33"/>
  <c r="L254" i="33"/>
  <c r="L279" i="33"/>
  <c r="M282" i="33"/>
  <c r="L282" i="33"/>
  <c r="M302" i="33"/>
  <c r="L302" i="33"/>
  <c r="M308" i="33"/>
  <c r="L308" i="33"/>
  <c r="M331" i="33"/>
  <c r="L331" i="33"/>
  <c r="M347" i="33"/>
  <c r="L347" i="33"/>
  <c r="L354" i="33"/>
  <c r="M425" i="33"/>
  <c r="L425" i="33"/>
  <c r="M431" i="33"/>
  <c r="L431" i="33"/>
  <c r="M436" i="33"/>
  <c r="L436" i="33"/>
  <c r="L440" i="33"/>
  <c r="M452" i="33"/>
  <c r="L452" i="33"/>
  <c r="M455" i="33"/>
  <c r="L455" i="33"/>
  <c r="L462" i="33"/>
  <c r="M464" i="33"/>
  <c r="L464" i="33"/>
  <c r="M473" i="33"/>
  <c r="L473" i="33"/>
  <c r="M476" i="33"/>
  <c r="L476" i="33"/>
  <c r="M524" i="33"/>
  <c r="L524" i="33"/>
  <c r="M527" i="33"/>
  <c r="L527" i="33"/>
  <c r="M563" i="33"/>
  <c r="L563" i="33"/>
  <c r="L566" i="33"/>
  <c r="M566" i="33"/>
  <c r="M626" i="33"/>
  <c r="L626" i="33"/>
  <c r="M627" i="33"/>
  <c r="L627" i="33"/>
  <c r="L631" i="33"/>
  <c r="M644" i="33"/>
  <c r="L644" i="33"/>
  <c r="M645" i="33"/>
  <c r="L645" i="33"/>
  <c r="M653" i="33"/>
  <c r="L653" i="33"/>
  <c r="M654" i="33"/>
  <c r="L654" i="33"/>
  <c r="M667" i="33"/>
  <c r="L667" i="33"/>
  <c r="L671" i="33"/>
  <c r="M673" i="33"/>
  <c r="L673" i="33"/>
  <c r="L685" i="33"/>
  <c r="L687" i="33"/>
  <c r="M696" i="33"/>
  <c r="L696" i="33"/>
  <c r="M706" i="33"/>
  <c r="L706" i="33"/>
  <c r="L39" i="33"/>
  <c r="M41" i="33"/>
  <c r="L41" i="33"/>
  <c r="M47" i="33"/>
  <c r="L47" i="33"/>
  <c r="M66" i="33"/>
  <c r="L66" i="33"/>
  <c r="L72" i="33"/>
  <c r="M83" i="33"/>
  <c r="L83" i="33"/>
  <c r="L93" i="33"/>
  <c r="M101" i="33"/>
  <c r="L101" i="33"/>
  <c r="L211" i="33"/>
  <c r="L222" i="33"/>
  <c r="M233" i="33"/>
  <c r="L233" i="33"/>
  <c r="M257" i="33"/>
  <c r="L257" i="33"/>
  <c r="M260" i="33"/>
  <c r="L260" i="33"/>
  <c r="M270" i="33"/>
  <c r="L270" i="33"/>
  <c r="L290" i="33"/>
  <c r="M293" i="33"/>
  <c r="L293" i="33"/>
  <c r="L296" i="33"/>
  <c r="L375" i="33"/>
  <c r="L378" i="33"/>
  <c r="L385" i="33"/>
  <c r="M388" i="33"/>
  <c r="L388" i="33"/>
  <c r="M391" i="33"/>
  <c r="L391" i="33"/>
  <c r="M395" i="33"/>
  <c r="L395" i="33"/>
  <c r="M399" i="33"/>
  <c r="L399" i="33"/>
  <c r="M405" i="33"/>
  <c r="L405" i="33"/>
  <c r="L470" i="33"/>
  <c r="L495" i="33"/>
  <c r="L517" i="33"/>
  <c r="L520" i="33"/>
  <c r="M522" i="33"/>
  <c r="L522" i="33"/>
  <c r="L538" i="33"/>
  <c r="M538" i="33"/>
  <c r="M542" i="33"/>
  <c r="L542" i="33"/>
  <c r="L595" i="33"/>
  <c r="M604" i="33"/>
  <c r="L604" i="33"/>
  <c r="L641" i="33"/>
  <c r="M678" i="33"/>
  <c r="L678" i="33"/>
  <c r="M679" i="33"/>
  <c r="L679" i="33"/>
  <c r="L726" i="33"/>
  <c r="L749" i="33"/>
  <c r="G12" i="33"/>
  <c r="M12" i="33" s="1"/>
  <c r="G489" i="33"/>
  <c r="G488" i="33" s="1"/>
  <c r="G484" i="33" s="1"/>
  <c r="G572" i="33"/>
  <c r="G571" i="33" s="1"/>
  <c r="G614" i="33"/>
  <c r="G613" i="33" s="1"/>
  <c r="G694" i="33"/>
  <c r="M694" i="33" s="1"/>
  <c r="G57" i="33"/>
  <c r="G56" i="33" s="1"/>
  <c r="G55" i="33" s="1"/>
  <c r="G54" i="33" s="1"/>
  <c r="G39" i="33"/>
  <c r="M39" i="33" s="1"/>
  <c r="G72" i="33"/>
  <c r="M72" i="33" s="1"/>
  <c r="G93" i="33"/>
  <c r="G92" i="33" s="1"/>
  <c r="J103" i="33"/>
  <c r="J122" i="33"/>
  <c r="G248" i="33"/>
  <c r="M248" i="33" s="1"/>
  <c r="G251" i="33"/>
  <c r="G250" i="33" s="1"/>
  <c r="G254" i="33"/>
  <c r="G253" i="33" s="1"/>
  <c r="G354" i="33"/>
  <c r="G353" i="33" s="1"/>
  <c r="G440" i="33"/>
  <c r="G439" i="33" s="1"/>
  <c r="G438" i="33" s="1"/>
  <c r="G427" i="33" s="1"/>
  <c r="G462" i="33"/>
  <c r="M462" i="33" s="1"/>
  <c r="G685" i="33"/>
  <c r="M685" i="33" s="1"/>
  <c r="G687" i="33"/>
  <c r="M687" i="33" s="1"/>
  <c r="G70" i="33"/>
  <c r="G69" i="33" s="1"/>
  <c r="G68" i="33" s="1"/>
  <c r="J88" i="33"/>
  <c r="G115" i="33"/>
  <c r="G114" i="33" s="1"/>
  <c r="J117" i="33"/>
  <c r="G170" i="33"/>
  <c r="G169" i="33" s="1"/>
  <c r="G164" i="33" s="1"/>
  <c r="G163" i="33" s="1"/>
  <c r="G162" i="33" s="1"/>
  <c r="G776" i="33" s="1"/>
  <c r="G176" i="33"/>
  <c r="G175" i="33" s="1"/>
  <c r="G174" i="33" s="1"/>
  <c r="G173" i="33" s="1"/>
  <c r="G172" i="33" s="1"/>
  <c r="G777" i="33" s="1"/>
  <c r="G211" i="33"/>
  <c r="G210" i="33" s="1"/>
  <c r="G222" i="33"/>
  <c r="G221" i="33" s="1"/>
  <c r="G220" i="33" s="1"/>
  <c r="G290" i="33"/>
  <c r="G289" i="33" s="1"/>
  <c r="G296" i="33"/>
  <c r="G295" i="33" s="1"/>
  <c r="G322" i="33"/>
  <c r="G375" i="33"/>
  <c r="G374" i="33" s="1"/>
  <c r="G385" i="33"/>
  <c r="G384" i="33" s="1"/>
  <c r="G383" i="33" s="1"/>
  <c r="G517" i="33"/>
  <c r="G516" i="33" s="1"/>
  <c r="G520" i="33"/>
  <c r="G519" i="33" s="1"/>
  <c r="G556" i="33"/>
  <c r="G555" i="33" s="1"/>
  <c r="G575" i="33"/>
  <c r="G595" i="33"/>
  <c r="G594" i="33" s="1"/>
  <c r="G590" i="33" s="1"/>
  <c r="G623" i="33"/>
  <c r="G641" i="33"/>
  <c r="G640" i="33" s="1"/>
  <c r="G639" i="33" s="1"/>
  <c r="G726" i="33"/>
  <c r="G725" i="33" s="1"/>
  <c r="G205" i="33"/>
  <c r="G204" i="33" s="1"/>
  <c r="G244" i="33"/>
  <c r="M244" i="33" s="1"/>
  <c r="J246" i="33"/>
  <c r="G510" i="33"/>
  <c r="G509" i="33" s="1"/>
  <c r="G508" i="33" s="1"/>
  <c r="G507" i="33" s="1"/>
  <c r="G506" i="33" s="1"/>
  <c r="G505" i="33" s="1"/>
  <c r="G785" i="33" s="1"/>
  <c r="G742" i="33"/>
  <c r="G741" i="33" s="1"/>
  <c r="G745" i="33"/>
  <c r="M745" i="33" s="1"/>
  <c r="G747" i="33"/>
  <c r="M747" i="33" s="1"/>
  <c r="J38" i="33"/>
  <c r="J46" i="33"/>
  <c r="J65" i="33"/>
  <c r="J92" i="33"/>
  <c r="G125" i="33"/>
  <c r="G237" i="33"/>
  <c r="J250" i="33"/>
  <c r="J253" i="33"/>
  <c r="J315" i="33"/>
  <c r="J337" i="33"/>
  <c r="J341" i="33"/>
  <c r="G360" i="33"/>
  <c r="J367" i="33"/>
  <c r="J380" i="33"/>
  <c r="J407" i="33"/>
  <c r="J466" i="33"/>
  <c r="J485" i="33"/>
  <c r="J488" i="33"/>
  <c r="J497" i="33"/>
  <c r="J502" i="33"/>
  <c r="J546" i="33"/>
  <c r="J555" i="33"/>
  <c r="J558" i="33"/>
  <c r="J568" i="33"/>
  <c r="J571" i="33"/>
  <c r="G577" i="33"/>
  <c r="J610" i="33"/>
  <c r="J613" i="33"/>
  <c r="J616" i="33"/>
  <c r="J619" i="33"/>
  <c r="J698" i="33"/>
  <c r="G728" i="33"/>
  <c r="G734" i="33"/>
  <c r="M734" i="33" s="1"/>
  <c r="J759" i="33"/>
  <c r="J21" i="33"/>
  <c r="J26" i="33"/>
  <c r="J33" i="33"/>
  <c r="J95" i="33"/>
  <c r="J169" i="33"/>
  <c r="J175" i="33"/>
  <c r="J187" i="33"/>
  <c r="J185" i="33" s="1"/>
  <c r="J210" i="33"/>
  <c r="J221" i="33"/>
  <c r="J232" i="33"/>
  <c r="J256" i="33"/>
  <c r="J259" i="33"/>
  <c r="G265" i="33"/>
  <c r="J269" i="33"/>
  <c r="J278" i="33"/>
  <c r="J281" i="33"/>
  <c r="J301" i="33"/>
  <c r="J307" i="33"/>
  <c r="G310" i="33"/>
  <c r="M310" i="33" s="1"/>
  <c r="G327" i="33"/>
  <c r="J330" i="33"/>
  <c r="J346" i="33"/>
  <c r="J353" i="33"/>
  <c r="J424" i="33"/>
  <c r="J430" i="33"/>
  <c r="J435" i="33"/>
  <c r="J439" i="33"/>
  <c r="J451" i="33"/>
  <c r="J454" i="33"/>
  <c r="J472" i="33"/>
  <c r="J475" i="33"/>
  <c r="J526" i="33"/>
  <c r="J562" i="33"/>
  <c r="J565" i="33"/>
  <c r="J625" i="33"/>
  <c r="J630" i="33"/>
  <c r="J666" i="33"/>
  <c r="J684" i="33"/>
  <c r="J705" i="33"/>
  <c r="J51" i="33"/>
  <c r="J56" i="33"/>
  <c r="J62" i="33"/>
  <c r="J105" i="33"/>
  <c r="J130" i="33"/>
  <c r="J139" i="33"/>
  <c r="J166" i="33"/>
  <c r="J180" i="33"/>
  <c r="J193" i="33"/>
  <c r="J204" i="33"/>
  <c r="J216" i="33"/>
  <c r="J225" i="33"/>
  <c r="J289" i="33"/>
  <c r="J292" i="33"/>
  <c r="J295" i="33"/>
  <c r="G298" i="33"/>
  <c r="M298" i="33" s="1"/>
  <c r="G363" i="33"/>
  <c r="M363" i="33" s="1"/>
  <c r="J374" i="33"/>
  <c r="J377" i="33"/>
  <c r="J384" i="33"/>
  <c r="J387" i="33"/>
  <c r="J390" i="33"/>
  <c r="J394" i="33"/>
  <c r="J398" i="33"/>
  <c r="J404" i="33"/>
  <c r="J469" i="33"/>
  <c r="J494" i="33"/>
  <c r="J516" i="33"/>
  <c r="J537" i="33"/>
  <c r="J541" i="33"/>
  <c r="G584" i="33"/>
  <c r="J594" i="33"/>
  <c r="J603" i="33"/>
  <c r="J640" i="33"/>
  <c r="G647" i="33"/>
  <c r="G656" i="33"/>
  <c r="J677" i="33"/>
  <c r="G721" i="33"/>
  <c r="M721" i="33" s="1"/>
  <c r="J725" i="33"/>
  <c r="G731" i="33"/>
  <c r="J77" i="33"/>
  <c r="G106" i="33"/>
  <c r="G105" i="33" s="1"/>
  <c r="G111" i="33"/>
  <c r="M111" i="33" s="1"/>
  <c r="J198" i="33"/>
  <c r="J207" i="33"/>
  <c r="G262" i="33"/>
  <c r="J275" i="33"/>
  <c r="G284" i="33"/>
  <c r="J318" i="33"/>
  <c r="J356" i="33"/>
  <c r="J415" i="33"/>
  <c r="J491" i="33"/>
  <c r="J509" i="33"/>
  <c r="G531" i="33"/>
  <c r="J580" i="33"/>
  <c r="J591" i="33"/>
  <c r="J597" i="33"/>
  <c r="G633" i="33"/>
  <c r="M633" i="33" s="1"/>
  <c r="J650" i="33"/>
  <c r="J741" i="33"/>
  <c r="J754" i="33"/>
  <c r="J119" i="33"/>
  <c r="H91" i="33"/>
  <c r="H90" i="33" s="1"/>
  <c r="G147" i="33"/>
  <c r="I691" i="33"/>
  <c r="J712" i="33"/>
  <c r="I670" i="33"/>
  <c r="I669" i="33" s="1"/>
  <c r="I664" i="33" s="1"/>
  <c r="I663" i="33" s="1"/>
  <c r="I662" i="33" s="1"/>
  <c r="H76" i="33"/>
  <c r="H60" i="33" s="1"/>
  <c r="J669" i="33"/>
  <c r="J80" i="33"/>
  <c r="I445" i="33"/>
  <c r="I444" i="33" s="1"/>
  <c r="I443" i="33" s="1"/>
  <c r="I442" i="33" s="1"/>
  <c r="G403" i="33"/>
  <c r="G402" i="33" s="1"/>
  <c r="G401" i="33" s="1"/>
  <c r="G445" i="33"/>
  <c r="G444" i="33" s="1"/>
  <c r="G443" i="33" s="1"/>
  <c r="G442" i="33" s="1"/>
  <c r="H288" i="33"/>
  <c r="H287" i="33" s="1"/>
  <c r="H691" i="33"/>
  <c r="G461" i="33"/>
  <c r="G460" i="33" s="1"/>
  <c r="J445" i="33"/>
  <c r="J142" i="33"/>
  <c r="H460" i="33"/>
  <c r="G61" i="33"/>
  <c r="G219" i="33"/>
  <c r="G801" i="33" s="1"/>
  <c r="I767" i="33"/>
  <c r="I203" i="33"/>
  <c r="I202" i="33" s="1"/>
  <c r="I799" i="33" s="1"/>
  <c r="G335" i="33"/>
  <c r="G790" i="33" s="1"/>
  <c r="I61" i="33"/>
  <c r="H203" i="33"/>
  <c r="H202" i="33" s="1"/>
  <c r="H201" i="33" s="1"/>
  <c r="H219" i="33"/>
  <c r="H213" i="33" s="1"/>
  <c r="H335" i="33"/>
  <c r="H334" i="33" s="1"/>
  <c r="H333" i="33" s="1"/>
  <c r="G373" i="33"/>
  <c r="J691" i="33"/>
  <c r="H393" i="33"/>
  <c r="I519" i="33"/>
  <c r="I515" i="33" s="1"/>
  <c r="I514" i="33" s="1"/>
  <c r="I38" i="33"/>
  <c r="I37" i="33" s="1"/>
  <c r="I36" i="33" s="1"/>
  <c r="J69" i="33"/>
  <c r="I134" i="33"/>
  <c r="H484" i="33"/>
  <c r="H664" i="33"/>
  <c r="H663" i="33" s="1"/>
  <c r="H662" i="33" s="1"/>
  <c r="I69" i="33"/>
  <c r="I68" i="33" s="1"/>
  <c r="G91" i="33"/>
  <c r="G90" i="33" s="1"/>
  <c r="I157" i="33"/>
  <c r="I243" i="33"/>
  <c r="I242" i="33" s="1"/>
  <c r="I241" i="33" s="1"/>
  <c r="I240" i="33" s="1"/>
  <c r="H305" i="33"/>
  <c r="H326" i="33"/>
  <c r="H325" i="33" s="1"/>
  <c r="H324" i="33" s="1"/>
  <c r="I352" i="33"/>
  <c r="I351" i="33" s="1"/>
  <c r="I350" i="33" s="1"/>
  <c r="I349" i="33" s="1"/>
  <c r="H684" i="33"/>
  <c r="H724" i="33"/>
  <c r="I11" i="33"/>
  <c r="I10" i="33" s="1"/>
  <c r="I9" i="33" s="1"/>
  <c r="G38" i="33"/>
  <c r="G37" i="33" s="1"/>
  <c r="G36" i="33" s="1"/>
  <c r="G80" i="33"/>
  <c r="G76" i="33" s="1"/>
  <c r="G142" i="33"/>
  <c r="I190" i="33"/>
  <c r="H314" i="33"/>
  <c r="H313" i="33" s="1"/>
  <c r="J114" i="33"/>
  <c r="G157" i="33"/>
  <c r="H274" i="33"/>
  <c r="H273" i="33" s="1"/>
  <c r="I274" i="33"/>
  <c r="I273" i="33" s="1"/>
  <c r="I590" i="33"/>
  <c r="I643" i="33"/>
  <c r="I638" i="33" s="1"/>
  <c r="I637" i="33" s="1"/>
  <c r="I636" i="33" s="1"/>
  <c r="G45" i="33"/>
  <c r="G44" i="33"/>
  <c r="G43" i="33" s="1"/>
  <c r="I91" i="33"/>
  <c r="I90" i="33" s="1"/>
  <c r="I798" i="33" s="1"/>
  <c r="G119" i="33"/>
  <c r="I142" i="33"/>
  <c r="I122" i="33"/>
  <c r="I119" i="33" s="1"/>
  <c r="I76" i="33"/>
  <c r="H191" i="33"/>
  <c r="H190" i="33" s="1"/>
  <c r="J11" i="33"/>
  <c r="G100" i="33"/>
  <c r="G99" i="33" s="1"/>
  <c r="G98" i="33" s="1"/>
  <c r="G802" i="33" s="1"/>
  <c r="J134" i="33"/>
  <c r="G152" i="33"/>
  <c r="J152" i="33"/>
  <c r="H164" i="33"/>
  <c r="H163" i="33" s="1"/>
  <c r="H162" i="33" s="1"/>
  <c r="I164" i="33"/>
  <c r="I163" i="33" s="1"/>
  <c r="I162" i="33" s="1"/>
  <c r="I776" i="33" s="1"/>
  <c r="H172" i="33"/>
  <c r="G274" i="33"/>
  <c r="G273" i="33" s="1"/>
  <c r="I288" i="33"/>
  <c r="I287" i="33" s="1"/>
  <c r="I805" i="33" s="1"/>
  <c r="I335" i="33"/>
  <c r="I790" i="33" s="1"/>
  <c r="I373" i="33"/>
  <c r="I372" i="33" s="1"/>
  <c r="I371" i="33" s="1"/>
  <c r="I370" i="33" s="1"/>
  <c r="I782" i="33" s="1"/>
  <c r="G393" i="33"/>
  <c r="G534" i="33"/>
  <c r="I100" i="33"/>
  <c r="I99" i="33" s="1"/>
  <c r="I98" i="33" s="1"/>
  <c r="I802" i="33" s="1"/>
  <c r="G134" i="33"/>
  <c r="J147" i="33"/>
  <c r="I147" i="33"/>
  <c r="I152" i="33"/>
  <c r="I114" i="33"/>
  <c r="J157" i="33"/>
  <c r="H352" i="33"/>
  <c r="H351" i="33" s="1"/>
  <c r="H350" i="33" s="1"/>
  <c r="H349" i="33" s="1"/>
  <c r="H383" i="33"/>
  <c r="G691" i="33"/>
  <c r="I701" i="33"/>
  <c r="G712" i="33"/>
  <c r="G711" i="33" s="1"/>
  <c r="G710" i="33" s="1"/>
  <c r="G709" i="33" s="1"/>
  <c r="G708" i="33" s="1"/>
  <c r="G701" i="33" s="1"/>
  <c r="H720" i="33"/>
  <c r="H719" i="33" s="1"/>
  <c r="H718" i="33" s="1"/>
  <c r="H717" i="33" s="1"/>
  <c r="J744" i="33"/>
  <c r="G554" i="33"/>
  <c r="G643" i="33"/>
  <c r="G638" i="33" s="1"/>
  <c r="G637" i="33" s="1"/>
  <c r="G636" i="33" s="1"/>
  <c r="I684" i="33"/>
  <c r="I314" i="33"/>
  <c r="I313" i="33" s="1"/>
  <c r="I304" i="33" s="1"/>
  <c r="I806" i="33" s="1"/>
  <c r="I461" i="33"/>
  <c r="I460" i="33" s="1"/>
  <c r="I561" i="33"/>
  <c r="H444" i="33"/>
  <c r="H443" i="33" s="1"/>
  <c r="H442" i="33" s="1"/>
  <c r="J461" i="33"/>
  <c r="I484" i="33"/>
  <c r="J519" i="33"/>
  <c r="H554" i="33"/>
  <c r="G670" i="33"/>
  <c r="M670" i="33" s="1"/>
  <c r="H740" i="33"/>
  <c r="H739" i="33" s="1"/>
  <c r="H738" i="33" s="1"/>
  <c r="H737" i="33" s="1"/>
  <c r="J243" i="33"/>
  <c r="G11" i="33"/>
  <c r="G18" i="33"/>
  <c r="G796" i="33"/>
  <c r="I172" i="33"/>
  <c r="I777" i="33" s="1"/>
  <c r="I18" i="33"/>
  <c r="H133" i="33"/>
  <c r="H110" i="33" s="1"/>
  <c r="G185" i="33"/>
  <c r="G184" i="33" s="1"/>
  <c r="G186" i="33"/>
  <c r="I796" i="33"/>
  <c r="I185" i="33"/>
  <c r="I184" i="33" s="1"/>
  <c r="H186" i="33"/>
  <c r="G191" i="33"/>
  <c r="G190" i="33" s="1"/>
  <c r="H242" i="33"/>
  <c r="H241" i="33" s="1"/>
  <c r="H240" i="33" s="1"/>
  <c r="G792" i="33"/>
  <c r="I219" i="33"/>
  <c r="I801" i="33" s="1"/>
  <c r="G346" i="33"/>
  <c r="G345" i="33"/>
  <c r="G344" i="33" s="1"/>
  <c r="G800" i="33" s="1"/>
  <c r="I792" i="33"/>
  <c r="I427" i="33"/>
  <c r="H427" i="33"/>
  <c r="I534" i="33"/>
  <c r="I554" i="33"/>
  <c r="H590" i="33"/>
  <c r="H561" i="33"/>
  <c r="H606" i="33"/>
  <c r="H515" i="33"/>
  <c r="H514" i="33" s="1"/>
  <c r="H513" i="33" s="1"/>
  <c r="H512" i="33" s="1"/>
  <c r="I606" i="33"/>
  <c r="H643" i="33"/>
  <c r="H638" i="33" s="1"/>
  <c r="H637" i="33" s="1"/>
  <c r="H636" i="33" s="1"/>
  <c r="H712" i="33"/>
  <c r="H711" i="33" s="1"/>
  <c r="H710" i="33" s="1"/>
  <c r="H709" i="33" s="1"/>
  <c r="H708" i="33" s="1"/>
  <c r="H701" i="33" s="1"/>
  <c r="M222" i="33" l="1"/>
  <c r="M385" i="33"/>
  <c r="G720" i="33"/>
  <c r="G719" i="33" s="1"/>
  <c r="G718" i="33" s="1"/>
  <c r="G717" i="33" s="1"/>
  <c r="M375" i="33"/>
  <c r="L243" i="33"/>
  <c r="M157" i="33"/>
  <c r="L157" i="33"/>
  <c r="M147" i="33"/>
  <c r="L147" i="33"/>
  <c r="M152" i="33"/>
  <c r="L152" i="33"/>
  <c r="M11" i="33"/>
  <c r="L11" i="33"/>
  <c r="M741" i="33"/>
  <c r="L741" i="33"/>
  <c r="M591" i="33"/>
  <c r="L591" i="33"/>
  <c r="M491" i="33"/>
  <c r="L491" i="33"/>
  <c r="M198" i="33"/>
  <c r="L198" i="33"/>
  <c r="M594" i="33"/>
  <c r="L594" i="33"/>
  <c r="M516" i="33"/>
  <c r="L516" i="33"/>
  <c r="M398" i="33"/>
  <c r="L398" i="33"/>
  <c r="M384" i="33"/>
  <c r="L384" i="33"/>
  <c r="M225" i="33"/>
  <c r="L225" i="33"/>
  <c r="M180" i="33"/>
  <c r="L180" i="33"/>
  <c r="M105" i="33"/>
  <c r="L105" i="33"/>
  <c r="M705" i="33"/>
  <c r="L705" i="33"/>
  <c r="M625" i="33"/>
  <c r="L625" i="33"/>
  <c r="M475" i="33"/>
  <c r="L475" i="33"/>
  <c r="M439" i="33"/>
  <c r="L439" i="33"/>
  <c r="M353" i="33"/>
  <c r="L353" i="33"/>
  <c r="L278" i="33"/>
  <c r="M256" i="33"/>
  <c r="L256" i="33"/>
  <c r="M187" i="33"/>
  <c r="L187" i="33"/>
  <c r="M33" i="33"/>
  <c r="L33" i="33"/>
  <c r="M616" i="33"/>
  <c r="L616" i="33"/>
  <c r="M571" i="33"/>
  <c r="L571" i="33"/>
  <c r="L546" i="33"/>
  <c r="L485" i="33"/>
  <c r="L367" i="33"/>
  <c r="M315" i="33"/>
  <c r="L315" i="33"/>
  <c r="M38" i="33"/>
  <c r="L38" i="33"/>
  <c r="G574" i="33"/>
  <c r="M574" i="33" s="1"/>
  <c r="M575" i="33"/>
  <c r="M461" i="33"/>
  <c r="L461" i="33"/>
  <c r="L744" i="33"/>
  <c r="M650" i="33"/>
  <c r="L650" i="33"/>
  <c r="L580" i="33"/>
  <c r="M415" i="33"/>
  <c r="L415" i="33"/>
  <c r="M275" i="33"/>
  <c r="L275" i="33"/>
  <c r="L725" i="33"/>
  <c r="L494" i="33"/>
  <c r="M394" i="33"/>
  <c r="L394" i="33"/>
  <c r="L377" i="33"/>
  <c r="M295" i="33"/>
  <c r="L295" i="33"/>
  <c r="M216" i="33"/>
  <c r="L216" i="33"/>
  <c r="M166" i="33"/>
  <c r="L166" i="33"/>
  <c r="M62" i="33"/>
  <c r="L62" i="33"/>
  <c r="L684" i="33"/>
  <c r="M565" i="33"/>
  <c r="L565" i="33"/>
  <c r="M472" i="33"/>
  <c r="L472" i="33"/>
  <c r="M435" i="33"/>
  <c r="L435" i="33"/>
  <c r="M346" i="33"/>
  <c r="L346" i="33"/>
  <c r="M307" i="33"/>
  <c r="L307" i="33"/>
  <c r="M269" i="33"/>
  <c r="L269" i="33"/>
  <c r="M232" i="33"/>
  <c r="L232" i="33"/>
  <c r="M175" i="33"/>
  <c r="L175" i="33"/>
  <c r="M26" i="33"/>
  <c r="L26" i="33"/>
  <c r="M613" i="33"/>
  <c r="L613" i="33"/>
  <c r="M568" i="33"/>
  <c r="L568" i="33"/>
  <c r="M502" i="33"/>
  <c r="L502" i="33"/>
  <c r="M466" i="33"/>
  <c r="L466" i="33"/>
  <c r="M253" i="33"/>
  <c r="L253" i="33"/>
  <c r="M92" i="33"/>
  <c r="L92" i="33"/>
  <c r="M246" i="33"/>
  <c r="L246" i="33"/>
  <c r="M117" i="33"/>
  <c r="L117" i="33"/>
  <c r="M122" i="33"/>
  <c r="L122" i="33"/>
  <c r="M641" i="33"/>
  <c r="M595" i="33"/>
  <c r="M520" i="33"/>
  <c r="M296" i="33"/>
  <c r="M290" i="33"/>
  <c r="M93" i="33"/>
  <c r="M254" i="33"/>
  <c r="M556" i="33"/>
  <c r="M489" i="33"/>
  <c r="M742" i="33"/>
  <c r="M170" i="33"/>
  <c r="M70" i="33"/>
  <c r="M519" i="33"/>
  <c r="L519" i="33"/>
  <c r="M134" i="33"/>
  <c r="L134" i="33"/>
  <c r="M114" i="33"/>
  <c r="L114" i="33"/>
  <c r="M185" i="33"/>
  <c r="L185" i="33"/>
  <c r="M69" i="33"/>
  <c r="L69" i="33"/>
  <c r="M691" i="33"/>
  <c r="L691" i="33"/>
  <c r="M142" i="33"/>
  <c r="L142" i="33"/>
  <c r="M80" i="33"/>
  <c r="L80" i="33"/>
  <c r="M712" i="33"/>
  <c r="L712" i="33"/>
  <c r="M119" i="33"/>
  <c r="L119" i="33"/>
  <c r="M356" i="33"/>
  <c r="L356" i="33"/>
  <c r="M640" i="33"/>
  <c r="L640" i="33"/>
  <c r="M541" i="33"/>
  <c r="L541" i="33"/>
  <c r="L469" i="33"/>
  <c r="M390" i="33"/>
  <c r="L390" i="33"/>
  <c r="M374" i="33"/>
  <c r="L374" i="33"/>
  <c r="M292" i="33"/>
  <c r="L292" i="33"/>
  <c r="M204" i="33"/>
  <c r="L204" i="33"/>
  <c r="M139" i="33"/>
  <c r="L139" i="33"/>
  <c r="M56" i="33"/>
  <c r="L56" i="33"/>
  <c r="M666" i="33"/>
  <c r="L666" i="33"/>
  <c r="M562" i="33"/>
  <c r="L562" i="33"/>
  <c r="M454" i="33"/>
  <c r="L454" i="33"/>
  <c r="M430" i="33"/>
  <c r="L430" i="33"/>
  <c r="M330" i="33"/>
  <c r="L330" i="33"/>
  <c r="M301" i="33"/>
  <c r="L301" i="33"/>
  <c r="M221" i="33"/>
  <c r="L221" i="33"/>
  <c r="M169" i="33"/>
  <c r="L169" i="33"/>
  <c r="M21" i="33"/>
  <c r="L21" i="33"/>
  <c r="M698" i="33"/>
  <c r="L698" i="33"/>
  <c r="M610" i="33"/>
  <c r="L610" i="33"/>
  <c r="M558" i="33"/>
  <c r="L558" i="33"/>
  <c r="L497" i="33"/>
  <c r="L407" i="33"/>
  <c r="M341" i="33"/>
  <c r="L341" i="33"/>
  <c r="M250" i="33"/>
  <c r="L250" i="33"/>
  <c r="M65" i="33"/>
  <c r="L65" i="33"/>
  <c r="G622" i="33"/>
  <c r="M622" i="33" s="1"/>
  <c r="M623" i="33"/>
  <c r="G321" i="33"/>
  <c r="M321" i="33" s="1"/>
  <c r="M322" i="33"/>
  <c r="M103" i="33"/>
  <c r="L103" i="33"/>
  <c r="M445" i="33"/>
  <c r="L445" i="33"/>
  <c r="L669" i="33"/>
  <c r="L754" i="33"/>
  <c r="M597" i="33"/>
  <c r="L597" i="33"/>
  <c r="M509" i="33"/>
  <c r="L509" i="33"/>
  <c r="M318" i="33"/>
  <c r="L318" i="33"/>
  <c r="L207" i="33"/>
  <c r="L77" i="33"/>
  <c r="M677" i="33"/>
  <c r="L677" i="33"/>
  <c r="M603" i="33"/>
  <c r="L603" i="33"/>
  <c r="M537" i="33"/>
  <c r="L537" i="33"/>
  <c r="M404" i="33"/>
  <c r="L404" i="33"/>
  <c r="M387" i="33"/>
  <c r="L387" i="33"/>
  <c r="M289" i="33"/>
  <c r="L289" i="33"/>
  <c r="M193" i="33"/>
  <c r="L193" i="33"/>
  <c r="M130" i="33"/>
  <c r="L130" i="33"/>
  <c r="M51" i="33"/>
  <c r="L51" i="33"/>
  <c r="L630" i="33"/>
  <c r="M526" i="33"/>
  <c r="L526" i="33"/>
  <c r="M451" i="33"/>
  <c r="L451" i="33"/>
  <c r="M424" i="33"/>
  <c r="L424" i="33"/>
  <c r="G326" i="33"/>
  <c r="G325" i="33" s="1"/>
  <c r="G324" i="33" s="1"/>
  <c r="M327" i="33"/>
  <c r="M281" i="33"/>
  <c r="L281" i="33"/>
  <c r="M259" i="33"/>
  <c r="L259" i="33"/>
  <c r="L210" i="33"/>
  <c r="M95" i="33"/>
  <c r="L95" i="33"/>
  <c r="L759" i="33"/>
  <c r="M619" i="33"/>
  <c r="L619" i="33"/>
  <c r="M555" i="33"/>
  <c r="L555" i="33"/>
  <c r="M488" i="33"/>
  <c r="L488" i="33"/>
  <c r="L380" i="33"/>
  <c r="M337" i="33"/>
  <c r="L337" i="33"/>
  <c r="M46" i="33"/>
  <c r="L46" i="33"/>
  <c r="M88" i="33"/>
  <c r="L88" i="33"/>
  <c r="M517" i="33"/>
  <c r="M440" i="33"/>
  <c r="M354" i="33"/>
  <c r="M251" i="33"/>
  <c r="M614" i="33"/>
  <c r="M572" i="33"/>
  <c r="M106" i="33"/>
  <c r="M57" i="33"/>
  <c r="M510" i="33"/>
  <c r="M205" i="33"/>
  <c r="M176" i="33"/>
  <c r="M115" i="33"/>
  <c r="J393" i="33"/>
  <c r="J414" i="33"/>
  <c r="J314" i="33"/>
  <c r="J87" i="33"/>
  <c r="G744" i="33"/>
  <c r="G740" i="33" s="1"/>
  <c r="G739" i="33" s="1"/>
  <c r="G738" i="33" s="1"/>
  <c r="G737" i="33" s="1"/>
  <c r="G515" i="33"/>
  <c r="G514" i="33" s="1"/>
  <c r="G724" i="33"/>
  <c r="G203" i="33"/>
  <c r="G202" i="33" s="1"/>
  <c r="G201" i="33" s="1"/>
  <c r="G243" i="33"/>
  <c r="G242" i="33" s="1"/>
  <c r="G241" i="33" s="1"/>
  <c r="G240" i="33" s="1"/>
  <c r="G798" i="33"/>
  <c r="J100" i="33"/>
  <c r="G684" i="33"/>
  <c r="M684" i="33" s="1"/>
  <c r="J484" i="33"/>
  <c r="J186" i="33"/>
  <c r="J403" i="33"/>
  <c r="J373" i="33"/>
  <c r="J288" i="33"/>
  <c r="J61" i="33"/>
  <c r="G305" i="33"/>
  <c r="G352" i="33"/>
  <c r="J274" i="33"/>
  <c r="G288" i="33"/>
  <c r="G287" i="33" s="1"/>
  <c r="G805" i="33" s="1"/>
  <c r="J203" i="33"/>
  <c r="J383" i="33"/>
  <c r="G314" i="33"/>
  <c r="G313" i="33" s="1"/>
  <c r="H683" i="33"/>
  <c r="H682" i="33" s="1"/>
  <c r="H681" i="33" s="1"/>
  <c r="J643" i="33"/>
  <c r="G606" i="33"/>
  <c r="J590" i="33"/>
  <c r="J352" i="33"/>
  <c r="J561" i="33"/>
  <c r="J91" i="33"/>
  <c r="J606" i="33"/>
  <c r="G669" i="33"/>
  <c r="G664" i="33" s="1"/>
  <c r="G663" i="33" s="1"/>
  <c r="G662" i="33" s="1"/>
  <c r="J460" i="33"/>
  <c r="J184" i="33"/>
  <c r="J683" i="33"/>
  <c r="J76" i="33"/>
  <c r="J508" i="33"/>
  <c r="J197" i="33"/>
  <c r="J224" i="33"/>
  <c r="J179" i="33"/>
  <c r="J704" i="33"/>
  <c r="J434" i="33"/>
  <c r="J423" i="33"/>
  <c r="J345" i="33"/>
  <c r="J306" i="33"/>
  <c r="J268" i="33"/>
  <c r="J231" i="33"/>
  <c r="J174" i="33"/>
  <c r="J758" i="33"/>
  <c r="J366" i="33"/>
  <c r="J340" i="33"/>
  <c r="J10" i="33"/>
  <c r="J444" i="33"/>
  <c r="J639" i="33"/>
  <c r="J540" i="33"/>
  <c r="J50" i="33"/>
  <c r="J665" i="33"/>
  <c r="J32" i="33"/>
  <c r="J20" i="33"/>
  <c r="J554" i="33"/>
  <c r="J501" i="33"/>
  <c r="J45" i="33"/>
  <c r="J242" i="33"/>
  <c r="J515" i="33"/>
  <c r="J740" i="33"/>
  <c r="J68" i="33"/>
  <c r="J313" i="33"/>
  <c r="J753" i="33"/>
  <c r="G530" i="33"/>
  <c r="J724" i="33"/>
  <c r="J215" i="33"/>
  <c r="J192" i="33"/>
  <c r="J165" i="33"/>
  <c r="J438" i="33"/>
  <c r="J429" i="33"/>
  <c r="J326" i="33"/>
  <c r="J220" i="33"/>
  <c r="G359" i="33"/>
  <c r="J336" i="33"/>
  <c r="G236" i="33"/>
  <c r="G583" i="33"/>
  <c r="J536" i="33"/>
  <c r="J86" i="33"/>
  <c r="J55" i="33"/>
  <c r="J629" i="33"/>
  <c r="J25" i="33"/>
  <c r="J545" i="33"/>
  <c r="J37" i="33"/>
  <c r="J711" i="33"/>
  <c r="G799" i="33"/>
  <c r="G133" i="33"/>
  <c r="G110" i="33" s="1"/>
  <c r="G213" i="33"/>
  <c r="G183" i="33" s="1"/>
  <c r="G778" i="33" s="1"/>
  <c r="H459" i="33"/>
  <c r="H458" i="33" s="1"/>
  <c r="H457" i="33" s="1"/>
  <c r="H553" i="33"/>
  <c r="H552" i="33" s="1"/>
  <c r="H551" i="33" s="1"/>
  <c r="H421" i="33"/>
  <c r="I421" i="33"/>
  <c r="I783" i="33" s="1"/>
  <c r="H372" i="33"/>
  <c r="H371" i="33" s="1"/>
  <c r="H370" i="33" s="1"/>
  <c r="I553" i="33"/>
  <c r="I552" i="33" s="1"/>
  <c r="I551" i="33" s="1"/>
  <c r="I683" i="33"/>
  <c r="I682" i="33" s="1"/>
  <c r="I681" i="33" s="1"/>
  <c r="I589" i="33"/>
  <c r="I588" i="33" s="1"/>
  <c r="I587" i="33" s="1"/>
  <c r="I794" i="33"/>
  <c r="G683" i="33"/>
  <c r="G682" i="33" s="1"/>
  <c r="G681" i="33" s="1"/>
  <c r="G372" i="33"/>
  <c r="G371" i="33" s="1"/>
  <c r="G370" i="33" s="1"/>
  <c r="I201" i="33"/>
  <c r="I133" i="33"/>
  <c r="I110" i="33" s="1"/>
  <c r="I808" i="33" s="1"/>
  <c r="I513" i="33"/>
  <c r="I512" i="33" s="1"/>
  <c r="I334" i="33"/>
  <c r="I333" i="33" s="1"/>
  <c r="I780" i="33" s="1"/>
  <c r="I60" i="33"/>
  <c r="I793" i="33" s="1"/>
  <c r="H183" i="33"/>
  <c r="G60" i="33"/>
  <c r="G793" i="33" s="1"/>
  <c r="I213" i="33"/>
  <c r="G459" i="33"/>
  <c r="G458" i="33" s="1"/>
  <c r="G457" i="33" s="1"/>
  <c r="G784" i="33" s="1"/>
  <c r="I8" i="33"/>
  <c r="I7" i="33" s="1"/>
  <c r="H304" i="33"/>
  <c r="H272" i="33" s="1"/>
  <c r="H228" i="33" s="1"/>
  <c r="I272" i="33"/>
  <c r="I228" i="33" s="1"/>
  <c r="I779" i="33" s="1"/>
  <c r="H589" i="33"/>
  <c r="H588" i="33" s="1"/>
  <c r="H587" i="33" s="1"/>
  <c r="I789" i="33"/>
  <c r="J133" i="33"/>
  <c r="G421" i="33"/>
  <c r="G783" i="33" s="1"/>
  <c r="G334" i="33"/>
  <c r="G333" i="33" s="1"/>
  <c r="G780" i="33" s="1"/>
  <c r="I459" i="33"/>
  <c r="G812" i="33"/>
  <c r="G10" i="33"/>
  <c r="G561" i="33" l="1"/>
  <c r="G553" i="33" s="1"/>
  <c r="G552" i="33" s="1"/>
  <c r="M37" i="33"/>
  <c r="L37" i="33"/>
  <c r="M55" i="33"/>
  <c r="L55" i="33"/>
  <c r="M326" i="33"/>
  <c r="L326" i="33"/>
  <c r="M192" i="33"/>
  <c r="L192" i="33"/>
  <c r="L753" i="33"/>
  <c r="M515" i="33"/>
  <c r="L515" i="33"/>
  <c r="M554" i="33"/>
  <c r="L554" i="33"/>
  <c r="M50" i="33"/>
  <c r="L50" i="33"/>
  <c r="M10" i="33"/>
  <c r="L10" i="33"/>
  <c r="M174" i="33"/>
  <c r="L174" i="33"/>
  <c r="M345" i="33"/>
  <c r="L345" i="33"/>
  <c r="M179" i="33"/>
  <c r="L179" i="33"/>
  <c r="M76" i="33"/>
  <c r="L76" i="33"/>
  <c r="M352" i="33"/>
  <c r="L352" i="33"/>
  <c r="M61" i="33"/>
  <c r="L61" i="33"/>
  <c r="M186" i="33"/>
  <c r="L186" i="33"/>
  <c r="M314" i="33"/>
  <c r="L314" i="33"/>
  <c r="M669" i="33"/>
  <c r="L545" i="33"/>
  <c r="M86" i="33"/>
  <c r="L86" i="33"/>
  <c r="M336" i="33"/>
  <c r="L336" i="33"/>
  <c r="M429" i="33"/>
  <c r="L429" i="33"/>
  <c r="M215" i="33"/>
  <c r="L215" i="33"/>
  <c r="M313" i="33"/>
  <c r="L313" i="33"/>
  <c r="M242" i="33"/>
  <c r="L242" i="33"/>
  <c r="M20" i="33"/>
  <c r="L20" i="33"/>
  <c r="M540" i="33"/>
  <c r="L540" i="33"/>
  <c r="M340" i="33"/>
  <c r="L340" i="33"/>
  <c r="M231" i="33"/>
  <c r="L231" i="33"/>
  <c r="M423" i="33"/>
  <c r="L423" i="33"/>
  <c r="M224" i="33"/>
  <c r="L224" i="33"/>
  <c r="M683" i="33"/>
  <c r="L683" i="33"/>
  <c r="M606" i="33"/>
  <c r="L606" i="33"/>
  <c r="M590" i="33"/>
  <c r="L590" i="33"/>
  <c r="M274" i="33"/>
  <c r="L274" i="33"/>
  <c r="M288" i="33"/>
  <c r="L288" i="33"/>
  <c r="M484" i="33"/>
  <c r="L484" i="33"/>
  <c r="M414" i="33"/>
  <c r="L414" i="33"/>
  <c r="M133" i="33"/>
  <c r="L133" i="33"/>
  <c r="M25" i="33"/>
  <c r="L25" i="33"/>
  <c r="M536" i="33"/>
  <c r="L536" i="33"/>
  <c r="M438" i="33"/>
  <c r="L438" i="33"/>
  <c r="L724" i="33"/>
  <c r="M68" i="33"/>
  <c r="L68" i="33"/>
  <c r="M45" i="33"/>
  <c r="L45" i="33"/>
  <c r="M32" i="33"/>
  <c r="L32" i="33"/>
  <c r="M639" i="33"/>
  <c r="L639" i="33"/>
  <c r="L366" i="33"/>
  <c r="M268" i="33"/>
  <c r="L268" i="33"/>
  <c r="M434" i="33"/>
  <c r="L434" i="33"/>
  <c r="M197" i="33"/>
  <c r="L197" i="33"/>
  <c r="M184" i="33"/>
  <c r="L184" i="33"/>
  <c r="M91" i="33"/>
  <c r="L91" i="33"/>
  <c r="M383" i="33"/>
  <c r="L383" i="33"/>
  <c r="M373" i="33"/>
  <c r="L373" i="33"/>
  <c r="M393" i="33"/>
  <c r="L393" i="33"/>
  <c r="M711" i="33"/>
  <c r="L711" i="33"/>
  <c r="L629" i="33"/>
  <c r="M220" i="33"/>
  <c r="L220" i="33"/>
  <c r="M165" i="33"/>
  <c r="L165" i="33"/>
  <c r="M740" i="33"/>
  <c r="L740" i="33"/>
  <c r="M501" i="33"/>
  <c r="L501" i="33"/>
  <c r="M665" i="33"/>
  <c r="L665" i="33"/>
  <c r="M444" i="33"/>
  <c r="L444" i="33"/>
  <c r="L758" i="33"/>
  <c r="M306" i="33"/>
  <c r="L306" i="33"/>
  <c r="M704" i="33"/>
  <c r="L704" i="33"/>
  <c r="M508" i="33"/>
  <c r="L508" i="33"/>
  <c r="M460" i="33"/>
  <c r="L460" i="33"/>
  <c r="M561" i="33"/>
  <c r="L561" i="33"/>
  <c r="M643" i="33"/>
  <c r="L643" i="33"/>
  <c r="M203" i="33"/>
  <c r="L203" i="33"/>
  <c r="M403" i="33"/>
  <c r="L403" i="33"/>
  <c r="M100" i="33"/>
  <c r="L100" i="33"/>
  <c r="M87" i="33"/>
  <c r="L87" i="33"/>
  <c r="M744" i="33"/>
  <c r="M243" i="33"/>
  <c r="J273" i="33"/>
  <c r="J287" i="33"/>
  <c r="J805" i="33" s="1"/>
  <c r="J90" i="33"/>
  <c r="J765" i="33"/>
  <c r="J767" i="33" s="1"/>
  <c r="J413" i="33"/>
  <c r="J202" i="33"/>
  <c r="J799" i="33" s="1"/>
  <c r="J402" i="33"/>
  <c r="J99" i="33"/>
  <c r="G794" i="33"/>
  <c r="G304" i="33"/>
  <c r="G806" i="33" s="1"/>
  <c r="J372" i="33"/>
  <c r="G589" i="33"/>
  <c r="G588" i="33" s="1"/>
  <c r="G587" i="33" s="1"/>
  <c r="J351" i="33"/>
  <c r="J589" i="33"/>
  <c r="J459" i="33"/>
  <c r="J638" i="33"/>
  <c r="J553" i="33"/>
  <c r="J60" i="33"/>
  <c r="J793" i="33" s="1"/>
  <c r="G782" i="33"/>
  <c r="G235" i="33"/>
  <c r="G229" i="33"/>
  <c r="J325" i="33"/>
  <c r="J739" i="33"/>
  <c r="J241" i="33"/>
  <c r="J500" i="33"/>
  <c r="J19" i="33"/>
  <c r="J443" i="33"/>
  <c r="J178" i="33"/>
  <c r="J196" i="33"/>
  <c r="J507" i="33"/>
  <c r="J110" i="33"/>
  <c r="J36" i="33"/>
  <c r="J24" i="33"/>
  <c r="J54" i="33"/>
  <c r="J535" i="33"/>
  <c r="J191" i="33"/>
  <c r="J720" i="33"/>
  <c r="J752" i="33"/>
  <c r="J664" i="33"/>
  <c r="J9" i="33"/>
  <c r="J757" i="33"/>
  <c r="J230" i="33"/>
  <c r="J305" i="33"/>
  <c r="J422" i="33"/>
  <c r="J703" i="33"/>
  <c r="J682" i="33"/>
  <c r="J710" i="33"/>
  <c r="J335" i="33"/>
  <c r="J219" i="33"/>
  <c r="J428" i="33"/>
  <c r="J514" i="33"/>
  <c r="J44" i="33"/>
  <c r="J31" i="33"/>
  <c r="J49" i="33"/>
  <c r="G351" i="33"/>
  <c r="G350" i="33" s="1"/>
  <c r="G349" i="33" s="1"/>
  <c r="J544" i="33"/>
  <c r="J85" i="33"/>
  <c r="J164" i="33"/>
  <c r="J214" i="33"/>
  <c r="G529" i="33"/>
  <c r="J173" i="33"/>
  <c r="J344" i="33"/>
  <c r="J433" i="33"/>
  <c r="H550" i="33"/>
  <c r="H549" i="33" s="1"/>
  <c r="H762" i="33" s="1"/>
  <c r="G791" i="33"/>
  <c r="G59" i="33"/>
  <c r="G30" i="33" s="1"/>
  <c r="I788" i="33"/>
  <c r="I550" i="33"/>
  <c r="I549" i="33" s="1"/>
  <c r="I183" i="33"/>
  <c r="I778" i="33" s="1"/>
  <c r="J458" i="33"/>
  <c r="I59" i="33"/>
  <c r="I30" i="33" s="1"/>
  <c r="I775" i="33" s="1"/>
  <c r="G788" i="33"/>
  <c r="G551" i="33"/>
  <c r="I458" i="33"/>
  <c r="I457" i="33" s="1"/>
  <c r="I784" i="33" s="1"/>
  <c r="I791" i="33"/>
  <c r="G9" i="33"/>
  <c r="G8" i="33" s="1"/>
  <c r="M344" i="33" l="1"/>
  <c r="L344" i="33"/>
  <c r="M164" i="33"/>
  <c r="L164" i="33"/>
  <c r="M514" i="33"/>
  <c r="L514" i="33"/>
  <c r="M335" i="33"/>
  <c r="L335" i="33"/>
  <c r="M422" i="33"/>
  <c r="L422" i="33"/>
  <c r="M9" i="33"/>
  <c r="L9" i="33"/>
  <c r="M720" i="33"/>
  <c r="L720" i="33"/>
  <c r="M24" i="33"/>
  <c r="L24" i="33"/>
  <c r="M196" i="33"/>
  <c r="L196" i="33"/>
  <c r="M500" i="33"/>
  <c r="L500" i="33"/>
  <c r="M553" i="33"/>
  <c r="L553" i="33"/>
  <c r="M351" i="33"/>
  <c r="L351" i="33"/>
  <c r="M413" i="33"/>
  <c r="L413" i="33"/>
  <c r="M273" i="33"/>
  <c r="L273" i="33"/>
  <c r="M173" i="33"/>
  <c r="L173" i="33"/>
  <c r="M305" i="33"/>
  <c r="L305" i="33"/>
  <c r="M36" i="33"/>
  <c r="L36" i="33"/>
  <c r="M178" i="33"/>
  <c r="L178" i="33"/>
  <c r="M638" i="33"/>
  <c r="L638" i="33"/>
  <c r="M99" i="33"/>
  <c r="L99" i="33"/>
  <c r="M85" i="33"/>
  <c r="L85" i="33"/>
  <c r="M710" i="33"/>
  <c r="L710" i="33"/>
  <c r="M664" i="33"/>
  <c r="L664" i="33"/>
  <c r="M241" i="33"/>
  <c r="L241" i="33"/>
  <c r="J98" i="33"/>
  <c r="L544" i="33"/>
  <c r="M31" i="33"/>
  <c r="L31" i="33"/>
  <c r="M428" i="33"/>
  <c r="L428" i="33"/>
  <c r="M682" i="33"/>
  <c r="L682" i="33"/>
  <c r="M230" i="33"/>
  <c r="L230" i="33"/>
  <c r="M535" i="33"/>
  <c r="L535" i="33"/>
  <c r="M110" i="33"/>
  <c r="L110" i="33"/>
  <c r="M443" i="33"/>
  <c r="L443" i="33"/>
  <c r="M739" i="33"/>
  <c r="L739" i="33"/>
  <c r="M459" i="33"/>
  <c r="L459" i="33"/>
  <c r="M372" i="33"/>
  <c r="L372" i="33"/>
  <c r="M402" i="33"/>
  <c r="L402" i="33"/>
  <c r="M90" i="33"/>
  <c r="L90" i="33"/>
  <c r="M49" i="33"/>
  <c r="L49" i="33"/>
  <c r="M191" i="33"/>
  <c r="L191" i="33"/>
  <c r="M458" i="33"/>
  <c r="L458" i="33"/>
  <c r="M433" i="33"/>
  <c r="L433" i="33"/>
  <c r="M214" i="33"/>
  <c r="L214" i="33"/>
  <c r="M44" i="33"/>
  <c r="L44" i="33"/>
  <c r="M219" i="33"/>
  <c r="L219" i="33"/>
  <c r="M703" i="33"/>
  <c r="L703" i="33"/>
  <c r="L757" i="33"/>
  <c r="L752" i="33"/>
  <c r="M54" i="33"/>
  <c r="L54" i="33"/>
  <c r="M507" i="33"/>
  <c r="L507" i="33"/>
  <c r="M19" i="33"/>
  <c r="L19" i="33"/>
  <c r="M325" i="33"/>
  <c r="L325" i="33"/>
  <c r="M60" i="33"/>
  <c r="L60" i="33"/>
  <c r="M589" i="33"/>
  <c r="L589" i="33"/>
  <c r="M202" i="33"/>
  <c r="L202" i="33"/>
  <c r="M287" i="33"/>
  <c r="L287" i="33"/>
  <c r="G550" i="33"/>
  <c r="J201" i="33"/>
  <c r="J588" i="33"/>
  <c r="J637" i="33"/>
  <c r="G272" i="33"/>
  <c r="G228" i="33" s="1"/>
  <c r="G779" i="33" s="1"/>
  <c r="J371" i="33"/>
  <c r="J552" i="33"/>
  <c r="J789" i="33"/>
  <c r="J350" i="33"/>
  <c r="G808" i="33"/>
  <c r="J304" i="33"/>
  <c r="I809" i="33"/>
  <c r="G789" i="33"/>
  <c r="J59" i="33"/>
  <c r="J401" i="33"/>
  <c r="J801" i="33"/>
  <c r="J663" i="33"/>
  <c r="J751" i="33"/>
  <c r="J190" i="33"/>
  <c r="J534" i="33"/>
  <c r="J506" i="33"/>
  <c r="J18" i="33"/>
  <c r="J240" i="33"/>
  <c r="J794" i="33"/>
  <c r="J798" i="33"/>
  <c r="J457" i="33"/>
  <c r="J797" i="33"/>
  <c r="J172" i="33"/>
  <c r="J796" i="33"/>
  <c r="J213" i="33"/>
  <c r="J795" i="33"/>
  <c r="J587" i="33"/>
  <c r="J43" i="33"/>
  <c r="J709" i="33"/>
  <c r="J702" i="33"/>
  <c r="J163" i="33"/>
  <c r="J790" i="33"/>
  <c r="J334" i="33"/>
  <c r="J636" i="33"/>
  <c r="J719" i="33"/>
  <c r="J349" i="33"/>
  <c r="J808" i="33"/>
  <c r="J803" i="33"/>
  <c r="J442" i="33"/>
  <c r="J804" i="33"/>
  <c r="J324" i="33"/>
  <c r="J802" i="33"/>
  <c r="J800" i="33"/>
  <c r="G513" i="33"/>
  <c r="G512" i="33" s="1"/>
  <c r="J427" i="33"/>
  <c r="J792" i="33"/>
  <c r="J681" i="33"/>
  <c r="J229" i="33"/>
  <c r="I781" i="33"/>
  <c r="I786" i="33" s="1"/>
  <c r="G809" i="33"/>
  <c r="I29" i="33"/>
  <c r="I762" i="33" s="1"/>
  <c r="I773" i="33" s="1"/>
  <c r="G549" i="33"/>
  <c r="G781" i="33"/>
  <c r="G7" i="33"/>
  <c r="G29" i="33" l="1"/>
  <c r="M719" i="33"/>
  <c r="L719" i="33"/>
  <c r="M163" i="33"/>
  <c r="L163" i="33"/>
  <c r="M172" i="33"/>
  <c r="L172" i="33"/>
  <c r="M534" i="33"/>
  <c r="L534" i="33"/>
  <c r="M229" i="33"/>
  <c r="L229" i="33"/>
  <c r="M349" i="33"/>
  <c r="L349" i="33"/>
  <c r="M43" i="33"/>
  <c r="L43" i="33"/>
  <c r="M506" i="33"/>
  <c r="L506" i="33"/>
  <c r="M663" i="33"/>
  <c r="L663" i="33"/>
  <c r="M350" i="33"/>
  <c r="L350" i="33"/>
  <c r="M637" i="33"/>
  <c r="L637" i="33"/>
  <c r="M636" i="33"/>
  <c r="L636" i="33"/>
  <c r="M702" i="33"/>
  <c r="L702" i="33"/>
  <c r="M240" i="33"/>
  <c r="L240" i="33"/>
  <c r="M190" i="33"/>
  <c r="L190" i="33"/>
  <c r="M401" i="33"/>
  <c r="L401" i="33"/>
  <c r="M304" i="33"/>
  <c r="L304" i="33"/>
  <c r="M552" i="33"/>
  <c r="L552" i="33"/>
  <c r="M588" i="33"/>
  <c r="L588" i="33"/>
  <c r="M681" i="33"/>
  <c r="L681" i="33"/>
  <c r="M442" i="33"/>
  <c r="L442" i="33"/>
  <c r="M587" i="33"/>
  <c r="L587" i="33"/>
  <c r="M427" i="33"/>
  <c r="L427" i="33"/>
  <c r="M324" i="33"/>
  <c r="L324" i="33"/>
  <c r="M334" i="33"/>
  <c r="L334" i="33"/>
  <c r="M709" i="33"/>
  <c r="L709" i="33"/>
  <c r="M213" i="33"/>
  <c r="L213" i="33"/>
  <c r="M457" i="33"/>
  <c r="L457" i="33"/>
  <c r="M18" i="33"/>
  <c r="L18" i="33"/>
  <c r="L751" i="33"/>
  <c r="M59" i="33"/>
  <c r="L59" i="33"/>
  <c r="M371" i="33"/>
  <c r="L371" i="33"/>
  <c r="M201" i="33"/>
  <c r="L201" i="33"/>
  <c r="M98" i="33"/>
  <c r="L98" i="33"/>
  <c r="J806" i="33"/>
  <c r="J551" i="33"/>
  <c r="J370" i="33"/>
  <c r="J272" i="33"/>
  <c r="J513" i="33"/>
  <c r="J8" i="33"/>
  <c r="J738" i="33"/>
  <c r="G775" i="33"/>
  <c r="G786" i="33" s="1"/>
  <c r="J788" i="33"/>
  <c r="J30" i="33"/>
  <c r="J421" i="33"/>
  <c r="J777" i="33"/>
  <c r="J183" i="33"/>
  <c r="J505" i="33"/>
  <c r="J662" i="33"/>
  <c r="J718" i="33"/>
  <c r="J791" i="33"/>
  <c r="J809" i="33" s="1"/>
  <c r="J333" i="33"/>
  <c r="J162" i="33"/>
  <c r="J708" i="33"/>
  <c r="G762" i="33"/>
  <c r="G773" i="33" s="1"/>
  <c r="I774" i="33"/>
  <c r="M708" i="33" l="1"/>
  <c r="L708" i="33"/>
  <c r="M718" i="33"/>
  <c r="L718" i="33"/>
  <c r="M272" i="33"/>
  <c r="L272" i="33"/>
  <c r="M162" i="33"/>
  <c r="L162" i="33"/>
  <c r="M662" i="33"/>
  <c r="L662" i="33"/>
  <c r="M421" i="33"/>
  <c r="L421" i="33"/>
  <c r="M738" i="33"/>
  <c r="L738" i="33"/>
  <c r="M370" i="33"/>
  <c r="L370" i="33"/>
  <c r="M333" i="33"/>
  <c r="L333" i="33"/>
  <c r="M505" i="33"/>
  <c r="L505" i="33"/>
  <c r="M30" i="33"/>
  <c r="L30" i="33"/>
  <c r="M8" i="33"/>
  <c r="L8" i="33"/>
  <c r="M551" i="33"/>
  <c r="L551" i="33"/>
  <c r="M183" i="33"/>
  <c r="L183" i="33"/>
  <c r="M513" i="33"/>
  <c r="L513" i="33"/>
  <c r="J228" i="33"/>
  <c r="J29" i="33" s="1"/>
  <c r="J7" i="33"/>
  <c r="J512" i="33"/>
  <c r="J737" i="33"/>
  <c r="J782" i="33"/>
  <c r="G774" i="33"/>
  <c r="J550" i="33"/>
  <c r="J775" i="33"/>
  <c r="J717" i="33"/>
  <c r="J785" i="33"/>
  <c r="J776" i="33"/>
  <c r="J778" i="33"/>
  <c r="J701" i="33"/>
  <c r="J780" i="33"/>
  <c r="E12" i="32"/>
  <c r="E14" i="32"/>
  <c r="E16" i="32"/>
  <c r="E17" i="32"/>
  <c r="E18" i="32"/>
  <c r="E19" i="32"/>
  <c r="E21" i="32"/>
  <c r="E22" i="32"/>
  <c r="E24" i="32"/>
  <c r="E26" i="32"/>
  <c r="E27" i="32"/>
  <c r="E28" i="32"/>
  <c r="E30" i="32"/>
  <c r="E32" i="32"/>
  <c r="E34" i="32"/>
  <c r="E35" i="32"/>
  <c r="E36" i="32"/>
  <c r="E38" i="32"/>
  <c r="E42" i="32"/>
  <c r="E43" i="32"/>
  <c r="E45" i="32"/>
  <c r="E46" i="32"/>
  <c r="E47" i="32"/>
  <c r="E48" i="32"/>
  <c r="E49" i="32"/>
  <c r="E50" i="32"/>
  <c r="E51" i="32"/>
  <c r="E52" i="32"/>
  <c r="E61" i="32"/>
  <c r="E62" i="32"/>
  <c r="D44" i="32"/>
  <c r="D54" i="32"/>
  <c r="D66" i="32"/>
  <c r="D40" i="32" l="1"/>
  <c r="D39" i="32" s="1"/>
  <c r="M7" i="33"/>
  <c r="L7" i="33"/>
  <c r="M29" i="33"/>
  <c r="L29" i="33"/>
  <c r="M717" i="33"/>
  <c r="L717" i="33"/>
  <c r="M228" i="33"/>
  <c r="L228" i="33"/>
  <c r="M737" i="33"/>
  <c r="L737" i="33"/>
  <c r="M701" i="33"/>
  <c r="L701" i="33"/>
  <c r="J779" i="33"/>
  <c r="M550" i="33"/>
  <c r="L550" i="33"/>
  <c r="M512" i="33"/>
  <c r="L512" i="33"/>
  <c r="J781" i="33"/>
  <c r="J783" i="33"/>
  <c r="J549" i="33"/>
  <c r="J784" i="33"/>
  <c r="C38" i="14"/>
  <c r="E38" i="14" s="1"/>
  <c r="C39" i="14"/>
  <c r="E39" i="14" s="1"/>
  <c r="J759" i="29"/>
  <c r="J112" i="29"/>
  <c r="J111" i="29" s="1"/>
  <c r="C62" i="14" l="1"/>
  <c r="E62" i="14" s="1"/>
  <c r="M549" i="33"/>
  <c r="L549" i="33"/>
  <c r="J786" i="33"/>
  <c r="J762" i="33"/>
  <c r="L762" i="33" s="1"/>
  <c r="J773" i="33" l="1"/>
  <c r="J774" i="33"/>
  <c r="E53" i="32"/>
  <c r="J282" i="29"/>
  <c r="J281" i="29" s="1"/>
  <c r="J279" i="29"/>
  <c r="J278" i="29" s="1"/>
  <c r="E65" i="32" l="1"/>
  <c r="E55" i="32"/>
  <c r="E58" i="32"/>
  <c r="E67" i="32"/>
  <c r="E44" i="32"/>
  <c r="E57" i="32"/>
  <c r="E63" i="32"/>
  <c r="E59" i="32"/>
  <c r="E56" i="32"/>
  <c r="E64" i="32"/>
  <c r="E54" i="32" l="1"/>
  <c r="E66" i="32"/>
  <c r="E41" i="32" l="1"/>
  <c r="H735" i="29" l="1"/>
  <c r="H733" i="29"/>
  <c r="H730" i="29"/>
  <c r="H729" i="29" s="1"/>
  <c r="H648" i="29"/>
  <c r="H647" i="29" s="1"/>
  <c r="H723" i="29"/>
  <c r="H722" i="29" s="1"/>
  <c r="H720" i="29"/>
  <c r="H719" i="29" s="1"/>
  <c r="H717" i="29"/>
  <c r="H716" i="29"/>
  <c r="H714" i="29"/>
  <c r="H713" i="29" s="1"/>
  <c r="H710" i="29"/>
  <c r="H709" i="29" s="1"/>
  <c r="H703" i="29"/>
  <c r="H701" i="29"/>
  <c r="H694" i="29"/>
  <c r="H693" i="29" s="1"/>
  <c r="H692" i="29" s="1"/>
  <c r="H691" i="29" s="1"/>
  <c r="H690" i="29" s="1"/>
  <c r="H687" i="29"/>
  <c r="H686" i="29" s="1"/>
  <c r="H684" i="29"/>
  <c r="H682" i="29"/>
  <c r="H680" i="29"/>
  <c r="H677" i="29"/>
  <c r="H675" i="29"/>
  <c r="H673" i="29"/>
  <c r="H667" i="29"/>
  <c r="H666" i="29" s="1"/>
  <c r="H665" i="29" s="1"/>
  <c r="H661" i="29"/>
  <c r="H659" i="29"/>
  <c r="H655" i="29"/>
  <c r="H654" i="29" s="1"/>
  <c r="H653" i="29" s="1"/>
  <c r="H645" i="29"/>
  <c r="H644" i="29" s="1"/>
  <c r="H642" i="29"/>
  <c r="H641" i="29" s="1"/>
  <c r="H639" i="29"/>
  <c r="H638" i="29" s="1"/>
  <c r="H636" i="29"/>
  <c r="H635" i="29" s="1"/>
  <c r="H633" i="29"/>
  <c r="H632" i="29" s="1"/>
  <c r="H631" i="29" s="1"/>
  <c r="H629" i="29"/>
  <c r="H628" i="29" s="1"/>
  <c r="H627" i="29" s="1"/>
  <c r="H622" i="29"/>
  <c r="H621" i="29" s="1"/>
  <c r="H619" i="29"/>
  <c r="H618" i="29" s="1"/>
  <c r="H617" i="29" s="1"/>
  <c r="H615" i="29"/>
  <c r="H614" i="29" s="1"/>
  <c r="H613" i="29" s="1"/>
  <c r="H611" i="29"/>
  <c r="H610" i="29" s="1"/>
  <c r="H608" i="29"/>
  <c r="H607" i="29" s="1"/>
  <c r="H605" i="29"/>
  <c r="H604" i="29" s="1"/>
  <c r="H602" i="29"/>
  <c r="H601" i="29" s="1"/>
  <c r="H599" i="29"/>
  <c r="H598" i="29" s="1"/>
  <c r="H596" i="29"/>
  <c r="H595" i="29" s="1"/>
  <c r="H592" i="29"/>
  <c r="H591" i="29" s="1"/>
  <c r="H588" i="29"/>
  <c r="H586" i="29"/>
  <c r="H585" i="29" s="1"/>
  <c r="H583" i="29"/>
  <c r="H582" i="29" s="1"/>
  <c r="H580" i="29"/>
  <c r="H579" i="29" s="1"/>
  <c r="H573" i="29"/>
  <c r="H572" i="29"/>
  <c r="H571" i="29"/>
  <c r="H570" i="29"/>
  <c r="H569" i="29" s="1"/>
  <c r="H568" i="29" s="1"/>
  <c r="H566" i="29"/>
  <c r="H565" i="29" s="1"/>
  <c r="H563" i="29"/>
  <c r="H562" i="29" s="1"/>
  <c r="H560" i="29"/>
  <c r="H559" i="29" s="1"/>
  <c r="H557" i="29"/>
  <c r="H556" i="29" s="1"/>
  <c r="H554" i="29"/>
  <c r="H553" i="29" s="1"/>
  <c r="H551" i="29"/>
  <c r="H550" i="29" s="1"/>
  <c r="H547" i="29"/>
  <c r="H546" i="29" s="1"/>
  <c r="H544" i="29"/>
  <c r="H543" i="29" s="1"/>
  <c r="H528" i="29"/>
  <c r="H522" i="29" s="1"/>
  <c r="H700" i="29" l="1"/>
  <c r="H699" i="29" s="1"/>
  <c r="H698" i="29" s="1"/>
  <c r="H697" i="29" s="1"/>
  <c r="H696" i="29" s="1"/>
  <c r="H658" i="29"/>
  <c r="H657" i="29" s="1"/>
  <c r="H652" i="29" s="1"/>
  <c r="H651" i="29" s="1"/>
  <c r="H650" i="29" s="1"/>
  <c r="E39" i="32"/>
  <c r="E40" i="32"/>
  <c r="H708" i="29"/>
  <c r="H707" i="29" s="1"/>
  <c r="H706" i="29" s="1"/>
  <c r="H705" i="29" s="1"/>
  <c r="H679" i="29"/>
  <c r="H732" i="29"/>
  <c r="H728" i="29" s="1"/>
  <c r="H727" i="29" s="1"/>
  <c r="H726" i="29" s="1"/>
  <c r="H725" i="29" s="1"/>
  <c r="H712" i="29"/>
  <c r="H689" i="29"/>
  <c r="H672" i="29"/>
  <c r="H671" i="29" s="1"/>
  <c r="H670" i="29" s="1"/>
  <c r="H669" i="29" s="1"/>
  <c r="H626" i="29"/>
  <c r="H625" i="29" s="1"/>
  <c r="H624" i="29" s="1"/>
  <c r="H594" i="29"/>
  <c r="H578" i="29"/>
  <c r="H549" i="29"/>
  <c r="H542" i="29"/>
  <c r="H520" i="29"/>
  <c r="H519" i="29" s="1"/>
  <c r="H518" i="29" s="1"/>
  <c r="H517" i="29" s="1"/>
  <c r="H514" i="29"/>
  <c r="H507" i="29"/>
  <c r="H504" i="29"/>
  <c r="H497" i="29"/>
  <c r="H496" i="29" s="1"/>
  <c r="H495" i="29" s="1"/>
  <c r="H494" i="29" s="1"/>
  <c r="H493" i="29" s="1"/>
  <c r="H490" i="29"/>
  <c r="H489" i="29" s="1"/>
  <c r="H488" i="29" s="1"/>
  <c r="H479" i="29"/>
  <c r="H475" i="29"/>
  <c r="H474" i="29"/>
  <c r="H473" i="29" s="1"/>
  <c r="H476" i="29"/>
  <c r="H469" i="29"/>
  <c r="H466" i="29"/>
  <c r="H465" i="29"/>
  <c r="H464" i="29" s="1"/>
  <c r="H463" i="29" s="1"/>
  <c r="H460" i="29"/>
  <c r="H455" i="29"/>
  <c r="H448" i="29"/>
  <c r="H445" i="29"/>
  <c r="H439" i="29"/>
  <c r="H433" i="29"/>
  <c r="H432" i="29" s="1"/>
  <c r="H429" i="29"/>
  <c r="H428" i="29" s="1"/>
  <c r="H427" i="29" s="1"/>
  <c r="H424" i="29"/>
  <c r="H423" i="29" s="1"/>
  <c r="H422" i="29" s="1"/>
  <c r="H418" i="29"/>
  <c r="H417" i="29" s="1"/>
  <c r="H416" i="29" s="1"/>
  <c r="H412" i="29"/>
  <c r="H411" i="29" s="1"/>
  <c r="H410" i="29" s="1"/>
  <c r="H405" i="29"/>
  <c r="H404" i="29"/>
  <c r="H403" i="29" s="1"/>
  <c r="H402" i="29" s="1"/>
  <c r="G400" i="29"/>
  <c r="G392" i="29"/>
  <c r="E68" i="32" l="1"/>
  <c r="H541" i="29"/>
  <c r="H540" i="29" s="1"/>
  <c r="H539" i="29" s="1"/>
  <c r="H438" i="29"/>
  <c r="H437" i="29" s="1"/>
  <c r="H436" i="29" s="1"/>
  <c r="H472" i="29"/>
  <c r="H577" i="29"/>
  <c r="H576" i="29" s="1"/>
  <c r="H575" i="29" s="1"/>
  <c r="H503" i="29"/>
  <c r="H502" i="29" s="1"/>
  <c r="H501" i="29" s="1"/>
  <c r="H500" i="29" s="1"/>
  <c r="H454" i="29"/>
  <c r="H421" i="29"/>
  <c r="H415" i="29" s="1"/>
  <c r="L500" i="29" l="1"/>
  <c r="H538" i="29"/>
  <c r="H537" i="29" s="1"/>
  <c r="L537" i="29" s="1"/>
  <c r="H453" i="29"/>
  <c r="H452" i="29" s="1"/>
  <c r="H451" i="29" s="1"/>
  <c r="H401" i="29"/>
  <c r="H398" i="29"/>
  <c r="H390" i="29"/>
  <c r="H394" i="29"/>
  <c r="H387" i="29"/>
  <c r="H384" i="29"/>
  <c r="H374" i="29"/>
  <c r="H356" i="29"/>
  <c r="H363" i="29"/>
  <c r="H353" i="29"/>
  <c r="H346" i="29"/>
  <c r="H345" i="29"/>
  <c r="H344" i="29" s="1"/>
  <c r="H341" i="29"/>
  <c r="H340" i="29" s="1"/>
  <c r="H337" i="29"/>
  <c r="H336" i="29" s="1"/>
  <c r="H330" i="29"/>
  <c r="H327" i="29"/>
  <c r="H318" i="29"/>
  <c r="H315" i="29"/>
  <c r="H310" i="29"/>
  <c r="H321" i="29"/>
  <c r="H307" i="29"/>
  <c r="H306" i="29" s="1"/>
  <c r="H301" i="29"/>
  <c r="H298" i="29"/>
  <c r="H295" i="29"/>
  <c r="H292" i="29"/>
  <c r="H289" i="29"/>
  <c r="H285" i="29"/>
  <c r="H284" i="29" s="1"/>
  <c r="H281" i="29"/>
  <c r="H279" i="29"/>
  <c r="H278" i="29" s="1"/>
  <c r="H275" i="29"/>
  <c r="H269" i="29"/>
  <c r="H268" i="29" s="1"/>
  <c r="H266" i="29"/>
  <c r="H265" i="29" s="1"/>
  <c r="H263" i="29"/>
  <c r="H262" i="29" s="1"/>
  <c r="H259" i="29"/>
  <c r="H256" i="29"/>
  <c r="H253" i="29"/>
  <c r="H250" i="29"/>
  <c r="H243" i="29"/>
  <c r="H232" i="29"/>
  <c r="H231" i="29" s="1"/>
  <c r="H230" i="29" s="1"/>
  <c r="H229" i="29" s="1"/>
  <c r="H216" i="29"/>
  <c r="H215" i="29" s="1"/>
  <c r="H214" i="29" s="1"/>
  <c r="H225" i="29"/>
  <c r="H224" i="29" s="1"/>
  <c r="H221" i="29"/>
  <c r="H220" i="29" s="1"/>
  <c r="H211" i="29"/>
  <c r="H210" i="29" s="1"/>
  <c r="H208" i="29"/>
  <c r="H207" i="29" s="1"/>
  <c r="H204" i="29"/>
  <c r="H198" i="29"/>
  <c r="H197" i="29" s="1"/>
  <c r="H196" i="29" s="1"/>
  <c r="H193" i="29"/>
  <c r="H192" i="29" s="1"/>
  <c r="H187" i="29"/>
  <c r="H186" i="29" s="1"/>
  <c r="H180" i="29"/>
  <c r="H179" i="29" s="1"/>
  <c r="H178" i="29" s="1"/>
  <c r="H175" i="29"/>
  <c r="H174" i="29" s="1"/>
  <c r="H173" i="29" s="1"/>
  <c r="H169" i="29"/>
  <c r="H166" i="29"/>
  <c r="H165" i="29" s="1"/>
  <c r="H393" i="29" l="1"/>
  <c r="H750" i="29"/>
  <c r="H383" i="29"/>
  <c r="H373" i="29"/>
  <c r="H352" i="29"/>
  <c r="H351" i="29" s="1"/>
  <c r="H350" i="29" s="1"/>
  <c r="H349" i="29" s="1"/>
  <c r="H191" i="29"/>
  <c r="H190" i="29" s="1"/>
  <c r="H164" i="29"/>
  <c r="H163" i="29" s="1"/>
  <c r="H162" i="29" s="1"/>
  <c r="H219" i="29"/>
  <c r="H213" i="29" s="1"/>
  <c r="H335" i="29"/>
  <c r="H334" i="29" s="1"/>
  <c r="H333" i="29" s="1"/>
  <c r="H326" i="29"/>
  <c r="H325" i="29" s="1"/>
  <c r="H324" i="29" s="1"/>
  <c r="H314" i="29"/>
  <c r="H313" i="29" s="1"/>
  <c r="H305" i="29"/>
  <c r="H288" i="29"/>
  <c r="H287" i="29" s="1"/>
  <c r="H274" i="29"/>
  <c r="H273" i="29" s="1"/>
  <c r="H242" i="29"/>
  <c r="H241" i="29" s="1"/>
  <c r="H240" i="29" s="1"/>
  <c r="H203" i="29"/>
  <c r="H202" i="29" s="1"/>
  <c r="H201" i="29" s="1"/>
  <c r="H185" i="29"/>
  <c r="H184" i="29" s="1"/>
  <c r="H172" i="29"/>
  <c r="H157" i="29"/>
  <c r="H152" i="29"/>
  <c r="H147" i="29"/>
  <c r="H142" i="29"/>
  <c r="H139" i="29"/>
  <c r="H134" i="29"/>
  <c r="H130" i="29"/>
  <c r="H128" i="29"/>
  <c r="H126" i="29"/>
  <c r="H125" i="29" s="1"/>
  <c r="H119" i="29"/>
  <c r="H114" i="29"/>
  <c r="H111" i="29"/>
  <c r="H100" i="29"/>
  <c r="H99" i="29" s="1"/>
  <c r="H98" i="29" s="1"/>
  <c r="H95" i="29"/>
  <c r="H92" i="29"/>
  <c r="H87" i="29"/>
  <c r="H86" i="29" s="1"/>
  <c r="H85" i="29" s="1"/>
  <c r="H80" i="29"/>
  <c r="H78" i="29"/>
  <c r="H77" i="29" s="1"/>
  <c r="H61" i="29"/>
  <c r="H69" i="29"/>
  <c r="H68" i="29" s="1"/>
  <c r="H33" i="29"/>
  <c r="H32" i="29" s="1"/>
  <c r="H16" i="29"/>
  <c r="H11" i="29" s="1"/>
  <c r="H10" i="29" s="1"/>
  <c r="H22" i="29"/>
  <c r="H21" i="29" s="1"/>
  <c r="H20" i="29" s="1"/>
  <c r="H19" i="29" s="1"/>
  <c r="H27" i="29"/>
  <c r="H26" i="29" s="1"/>
  <c r="H25" i="29" s="1"/>
  <c r="H24" i="29" s="1"/>
  <c r="H372" i="29" l="1"/>
  <c r="H371" i="29" s="1"/>
  <c r="H370" i="29" s="1"/>
  <c r="H304" i="29"/>
  <c r="H272" i="29" s="1"/>
  <c r="H228" i="29" s="1"/>
  <c r="H91" i="29"/>
  <c r="H90" i="29" s="1"/>
  <c r="H183" i="29"/>
  <c r="H133" i="29"/>
  <c r="H110" i="29" s="1"/>
  <c r="H76" i="29"/>
  <c r="H60" i="29" s="1"/>
  <c r="G755" i="29"/>
  <c r="J302" i="29" l="1"/>
  <c r="J301" i="29" s="1"/>
  <c r="J620" i="29" l="1"/>
  <c r="J480" i="29"/>
  <c r="J479" i="29" s="1"/>
  <c r="J477" i="29"/>
  <c r="J476" i="29" s="1"/>
  <c r="J498" i="29"/>
  <c r="J497" i="29" s="1"/>
  <c r="J496" i="29" s="1"/>
  <c r="J495" i="29" s="1"/>
  <c r="J494" i="29" s="1"/>
  <c r="J493" i="29" s="1"/>
  <c r="J491" i="29"/>
  <c r="J490" i="29" s="1"/>
  <c r="J489" i="29" s="1"/>
  <c r="J488" i="29" s="1"/>
  <c r="J486" i="29"/>
  <c r="J485" i="29" s="1"/>
  <c r="J483" i="29"/>
  <c r="J482" i="29" s="1"/>
  <c r="J474" i="29"/>
  <c r="J473" i="29" s="1"/>
  <c r="J472" i="29" l="1"/>
  <c r="J470" i="29"/>
  <c r="J469" i="29" s="1"/>
  <c r="J467" i="29"/>
  <c r="J466" i="29" s="1"/>
  <c r="J465" i="29"/>
  <c r="J464" i="29" s="1"/>
  <c r="J463" i="29" s="1"/>
  <c r="J461" i="29"/>
  <c r="J460" i="29" s="1"/>
  <c r="J458" i="29"/>
  <c r="J456" i="29"/>
  <c r="J449" i="29"/>
  <c r="J448" i="29" s="1"/>
  <c r="J446" i="29"/>
  <c r="J445" i="29" s="1"/>
  <c r="J442" i="29"/>
  <c r="J440" i="29"/>
  <c r="J439" i="29" l="1"/>
  <c r="J438" i="29" s="1"/>
  <c r="J437" i="29" s="1"/>
  <c r="J436" i="29" s="1"/>
  <c r="J455" i="29"/>
  <c r="J454" i="29" s="1"/>
  <c r="J453" i="29" s="1"/>
  <c r="J452" i="29" s="1"/>
  <c r="J451" i="29" s="1"/>
  <c r="J434" i="29" l="1"/>
  <c r="J433" i="29" s="1"/>
  <c r="J432" i="29" s="1"/>
  <c r="J430" i="29"/>
  <c r="J429" i="29" s="1"/>
  <c r="J428" i="29" s="1"/>
  <c r="J427" i="29" s="1"/>
  <c r="J425" i="29"/>
  <c r="J424" i="29" s="1"/>
  <c r="J423" i="29" s="1"/>
  <c r="J422" i="29" s="1"/>
  <c r="J419" i="29"/>
  <c r="J418" i="29" s="1"/>
  <c r="J417" i="29" s="1"/>
  <c r="J416" i="29" s="1"/>
  <c r="J413" i="29"/>
  <c r="J412" i="29" s="1"/>
  <c r="J411" i="29" s="1"/>
  <c r="J410" i="29" s="1"/>
  <c r="J408" i="29"/>
  <c r="J407" i="29" s="1"/>
  <c r="J405" i="29"/>
  <c r="J404" i="29" s="1"/>
  <c r="J399" i="29"/>
  <c r="J398" i="29" s="1"/>
  <c r="J395" i="29"/>
  <c r="J394" i="29" s="1"/>
  <c r="J391" i="29"/>
  <c r="J390" i="29" s="1"/>
  <c r="J388" i="29"/>
  <c r="J387" i="29" s="1"/>
  <c r="J381" i="29"/>
  <c r="J380" i="29" s="1"/>
  <c r="J385" i="29"/>
  <c r="J384" i="29" s="1"/>
  <c r="J378" i="29"/>
  <c r="J377" i="29" s="1"/>
  <c r="J375" i="29"/>
  <c r="J374" i="29" s="1"/>
  <c r="J368" i="29"/>
  <c r="J367" i="29" s="1"/>
  <c r="J366" i="29" s="1"/>
  <c r="J357" i="29"/>
  <c r="J356" i="29" s="1"/>
  <c r="J354" i="29"/>
  <c r="J353" i="29" s="1"/>
  <c r="J347" i="29"/>
  <c r="J346" i="29" s="1"/>
  <c r="J345" i="29" s="1"/>
  <c r="J344" i="29" s="1"/>
  <c r="J342" i="29"/>
  <c r="J341" i="29" s="1"/>
  <c r="J340" i="29" s="1"/>
  <c r="J338" i="29"/>
  <c r="J337" i="29" s="1"/>
  <c r="J336" i="29" s="1"/>
  <c r="J331" i="29"/>
  <c r="J330" i="29" s="1"/>
  <c r="J325" i="29" s="1"/>
  <c r="J324" i="29" s="1"/>
  <c r="J319" i="29"/>
  <c r="J318" i="29" s="1"/>
  <c r="J403" i="29" l="1"/>
  <c r="J402" i="29" s="1"/>
  <c r="J383" i="29"/>
  <c r="J421" i="29"/>
  <c r="J415" i="29" s="1"/>
  <c r="J393" i="29"/>
  <c r="J373" i="29"/>
  <c r="J352" i="29"/>
  <c r="J351" i="29" s="1"/>
  <c r="J350" i="29" s="1"/>
  <c r="J349" i="29" s="1"/>
  <c r="J335" i="29"/>
  <c r="J334" i="29" s="1"/>
  <c r="J333" i="29" s="1"/>
  <c r="J372" i="29" l="1"/>
  <c r="J371" i="29" s="1"/>
  <c r="J316" i="29"/>
  <c r="J315" i="29" s="1"/>
  <c r="J314" i="29" s="1"/>
  <c r="J313" i="29" s="1"/>
  <c r="J308" i="29" l="1"/>
  <c r="J307" i="29" s="1"/>
  <c r="J306" i="29" s="1"/>
  <c r="J305" i="29" s="1"/>
  <c r="J304" i="29" s="1"/>
  <c r="J296" i="29"/>
  <c r="J295" i="29" s="1"/>
  <c r="J293" i="29" l="1"/>
  <c r="J292" i="29" s="1"/>
  <c r="J290" i="29"/>
  <c r="J289" i="29" s="1"/>
  <c r="J288" i="29" l="1"/>
  <c r="J287" i="29" s="1"/>
  <c r="J276" i="29"/>
  <c r="J275" i="29" s="1"/>
  <c r="J274" i="29" s="1"/>
  <c r="J273" i="29" s="1"/>
  <c r="J270" i="29"/>
  <c r="J269" i="29" s="1"/>
  <c r="J268" i="29" s="1"/>
  <c r="J260" i="29"/>
  <c r="J259" i="29" s="1"/>
  <c r="J257" i="29"/>
  <c r="J256" i="29" s="1"/>
  <c r="J254" i="29"/>
  <c r="J253" i="29" s="1"/>
  <c r="J251" i="29"/>
  <c r="J250" i="29" s="1"/>
  <c r="J248" i="29"/>
  <c r="J244" i="29"/>
  <c r="J233" i="29"/>
  <c r="J232" i="29" s="1"/>
  <c r="J231" i="29" s="1"/>
  <c r="J230" i="29" s="1"/>
  <c r="J229" i="29" s="1"/>
  <c r="J226" i="29"/>
  <c r="J225" i="29" s="1"/>
  <c r="J224" i="29" s="1"/>
  <c r="J222" i="29"/>
  <c r="J221" i="29" s="1"/>
  <c r="J220" i="29" s="1"/>
  <c r="J217" i="29"/>
  <c r="J216" i="29" s="1"/>
  <c r="J215" i="29" s="1"/>
  <c r="J214" i="29" s="1"/>
  <c r="J211" i="29"/>
  <c r="J210" i="29" s="1"/>
  <c r="J208" i="29"/>
  <c r="J207" i="29" s="1"/>
  <c r="J205" i="29"/>
  <c r="J204" i="29" s="1"/>
  <c r="J199" i="29"/>
  <c r="J198" i="29" s="1"/>
  <c r="J197" i="29" s="1"/>
  <c r="J196" i="29" s="1"/>
  <c r="J194" i="29"/>
  <c r="J193" i="29" s="1"/>
  <c r="J192" i="29" s="1"/>
  <c r="J191" i="29" s="1"/>
  <c r="J188" i="29"/>
  <c r="J187" i="29" s="1"/>
  <c r="J181" i="29"/>
  <c r="J180" i="29" s="1"/>
  <c r="J179" i="29" s="1"/>
  <c r="J178" i="29" s="1"/>
  <c r="J176" i="29"/>
  <c r="J175" i="29" s="1"/>
  <c r="J174" i="29" s="1"/>
  <c r="J173" i="29" s="1"/>
  <c r="J170" i="29"/>
  <c r="J169" i="29" s="1"/>
  <c r="J167" i="29"/>
  <c r="J166" i="29" s="1"/>
  <c r="J165" i="29" s="1"/>
  <c r="J160" i="29"/>
  <c r="J158" i="29"/>
  <c r="J155" i="29"/>
  <c r="J153" i="29"/>
  <c r="J150" i="29"/>
  <c r="J148" i="29"/>
  <c r="J145" i="29"/>
  <c r="J147" i="29" l="1"/>
  <c r="J272" i="29"/>
  <c r="J185" i="29"/>
  <c r="J184" i="29" s="1"/>
  <c r="J186" i="29"/>
  <c r="J190" i="29"/>
  <c r="J152" i="29"/>
  <c r="J157" i="29"/>
  <c r="J219" i="29"/>
  <c r="J213" i="29" s="1"/>
  <c r="J203" i="29"/>
  <c r="J202" i="29" s="1"/>
  <c r="J201" i="29" s="1"/>
  <c r="J172" i="29"/>
  <c r="J164" i="29"/>
  <c r="J163" i="29" s="1"/>
  <c r="J162" i="29" s="1"/>
  <c r="J143" i="29"/>
  <c r="J142" i="29" s="1"/>
  <c r="J140" i="29"/>
  <c r="J139" i="29" s="1"/>
  <c r="J137" i="29"/>
  <c r="J135" i="29"/>
  <c r="J131" i="29"/>
  <c r="J130" i="29" s="1"/>
  <c r="J120" i="29"/>
  <c r="I120" i="29"/>
  <c r="J123" i="29"/>
  <c r="J122" i="29" s="1"/>
  <c r="J118" i="29"/>
  <c r="J117" i="29" s="1"/>
  <c r="J115" i="29"/>
  <c r="J108" i="29"/>
  <c r="J106" i="29" s="1"/>
  <c r="J105" i="29" s="1"/>
  <c r="J104" i="29"/>
  <c r="J103" i="29" s="1"/>
  <c r="J101" i="29"/>
  <c r="J96" i="29"/>
  <c r="J95" i="29" s="1"/>
  <c r="J93" i="29"/>
  <c r="J92" i="29" s="1"/>
  <c r="J89" i="29"/>
  <c r="J88" i="29" s="1"/>
  <c r="J87" i="29" s="1"/>
  <c r="J86" i="29" s="1"/>
  <c r="J85" i="29" s="1"/>
  <c r="J83" i="29"/>
  <c r="J81" i="29"/>
  <c r="J78" i="29"/>
  <c r="J77" i="29" s="1"/>
  <c r="J72" i="29"/>
  <c r="J70" i="29"/>
  <c r="J67" i="29"/>
  <c r="J66" i="29" s="1"/>
  <c r="J65" i="29" s="1"/>
  <c r="J63" i="29"/>
  <c r="J62" i="29" s="1"/>
  <c r="J57" i="29"/>
  <c r="J56" i="29" s="1"/>
  <c r="J55" i="29" s="1"/>
  <c r="J54" i="29" s="1"/>
  <c r="J47" i="29"/>
  <c r="J46" i="29" s="1"/>
  <c r="J45" i="29" s="1"/>
  <c r="J44" i="29" s="1"/>
  <c r="J43" i="29" s="1"/>
  <c r="J52" i="29"/>
  <c r="J51" i="29" s="1"/>
  <c r="J50" i="29" s="1"/>
  <c r="J49" i="29" s="1"/>
  <c r="J39" i="29"/>
  <c r="J41" i="29"/>
  <c r="J34" i="29"/>
  <c r="J33" i="29" s="1"/>
  <c r="J32" i="29" s="1"/>
  <c r="J31" i="29" s="1"/>
  <c r="J38" i="29" l="1"/>
  <c r="J37" i="29" s="1"/>
  <c r="J36" i="29" s="1"/>
  <c r="J69" i="29"/>
  <c r="J68" i="29" s="1"/>
  <c r="J100" i="29"/>
  <c r="J99" i="29" s="1"/>
  <c r="J98" i="29" s="1"/>
  <c r="J790" i="29" s="1"/>
  <c r="J183" i="29"/>
  <c r="J114" i="29"/>
  <c r="J80" i="29"/>
  <c r="J134" i="29"/>
  <c r="J133" i="29" s="1"/>
  <c r="J110" i="29" s="1"/>
  <c r="J119" i="29"/>
  <c r="J91" i="29"/>
  <c r="J90" i="29" s="1"/>
  <c r="J76" i="29"/>
  <c r="J61" i="29"/>
  <c r="J60" i="29" l="1"/>
  <c r="D37" i="32"/>
  <c r="E37" i="32" s="1"/>
  <c r="D33" i="32"/>
  <c r="E33" i="32" s="1"/>
  <c r="D31" i="32"/>
  <c r="E31" i="32" s="1"/>
  <c r="D29" i="32"/>
  <c r="E29" i="32" s="1"/>
  <c r="D25" i="32"/>
  <c r="E25" i="32" s="1"/>
  <c r="D23" i="32"/>
  <c r="E23" i="32" s="1"/>
  <c r="D20" i="32"/>
  <c r="E20" i="32" s="1"/>
  <c r="D15" i="32"/>
  <c r="E15" i="32" s="1"/>
  <c r="D13" i="32"/>
  <c r="E13" i="32" s="1"/>
  <c r="D11" i="32"/>
  <c r="E11" i="32" s="1"/>
  <c r="J59" i="29" l="1"/>
  <c r="J30" i="29" s="1"/>
  <c r="D10" i="32"/>
  <c r="D60" i="32" l="1"/>
  <c r="E60" i="32" s="1"/>
  <c r="E10" i="32"/>
  <c r="G612" i="29" l="1"/>
  <c r="J773" i="29" l="1"/>
  <c r="J770" i="29"/>
  <c r="J768" i="29"/>
  <c r="J766" i="29"/>
  <c r="J765" i="29"/>
  <c r="J764" i="29"/>
  <c r="J760" i="29"/>
  <c r="I760" i="29"/>
  <c r="J798" i="29"/>
  <c r="J794" i="29"/>
  <c r="J793" i="29"/>
  <c r="J792" i="29"/>
  <c r="J791" i="29"/>
  <c r="J789" i="29"/>
  <c r="J788" i="29"/>
  <c r="J787" i="29"/>
  <c r="J785" i="29"/>
  <c r="J784" i="29"/>
  <c r="J783" i="29"/>
  <c r="J780" i="29"/>
  <c r="J778" i="29"/>
  <c r="J777" i="29"/>
  <c r="I798" i="29"/>
  <c r="J714" i="29" l="1"/>
  <c r="J713" i="29" s="1"/>
  <c r="J712" i="29" s="1"/>
  <c r="J708" i="29" s="1"/>
  <c r="J707" i="29" s="1"/>
  <c r="J703" i="29"/>
  <c r="J701" i="29"/>
  <c r="J694" i="29"/>
  <c r="J693" i="29" s="1"/>
  <c r="J692" i="29" s="1"/>
  <c r="J691" i="29" s="1"/>
  <c r="J690" i="29" s="1"/>
  <c r="J706" i="29" l="1"/>
  <c r="J705" i="29" s="1"/>
  <c r="J772" i="29" s="1"/>
  <c r="J779" i="29"/>
  <c r="J700" i="29"/>
  <c r="J699" i="29" s="1"/>
  <c r="J698" i="29" s="1"/>
  <c r="J697" i="29" s="1"/>
  <c r="J696" i="29" s="1"/>
  <c r="J689" i="29" s="1"/>
  <c r="J771" i="29" s="1"/>
  <c r="J687" i="29"/>
  <c r="J686" i="29" s="1"/>
  <c r="J684" i="29"/>
  <c r="J675" i="29"/>
  <c r="J682" i="29"/>
  <c r="J680" i="29"/>
  <c r="J673" i="29"/>
  <c r="J667" i="29"/>
  <c r="J666" i="29" s="1"/>
  <c r="J665" i="29" s="1"/>
  <c r="J679" i="29" l="1"/>
  <c r="J672" i="29"/>
  <c r="J663" i="29"/>
  <c r="J661" i="29"/>
  <c r="J659" i="29"/>
  <c r="J655" i="29"/>
  <c r="J654" i="29" s="1"/>
  <c r="J653" i="29" s="1"/>
  <c r="J642" i="29"/>
  <c r="J641" i="29" s="1"/>
  <c r="J639" i="29"/>
  <c r="J638" i="29" s="1"/>
  <c r="J633" i="29"/>
  <c r="J632" i="29" s="1"/>
  <c r="J629" i="29"/>
  <c r="J628" i="29" s="1"/>
  <c r="J627" i="29" s="1"/>
  <c r="J608" i="29"/>
  <c r="J607" i="29" s="1"/>
  <c r="J619" i="29"/>
  <c r="J618" i="29" s="1"/>
  <c r="J617" i="29" s="1"/>
  <c r="J615" i="29"/>
  <c r="J614" i="29" s="1"/>
  <c r="J613" i="29" s="1"/>
  <c r="J605" i="29"/>
  <c r="J604" i="29" s="1"/>
  <c r="J602" i="29"/>
  <c r="J601" i="29" s="1"/>
  <c r="J599" i="29"/>
  <c r="J598" i="29" s="1"/>
  <c r="J596" i="29"/>
  <c r="J595" i="29" s="1"/>
  <c r="J631" i="29" l="1"/>
  <c r="J626" i="29" s="1"/>
  <c r="J625" i="29" s="1"/>
  <c r="J624" i="29" s="1"/>
  <c r="J658" i="29"/>
  <c r="J657" i="29" s="1"/>
  <c r="J652" i="29" s="1"/>
  <c r="J651" i="29" s="1"/>
  <c r="J650" i="29" s="1"/>
  <c r="J671" i="29"/>
  <c r="J670" i="29" s="1"/>
  <c r="J669" i="29" s="1"/>
  <c r="J594" i="29"/>
  <c r="J586" i="29"/>
  <c r="J585" i="29" s="1"/>
  <c r="J583" i="29"/>
  <c r="J582" i="29" s="1"/>
  <c r="J554" i="29" l="1"/>
  <c r="J553" i="29" s="1"/>
  <c r="J551" i="29"/>
  <c r="J550" i="29" s="1"/>
  <c r="J592" i="29" l="1"/>
  <c r="J591" i="29" s="1"/>
  <c r="J580" i="29" l="1"/>
  <c r="J579" i="29" s="1"/>
  <c r="J578" i="29" s="1"/>
  <c r="J577" i="29" s="1"/>
  <c r="J576" i="29" s="1"/>
  <c r="J575" i="29" s="1"/>
  <c r="J569" i="29"/>
  <c r="J568" i="29" s="1"/>
  <c r="J560" i="29"/>
  <c r="J559" i="29" s="1"/>
  <c r="J557" i="29"/>
  <c r="J556" i="29" s="1"/>
  <c r="J547" i="29"/>
  <c r="J546" i="29" s="1"/>
  <c r="J544" i="29"/>
  <c r="J543" i="29" s="1"/>
  <c r="I687" i="29"/>
  <c r="I686" i="29" s="1"/>
  <c r="I684" i="29"/>
  <c r="I682" i="29"/>
  <c r="I680" i="29"/>
  <c r="I677" i="29"/>
  <c r="I675" i="29"/>
  <c r="I673" i="29"/>
  <c r="I667" i="29"/>
  <c r="I666" i="29" s="1"/>
  <c r="I665" i="29" s="1"/>
  <c r="I663" i="29"/>
  <c r="I661" i="29"/>
  <c r="I659" i="29"/>
  <c r="I655" i="29"/>
  <c r="I654" i="29" s="1"/>
  <c r="I653" i="29" s="1"/>
  <c r="I645" i="29"/>
  <c r="I644" i="29" s="1"/>
  <c r="I642" i="29"/>
  <c r="I641" i="29" s="1"/>
  <c r="I639" i="29"/>
  <c r="I638" i="29" s="1"/>
  <c r="I633" i="29"/>
  <c r="I632" i="29" s="1"/>
  <c r="I629" i="29"/>
  <c r="I628" i="29" s="1"/>
  <c r="I627" i="29" s="1"/>
  <c r="I619" i="29"/>
  <c r="I618" i="29" s="1"/>
  <c r="I617" i="29" s="1"/>
  <c r="I615" i="29"/>
  <c r="I614" i="29" s="1"/>
  <c r="I613" i="29" s="1"/>
  <c r="I608" i="29"/>
  <c r="I607" i="29" s="1"/>
  <c r="I605" i="29"/>
  <c r="I604" i="29" s="1"/>
  <c r="I602" i="29"/>
  <c r="I601" i="29" s="1"/>
  <c r="I599" i="29"/>
  <c r="I598" i="29" s="1"/>
  <c r="I596" i="29"/>
  <c r="I595" i="29" s="1"/>
  <c r="I592" i="29"/>
  <c r="I591" i="29" s="1"/>
  <c r="I586" i="29"/>
  <c r="I585" i="29" s="1"/>
  <c r="I583" i="29"/>
  <c r="I582" i="29" s="1"/>
  <c r="I580" i="29"/>
  <c r="I579" i="29" s="1"/>
  <c r="I569" i="29"/>
  <c r="I568" i="29" s="1"/>
  <c r="I560" i="29"/>
  <c r="I559" i="29" s="1"/>
  <c r="I557" i="29"/>
  <c r="I556" i="29" s="1"/>
  <c r="I553" i="29"/>
  <c r="I551" i="29"/>
  <c r="I550" i="29" s="1"/>
  <c r="J549" i="29" l="1"/>
  <c r="J542" i="29"/>
  <c r="I658" i="29"/>
  <c r="I657" i="29" s="1"/>
  <c r="I652" i="29" s="1"/>
  <c r="I651" i="29" s="1"/>
  <c r="I650" i="29" s="1"/>
  <c r="I679" i="29"/>
  <c r="I672" i="29"/>
  <c r="I631" i="29"/>
  <c r="I626" i="29" s="1"/>
  <c r="I625" i="29" s="1"/>
  <c r="I624" i="29" s="1"/>
  <c r="I594" i="29"/>
  <c r="I578" i="29"/>
  <c r="I549" i="29"/>
  <c r="I547" i="29"/>
  <c r="I546" i="29" s="1"/>
  <c r="I544" i="29"/>
  <c r="I543" i="29" s="1"/>
  <c r="I498" i="29"/>
  <c r="I497" i="29" s="1"/>
  <c r="I496" i="29" s="1"/>
  <c r="I495" i="29" s="1"/>
  <c r="I494" i="29" s="1"/>
  <c r="I493" i="29" s="1"/>
  <c r="I773" i="29" s="1"/>
  <c r="I714" i="29"/>
  <c r="I713" i="29" s="1"/>
  <c r="I712" i="29" s="1"/>
  <c r="I708" i="29" s="1"/>
  <c r="I707" i="29" s="1"/>
  <c r="I706" i="29" s="1"/>
  <c r="I705" i="29" s="1"/>
  <c r="I491" i="29"/>
  <c r="I490" i="29" s="1"/>
  <c r="I489" i="29" s="1"/>
  <c r="I488" i="29" s="1"/>
  <c r="I792" i="29" s="1"/>
  <c r="J541" i="29" l="1"/>
  <c r="J540" i="29" s="1"/>
  <c r="I542" i="29"/>
  <c r="I541" i="29" s="1"/>
  <c r="I540" i="29" s="1"/>
  <c r="I671" i="29"/>
  <c r="I670" i="29" s="1"/>
  <c r="I669" i="29" s="1"/>
  <c r="I577" i="29"/>
  <c r="I576" i="29" s="1"/>
  <c r="I575" i="29" s="1"/>
  <c r="I486" i="29"/>
  <c r="I485" i="29" s="1"/>
  <c r="I483" i="29"/>
  <c r="I482" i="29" s="1"/>
  <c r="I474" i="29"/>
  <c r="I473" i="29" s="1"/>
  <c r="I470" i="29"/>
  <c r="I469" i="29" s="1"/>
  <c r="I467" i="29"/>
  <c r="I466" i="29" s="1"/>
  <c r="I456" i="29"/>
  <c r="I458" i="29"/>
  <c r="I539" i="29" l="1"/>
  <c r="I538" i="29" s="1"/>
  <c r="J539" i="29"/>
  <c r="J538" i="29" s="1"/>
  <c r="J776" i="29"/>
  <c r="I455" i="29"/>
  <c r="I454" i="29" s="1"/>
  <c r="I472" i="29"/>
  <c r="I703" i="29"/>
  <c r="J537" i="29" l="1"/>
  <c r="J769" i="29"/>
  <c r="I453" i="29"/>
  <c r="I700" i="29"/>
  <c r="I699" i="29" s="1"/>
  <c r="I698" i="29" s="1"/>
  <c r="I697" i="29" s="1"/>
  <c r="I696" i="29" s="1"/>
  <c r="I449" i="29"/>
  <c r="I448" i="29" s="1"/>
  <c r="I446" i="29"/>
  <c r="I445" i="29" s="1"/>
  <c r="I442" i="29"/>
  <c r="I440" i="29"/>
  <c r="I452" i="29" l="1"/>
  <c r="I451" i="29" s="1"/>
  <c r="I772" i="29" s="1"/>
  <c r="I779" i="29"/>
  <c r="I439" i="29"/>
  <c r="I438" i="29" s="1"/>
  <c r="I437" i="29" s="1"/>
  <c r="I436" i="29" s="1"/>
  <c r="I694" i="29"/>
  <c r="I693" i="29" s="1"/>
  <c r="I692" i="29" s="1"/>
  <c r="I691" i="29" s="1"/>
  <c r="I434" i="29"/>
  <c r="I433" i="29" s="1"/>
  <c r="I432" i="29" s="1"/>
  <c r="I430" i="29"/>
  <c r="I429" i="29" s="1"/>
  <c r="I428" i="29" s="1"/>
  <c r="I427" i="29" s="1"/>
  <c r="I785" i="29" s="1"/>
  <c r="I425" i="29"/>
  <c r="I424" i="29" s="1"/>
  <c r="I423" i="29" s="1"/>
  <c r="I422" i="29" s="1"/>
  <c r="I780" i="29" s="1"/>
  <c r="I419" i="29"/>
  <c r="I418" i="29" s="1"/>
  <c r="I417" i="29" s="1"/>
  <c r="I416" i="29" s="1"/>
  <c r="I414" i="29"/>
  <c r="I413" i="29" s="1"/>
  <c r="I412" i="29" s="1"/>
  <c r="I411" i="29" s="1"/>
  <c r="I410" i="29" s="1"/>
  <c r="I401" i="29" s="1"/>
  <c r="F393" i="25"/>
  <c r="I395" i="29"/>
  <c r="I394" i="29" s="1"/>
  <c r="I393" i="29" s="1"/>
  <c r="I690" i="29" l="1"/>
  <c r="I689" i="29" s="1"/>
  <c r="I537" i="29" s="1"/>
  <c r="I776" i="29"/>
  <c r="I421" i="29"/>
  <c r="I415" i="29" s="1"/>
  <c r="I381" i="29"/>
  <c r="I380" i="29" s="1"/>
  <c r="I378" i="29"/>
  <c r="I377" i="29" s="1"/>
  <c r="I771" i="29" l="1"/>
  <c r="I386" i="29"/>
  <c r="I385" i="29" s="1"/>
  <c r="I384" i="29" s="1"/>
  <c r="I383" i="29" s="1"/>
  <c r="I376" i="29"/>
  <c r="I375" i="29" s="1"/>
  <c r="I374" i="29" s="1"/>
  <c r="I373" i="29" s="1"/>
  <c r="I369" i="29"/>
  <c r="I368" i="29" s="1"/>
  <c r="I367" i="29" s="1"/>
  <c r="I366" i="29" s="1"/>
  <c r="I357" i="29"/>
  <c r="I356" i="29" s="1"/>
  <c r="I348" i="29"/>
  <c r="I347" i="29" s="1"/>
  <c r="I346" i="29" s="1"/>
  <c r="I345" i="29" s="1"/>
  <c r="I344" i="29" s="1"/>
  <c r="I788" i="29" s="1"/>
  <c r="I343" i="29"/>
  <c r="I342" i="29" s="1"/>
  <c r="I341" i="29" s="1"/>
  <c r="I340" i="29" s="1"/>
  <c r="I339" i="29"/>
  <c r="I338" i="29" s="1"/>
  <c r="I337" i="29" s="1"/>
  <c r="I336" i="29" s="1"/>
  <c r="I331" i="29"/>
  <c r="I330" i="29" s="1"/>
  <c r="I326" i="29" s="1"/>
  <c r="I325" i="29" s="1"/>
  <c r="I324" i="29" s="1"/>
  <c r="I335" i="29" l="1"/>
  <c r="I372" i="29"/>
  <c r="I371" i="29" s="1"/>
  <c r="I370" i="29" s="1"/>
  <c r="I770" i="29" s="1"/>
  <c r="I317" i="29"/>
  <c r="I316" i="29" s="1"/>
  <c r="I315" i="29" s="1"/>
  <c r="I297" i="29"/>
  <c r="I296" i="29" s="1"/>
  <c r="I295" i="29" s="1"/>
  <c r="I294" i="29"/>
  <c r="I293" i="29" s="1"/>
  <c r="I292" i="29" s="1"/>
  <c r="I283" i="29"/>
  <c r="I282" i="29" s="1"/>
  <c r="I281" i="29" s="1"/>
  <c r="I280" i="29"/>
  <c r="I279" i="29" s="1"/>
  <c r="I278" i="29" s="1"/>
  <c r="I277" i="29"/>
  <c r="I276" i="29" s="1"/>
  <c r="I275" i="29" s="1"/>
  <c r="I261" i="29"/>
  <c r="I260" i="29" s="1"/>
  <c r="I259" i="29" s="1"/>
  <c r="I255" i="29"/>
  <c r="I254" i="29" s="1"/>
  <c r="I253" i="29" s="1"/>
  <c r="I252" i="29"/>
  <c r="I251" i="29" s="1"/>
  <c r="I250" i="29" s="1"/>
  <c r="I249" i="29"/>
  <c r="I248" i="29" s="1"/>
  <c r="I234" i="29"/>
  <c r="I233" i="29" s="1"/>
  <c r="I232" i="29" s="1"/>
  <c r="I231" i="29" s="1"/>
  <c r="I230" i="29" s="1"/>
  <c r="I229" i="29" s="1"/>
  <c r="I227" i="29"/>
  <c r="I226" i="29" s="1"/>
  <c r="I225" i="29" s="1"/>
  <c r="I224" i="29" s="1"/>
  <c r="I223" i="29"/>
  <c r="I222" i="29" s="1"/>
  <c r="I221" i="29" s="1"/>
  <c r="I220" i="29" s="1"/>
  <c r="I218" i="29"/>
  <c r="I217" i="29" s="1"/>
  <c r="I216" i="29" s="1"/>
  <c r="I215" i="29" s="1"/>
  <c r="I214" i="29" s="1"/>
  <c r="I784" i="29" s="1"/>
  <c r="I212" i="29"/>
  <c r="I211" i="29" s="1"/>
  <c r="I210" i="29" s="1"/>
  <c r="I200" i="29"/>
  <c r="I199" i="29" s="1"/>
  <c r="I198" i="29" s="1"/>
  <c r="I195" i="29"/>
  <c r="I194" i="29" s="1"/>
  <c r="I193" i="29" s="1"/>
  <c r="I192" i="29" s="1"/>
  <c r="I191" i="29" s="1"/>
  <c r="I189" i="29"/>
  <c r="I188" i="29" s="1"/>
  <c r="I187" i="29" s="1"/>
  <c r="I177" i="29"/>
  <c r="I176" i="29" s="1"/>
  <c r="I175" i="29" s="1"/>
  <c r="I174" i="29" s="1"/>
  <c r="I173" i="29" s="1"/>
  <c r="I182" i="29"/>
  <c r="I181" i="29" s="1"/>
  <c r="I180" i="29" s="1"/>
  <c r="I179" i="29" s="1"/>
  <c r="I178" i="29" s="1"/>
  <c r="I171" i="29"/>
  <c r="I170" i="29" s="1"/>
  <c r="I169" i="29" s="1"/>
  <c r="J743" i="29"/>
  <c r="J742" i="29" s="1"/>
  <c r="J741" i="29" s="1"/>
  <c r="J740" i="29" s="1"/>
  <c r="J748" i="29"/>
  <c r="J747" i="29" s="1"/>
  <c r="J746" i="29" s="1"/>
  <c r="J745" i="29" s="1"/>
  <c r="J730" i="29"/>
  <c r="J729" i="29" s="1"/>
  <c r="J735" i="29"/>
  <c r="J733" i="29"/>
  <c r="J737" i="29"/>
  <c r="I734" i="29"/>
  <c r="I733" i="29" s="1"/>
  <c r="I731" i="29"/>
  <c r="I730" i="29" s="1"/>
  <c r="I729" i="29" s="1"/>
  <c r="J515" i="29"/>
  <c r="J514" i="29" s="1"/>
  <c r="J512" i="29"/>
  <c r="J510" i="29"/>
  <c r="J508" i="29"/>
  <c r="J505" i="29"/>
  <c r="J504" i="29" s="1"/>
  <c r="J526" i="29"/>
  <c r="J525" i="29" s="1"/>
  <c r="J524" i="29" s="1"/>
  <c r="J523" i="29" s="1"/>
  <c r="J530" i="29"/>
  <c r="J529" i="29" s="1"/>
  <c r="J528" i="29" s="1"/>
  <c r="J535" i="29"/>
  <c r="J534" i="29" s="1"/>
  <c r="J533" i="29" s="1"/>
  <c r="J532" i="29" s="1"/>
  <c r="I334" i="29" l="1"/>
  <c r="I333" i="29" s="1"/>
  <c r="I768" i="29" s="1"/>
  <c r="I778" i="29"/>
  <c r="J507" i="29"/>
  <c r="J503" i="29" s="1"/>
  <c r="J502" i="29" s="1"/>
  <c r="J732" i="29"/>
  <c r="J728" i="29" s="1"/>
  <c r="J727" i="29" s="1"/>
  <c r="J739" i="29"/>
  <c r="J522" i="29"/>
  <c r="I274" i="29"/>
  <c r="I273" i="29" s="1"/>
  <c r="I219" i="29"/>
  <c r="I789" i="29" s="1"/>
  <c r="I185" i="29"/>
  <c r="I184" i="29" s="1"/>
  <c r="I186" i="29"/>
  <c r="I190" i="29"/>
  <c r="I197" i="29"/>
  <c r="I196" i="29" s="1"/>
  <c r="I791" i="29" s="1"/>
  <c r="I172" i="29"/>
  <c r="I765" i="29" s="1"/>
  <c r="I531" i="29"/>
  <c r="I530" i="29" s="1"/>
  <c r="I529" i="29" s="1"/>
  <c r="I528" i="29" s="1"/>
  <c r="I527" i="29"/>
  <c r="I526" i="29" s="1"/>
  <c r="I525" i="29" s="1"/>
  <c r="I524" i="29" s="1"/>
  <c r="I523" i="29" s="1"/>
  <c r="I516" i="29"/>
  <c r="I515" i="29" s="1"/>
  <c r="I514" i="29" s="1"/>
  <c r="I513" i="29"/>
  <c r="I512" i="29" s="1"/>
  <c r="I511" i="29"/>
  <c r="I510" i="29" s="1"/>
  <c r="I509" i="29"/>
  <c r="I508" i="29" s="1"/>
  <c r="I506" i="29"/>
  <c r="I505" i="29" s="1"/>
  <c r="I504" i="29" s="1"/>
  <c r="I213" i="29" l="1"/>
  <c r="J501" i="29"/>
  <c r="J500" i="29" s="1"/>
  <c r="J726" i="29"/>
  <c r="J725" i="29" s="1"/>
  <c r="I522" i="29"/>
  <c r="I507" i="29"/>
  <c r="I503" i="29" s="1"/>
  <c r="I502" i="29" s="1"/>
  <c r="J27" i="29"/>
  <c r="J26" i="29" s="1"/>
  <c r="J25" i="29" s="1"/>
  <c r="J24" i="29" s="1"/>
  <c r="J786" i="29" s="1"/>
  <c r="J22" i="29"/>
  <c r="J21" i="29" s="1"/>
  <c r="J20" i="29" s="1"/>
  <c r="J19" i="29" s="1"/>
  <c r="J781" i="29" s="1"/>
  <c r="J16" i="29"/>
  <c r="J14" i="29"/>
  <c r="I501" i="29" l="1"/>
  <c r="I500" i="29" s="1"/>
  <c r="J11" i="29"/>
  <c r="J10" i="29" s="1"/>
  <c r="J796" i="29" s="1"/>
  <c r="J18" i="29"/>
  <c r="I159" i="29"/>
  <c r="I158" i="29" s="1"/>
  <c r="I161" i="29"/>
  <c r="I160" i="29" s="1"/>
  <c r="I156" i="29"/>
  <c r="I155" i="29" s="1"/>
  <c r="I151" i="29"/>
  <c r="I150" i="29" s="1"/>
  <c r="I146" i="29"/>
  <c r="I145" i="29" s="1"/>
  <c r="I141" i="29"/>
  <c r="I140" i="29" s="1"/>
  <c r="I139" i="29" s="1"/>
  <c r="I138" i="29"/>
  <c r="I137" i="29" s="1"/>
  <c r="I132" i="29"/>
  <c r="I131" i="29" s="1"/>
  <c r="I130" i="29" s="1"/>
  <c r="I123" i="29"/>
  <c r="I116" i="29"/>
  <c r="I115" i="29" s="1"/>
  <c r="I118" i="29"/>
  <c r="I117" i="29" s="1"/>
  <c r="J9" i="29" l="1"/>
  <c r="I114" i="29"/>
  <c r="J8" i="29"/>
  <c r="I157" i="29"/>
  <c r="I108" i="29"/>
  <c r="I107" i="29" s="1"/>
  <c r="I106" i="29" s="1"/>
  <c r="I105" i="29" s="1"/>
  <c r="I104" i="29"/>
  <c r="I103" i="29" s="1"/>
  <c r="I94" i="29"/>
  <c r="I93" i="29" s="1"/>
  <c r="I92" i="29" s="1"/>
  <c r="I97" i="29"/>
  <c r="I96" i="29" s="1"/>
  <c r="I95" i="29" s="1"/>
  <c r="I89" i="29"/>
  <c r="I88" i="29" s="1"/>
  <c r="I87" i="29" s="1"/>
  <c r="I86" i="29" s="1"/>
  <c r="I85" i="29" s="1"/>
  <c r="I783" i="29" s="1"/>
  <c r="I84" i="29"/>
  <c r="I83" i="29" s="1"/>
  <c r="I80" i="29" s="1"/>
  <c r="I79" i="29"/>
  <c r="I78" i="29" s="1"/>
  <c r="I77" i="29" s="1"/>
  <c r="I73" i="29"/>
  <c r="I72" i="29" s="1"/>
  <c r="I75" i="29"/>
  <c r="I74" i="29" s="1"/>
  <c r="I67" i="29"/>
  <c r="I66" i="29" s="1"/>
  <c r="I65" i="29" s="1"/>
  <c r="I64" i="29"/>
  <c r="I63" i="29" s="1"/>
  <c r="I62" i="29" s="1"/>
  <c r="I57" i="29"/>
  <c r="I56" i="29" s="1"/>
  <c r="I55" i="29" s="1"/>
  <c r="I54" i="29" s="1"/>
  <c r="I53" i="29"/>
  <c r="I52" i="29" s="1"/>
  <c r="I51" i="29" s="1"/>
  <c r="I50" i="29" s="1"/>
  <c r="I49" i="29" s="1"/>
  <c r="I47" i="29"/>
  <c r="I46" i="29" s="1"/>
  <c r="I45" i="29" s="1"/>
  <c r="I44" i="29" s="1"/>
  <c r="I43" i="29" s="1"/>
  <c r="I40" i="29"/>
  <c r="I39" i="29" s="1"/>
  <c r="I42" i="29"/>
  <c r="I41" i="29" s="1"/>
  <c r="I35" i="29"/>
  <c r="I34" i="29" s="1"/>
  <c r="I33" i="29" s="1"/>
  <c r="I32" i="29" s="1"/>
  <c r="I31" i="29" s="1"/>
  <c r="I23" i="29"/>
  <c r="I22" i="29" s="1"/>
  <c r="I21" i="29" s="1"/>
  <c r="I20" i="29" s="1"/>
  <c r="I19" i="29" s="1"/>
  <c r="I28" i="29"/>
  <c r="I27" i="29" s="1"/>
  <c r="I26" i="29" s="1"/>
  <c r="I25" i="29" s="1"/>
  <c r="I24" i="29" s="1"/>
  <c r="I13" i="29"/>
  <c r="I12" i="29" s="1"/>
  <c r="I15" i="29"/>
  <c r="I14" i="29" s="1"/>
  <c r="J7" i="29" l="1"/>
  <c r="J763" i="29"/>
  <c r="I38" i="29"/>
  <c r="I37" i="29" s="1"/>
  <c r="I36" i="29" s="1"/>
  <c r="I76" i="29"/>
  <c r="I91" i="29"/>
  <c r="I90" i="29" s="1"/>
  <c r="I786" i="29" s="1"/>
  <c r="I61" i="29"/>
  <c r="I11" i="29"/>
  <c r="I10" i="29" s="1"/>
  <c r="I18" i="29"/>
  <c r="G736" i="29"/>
  <c r="G735" i="29" s="1"/>
  <c r="G734" i="29"/>
  <c r="G733" i="29" s="1"/>
  <c r="G731" i="29"/>
  <c r="G730" i="29" s="1"/>
  <c r="G729" i="29" s="1"/>
  <c r="G723" i="29"/>
  <c r="G722" i="29" s="1"/>
  <c r="G720" i="29"/>
  <c r="G719" i="29" s="1"/>
  <c r="G717" i="29"/>
  <c r="G716" i="29" s="1"/>
  <c r="G715" i="29"/>
  <c r="G714" i="29" s="1"/>
  <c r="G713" i="29" s="1"/>
  <c r="G710" i="29"/>
  <c r="G709" i="29" s="1"/>
  <c r="G704" i="29"/>
  <c r="G703" i="29" s="1"/>
  <c r="G702" i="29"/>
  <c r="G701" i="29" s="1"/>
  <c r="G694" i="29"/>
  <c r="G693" i="29" s="1"/>
  <c r="G692" i="29" s="1"/>
  <c r="G691" i="29" s="1"/>
  <c r="G690" i="29" s="1"/>
  <c r="G688" i="29"/>
  <c r="G687" i="29" s="1"/>
  <c r="G686" i="29" s="1"/>
  <c r="G684" i="29"/>
  <c r="G681" i="29"/>
  <c r="G680" i="29" s="1"/>
  <c r="G677" i="29"/>
  <c r="G674" i="29"/>
  <c r="G673" i="29" s="1"/>
  <c r="G667" i="29"/>
  <c r="G666" i="29" s="1"/>
  <c r="G665" i="29" s="1"/>
  <c r="G661" i="29"/>
  <c r="G659" i="29"/>
  <c r="G655" i="29"/>
  <c r="G654" i="29" s="1"/>
  <c r="G653" i="29" s="1"/>
  <c r="G645" i="29"/>
  <c r="G644" i="29" s="1"/>
  <c r="G642" i="29"/>
  <c r="G641" i="29" s="1"/>
  <c r="G639" i="29"/>
  <c r="G638" i="29" s="1"/>
  <c r="G636" i="29"/>
  <c r="G635" i="29" s="1"/>
  <c r="G633" i="29"/>
  <c r="G632" i="29" s="1"/>
  <c r="G630" i="29"/>
  <c r="G629" i="29" s="1"/>
  <c r="G628" i="29" s="1"/>
  <c r="G627" i="29" s="1"/>
  <c r="G623" i="29"/>
  <c r="G622" i="29" s="1"/>
  <c r="G621" i="29" s="1"/>
  <c r="G619" i="29"/>
  <c r="G618" i="29" s="1"/>
  <c r="G617" i="29" s="1"/>
  <c r="G615" i="29"/>
  <c r="G614" i="29" s="1"/>
  <c r="G613" i="29" s="1"/>
  <c r="G609" i="29"/>
  <c r="G608" i="29" s="1"/>
  <c r="G607" i="29" s="1"/>
  <c r="G606" i="29"/>
  <c r="G605" i="29" s="1"/>
  <c r="G604" i="29" s="1"/>
  <c r="G603" i="29"/>
  <c r="G602" i="29" s="1"/>
  <c r="G601" i="29" s="1"/>
  <c r="G600" i="29"/>
  <c r="G599" i="29" s="1"/>
  <c r="G598" i="29" s="1"/>
  <c r="G596" i="29"/>
  <c r="G595" i="29" s="1"/>
  <c r="G592" i="29"/>
  <c r="G591" i="29" s="1"/>
  <c r="G588" i="29"/>
  <c r="G587" i="29"/>
  <c r="G586" i="29" s="1"/>
  <c r="G585" i="29" s="1"/>
  <c r="G584" i="29"/>
  <c r="G583" i="29" s="1"/>
  <c r="G582" i="29" s="1"/>
  <c r="G580" i="29"/>
  <c r="G579" i="29" s="1"/>
  <c r="G573" i="29"/>
  <c r="G572" i="29" s="1"/>
  <c r="G571" i="29" s="1"/>
  <c r="G570" i="29"/>
  <c r="G569" i="29" s="1"/>
  <c r="G568" i="29" s="1"/>
  <c r="G566" i="29"/>
  <c r="G565" i="29" s="1"/>
  <c r="G561" i="29"/>
  <c r="G560" i="29" s="1"/>
  <c r="G559" i="29" s="1"/>
  <c r="G558" i="29"/>
  <c r="G557" i="29" s="1"/>
  <c r="G556" i="29" s="1"/>
  <c r="G554" i="29"/>
  <c r="G553" i="29" s="1"/>
  <c r="G551" i="29"/>
  <c r="G550" i="29" s="1"/>
  <c r="G548" i="29"/>
  <c r="G547" i="29" s="1"/>
  <c r="G546" i="29" s="1"/>
  <c r="G530" i="29"/>
  <c r="G529" i="29" s="1"/>
  <c r="G528" i="29" s="1"/>
  <c r="G526" i="29"/>
  <c r="G525" i="29" s="1"/>
  <c r="G524" i="29" s="1"/>
  <c r="G523" i="29" s="1"/>
  <c r="G520" i="29"/>
  <c r="G519" i="29" s="1"/>
  <c r="G518" i="29" s="1"/>
  <c r="G517" i="29" s="1"/>
  <c r="G515" i="29"/>
  <c r="G514" i="29" s="1"/>
  <c r="G512" i="29"/>
  <c r="G510" i="29"/>
  <c r="G509" i="29"/>
  <c r="G508" i="29" s="1"/>
  <c r="G506" i="29"/>
  <c r="G505" i="29" s="1"/>
  <c r="G504" i="29" s="1"/>
  <c r="G499" i="29"/>
  <c r="G498" i="29" s="1"/>
  <c r="G497" i="29" s="1"/>
  <c r="G496" i="29" s="1"/>
  <c r="G495" i="29" s="1"/>
  <c r="G494" i="29" s="1"/>
  <c r="G493" i="29" s="1"/>
  <c r="G773" i="29" s="1"/>
  <c r="G491" i="29"/>
  <c r="G490" i="29" s="1"/>
  <c r="G489" i="29" s="1"/>
  <c r="G488" i="29" s="1"/>
  <c r="G792" i="29" s="1"/>
  <c r="G481" i="29"/>
  <c r="G480" i="29" s="1"/>
  <c r="G479" i="29" s="1"/>
  <c r="G478" i="29"/>
  <c r="G477" i="29" s="1"/>
  <c r="G476" i="29" s="1"/>
  <c r="G475" i="29"/>
  <c r="G474" i="29" s="1"/>
  <c r="G473" i="29" s="1"/>
  <c r="G470" i="29"/>
  <c r="G469" i="29" s="1"/>
  <c r="G467" i="29"/>
  <c r="G466" i="29" s="1"/>
  <c r="G465" i="29"/>
  <c r="G464" i="29" s="1"/>
  <c r="G463" i="29" s="1"/>
  <c r="G461" i="29"/>
  <c r="G460" i="29" s="1"/>
  <c r="G458" i="29"/>
  <c r="G450" i="29"/>
  <c r="G449" i="29" s="1"/>
  <c r="G448" i="29" s="1"/>
  <c r="G446" i="29"/>
  <c r="G445" i="29" s="1"/>
  <c r="G443" i="29"/>
  <c r="G440" i="29"/>
  <c r="G435" i="29"/>
  <c r="G434" i="29" s="1"/>
  <c r="G433" i="29" s="1"/>
  <c r="G432" i="29" s="1"/>
  <c r="G431" i="29"/>
  <c r="G430" i="29" s="1"/>
  <c r="G429" i="29" s="1"/>
  <c r="G428" i="29" s="1"/>
  <c r="G427" i="29" s="1"/>
  <c r="G785" i="29" s="1"/>
  <c r="G425" i="29"/>
  <c r="G424" i="29" s="1"/>
  <c r="G423" i="29" s="1"/>
  <c r="G422" i="29" s="1"/>
  <c r="G419" i="29"/>
  <c r="G418" i="29" s="1"/>
  <c r="G417" i="29" s="1"/>
  <c r="G416" i="29" s="1"/>
  <c r="G414" i="29"/>
  <c r="G413" i="29" s="1"/>
  <c r="G412" i="29" s="1"/>
  <c r="G411" i="29" s="1"/>
  <c r="G410" i="29" s="1"/>
  <c r="G408" i="29"/>
  <c r="G407" i="29" s="1"/>
  <c r="G405" i="29"/>
  <c r="G404" i="29" s="1"/>
  <c r="G399" i="29"/>
  <c r="G398" i="29" s="1"/>
  <c r="G396" i="29"/>
  <c r="G395" i="29" s="1"/>
  <c r="G394" i="29" s="1"/>
  <c r="G391" i="29"/>
  <c r="G390" i="29" s="1"/>
  <c r="G389" i="29"/>
  <c r="G388" i="29" s="1"/>
  <c r="G387" i="29" s="1"/>
  <c r="G365" i="29"/>
  <c r="G364" i="29" s="1"/>
  <c r="G363" i="29" s="1"/>
  <c r="G361" i="29"/>
  <c r="G360" i="29" s="1"/>
  <c r="G359" i="29" s="1"/>
  <c r="G357" i="29"/>
  <c r="G356" i="29" s="1"/>
  <c r="G348" i="29"/>
  <c r="G347" i="29" s="1"/>
  <c r="G345" i="29" s="1"/>
  <c r="G344" i="29" s="1"/>
  <c r="G788" i="29" s="1"/>
  <c r="G342" i="29"/>
  <c r="G341" i="29" s="1"/>
  <c r="G340" i="29" s="1"/>
  <c r="G338" i="29"/>
  <c r="G337" i="29" s="1"/>
  <c r="G336" i="29" s="1"/>
  <c r="G331" i="29"/>
  <c r="G330" i="29" s="1"/>
  <c r="G328" i="29"/>
  <c r="G327" i="29" s="1"/>
  <c r="G320" i="29"/>
  <c r="G319" i="29" s="1"/>
  <c r="G318" i="29" s="1"/>
  <c r="G316" i="29"/>
  <c r="G315" i="29" s="1"/>
  <c r="G312" i="29"/>
  <c r="G311" i="29" s="1"/>
  <c r="G310" i="29" s="1"/>
  <c r="G309" i="29"/>
  <c r="G308" i="29" s="1"/>
  <c r="G307" i="29" s="1"/>
  <c r="G306" i="29" s="1"/>
  <c r="G303" i="29"/>
  <c r="G302" i="29" s="1"/>
  <c r="G301" i="29" s="1"/>
  <c r="G300" i="29"/>
  <c r="G299" i="29" s="1"/>
  <c r="G298" i="29" s="1"/>
  <c r="G294" i="29"/>
  <c r="G293" i="29" s="1"/>
  <c r="G292" i="29" s="1"/>
  <c r="G285" i="29"/>
  <c r="G284" i="29" s="1"/>
  <c r="G282" i="29"/>
  <c r="G281" i="29" s="1"/>
  <c r="G279" i="29"/>
  <c r="G278" i="29" s="1"/>
  <c r="G277" i="29"/>
  <c r="G276" i="29" s="1"/>
  <c r="G275" i="29" s="1"/>
  <c r="G270" i="29"/>
  <c r="G269" i="29" s="1"/>
  <c r="G268" i="29" s="1"/>
  <c r="G266" i="29"/>
  <c r="G265" i="29" s="1"/>
  <c r="G263" i="29"/>
  <c r="G262" i="29" s="1"/>
  <c r="G260" i="29"/>
  <c r="G259" i="29" s="1"/>
  <c r="G257" i="29"/>
  <c r="G256" i="29" s="1"/>
  <c r="G252" i="29"/>
  <c r="G251" i="29" s="1"/>
  <c r="G250" i="29" s="1"/>
  <c r="G249" i="29"/>
  <c r="G248" i="29" s="1"/>
  <c r="G247" i="29"/>
  <c r="G246" i="29" s="1"/>
  <c r="G238" i="29"/>
  <c r="G237" i="29" s="1"/>
  <c r="G236" i="29" s="1"/>
  <c r="G235" i="29" s="1"/>
  <c r="G234" i="29"/>
  <c r="G233" i="29" s="1"/>
  <c r="G232" i="29" s="1"/>
  <c r="G231" i="29" s="1"/>
  <c r="G230" i="29" s="1"/>
  <c r="G226" i="29"/>
  <c r="G225" i="29" s="1"/>
  <c r="G224" i="29" s="1"/>
  <c r="G223" i="29"/>
  <c r="G222" i="29" s="1"/>
  <c r="G221" i="29" s="1"/>
  <c r="G220" i="29" s="1"/>
  <c r="G217" i="29"/>
  <c r="G216" i="29" s="1"/>
  <c r="G215" i="29" s="1"/>
  <c r="G214" i="29" s="1"/>
  <c r="G784" i="29" s="1"/>
  <c r="G212" i="29"/>
  <c r="G211" i="29" s="1"/>
  <c r="G210" i="29" s="1"/>
  <c r="G208" i="29"/>
  <c r="G207" i="29" s="1"/>
  <c r="G199" i="29"/>
  <c r="G198" i="29" s="1"/>
  <c r="G197" i="29" s="1"/>
  <c r="G196" i="29" s="1"/>
  <c r="G791" i="29" s="1"/>
  <c r="G194" i="29"/>
  <c r="G193" i="29" s="1"/>
  <c r="G192" i="29" s="1"/>
  <c r="G189" i="29"/>
  <c r="G188" i="29" s="1"/>
  <c r="G187" i="29" s="1"/>
  <c r="G181" i="29"/>
  <c r="G180" i="29" s="1"/>
  <c r="G179" i="29" s="1"/>
  <c r="G178" i="29" s="1"/>
  <c r="G167" i="29"/>
  <c r="G166" i="29" s="1"/>
  <c r="G165" i="29" s="1"/>
  <c r="G161" i="29"/>
  <c r="G160" i="29" s="1"/>
  <c r="G159" i="29"/>
  <c r="G158" i="29" s="1"/>
  <c r="G155" i="29"/>
  <c r="G153" i="29"/>
  <c r="G150" i="29"/>
  <c r="G148" i="29"/>
  <c r="G145" i="29"/>
  <c r="G143" i="29"/>
  <c r="G140" i="29"/>
  <c r="G139" i="29" s="1"/>
  <c r="G138" i="29"/>
  <c r="G137" i="29" s="1"/>
  <c r="G136" i="29"/>
  <c r="G135" i="29" s="1"/>
  <c r="G131" i="29"/>
  <c r="G130" i="29" s="1"/>
  <c r="G128" i="29"/>
  <c r="G126" i="29"/>
  <c r="G125" i="29" s="1"/>
  <c r="G124" i="29"/>
  <c r="G123" i="29"/>
  <c r="G121" i="29"/>
  <c r="G120" i="29" s="1"/>
  <c r="G117" i="29"/>
  <c r="G112" i="29"/>
  <c r="G111" i="29" s="1"/>
  <c r="G108" i="29"/>
  <c r="G107" i="29" s="1"/>
  <c r="G106" i="29" s="1"/>
  <c r="G105" i="29" s="1"/>
  <c r="G103" i="29"/>
  <c r="G102" i="29"/>
  <c r="G101" i="29" s="1"/>
  <c r="G96" i="29"/>
  <c r="G95" i="29" s="1"/>
  <c r="G94" i="29"/>
  <c r="G93" i="29" s="1"/>
  <c r="G92" i="29" s="1"/>
  <c r="G88" i="29"/>
  <c r="G87" i="29" s="1"/>
  <c r="G86" i="29" s="1"/>
  <c r="G85" i="29" s="1"/>
  <c r="G783" i="29" s="1"/>
  <c r="G84" i="29"/>
  <c r="G83" i="29" s="1"/>
  <c r="G81" i="29"/>
  <c r="G78" i="29"/>
  <c r="G77" i="29" s="1"/>
  <c r="G74" i="29"/>
  <c r="G73" i="29"/>
  <c r="G72" i="29" s="1"/>
  <c r="G71" i="29"/>
  <c r="G70" i="29" s="1"/>
  <c r="G67" i="29"/>
  <c r="G66" i="29" s="1"/>
  <c r="G65" i="29" s="1"/>
  <c r="G63" i="29"/>
  <c r="G62" i="29" s="1"/>
  <c r="G53" i="29"/>
  <c r="G52" i="29" s="1"/>
  <c r="G51" i="29" s="1"/>
  <c r="G50" i="29" s="1"/>
  <c r="G49" i="29" s="1"/>
  <c r="G47" i="29"/>
  <c r="G46" i="29" s="1"/>
  <c r="G41" i="29"/>
  <c r="G35" i="29"/>
  <c r="G34" i="29" s="1"/>
  <c r="G33" i="29" s="1"/>
  <c r="G32" i="29" s="1"/>
  <c r="G31" i="29" s="1"/>
  <c r="G27" i="29"/>
  <c r="G26" i="29" s="1"/>
  <c r="G25" i="29" s="1"/>
  <c r="G24" i="29" s="1"/>
  <c r="G22" i="29"/>
  <c r="G21" i="29" s="1"/>
  <c r="G20" i="29" s="1"/>
  <c r="G19" i="29" s="1"/>
  <c r="G16" i="29"/>
  <c r="G15" i="29"/>
  <c r="G14" i="29" s="1"/>
  <c r="G13" i="29"/>
  <c r="G12" i="29" s="1"/>
  <c r="G442" i="29" l="1"/>
  <c r="G439" i="29" s="1"/>
  <c r="G798" i="29"/>
  <c r="I9" i="29"/>
  <c r="I8" i="29" s="1"/>
  <c r="G708" i="29"/>
  <c r="G707" i="29" s="1"/>
  <c r="G706" i="29" s="1"/>
  <c r="G705" i="29" s="1"/>
  <c r="G122" i="29"/>
  <c r="G119" i="29" s="1"/>
  <c r="G142" i="29"/>
  <c r="G80" i="29"/>
  <c r="G76" i="29" s="1"/>
  <c r="G658" i="29"/>
  <c r="G657" i="29" s="1"/>
  <c r="G652" i="29" s="1"/>
  <c r="G651" i="29" s="1"/>
  <c r="G650" i="29" s="1"/>
  <c r="G147" i="29"/>
  <c r="G274" i="29"/>
  <c r="G273" i="29" s="1"/>
  <c r="G346" i="29"/>
  <c r="G61" i="29"/>
  <c r="G134" i="29"/>
  <c r="G100" i="29"/>
  <c r="G99" i="29" s="1"/>
  <c r="G98" i="29" s="1"/>
  <c r="G790" i="29" s="1"/>
  <c r="G191" i="29"/>
  <c r="G190" i="29" s="1"/>
  <c r="G185" i="29"/>
  <c r="G184" i="29" s="1"/>
  <c r="G186" i="29"/>
  <c r="G157" i="29"/>
  <c r="G403" i="29"/>
  <c r="G402" i="29" s="1"/>
  <c r="G401" i="29" s="1"/>
  <c r="G507" i="29"/>
  <c r="G503" i="29" s="1"/>
  <c r="G502" i="29" s="1"/>
  <c r="G11" i="29"/>
  <c r="G152" i="29"/>
  <c r="G219" i="29"/>
  <c r="G789" i="29" s="1"/>
  <c r="G305" i="29"/>
  <c r="G326" i="29"/>
  <c r="G325" i="29" s="1"/>
  <c r="G324" i="29" s="1"/>
  <c r="G522" i="29"/>
  <c r="G700" i="29"/>
  <c r="G699" i="29" s="1"/>
  <c r="G698" i="29" s="1"/>
  <c r="G697" i="29" s="1"/>
  <c r="G696" i="29" s="1"/>
  <c r="G689" i="29" s="1"/>
  <c r="G229" i="29"/>
  <c r="G91" i="29"/>
  <c r="G90" i="29" s="1"/>
  <c r="G786" i="29" s="1"/>
  <c r="G472" i="29"/>
  <c r="G69" i="29"/>
  <c r="G68" i="29" s="1"/>
  <c r="G18" i="29"/>
  <c r="G44" i="29"/>
  <c r="G43" i="29" s="1"/>
  <c r="G45" i="29"/>
  <c r="G631" i="29"/>
  <c r="G626" i="29" s="1"/>
  <c r="G625" i="29" s="1"/>
  <c r="G624" i="29" s="1"/>
  <c r="G712" i="29"/>
  <c r="G335" i="29"/>
  <c r="G421" i="29"/>
  <c r="G780" i="29"/>
  <c r="G393" i="29"/>
  <c r="G578" i="29"/>
  <c r="G732" i="29"/>
  <c r="I7" i="29" l="1"/>
  <c r="G10" i="29"/>
  <c r="G438" i="29"/>
  <c r="G437" i="29" s="1"/>
  <c r="G436" i="29" s="1"/>
  <c r="G415" i="29" s="1"/>
  <c r="G771" i="29" s="1"/>
  <c r="G60" i="29"/>
  <c r="G781" i="29" s="1"/>
  <c r="G501" i="29"/>
  <c r="G500" i="29" s="1"/>
  <c r="G213" i="29"/>
  <c r="G133" i="29"/>
  <c r="G728" i="29"/>
  <c r="G778" i="29"/>
  <c r="G334" i="29"/>
  <c r="G333" i="29" s="1"/>
  <c r="G768" i="29" s="1"/>
  <c r="E555" i="23"/>
  <c r="E554" i="23" s="1"/>
  <c r="E553" i="23" s="1"/>
  <c r="F387" i="22"/>
  <c r="F386" i="22" s="1"/>
  <c r="G9" i="29" l="1"/>
  <c r="G8" i="29" s="1"/>
  <c r="G7" i="29" s="1"/>
  <c r="G727" i="29"/>
  <c r="G726" i="29" s="1"/>
  <c r="G725" i="29" s="1"/>
  <c r="G163" i="25"/>
  <c r="F163" i="25"/>
  <c r="I168" i="29" s="1"/>
  <c r="I167" i="29" s="1"/>
  <c r="I166" i="29" s="1"/>
  <c r="I165" i="29" s="1"/>
  <c r="I164" i="29" s="1"/>
  <c r="I163" i="29" s="1"/>
  <c r="I162" i="29" s="1"/>
  <c r="I764" i="29" s="1"/>
  <c r="G131" i="25"/>
  <c r="F131" i="25"/>
  <c r="I136" i="29" s="1"/>
  <c r="I135" i="29" s="1"/>
  <c r="I134" i="29" s="1"/>
  <c r="E443" i="23" l="1"/>
  <c r="E116" i="23" l="1"/>
  <c r="E115" i="23" s="1"/>
  <c r="E114" i="23" s="1"/>
  <c r="E113" i="23" s="1"/>
  <c r="F111" i="22"/>
  <c r="F110" i="22" s="1"/>
  <c r="F109" i="22" s="1"/>
  <c r="F108" i="22" s="1"/>
  <c r="F752" i="22" s="1"/>
  <c r="C68" i="26"/>
  <c r="C60" i="26"/>
  <c r="C55" i="26"/>
  <c r="C47" i="26"/>
  <c r="C40" i="26"/>
  <c r="C39" i="26"/>
  <c r="C38" i="26"/>
  <c r="C32" i="26"/>
  <c r="C26" i="26"/>
  <c r="C22" i="26"/>
  <c r="C20" i="26"/>
  <c r="E112" i="23" l="1"/>
  <c r="C78" i="24" s="1"/>
  <c r="C79" i="24"/>
  <c r="E300" i="23" l="1"/>
  <c r="E299" i="23" s="1"/>
  <c r="E298" i="23" s="1"/>
  <c r="F283" i="22"/>
  <c r="F282" i="22" s="1"/>
  <c r="F210" i="22"/>
  <c r="E128" i="23" l="1"/>
  <c r="F127" i="22" l="1"/>
  <c r="F253" i="25" l="1"/>
  <c r="I258" i="29" s="1"/>
  <c r="I257" i="29" s="1"/>
  <c r="I256" i="29" s="1"/>
  <c r="F240" i="25"/>
  <c r="I245" i="29" s="1"/>
  <c r="I244" i="29" s="1"/>
  <c r="F551" i="17" l="1"/>
  <c r="E551" i="17"/>
  <c r="E481" i="17"/>
  <c r="E480" i="17" s="1"/>
  <c r="F264" i="17"/>
  <c r="F263" i="17" s="1"/>
  <c r="E264" i="17"/>
  <c r="E263" i="17" s="1"/>
  <c r="E636" i="23" l="1"/>
  <c r="E645" i="23"/>
  <c r="E644" i="23" s="1"/>
  <c r="E648" i="23"/>
  <c r="E647" i="23" s="1"/>
  <c r="E313" i="23"/>
  <c r="E312" i="23" s="1"/>
  <c r="F549" i="25"/>
  <c r="G387" i="25"/>
  <c r="G386" i="25" s="1"/>
  <c r="F387" i="25"/>
  <c r="F386" i="25" s="1"/>
  <c r="F378" i="25"/>
  <c r="F286" i="25"/>
  <c r="I291" i="29" s="1"/>
  <c r="I290" i="29" s="1"/>
  <c r="I289" i="29" s="1"/>
  <c r="I288" i="29" s="1"/>
  <c r="I287" i="29" s="1"/>
  <c r="G277" i="25"/>
  <c r="G276" i="25" s="1"/>
  <c r="F277" i="25"/>
  <c r="F276" i="25" s="1"/>
  <c r="F688" i="22"/>
  <c r="F687" i="22" s="1"/>
  <c r="F297" i="22"/>
  <c r="F296" i="22" s="1"/>
  <c r="I793" i="29" l="1"/>
  <c r="E127" i="23"/>
  <c r="F123" i="22"/>
  <c r="C58" i="26" l="1"/>
  <c r="C56" i="26"/>
  <c r="G611" i="29" l="1"/>
  <c r="G610" i="29" s="1"/>
  <c r="G594" i="29" s="1"/>
  <c r="G577" i="29" s="1"/>
  <c r="G576" i="29" s="1"/>
  <c r="G575" i="29" s="1"/>
  <c r="F569" i="17" l="1"/>
  <c r="F568" i="17" s="1"/>
  <c r="F567" i="17" s="1"/>
  <c r="F566" i="17" s="1"/>
  <c r="F565" i="17" s="1"/>
  <c r="F564" i="17" s="1"/>
  <c r="F562" i="17"/>
  <c r="F561" i="17" s="1"/>
  <c r="F560" i="17" s="1"/>
  <c r="D68" i="18" s="1"/>
  <c r="E562" i="17"/>
  <c r="E561" i="17" s="1"/>
  <c r="E560" i="17" s="1"/>
  <c r="C68" i="18" s="1"/>
  <c r="F557" i="17"/>
  <c r="E557" i="17"/>
  <c r="F556" i="17"/>
  <c r="E556" i="17"/>
  <c r="E549" i="17"/>
  <c r="E548" i="17" s="1"/>
  <c r="F545" i="17"/>
  <c r="E545" i="17"/>
  <c r="F543" i="17"/>
  <c r="E543" i="17"/>
  <c r="F536" i="17"/>
  <c r="F535" i="17" s="1"/>
  <c r="E536" i="17"/>
  <c r="E535" i="17" s="1"/>
  <c r="F533" i="17"/>
  <c r="F532" i="17" s="1"/>
  <c r="E533" i="17"/>
  <c r="E532" i="17" s="1"/>
  <c r="F527" i="17"/>
  <c r="E527" i="17"/>
  <c r="F519" i="17"/>
  <c r="F518" i="17" s="1"/>
  <c r="F517" i="17" s="1"/>
  <c r="E519" i="17"/>
  <c r="E518" i="17" s="1"/>
  <c r="E517" i="17" s="1"/>
  <c r="F512" i="17"/>
  <c r="F511" i="17" s="1"/>
  <c r="F510" i="17" s="1"/>
  <c r="F503" i="17"/>
  <c r="F502" i="17" s="1"/>
  <c r="F501" i="17" s="1"/>
  <c r="D40" i="18" s="1"/>
  <c r="E503" i="17"/>
  <c r="E502" i="17" s="1"/>
  <c r="E501" i="17" s="1"/>
  <c r="F498" i="17"/>
  <c r="F497" i="17" s="1"/>
  <c r="F496" i="17" s="1"/>
  <c r="E498" i="17"/>
  <c r="E497" i="17" s="1"/>
  <c r="E496" i="17" s="1"/>
  <c r="F492" i="17"/>
  <c r="F491" i="17" s="1"/>
  <c r="F490" i="17" s="1"/>
  <c r="F489" i="17" s="1"/>
  <c r="E492" i="17"/>
  <c r="E491" i="17" s="1"/>
  <c r="E490" i="17" s="1"/>
  <c r="E489" i="17" s="1"/>
  <c r="F478" i="17"/>
  <c r="F477" i="17" s="1"/>
  <c r="F476" i="17" s="1"/>
  <c r="F475" i="17" s="1"/>
  <c r="F474" i="17" s="1"/>
  <c r="E478" i="17"/>
  <c r="E477" i="17" s="1"/>
  <c r="F464" i="17"/>
  <c r="F463" i="17" s="1"/>
  <c r="E464" i="17"/>
  <c r="E463" i="17" s="1"/>
  <c r="F461" i="17"/>
  <c r="F460" i="17" s="1"/>
  <c r="E461" i="17"/>
  <c r="E460" i="17" s="1"/>
  <c r="F459" i="17"/>
  <c r="F458" i="17" s="1"/>
  <c r="F457" i="17" s="1"/>
  <c r="E459" i="17"/>
  <c r="E458" i="17" s="1"/>
  <c r="E457" i="17" s="1"/>
  <c r="F455" i="17"/>
  <c r="F454" i="17" s="1"/>
  <c r="E455" i="17"/>
  <c r="E454" i="17" s="1"/>
  <c r="F451" i="17"/>
  <c r="F450" i="17" s="1"/>
  <c r="E451" i="17"/>
  <c r="E450" i="17" s="1"/>
  <c r="F444" i="17"/>
  <c r="F443" i="17" s="1"/>
  <c r="E444" i="17"/>
  <c r="E443" i="17" s="1"/>
  <c r="F441" i="17"/>
  <c r="E441" i="17"/>
  <c r="F439" i="17"/>
  <c r="E439" i="17"/>
  <c r="F437" i="17"/>
  <c r="E437" i="17"/>
  <c r="F435" i="17"/>
  <c r="F434" i="17" s="1"/>
  <c r="E435" i="17"/>
  <c r="E434" i="17" s="1"/>
  <c r="F432" i="17"/>
  <c r="F430" i="17"/>
  <c r="F424" i="17"/>
  <c r="F423" i="17" s="1"/>
  <c r="F422" i="17" s="1"/>
  <c r="E424" i="17"/>
  <c r="E423" i="17" s="1"/>
  <c r="E422" i="17" s="1"/>
  <c r="F420" i="17"/>
  <c r="E420" i="17"/>
  <c r="F418" i="17"/>
  <c r="E418" i="17"/>
  <c r="F416" i="17"/>
  <c r="E416" i="17"/>
  <c r="F412" i="17"/>
  <c r="F411" i="17" s="1"/>
  <c r="F410" i="17" s="1"/>
  <c r="E412" i="17"/>
  <c r="E411" i="17" s="1"/>
  <c r="E410" i="17" s="1"/>
  <c r="F406" i="17"/>
  <c r="F405" i="17" s="1"/>
  <c r="F404" i="17" s="1"/>
  <c r="F403" i="17" s="1"/>
  <c r="E401" i="17"/>
  <c r="E400" i="17" s="1"/>
  <c r="F398" i="17"/>
  <c r="F397" i="17" s="1"/>
  <c r="F396" i="17" s="1"/>
  <c r="F393" i="17"/>
  <c r="F392" i="17" s="1"/>
  <c r="F391" i="17" s="1"/>
  <c r="E393" i="17"/>
  <c r="E392" i="17" s="1"/>
  <c r="E391" i="17" s="1"/>
  <c r="F389" i="17"/>
  <c r="F388" i="17" s="1"/>
  <c r="E389" i="17"/>
  <c r="E388" i="17" s="1"/>
  <c r="F386" i="17"/>
  <c r="F385" i="17" s="1"/>
  <c r="E386" i="17"/>
  <c r="E385" i="17" s="1"/>
  <c r="F382" i="17"/>
  <c r="F381" i="17" s="1"/>
  <c r="F380" i="17" s="1"/>
  <c r="E382" i="17"/>
  <c r="F375" i="17"/>
  <c r="F374" i="17" s="1"/>
  <c r="F373" i="17" s="1"/>
  <c r="F371" i="17"/>
  <c r="F370" i="17" s="1"/>
  <c r="F369" i="17" s="1"/>
  <c r="E371" i="17"/>
  <c r="E370" i="17" s="1"/>
  <c r="E369" i="17" s="1"/>
  <c r="F368" i="17"/>
  <c r="F367" i="17" s="1"/>
  <c r="F366" i="17" s="1"/>
  <c r="E367" i="17"/>
  <c r="E366" i="17" s="1"/>
  <c r="F364" i="17"/>
  <c r="F363" i="17" s="1"/>
  <c r="E364" i="17"/>
  <c r="E363" i="17" s="1"/>
  <c r="F361" i="17"/>
  <c r="F360" i="17" s="1"/>
  <c r="E361" i="17"/>
  <c r="E360" i="17" s="1"/>
  <c r="F358" i="17"/>
  <c r="F357" i="17" s="1"/>
  <c r="E358" i="17"/>
  <c r="E357" i="17" s="1"/>
  <c r="F354" i="17"/>
  <c r="F353" i="17" s="1"/>
  <c r="E354" i="17"/>
  <c r="E353" i="17" s="1"/>
  <c r="F351" i="17"/>
  <c r="F350" i="17" s="1"/>
  <c r="E351" i="17"/>
  <c r="E350" i="17" s="1"/>
  <c r="F348" i="17"/>
  <c r="F347" i="17" s="1"/>
  <c r="E345" i="17"/>
  <c r="E344" i="17" s="1"/>
  <c r="F338" i="17"/>
  <c r="F337" i="17" s="1"/>
  <c r="F335" i="17"/>
  <c r="F334" i="17" s="1"/>
  <c r="E335" i="17"/>
  <c r="E334" i="17" s="1"/>
  <c r="F332" i="17"/>
  <c r="F331" i="17" s="1"/>
  <c r="E332" i="17"/>
  <c r="E331" i="17" s="1"/>
  <c r="F329" i="17"/>
  <c r="F328" i="17" s="1"/>
  <c r="E329" i="17"/>
  <c r="E328" i="17" s="1"/>
  <c r="F326" i="17"/>
  <c r="F325" i="17" s="1"/>
  <c r="E326" i="17"/>
  <c r="E325" i="17" s="1"/>
  <c r="F322" i="17"/>
  <c r="F321" i="17" s="1"/>
  <c r="E322" i="17"/>
  <c r="E321" i="17" s="1"/>
  <c r="F319" i="17"/>
  <c r="F318" i="17" s="1"/>
  <c r="F311" i="17"/>
  <c r="F310" i="17" s="1"/>
  <c r="F309" i="17" s="1"/>
  <c r="D59" i="18" s="1"/>
  <c r="E311" i="17"/>
  <c r="E310" i="17" s="1"/>
  <c r="E309" i="17" s="1"/>
  <c r="C59" i="18" s="1"/>
  <c r="F306" i="17"/>
  <c r="F305" i="17" s="1"/>
  <c r="F304" i="17" s="1"/>
  <c r="E306" i="17"/>
  <c r="E305" i="17" s="1"/>
  <c r="E304" i="17" s="1"/>
  <c r="F302" i="17"/>
  <c r="F301" i="17" s="1"/>
  <c r="F300" i="17" s="1"/>
  <c r="D34" i="18" s="1"/>
  <c r="E302" i="17"/>
  <c r="E301" i="17" s="1"/>
  <c r="E300" i="17" s="1"/>
  <c r="C34" i="18" s="1"/>
  <c r="F295" i="17"/>
  <c r="F294" i="17" s="1"/>
  <c r="F293" i="17" s="1"/>
  <c r="F292" i="17" s="1"/>
  <c r="F291" i="17" s="1"/>
  <c r="E295" i="17"/>
  <c r="E294" i="17" s="1"/>
  <c r="E293" i="17" s="1"/>
  <c r="E292" i="17" s="1"/>
  <c r="E291" i="17" s="1"/>
  <c r="F286" i="17"/>
  <c r="F285" i="17" s="1"/>
  <c r="E286" i="17"/>
  <c r="E285" i="17" s="1"/>
  <c r="F275" i="17"/>
  <c r="F274" i="17" s="1"/>
  <c r="E275" i="17"/>
  <c r="E274" i="17" s="1"/>
  <c r="F272" i="17"/>
  <c r="F271" i="17" s="1"/>
  <c r="E272" i="17"/>
  <c r="E271" i="17" s="1"/>
  <c r="F269" i="17"/>
  <c r="F268" i="17" s="1"/>
  <c r="E269" i="17"/>
  <c r="E268" i="17" s="1"/>
  <c r="F261" i="17"/>
  <c r="F260" i="17" s="1"/>
  <c r="E261" i="17"/>
  <c r="E260" i="17" s="1"/>
  <c r="F258" i="17"/>
  <c r="F257" i="17" s="1"/>
  <c r="E258" i="17"/>
  <c r="E257" i="17" s="1"/>
  <c r="F252" i="17"/>
  <c r="F251" i="17" s="1"/>
  <c r="E252" i="17"/>
  <c r="E251" i="17" s="1"/>
  <c r="F250" i="17"/>
  <c r="F249" i="17" s="1"/>
  <c r="F248" i="17" s="1"/>
  <c r="E249" i="17"/>
  <c r="E248" i="17" s="1"/>
  <c r="F247" i="17"/>
  <c r="F246" i="17" s="1"/>
  <c r="F245" i="17" s="1"/>
  <c r="E246" i="17"/>
  <c r="E245" i="17" s="1"/>
  <c r="F243" i="17"/>
  <c r="F242" i="17" s="1"/>
  <c r="E243" i="17"/>
  <c r="E242" i="17" s="1"/>
  <c r="F240" i="17"/>
  <c r="E240" i="17"/>
  <c r="F236" i="17"/>
  <c r="E236" i="17"/>
  <c r="F230" i="17"/>
  <c r="F229" i="17" s="1"/>
  <c r="F228" i="17" s="1"/>
  <c r="F227" i="17" s="1"/>
  <c r="E230" i="17"/>
  <c r="E229" i="17" s="1"/>
  <c r="E228" i="17" s="1"/>
  <c r="E227" i="17" s="1"/>
  <c r="F225" i="17"/>
  <c r="F224" i="17" s="1"/>
  <c r="F223" i="17" s="1"/>
  <c r="E225" i="17"/>
  <c r="E224" i="17" s="1"/>
  <c r="E223" i="17" s="1"/>
  <c r="F218" i="17"/>
  <c r="F217" i="17" s="1"/>
  <c r="F216" i="17" s="1"/>
  <c r="E218" i="17"/>
  <c r="E217" i="17" s="1"/>
  <c r="E216" i="17" s="1"/>
  <c r="F214" i="17"/>
  <c r="F213" i="17" s="1"/>
  <c r="F212" i="17" s="1"/>
  <c r="D61" i="18" s="1"/>
  <c r="E214" i="17"/>
  <c r="E213" i="17" s="1"/>
  <c r="E212" i="17" s="1"/>
  <c r="C61" i="18" s="1"/>
  <c r="F209" i="17"/>
  <c r="F208" i="17" s="1"/>
  <c r="F207" i="17" s="1"/>
  <c r="D51" i="18" s="1"/>
  <c r="E209" i="17"/>
  <c r="E208" i="17" s="1"/>
  <c r="E207" i="17" s="1"/>
  <c r="C51" i="18" s="1"/>
  <c r="F203" i="17"/>
  <c r="F202" i="17" s="1"/>
  <c r="E203" i="17"/>
  <c r="E202" i="17" s="1"/>
  <c r="F194" i="17"/>
  <c r="F193" i="17" s="1"/>
  <c r="F192" i="17" s="1"/>
  <c r="D66" i="18" s="1"/>
  <c r="E194" i="17"/>
  <c r="E193" i="17" s="1"/>
  <c r="E192" i="17" s="1"/>
  <c r="C66" i="18" s="1"/>
  <c r="F189" i="17"/>
  <c r="F188" i="17" s="1"/>
  <c r="F187" i="17" s="1"/>
  <c r="F186" i="17" s="1"/>
  <c r="E189" i="17"/>
  <c r="E188" i="17" s="1"/>
  <c r="E187" i="17" s="1"/>
  <c r="E186" i="17" s="1"/>
  <c r="F183" i="17"/>
  <c r="F182" i="17" s="1"/>
  <c r="F181" i="17" s="1"/>
  <c r="F180" i="17" s="1"/>
  <c r="F179" i="17" s="1"/>
  <c r="E183" i="17"/>
  <c r="E182" i="17" s="1"/>
  <c r="E181" i="17" s="1"/>
  <c r="E180" i="17" s="1"/>
  <c r="E179" i="17" s="1"/>
  <c r="F176" i="17"/>
  <c r="F175" i="17" s="1"/>
  <c r="F174" i="17" s="1"/>
  <c r="F173" i="17" s="1"/>
  <c r="E176" i="17"/>
  <c r="E175" i="17" s="1"/>
  <c r="E174" i="17" s="1"/>
  <c r="E173" i="17" s="1"/>
  <c r="F171" i="17"/>
  <c r="F170" i="17" s="1"/>
  <c r="F169" i="17" s="1"/>
  <c r="F168" i="17" s="1"/>
  <c r="E171" i="17"/>
  <c r="E170" i="17" s="1"/>
  <c r="E169" i="17" s="1"/>
  <c r="E168" i="17" s="1"/>
  <c r="F165" i="17"/>
  <c r="F164" i="17" s="1"/>
  <c r="E165" i="17"/>
  <c r="E164" i="17" s="1"/>
  <c r="F155" i="17"/>
  <c r="E155" i="17"/>
  <c r="F153" i="17"/>
  <c r="E153" i="17"/>
  <c r="F150" i="17"/>
  <c r="E150" i="17"/>
  <c r="F145" i="17"/>
  <c r="E145" i="17"/>
  <c r="F140" i="17"/>
  <c r="E140" i="17"/>
  <c r="F135" i="17"/>
  <c r="F134" i="17" s="1"/>
  <c r="E135" i="17"/>
  <c r="E134" i="17" s="1"/>
  <c r="F132" i="17"/>
  <c r="E132" i="17"/>
  <c r="F126" i="17"/>
  <c r="F125" i="17" s="1"/>
  <c r="E126" i="17"/>
  <c r="E125" i="17" s="1"/>
  <c r="F123" i="17"/>
  <c r="F122" i="17" s="1"/>
  <c r="E123" i="17"/>
  <c r="E122" i="17" s="1"/>
  <c r="F116" i="17"/>
  <c r="E116" i="17"/>
  <c r="F114" i="17"/>
  <c r="E114" i="17"/>
  <c r="F105" i="17"/>
  <c r="E105" i="17"/>
  <c r="F98" i="17"/>
  <c r="F97" i="17" s="1"/>
  <c r="E98" i="17"/>
  <c r="E97" i="17" s="1"/>
  <c r="F95" i="17"/>
  <c r="F94" i="17" s="1"/>
  <c r="E95" i="17"/>
  <c r="E94" i="17" s="1"/>
  <c r="F90" i="17"/>
  <c r="F89" i="17" s="1"/>
  <c r="F88" i="17" s="1"/>
  <c r="E90" i="17"/>
  <c r="E89" i="17" s="1"/>
  <c r="E88" i="17" s="1"/>
  <c r="F85" i="17"/>
  <c r="F82" i="17" s="1"/>
  <c r="E85" i="17"/>
  <c r="E82" i="17" s="1"/>
  <c r="F80" i="17"/>
  <c r="F79" i="17" s="1"/>
  <c r="E80" i="17"/>
  <c r="E79" i="17" s="1"/>
  <c r="F76" i="17"/>
  <c r="E76" i="17"/>
  <c r="F74" i="17"/>
  <c r="E74" i="17"/>
  <c r="F68" i="17"/>
  <c r="F67" i="17" s="1"/>
  <c r="E68" i="17"/>
  <c r="E67" i="17" s="1"/>
  <c r="F65" i="17"/>
  <c r="F64" i="17" s="1"/>
  <c r="E65" i="17"/>
  <c r="E64" i="17" s="1"/>
  <c r="F59" i="17"/>
  <c r="F58" i="17" s="1"/>
  <c r="E59" i="17"/>
  <c r="E58" i="17" s="1"/>
  <c r="F56" i="17"/>
  <c r="F55" i="17" s="1"/>
  <c r="E56" i="17"/>
  <c r="E55" i="17" s="1"/>
  <c r="F53" i="17"/>
  <c r="E53" i="17"/>
  <c r="F51" i="17"/>
  <c r="F49" i="17"/>
  <c r="E49" i="17"/>
  <c r="F44" i="17"/>
  <c r="F43" i="17" s="1"/>
  <c r="F42" i="17" s="1"/>
  <c r="F41" i="17" s="1"/>
  <c r="F40" i="17" s="1"/>
  <c r="E44" i="17"/>
  <c r="E43" i="17" s="1"/>
  <c r="E42" i="17" s="1"/>
  <c r="E41" i="17" s="1"/>
  <c r="E40" i="17" s="1"/>
  <c r="F38" i="17"/>
  <c r="E38" i="17"/>
  <c r="F36" i="17"/>
  <c r="E36" i="17"/>
  <c r="F31" i="17"/>
  <c r="F30" i="17" s="1"/>
  <c r="E31" i="17"/>
  <c r="E30" i="17" s="1"/>
  <c r="F28" i="17"/>
  <c r="E28" i="17"/>
  <c r="F26" i="17"/>
  <c r="E26" i="17"/>
  <c r="F24" i="17"/>
  <c r="E24" i="17"/>
  <c r="F21" i="17"/>
  <c r="F20" i="17" s="1"/>
  <c r="E21" i="17"/>
  <c r="E20" i="17" s="1"/>
  <c r="F16" i="17"/>
  <c r="F15" i="17" s="1"/>
  <c r="F14" i="17" s="1"/>
  <c r="E16" i="17"/>
  <c r="E15" i="17" s="1"/>
  <c r="E14" i="17" s="1"/>
  <c r="H12" i="17"/>
  <c r="E669" i="23"/>
  <c r="E668" i="23" s="1"/>
  <c r="E667" i="23" s="1"/>
  <c r="E666" i="23" s="1"/>
  <c r="E654" i="23"/>
  <c r="E653" i="23" s="1"/>
  <c r="E642" i="23"/>
  <c r="E641" i="23" s="1"/>
  <c r="E640" i="23"/>
  <c r="E639" i="23" s="1"/>
  <c r="E638" i="23" s="1"/>
  <c r="E635" i="23"/>
  <c r="E634" i="23" s="1"/>
  <c r="E623" i="23"/>
  <c r="E622" i="23" s="1"/>
  <c r="E621" i="23" s="1"/>
  <c r="E620" i="23"/>
  <c r="E617" i="23"/>
  <c r="E616" i="23" s="1"/>
  <c r="E612" i="23"/>
  <c r="E611" i="23" s="1"/>
  <c r="E606" i="23" s="1"/>
  <c r="E609" i="23"/>
  <c r="E608" i="23"/>
  <c r="E607" i="23" s="1"/>
  <c r="E592" i="23"/>
  <c r="E591" i="23" s="1"/>
  <c r="E590" i="23" s="1"/>
  <c r="E589" i="23" s="1"/>
  <c r="C41" i="24" s="1"/>
  <c r="C40" i="24" s="1"/>
  <c r="E587" i="23"/>
  <c r="E586" i="23" s="1"/>
  <c r="E585" i="23" s="1"/>
  <c r="E584" i="23" s="1"/>
  <c r="E581" i="23"/>
  <c r="E580" i="23" s="1"/>
  <c r="E579" i="23" s="1"/>
  <c r="E578" i="23" s="1"/>
  <c r="E577" i="23" s="1"/>
  <c r="E561" i="23"/>
  <c r="E560" i="23" s="1"/>
  <c r="E559" i="23" s="1"/>
  <c r="E552" i="23"/>
  <c r="E551" i="23"/>
  <c r="E546" i="23"/>
  <c r="E545" i="23" s="1"/>
  <c r="E527" i="23"/>
  <c r="E526" i="23" s="1"/>
  <c r="E520" i="23"/>
  <c r="E519" i="23" s="1"/>
  <c r="E510" i="23"/>
  <c r="E509" i="23" s="1"/>
  <c r="E508" i="23" s="1"/>
  <c r="E507" i="23" s="1"/>
  <c r="C26" i="24" s="1"/>
  <c r="E506" i="23"/>
  <c r="E505" i="23" s="1"/>
  <c r="E504" i="23"/>
  <c r="E503" i="23" s="1"/>
  <c r="E502" i="23"/>
  <c r="E501" i="23" s="1"/>
  <c r="E498" i="23"/>
  <c r="E497" i="23" s="1"/>
  <c r="E496" i="23" s="1"/>
  <c r="E495" i="23" s="1"/>
  <c r="E487" i="23"/>
  <c r="E486" i="23" s="1"/>
  <c r="E485" i="23" s="1"/>
  <c r="E484" i="23" s="1"/>
  <c r="E482" i="23"/>
  <c r="E481" i="23" s="1"/>
  <c r="E475" i="23"/>
  <c r="E474" i="23" s="1"/>
  <c r="E473" i="23" s="1"/>
  <c r="C24" i="24" s="1"/>
  <c r="E472" i="23"/>
  <c r="E471" i="23" s="1"/>
  <c r="E470" i="23" s="1"/>
  <c r="E468" i="23"/>
  <c r="E467" i="23" s="1"/>
  <c r="E466" i="23" s="1"/>
  <c r="E465" i="23"/>
  <c r="E464" i="23" s="1"/>
  <c r="E463" i="23" s="1"/>
  <c r="E462" i="23"/>
  <c r="E461" i="23" s="1"/>
  <c r="E460" i="23" s="1"/>
  <c r="E451" i="23"/>
  <c r="E450" i="23" s="1"/>
  <c r="E449" i="23" s="1"/>
  <c r="E448" i="23" s="1"/>
  <c r="C19" i="24" s="1"/>
  <c r="E447" i="23"/>
  <c r="E446" i="23" s="1"/>
  <c r="E445" i="23" s="1"/>
  <c r="E444" i="23" s="1"/>
  <c r="E442" i="23"/>
  <c r="E441" i="23" s="1"/>
  <c r="E425" i="23"/>
  <c r="E424" i="23" s="1"/>
  <c r="E423" i="23" s="1"/>
  <c r="E421" i="23"/>
  <c r="E420" i="23" s="1"/>
  <c r="E419" i="23" s="1"/>
  <c r="E418" i="23"/>
  <c r="E417" i="23" s="1"/>
  <c r="E416" i="23" s="1"/>
  <c r="E412" i="23"/>
  <c r="E411" i="23" s="1"/>
  <c r="E410" i="23" s="1"/>
  <c r="E404" i="23"/>
  <c r="E403" i="23" s="1"/>
  <c r="E402" i="23" s="1"/>
  <c r="C14" i="24" s="1"/>
  <c r="E397" i="23"/>
  <c r="E396" i="23" s="1"/>
  <c r="E394" i="23"/>
  <c r="E393" i="23" s="1"/>
  <c r="E386" i="23"/>
  <c r="E385" i="23" s="1"/>
  <c r="E384" i="23" s="1"/>
  <c r="E383" i="23"/>
  <c r="E382" i="23" s="1"/>
  <c r="E381" i="23" s="1"/>
  <c r="E380" i="23"/>
  <c r="E379" i="23" s="1"/>
  <c r="E378" i="23" s="1"/>
  <c r="E376" i="23"/>
  <c r="E375" i="23" s="1"/>
  <c r="E374" i="23" s="1"/>
  <c r="E365" i="23"/>
  <c r="E364" i="23" s="1"/>
  <c r="E363" i="23" s="1"/>
  <c r="E362" i="23" s="1"/>
  <c r="E360" i="23"/>
  <c r="E359" i="23" s="1"/>
  <c r="E358" i="23" s="1"/>
  <c r="E357" i="23" s="1"/>
  <c r="C36" i="24" s="1"/>
  <c r="E356" i="23"/>
  <c r="E355" i="23" s="1"/>
  <c r="E354" i="23" s="1"/>
  <c r="E353" i="23" s="1"/>
  <c r="C35" i="24" s="1"/>
  <c r="E349" i="23"/>
  <c r="E348" i="23" s="1"/>
  <c r="E347" i="23" s="1"/>
  <c r="E346" i="23"/>
  <c r="E345" i="23" s="1"/>
  <c r="E344" i="23" s="1"/>
  <c r="E339" i="23"/>
  <c r="E338" i="23" s="1"/>
  <c r="E331" i="23"/>
  <c r="E330" i="23" s="1"/>
  <c r="E329" i="23" s="1"/>
  <c r="E317" i="23"/>
  <c r="E316" i="23" s="1"/>
  <c r="E315" i="23" s="1"/>
  <c r="E297" i="23"/>
  <c r="E296" i="23" s="1"/>
  <c r="E295" i="23" s="1"/>
  <c r="E294" i="23"/>
  <c r="E293" i="23" s="1"/>
  <c r="E292" i="23" s="1"/>
  <c r="E285" i="23"/>
  <c r="E284" i="23" s="1"/>
  <c r="E283" i="23" s="1"/>
  <c r="E282" i="23"/>
  <c r="E281" i="23" s="1"/>
  <c r="E280" i="23" s="1"/>
  <c r="E278" i="23"/>
  <c r="E277" i="23" s="1"/>
  <c r="E276" i="23" s="1"/>
  <c r="C49" i="24" s="1"/>
  <c r="E274" i="23"/>
  <c r="E273" i="23" s="1"/>
  <c r="E271" i="23"/>
  <c r="E270" i="23" s="1"/>
  <c r="E268" i="23"/>
  <c r="E267" i="23" s="1"/>
  <c r="E265" i="23"/>
  <c r="E264" i="23" s="1"/>
  <c r="E246" i="23"/>
  <c r="E245" i="23" s="1"/>
  <c r="E244" i="23" s="1"/>
  <c r="E243" i="23" s="1"/>
  <c r="E235" i="23"/>
  <c r="E234" i="23" s="1"/>
  <c r="E233" i="23" s="1"/>
  <c r="E232" i="23" s="1"/>
  <c r="C64" i="24" s="1"/>
  <c r="E226" i="23"/>
  <c r="E225" i="23"/>
  <c r="E224" i="23" s="1"/>
  <c r="E223" i="23" s="1"/>
  <c r="C53" i="24" s="1"/>
  <c r="C52" i="24" s="1"/>
  <c r="E217" i="23"/>
  <c r="E216" i="23" s="1"/>
  <c r="E215" i="23" s="1"/>
  <c r="E208" i="23"/>
  <c r="E207" i="23" s="1"/>
  <c r="E206" i="23" s="1"/>
  <c r="E205" i="23" s="1"/>
  <c r="E204" i="23" s="1"/>
  <c r="E203" i="23"/>
  <c r="E202" i="23" s="1"/>
  <c r="E201" i="23" s="1"/>
  <c r="E200" i="23" s="1"/>
  <c r="E199" i="23" s="1"/>
  <c r="E190" i="23"/>
  <c r="E189" i="23" s="1"/>
  <c r="E188" i="23" s="1"/>
  <c r="E187" i="23" s="1"/>
  <c r="E186" i="23" s="1"/>
  <c r="E176" i="23"/>
  <c r="E175" i="23" s="1"/>
  <c r="E174" i="23" s="1"/>
  <c r="E164" i="23"/>
  <c r="E163" i="23" s="1"/>
  <c r="E162" i="23"/>
  <c r="E161" i="23" s="1"/>
  <c r="E159" i="23"/>
  <c r="E158" i="23" s="1"/>
  <c r="E157" i="23"/>
  <c r="E156" i="23" s="1"/>
  <c r="E154" i="23"/>
  <c r="E153" i="23" s="1"/>
  <c r="E152" i="23"/>
  <c r="E151" i="23" s="1"/>
  <c r="E149" i="23"/>
  <c r="E148" i="23" s="1"/>
  <c r="E147" i="23" s="1"/>
  <c r="E146" i="23"/>
  <c r="E145" i="23" s="1"/>
  <c r="E140" i="23"/>
  <c r="E139" i="23" s="1"/>
  <c r="E137" i="23"/>
  <c r="E136" i="23" s="1"/>
  <c r="E135" i="23" s="1"/>
  <c r="E134" i="23"/>
  <c r="E133" i="23" s="1"/>
  <c r="E132" i="23" s="1"/>
  <c r="E131" i="23"/>
  <c r="E130" i="23"/>
  <c r="E125" i="23"/>
  <c r="E124" i="23" s="1"/>
  <c r="E119" i="23"/>
  <c r="E118" i="23" s="1"/>
  <c r="E111" i="23"/>
  <c r="E110" i="23" s="1"/>
  <c r="E104" i="23"/>
  <c r="E103" i="23" s="1"/>
  <c r="E102" i="23" s="1"/>
  <c r="E96" i="23"/>
  <c r="E95" i="23" s="1"/>
  <c r="E94" i="23" s="1"/>
  <c r="E93" i="23" s="1"/>
  <c r="E89" i="23"/>
  <c r="E88" i="23" s="1"/>
  <c r="E86" i="23"/>
  <c r="E85" i="23" s="1"/>
  <c r="E84" i="23" s="1"/>
  <c r="E82" i="23"/>
  <c r="E81" i="23" s="1"/>
  <c r="E74" i="23"/>
  <c r="E73" i="23" s="1"/>
  <c r="E72" i="23" s="1"/>
  <c r="E70" i="23"/>
  <c r="E69" i="23" s="1"/>
  <c r="E53" i="23"/>
  <c r="E45" i="23"/>
  <c r="E44" i="23" s="1"/>
  <c r="E43" i="23" s="1"/>
  <c r="E42" i="23" s="1"/>
  <c r="E41" i="23" s="1"/>
  <c r="E40" i="23" s="1"/>
  <c r="E39" i="23"/>
  <c r="E38" i="23" s="1"/>
  <c r="E32" i="23"/>
  <c r="E31" i="23" s="1"/>
  <c r="E30" i="23" s="1"/>
  <c r="E29" i="23"/>
  <c r="E28" i="23" s="1"/>
  <c r="E27" i="23"/>
  <c r="E26" i="23" s="1"/>
  <c r="F683" i="25"/>
  <c r="G682" i="25"/>
  <c r="G680" i="25"/>
  <c r="F680" i="25"/>
  <c r="G677" i="25"/>
  <c r="G676" i="25" s="1"/>
  <c r="F677" i="25"/>
  <c r="F676" i="25" s="1"/>
  <c r="G670" i="25"/>
  <c r="G669" i="25" s="1"/>
  <c r="F670" i="25"/>
  <c r="F669" i="25" s="1"/>
  <c r="G667" i="25"/>
  <c r="G666" i="25" s="1"/>
  <c r="F667" i="25"/>
  <c r="F666" i="25" s="1"/>
  <c r="F664" i="25"/>
  <c r="F663" i="25" s="1"/>
  <c r="G664" i="25"/>
  <c r="G663" i="25" s="1"/>
  <c r="G661" i="25"/>
  <c r="G660" i="25" s="1"/>
  <c r="G659" i="25" s="1"/>
  <c r="G658" i="25" s="1"/>
  <c r="G656" i="25"/>
  <c r="G653" i="25" s="1"/>
  <c r="G652" i="25" s="1"/>
  <c r="G651" i="25" s="1"/>
  <c r="G650" i="25" s="1"/>
  <c r="G649" i="25" s="1"/>
  <c r="F656" i="25"/>
  <c r="F653" i="25" s="1"/>
  <c r="F652" i="25" s="1"/>
  <c r="F651" i="25" s="1"/>
  <c r="F650" i="25" s="1"/>
  <c r="F649" i="25" s="1"/>
  <c r="G647" i="25"/>
  <c r="G646" i="25" s="1"/>
  <c r="G645" i="25" s="1"/>
  <c r="G644" i="25" s="1"/>
  <c r="G643" i="25" s="1"/>
  <c r="F647" i="25"/>
  <c r="F646" i="25" s="1"/>
  <c r="F645" i="25" s="1"/>
  <c r="F644" i="25" s="1"/>
  <c r="F643" i="25" s="1"/>
  <c r="G640" i="25"/>
  <c r="G639" i="25" s="1"/>
  <c r="F640" i="25"/>
  <c r="F639" i="25" s="1"/>
  <c r="G637" i="25"/>
  <c r="F637" i="25"/>
  <c r="G635" i="25"/>
  <c r="F635" i="25"/>
  <c r="G633" i="25"/>
  <c r="F633" i="25"/>
  <c r="G630" i="25"/>
  <c r="F630" i="25"/>
  <c r="G628" i="25"/>
  <c r="F627" i="25"/>
  <c r="E430" i="17" s="1"/>
  <c r="G626" i="25"/>
  <c r="G620" i="25"/>
  <c r="G619" i="25" s="1"/>
  <c r="G618" i="25" s="1"/>
  <c r="F620" i="25"/>
  <c r="F619" i="25" s="1"/>
  <c r="F618" i="25" s="1"/>
  <c r="G616" i="25"/>
  <c r="F616" i="25"/>
  <c r="G614" i="25"/>
  <c r="F614" i="25"/>
  <c r="G612" i="25"/>
  <c r="F612" i="25"/>
  <c r="G608" i="25"/>
  <c r="G607" i="25" s="1"/>
  <c r="G606" i="25" s="1"/>
  <c r="F608" i="25"/>
  <c r="F607" i="25" s="1"/>
  <c r="F606" i="25" s="1"/>
  <c r="G601" i="25"/>
  <c r="G600" i="25" s="1"/>
  <c r="F601" i="25"/>
  <c r="F600" i="25" s="1"/>
  <c r="G598" i="25"/>
  <c r="G597" i="25" s="1"/>
  <c r="F598" i="25"/>
  <c r="F597" i="25" s="1"/>
  <c r="G595" i="25"/>
  <c r="G594" i="25" s="1"/>
  <c r="F595" i="25"/>
  <c r="F594" i="25" s="1"/>
  <c r="G592" i="25"/>
  <c r="G591" i="25" s="1"/>
  <c r="F592" i="25"/>
  <c r="F591" i="25" s="1"/>
  <c r="G589" i="25"/>
  <c r="G588" i="25" s="1"/>
  <c r="F589" i="25"/>
  <c r="F588" i="25" s="1"/>
  <c r="G585" i="25"/>
  <c r="G584" i="25" s="1"/>
  <c r="G583" i="25" s="1"/>
  <c r="F585" i="25"/>
  <c r="F584" i="25" s="1"/>
  <c r="F583" i="25" s="1"/>
  <c r="F579" i="25"/>
  <c r="E375" i="17" s="1"/>
  <c r="E374" i="17" s="1"/>
  <c r="E373" i="17" s="1"/>
  <c r="C19" i="18" s="1"/>
  <c r="G578" i="25"/>
  <c r="G577" i="25" s="1"/>
  <c r="G576" i="25" s="1"/>
  <c r="G574" i="25"/>
  <c r="G573" i="25" s="1"/>
  <c r="G572" i="25" s="1"/>
  <c r="F574" i="25"/>
  <c r="F573" i="25" s="1"/>
  <c r="F572" i="25" s="1"/>
  <c r="G570" i="25"/>
  <c r="G569" i="25" s="1"/>
  <c r="F570" i="25"/>
  <c r="F569" i="25" s="1"/>
  <c r="G567" i="25"/>
  <c r="G566" i="25" s="1"/>
  <c r="F567" i="25"/>
  <c r="F566" i="25" s="1"/>
  <c r="G564" i="25"/>
  <c r="G563" i="25" s="1"/>
  <c r="F564" i="25"/>
  <c r="F563" i="25" s="1"/>
  <c r="G561" i="25"/>
  <c r="G560" i="25" s="1"/>
  <c r="F561" i="25"/>
  <c r="F560" i="25" s="1"/>
  <c r="G558" i="25"/>
  <c r="G557" i="25" s="1"/>
  <c r="F558" i="25"/>
  <c r="F557" i="25" s="1"/>
  <c r="G554" i="25"/>
  <c r="G553" i="25" s="1"/>
  <c r="F554" i="25"/>
  <c r="F553" i="25" s="1"/>
  <c r="G551" i="25"/>
  <c r="G550" i="25" s="1"/>
  <c r="F551" i="25"/>
  <c r="F550" i="25" s="1"/>
  <c r="E348" i="17"/>
  <c r="E347" i="17" s="1"/>
  <c r="G548" i="25"/>
  <c r="G547" i="25" s="1"/>
  <c r="F548" i="25"/>
  <c r="F547" i="25" s="1"/>
  <c r="G546" i="25"/>
  <c r="F345" i="17" s="1"/>
  <c r="F344" i="17" s="1"/>
  <c r="G545" i="25"/>
  <c r="G544" i="25" s="1"/>
  <c r="F545" i="25"/>
  <c r="F544" i="25" s="1"/>
  <c r="G538" i="25"/>
  <c r="G537" i="25" s="1"/>
  <c r="G536" i="25" s="1"/>
  <c r="F538" i="25"/>
  <c r="F537" i="25" s="1"/>
  <c r="F536" i="25" s="1"/>
  <c r="G534" i="25"/>
  <c r="G533" i="25" s="1"/>
  <c r="F534" i="25"/>
  <c r="E338" i="17" s="1"/>
  <c r="E337" i="17" s="1"/>
  <c r="G531" i="25"/>
  <c r="G530" i="25" s="1"/>
  <c r="F531" i="25"/>
  <c r="F530" i="25" s="1"/>
  <c r="G528" i="25"/>
  <c r="G527" i="25" s="1"/>
  <c r="F528" i="25"/>
  <c r="F527" i="25" s="1"/>
  <c r="G525" i="25"/>
  <c r="G524" i="25" s="1"/>
  <c r="F525" i="25"/>
  <c r="F524" i="25" s="1"/>
  <c r="G522" i="25"/>
  <c r="G521" i="25" s="1"/>
  <c r="F522" i="25"/>
  <c r="F521" i="25" s="1"/>
  <c r="G519" i="25"/>
  <c r="G518" i="25" s="1"/>
  <c r="F519" i="25"/>
  <c r="F518" i="25" s="1"/>
  <c r="G516" i="25"/>
  <c r="G515" i="25" s="1"/>
  <c r="F516" i="25"/>
  <c r="F515" i="25" s="1"/>
  <c r="G512" i="25"/>
  <c r="G511" i="25" s="1"/>
  <c r="F512" i="25"/>
  <c r="F511" i="25" s="1"/>
  <c r="F510" i="25"/>
  <c r="E319" i="17" s="1"/>
  <c r="E318" i="17" s="1"/>
  <c r="G509" i="25"/>
  <c r="G508" i="25" s="1"/>
  <c r="G500" i="25"/>
  <c r="G499" i="25" s="1"/>
  <c r="G498" i="25" s="1"/>
  <c r="F500" i="25"/>
  <c r="F499" i="25" s="1"/>
  <c r="F498" i="25" s="1"/>
  <c r="G496" i="25"/>
  <c r="G495" i="25" s="1"/>
  <c r="G494" i="25" s="1"/>
  <c r="G493" i="25" s="1"/>
  <c r="F496" i="25"/>
  <c r="F495" i="25" s="1"/>
  <c r="F494" i="25" s="1"/>
  <c r="F493" i="25" s="1"/>
  <c r="G490" i="25"/>
  <c r="G489" i="25" s="1"/>
  <c r="G488" i="25" s="1"/>
  <c r="G487" i="25" s="1"/>
  <c r="F490" i="25"/>
  <c r="F489" i="25" s="1"/>
  <c r="F488" i="25" s="1"/>
  <c r="F487" i="25" s="1"/>
  <c r="G485" i="25"/>
  <c r="G484" i="25" s="1"/>
  <c r="F485" i="25"/>
  <c r="F484" i="25" s="1"/>
  <c r="G482" i="25"/>
  <c r="F482" i="25"/>
  <c r="G480" i="25"/>
  <c r="F480" i="25"/>
  <c r="G478" i="25"/>
  <c r="F478" i="25"/>
  <c r="G475" i="25"/>
  <c r="G474" i="25" s="1"/>
  <c r="F475" i="25"/>
  <c r="F474" i="25" s="1"/>
  <c r="F469" i="25"/>
  <c r="E569" i="17" s="1"/>
  <c r="E568" i="17" s="1"/>
  <c r="E567" i="17" s="1"/>
  <c r="E566" i="17" s="1"/>
  <c r="E565" i="17" s="1"/>
  <c r="E564" i="17" s="1"/>
  <c r="G468" i="25"/>
  <c r="G467" i="25" s="1"/>
  <c r="G466" i="25" s="1"/>
  <c r="G465" i="25" s="1"/>
  <c r="G464" i="25" s="1"/>
  <c r="G463" i="25" s="1"/>
  <c r="G461" i="25"/>
  <c r="G460" i="25" s="1"/>
  <c r="G459" i="25" s="1"/>
  <c r="F461" i="25"/>
  <c r="F460" i="25" s="1"/>
  <c r="F459" i="25" s="1"/>
  <c r="G456" i="25"/>
  <c r="G455" i="25" s="1"/>
  <c r="F456" i="25"/>
  <c r="F455" i="25" s="1"/>
  <c r="G453" i="25"/>
  <c r="G452" i="25" s="1"/>
  <c r="F453" i="25"/>
  <c r="F452" i="25" s="1"/>
  <c r="F450" i="25"/>
  <c r="F449" i="25" s="1"/>
  <c r="G447" i="25"/>
  <c r="G446" i="25" s="1"/>
  <c r="F447" i="25"/>
  <c r="F446" i="25" s="1"/>
  <c r="G443" i="25"/>
  <c r="F443" i="25"/>
  <c r="G441" i="25"/>
  <c r="F441" i="25"/>
  <c r="G434" i="25"/>
  <c r="G433" i="25" s="1"/>
  <c r="F434" i="25"/>
  <c r="F433" i="25" s="1"/>
  <c r="G431" i="25"/>
  <c r="G430" i="25" s="1"/>
  <c r="F431" i="25"/>
  <c r="F430" i="25" s="1"/>
  <c r="G428" i="25"/>
  <c r="G427" i="25" s="1"/>
  <c r="F428" i="25"/>
  <c r="F427" i="25" s="1"/>
  <c r="G424" i="25"/>
  <c r="F424" i="25"/>
  <c r="G422" i="25"/>
  <c r="F422" i="25"/>
  <c r="G420" i="25"/>
  <c r="F525" i="17" s="1"/>
  <c r="F524" i="17" s="1"/>
  <c r="F523" i="17" s="1"/>
  <c r="F420" i="25"/>
  <c r="E525" i="17" s="1"/>
  <c r="E524" i="17" s="1"/>
  <c r="E523" i="17" s="1"/>
  <c r="F414" i="25"/>
  <c r="E512" i="17" s="1"/>
  <c r="E511" i="17" s="1"/>
  <c r="E510" i="17" s="1"/>
  <c r="G413" i="25"/>
  <c r="G412" i="25" s="1"/>
  <c r="G411" i="25" s="1"/>
  <c r="G410" i="25"/>
  <c r="F508" i="17" s="1"/>
  <c r="F507" i="17" s="1"/>
  <c r="F506" i="17" s="1"/>
  <c r="D53" i="18" s="1"/>
  <c r="F410" i="25"/>
  <c r="E508" i="17" s="1"/>
  <c r="E507" i="17" s="1"/>
  <c r="E506" i="17" s="1"/>
  <c r="G404" i="25"/>
  <c r="G403" i="25" s="1"/>
  <c r="G402" i="25" s="1"/>
  <c r="G401" i="25" s="1"/>
  <c r="F404" i="25"/>
  <c r="F403" i="25" s="1"/>
  <c r="G398" i="25"/>
  <c r="G397" i="25" s="1"/>
  <c r="G396" i="25" s="1"/>
  <c r="G395" i="25" s="1"/>
  <c r="F398" i="25"/>
  <c r="F397" i="25" s="1"/>
  <c r="F396" i="25" s="1"/>
  <c r="F395" i="25" s="1"/>
  <c r="F392" i="25"/>
  <c r="F391" i="25" s="1"/>
  <c r="F390" i="25" s="1"/>
  <c r="F389" i="25" s="1"/>
  <c r="G384" i="25"/>
  <c r="G383" i="25" s="1"/>
  <c r="F384" i="25"/>
  <c r="F383" i="25" s="1"/>
  <c r="G377" i="25"/>
  <c r="G376" i="25" s="1"/>
  <c r="G375" i="25" s="1"/>
  <c r="F377" i="25"/>
  <c r="F376" i="25" s="1"/>
  <c r="F375" i="25" s="1"/>
  <c r="G373" i="25"/>
  <c r="G372" i="25" s="1"/>
  <c r="F373" i="25"/>
  <c r="F372" i="25" s="1"/>
  <c r="G370" i="25"/>
  <c r="G369" i="25" s="1"/>
  <c r="F370" i="25"/>
  <c r="F369" i="25" s="1"/>
  <c r="G367" i="25"/>
  <c r="G366" i="25" s="1"/>
  <c r="F367" i="25"/>
  <c r="F366" i="25" s="1"/>
  <c r="G364" i="25"/>
  <c r="G363" i="25" s="1"/>
  <c r="F364" i="25"/>
  <c r="F363" i="25" s="1"/>
  <c r="G360" i="25"/>
  <c r="G359" i="25" s="1"/>
  <c r="F360" i="25"/>
  <c r="F359" i="25" s="1"/>
  <c r="F354" i="25"/>
  <c r="E405" i="17" s="1"/>
  <c r="E404" i="17" s="1"/>
  <c r="E403" i="17" s="1"/>
  <c r="G353" i="25"/>
  <c r="G352" i="25" s="1"/>
  <c r="G351" i="25" s="1"/>
  <c r="G349" i="25"/>
  <c r="G348" i="25" s="1"/>
  <c r="F349" i="25"/>
  <c r="F348" i="25" s="1"/>
  <c r="F347" i="25"/>
  <c r="F346" i="25" s="1"/>
  <c r="F345" i="25" s="1"/>
  <c r="G346" i="25"/>
  <c r="G345" i="25" s="1"/>
  <c r="G339" i="25"/>
  <c r="G338" i="25" s="1"/>
  <c r="F339" i="25"/>
  <c r="F338" i="25" s="1"/>
  <c r="G334" i="25"/>
  <c r="G333" i="25" s="1"/>
  <c r="G332" i="25" s="1"/>
  <c r="F334" i="25"/>
  <c r="F333" i="25" s="1"/>
  <c r="F332" i="25" s="1"/>
  <c r="G330" i="25"/>
  <c r="G329" i="25" s="1"/>
  <c r="G328" i="25" s="1"/>
  <c r="F330" i="25"/>
  <c r="F329" i="25" s="1"/>
  <c r="F328" i="25" s="1"/>
  <c r="G323" i="25"/>
  <c r="G322" i="25" s="1"/>
  <c r="F323" i="25"/>
  <c r="F322" i="25" s="1"/>
  <c r="G320" i="25"/>
  <c r="G319" i="25" s="1"/>
  <c r="F320" i="25"/>
  <c r="F319" i="25" s="1"/>
  <c r="G314" i="25"/>
  <c r="G313" i="25" s="1"/>
  <c r="F314" i="25"/>
  <c r="F313" i="25" s="1"/>
  <c r="G311" i="25"/>
  <c r="G310" i="25" s="1"/>
  <c r="F311" i="25"/>
  <c r="F310" i="25" s="1"/>
  <c r="G309" i="25"/>
  <c r="F289" i="17" s="1"/>
  <c r="F288" i="17" s="1"/>
  <c r="F309" i="25"/>
  <c r="G305" i="25"/>
  <c r="G304" i="25" s="1"/>
  <c r="F305" i="25"/>
  <c r="F304" i="25" s="1"/>
  <c r="G300" i="25"/>
  <c r="G299" i="25" s="1"/>
  <c r="F300" i="25"/>
  <c r="F299" i="25" s="1"/>
  <c r="G298" i="25"/>
  <c r="F281" i="17" s="1"/>
  <c r="F280" i="17" s="1"/>
  <c r="F279" i="17" s="1"/>
  <c r="F298" i="25"/>
  <c r="G291" i="25"/>
  <c r="G290" i="25" s="1"/>
  <c r="F291" i="25"/>
  <c r="F290" i="25" s="1"/>
  <c r="G288" i="25"/>
  <c r="G287" i="25" s="1"/>
  <c r="F288" i="25"/>
  <c r="F287" i="25" s="1"/>
  <c r="G285" i="25"/>
  <c r="G284" i="25" s="1"/>
  <c r="F285" i="25"/>
  <c r="F284" i="25" s="1"/>
  <c r="G280" i="25"/>
  <c r="G279" i="25" s="1"/>
  <c r="F280" i="25"/>
  <c r="F279" i="25" s="1"/>
  <c r="G274" i="25"/>
  <c r="G273" i="25" s="1"/>
  <c r="F274" i="25"/>
  <c r="F273" i="25" s="1"/>
  <c r="G271" i="25"/>
  <c r="G270" i="25" s="1"/>
  <c r="F271" i="25"/>
  <c r="F270" i="25" s="1"/>
  <c r="G261" i="25"/>
  <c r="G260" i="25" s="1"/>
  <c r="F261" i="25"/>
  <c r="F260" i="25" s="1"/>
  <c r="G258" i="25"/>
  <c r="G257" i="25" s="1"/>
  <c r="F258" i="25"/>
  <c r="F257" i="25" s="1"/>
  <c r="G255" i="25"/>
  <c r="G254" i="25" s="1"/>
  <c r="F255" i="25"/>
  <c r="F254" i="25" s="1"/>
  <c r="G252" i="25"/>
  <c r="G251" i="25" s="1"/>
  <c r="F252" i="25"/>
  <c r="F251" i="25" s="1"/>
  <c r="G249" i="25"/>
  <c r="G248" i="25" s="1"/>
  <c r="F249" i="25"/>
  <c r="F248" i="25" s="1"/>
  <c r="G246" i="25"/>
  <c r="G245" i="25" s="1"/>
  <c r="F246" i="25"/>
  <c r="F245" i="25" s="1"/>
  <c r="G243" i="25"/>
  <c r="F243" i="25"/>
  <c r="F242" i="25"/>
  <c r="G239" i="25"/>
  <c r="F239" i="25"/>
  <c r="G233" i="25"/>
  <c r="G232" i="25" s="1"/>
  <c r="G231" i="25" s="1"/>
  <c r="G230" i="25" s="1"/>
  <c r="F233" i="25"/>
  <c r="F232" i="25" s="1"/>
  <c r="F231" i="25" s="1"/>
  <c r="F230" i="25" s="1"/>
  <c r="G228" i="25"/>
  <c r="G227" i="25" s="1"/>
  <c r="G226" i="25" s="1"/>
  <c r="F228" i="25"/>
  <c r="F227" i="25" s="1"/>
  <c r="F226" i="25" s="1"/>
  <c r="G221" i="25"/>
  <c r="G220" i="25" s="1"/>
  <c r="G219" i="25" s="1"/>
  <c r="F221" i="25"/>
  <c r="F220" i="25" s="1"/>
  <c r="F219" i="25" s="1"/>
  <c r="G217" i="25"/>
  <c r="G216" i="25" s="1"/>
  <c r="G215" i="25" s="1"/>
  <c r="F217" i="25"/>
  <c r="F216" i="25" s="1"/>
  <c r="F215" i="25" s="1"/>
  <c r="G212" i="25"/>
  <c r="G211" i="25" s="1"/>
  <c r="G210" i="25" s="1"/>
  <c r="F212" i="25"/>
  <c r="F211" i="25" s="1"/>
  <c r="F210" i="25" s="1"/>
  <c r="G206" i="25"/>
  <c r="G205" i="25" s="1"/>
  <c r="F206" i="25"/>
  <c r="F205" i="25" s="1"/>
  <c r="G203" i="25"/>
  <c r="G202" i="25" s="1"/>
  <c r="F203" i="25"/>
  <c r="F202" i="25" s="1"/>
  <c r="G201" i="25"/>
  <c r="F200" i="17" s="1"/>
  <c r="F199" i="17" s="1"/>
  <c r="F201" i="25"/>
  <c r="G194" i="25"/>
  <c r="G193" i="25" s="1"/>
  <c r="G192" i="25" s="1"/>
  <c r="F194" i="25"/>
  <c r="F193" i="25" s="1"/>
  <c r="F192" i="25" s="1"/>
  <c r="G189" i="25"/>
  <c r="G188" i="25" s="1"/>
  <c r="F189" i="25"/>
  <c r="F188" i="25" s="1"/>
  <c r="G183" i="25"/>
  <c r="G182" i="25" s="1"/>
  <c r="F183" i="25"/>
  <c r="F182" i="25" s="1"/>
  <c r="F181" i="25" s="1"/>
  <c r="G176" i="25"/>
  <c r="G175" i="25" s="1"/>
  <c r="G174" i="25" s="1"/>
  <c r="G173" i="25" s="1"/>
  <c r="F176" i="25"/>
  <c r="F175" i="25" s="1"/>
  <c r="F174" i="25" s="1"/>
  <c r="F173" i="25" s="1"/>
  <c r="G171" i="25"/>
  <c r="G170" i="25" s="1"/>
  <c r="G169" i="25" s="1"/>
  <c r="G168" i="25" s="1"/>
  <c r="F171" i="25"/>
  <c r="F170" i="25" s="1"/>
  <c r="F169" i="25" s="1"/>
  <c r="F168" i="25" s="1"/>
  <c r="G165" i="25"/>
  <c r="G164" i="25" s="1"/>
  <c r="F165" i="25"/>
  <c r="F164" i="25" s="1"/>
  <c r="G162" i="25"/>
  <c r="G161" i="25" s="1"/>
  <c r="G160" i="25" s="1"/>
  <c r="F162" i="25"/>
  <c r="E162" i="17" s="1"/>
  <c r="E161" i="17" s="1"/>
  <c r="G155" i="25"/>
  <c r="F155" i="25"/>
  <c r="G153" i="25"/>
  <c r="F153" i="25"/>
  <c r="G150" i="25"/>
  <c r="F150" i="25"/>
  <c r="G149" i="25"/>
  <c r="F148" i="17" s="1"/>
  <c r="F149" i="25"/>
  <c r="G145" i="25"/>
  <c r="F145" i="25"/>
  <c r="G144" i="25"/>
  <c r="F143" i="17" s="1"/>
  <c r="F144" i="25"/>
  <c r="F143" i="25" s="1"/>
  <c r="G140" i="25"/>
  <c r="F140" i="25"/>
  <c r="G139" i="25"/>
  <c r="F138" i="17" s="1"/>
  <c r="F139" i="25"/>
  <c r="F138" i="25" s="1"/>
  <c r="G135" i="25"/>
  <c r="G134" i="25" s="1"/>
  <c r="F135" i="25"/>
  <c r="F134" i="25" s="1"/>
  <c r="G132" i="25"/>
  <c r="F132" i="25"/>
  <c r="F130" i="17"/>
  <c r="E130" i="17"/>
  <c r="F130" i="25"/>
  <c r="G126" i="25"/>
  <c r="G125" i="25" s="1"/>
  <c r="F126" i="25"/>
  <c r="F125" i="25" s="1"/>
  <c r="G123" i="25"/>
  <c r="F123" i="25"/>
  <c r="G121" i="25"/>
  <c r="G120" i="25" s="1"/>
  <c r="F121" i="25"/>
  <c r="F120" i="25" s="1"/>
  <c r="G119" i="25"/>
  <c r="F119" i="17" s="1"/>
  <c r="F118" i="17" s="1"/>
  <c r="F119" i="25"/>
  <c r="G114" i="25"/>
  <c r="F114" i="25"/>
  <c r="G112" i="25"/>
  <c r="F112" i="25"/>
  <c r="G108" i="25"/>
  <c r="F108" i="25"/>
  <c r="G107" i="25"/>
  <c r="F103" i="17" s="1"/>
  <c r="F107" i="25"/>
  <c r="G101" i="25"/>
  <c r="G100" i="25" s="1"/>
  <c r="F101" i="25"/>
  <c r="F100" i="25" s="1"/>
  <c r="G98" i="25"/>
  <c r="G97" i="25" s="1"/>
  <c r="F98" i="25"/>
  <c r="F97" i="25" s="1"/>
  <c r="G93" i="25"/>
  <c r="G92" i="25" s="1"/>
  <c r="G91" i="25" s="1"/>
  <c r="F93" i="25"/>
  <c r="F92" i="25" s="1"/>
  <c r="F91" i="25" s="1"/>
  <c r="G88" i="25"/>
  <c r="G87" i="25" s="1"/>
  <c r="F88" i="25"/>
  <c r="F87" i="25" s="1"/>
  <c r="G85" i="25"/>
  <c r="G84" i="25" s="1"/>
  <c r="F85" i="25"/>
  <c r="F84" i="25" s="1"/>
  <c r="G81" i="25"/>
  <c r="F81" i="25"/>
  <c r="G79" i="25"/>
  <c r="F79" i="25"/>
  <c r="G78" i="25"/>
  <c r="F72" i="17" s="1"/>
  <c r="F78" i="25"/>
  <c r="G73" i="25"/>
  <c r="G72" i="25" s="1"/>
  <c r="F73" i="25"/>
  <c r="F72" i="25" s="1"/>
  <c r="G70" i="25"/>
  <c r="G69" i="25" s="1"/>
  <c r="F70" i="25"/>
  <c r="F69" i="25" s="1"/>
  <c r="G64" i="25"/>
  <c r="G63" i="25" s="1"/>
  <c r="G62" i="25" s="1"/>
  <c r="G61" i="25" s="1"/>
  <c r="F64" i="25"/>
  <c r="F63" i="25" s="1"/>
  <c r="F62" i="25" s="1"/>
  <c r="F61" i="25" s="1"/>
  <c r="G59" i="25"/>
  <c r="G58" i="25" s="1"/>
  <c r="G57" i="25" s="1"/>
  <c r="G56" i="25" s="1"/>
  <c r="F59" i="25"/>
  <c r="F58" i="25" s="1"/>
  <c r="F57" i="25" s="1"/>
  <c r="F56" i="25" s="1"/>
  <c r="G54" i="25"/>
  <c r="G53" i="25" s="1"/>
  <c r="F54" i="25"/>
  <c r="F53" i="25" s="1"/>
  <c r="G48" i="25"/>
  <c r="F48" i="25"/>
  <c r="G46" i="25"/>
  <c r="F46" i="25"/>
  <c r="G41" i="25"/>
  <c r="G40" i="25" s="1"/>
  <c r="G39" i="25" s="1"/>
  <c r="G38" i="25" s="1"/>
  <c r="F41" i="25"/>
  <c r="F40" i="25" s="1"/>
  <c r="F39" i="25" s="1"/>
  <c r="F38" i="25" s="1"/>
  <c r="G34" i="25"/>
  <c r="G33" i="25" s="1"/>
  <c r="G32" i="25" s="1"/>
  <c r="F34" i="25"/>
  <c r="F33" i="25" s="1"/>
  <c r="F32" i="25" s="1"/>
  <c r="F31" i="25" s="1"/>
  <c r="G29" i="25"/>
  <c r="G28" i="25" s="1"/>
  <c r="G27" i="25" s="1"/>
  <c r="F29" i="25"/>
  <c r="F28" i="25" s="1"/>
  <c r="F27" i="25" s="1"/>
  <c r="G23" i="25"/>
  <c r="F23" i="25"/>
  <c r="G21" i="25"/>
  <c r="F21" i="25"/>
  <c r="G19" i="25"/>
  <c r="F19" i="25"/>
  <c r="I713" i="16"/>
  <c r="H713" i="16"/>
  <c r="H712" i="16"/>
  <c r="G712" i="16"/>
  <c r="I711" i="16"/>
  <c r="H711" i="16"/>
  <c r="G711" i="16"/>
  <c r="K706" i="16"/>
  <c r="L703" i="16"/>
  <c r="K703" i="16"/>
  <c r="I703" i="16"/>
  <c r="H703" i="16"/>
  <c r="G703" i="16"/>
  <c r="K698" i="16"/>
  <c r="K697" i="16"/>
  <c r="K696" i="16"/>
  <c r="K695" i="16"/>
  <c r="K694" i="16"/>
  <c r="K693" i="16"/>
  <c r="K692" i="16"/>
  <c r="K691" i="16"/>
  <c r="K690" i="16"/>
  <c r="K689" i="16"/>
  <c r="K688" i="16"/>
  <c r="K699" i="16" s="1"/>
  <c r="J677" i="16"/>
  <c r="L676" i="16"/>
  <c r="I676" i="16"/>
  <c r="H676" i="16"/>
  <c r="J676" i="16" s="1"/>
  <c r="G676" i="16"/>
  <c r="F676" i="16"/>
  <c r="F673" i="16" s="1"/>
  <c r="J675" i="16"/>
  <c r="L674" i="16"/>
  <c r="L673" i="16" s="1"/>
  <c r="I674" i="16"/>
  <c r="J674" i="16" s="1"/>
  <c r="H674" i="16"/>
  <c r="H673" i="16" s="1"/>
  <c r="G674" i="16"/>
  <c r="G673" i="16" s="1"/>
  <c r="F674" i="16"/>
  <c r="I673" i="16"/>
  <c r="J672" i="16"/>
  <c r="G672" i="16"/>
  <c r="G713" i="16" s="1"/>
  <c r="L671" i="16"/>
  <c r="I671" i="16"/>
  <c r="I670" i="16" s="1"/>
  <c r="H671" i="16"/>
  <c r="G671" i="16"/>
  <c r="F671" i="16"/>
  <c r="F670" i="16" s="1"/>
  <c r="F669" i="16" s="1"/>
  <c r="F668" i="16" s="1"/>
  <c r="F667" i="16" s="1"/>
  <c r="F666" i="16" s="1"/>
  <c r="L670" i="16"/>
  <c r="L669" i="16" s="1"/>
  <c r="L668" i="16" s="1"/>
  <c r="L667" i="16" s="1"/>
  <c r="L666" i="16" s="1"/>
  <c r="H670" i="16"/>
  <c r="G670" i="16"/>
  <c r="G669" i="16" s="1"/>
  <c r="G668" i="16" s="1"/>
  <c r="G667" i="16" s="1"/>
  <c r="G666" i="16" s="1"/>
  <c r="J665" i="16"/>
  <c r="L664" i="16"/>
  <c r="J664" i="16"/>
  <c r="I664" i="16"/>
  <c r="H664" i="16"/>
  <c r="G664" i="16"/>
  <c r="F664" i="16"/>
  <c r="F663" i="16" s="1"/>
  <c r="L663" i="16"/>
  <c r="I663" i="16"/>
  <c r="J663" i="16" s="1"/>
  <c r="H663" i="16"/>
  <c r="G663" i="16"/>
  <c r="J662" i="16"/>
  <c r="L661" i="16"/>
  <c r="L660" i="16" s="1"/>
  <c r="L656" i="16" s="1"/>
  <c r="L655" i="16" s="1"/>
  <c r="L654" i="16" s="1"/>
  <c r="L653" i="16" s="1"/>
  <c r="L652" i="16" s="1"/>
  <c r="I661" i="16"/>
  <c r="J661" i="16" s="1"/>
  <c r="H661" i="16"/>
  <c r="G661" i="16"/>
  <c r="G660" i="16" s="1"/>
  <c r="G656" i="16" s="1"/>
  <c r="G655" i="16" s="1"/>
  <c r="G654" i="16" s="1"/>
  <c r="G653" i="16" s="1"/>
  <c r="G652" i="16" s="1"/>
  <c r="F661" i="16"/>
  <c r="I660" i="16"/>
  <c r="J660" i="16" s="1"/>
  <c r="H660" i="16"/>
  <c r="F660" i="16"/>
  <c r="J659" i="16"/>
  <c r="L658" i="16"/>
  <c r="I658" i="16"/>
  <c r="J658" i="16" s="1"/>
  <c r="H658" i="16"/>
  <c r="H657" i="16" s="1"/>
  <c r="G658" i="16"/>
  <c r="F658" i="16"/>
  <c r="L657" i="16"/>
  <c r="I657" i="16"/>
  <c r="G657" i="16"/>
  <c r="F657" i="16"/>
  <c r="F656" i="16" s="1"/>
  <c r="F655" i="16" s="1"/>
  <c r="F654" i="16" s="1"/>
  <c r="F653" i="16" s="1"/>
  <c r="F652" i="16" s="1"/>
  <c r="I656" i="16"/>
  <c r="I655" i="16"/>
  <c r="I654" i="16"/>
  <c r="I653" i="16"/>
  <c r="I652" i="16"/>
  <c r="J651" i="16"/>
  <c r="L650" i="16"/>
  <c r="I650" i="16"/>
  <c r="H650" i="16"/>
  <c r="J650" i="16" s="1"/>
  <c r="G650" i="16"/>
  <c r="F650" i="16"/>
  <c r="J649" i="16"/>
  <c r="J648" i="16"/>
  <c r="F648" i="16"/>
  <c r="F647" i="16" s="1"/>
  <c r="F646" i="16" s="1"/>
  <c r="F645" i="16" s="1"/>
  <c r="F644" i="16" s="1"/>
  <c r="F643" i="16" s="1"/>
  <c r="F636" i="16" s="1"/>
  <c r="L647" i="16"/>
  <c r="I647" i="16"/>
  <c r="J647" i="16" s="1"/>
  <c r="H647" i="16"/>
  <c r="H646" i="16" s="1"/>
  <c r="H645" i="16" s="1"/>
  <c r="H644" i="16" s="1"/>
  <c r="H643" i="16" s="1"/>
  <c r="H636" i="16" s="1"/>
  <c r="G647" i="16"/>
  <c r="L646" i="16"/>
  <c r="I646" i="16"/>
  <c r="J646" i="16" s="1"/>
  <c r="G646" i="16"/>
  <c r="L645" i="16"/>
  <c r="I645" i="16"/>
  <c r="J645" i="16" s="1"/>
  <c r="G645" i="16"/>
  <c r="L644" i="16"/>
  <c r="I644" i="16"/>
  <c r="J644" i="16" s="1"/>
  <c r="G644" i="16"/>
  <c r="L643" i="16"/>
  <c r="I643" i="16"/>
  <c r="J643" i="16" s="1"/>
  <c r="G643" i="16"/>
  <c r="J642" i="16"/>
  <c r="L641" i="16"/>
  <c r="L640" i="16" s="1"/>
  <c r="L639" i="16" s="1"/>
  <c r="L638" i="16" s="1"/>
  <c r="L637" i="16" s="1"/>
  <c r="L636" i="16" s="1"/>
  <c r="I641" i="16"/>
  <c r="H641" i="16"/>
  <c r="J641" i="16" s="1"/>
  <c r="G641" i="16"/>
  <c r="G640" i="16" s="1"/>
  <c r="G639" i="16" s="1"/>
  <c r="G638" i="16" s="1"/>
  <c r="G637" i="16" s="1"/>
  <c r="G636" i="16" s="1"/>
  <c r="F641" i="16"/>
  <c r="I640" i="16"/>
  <c r="I639" i="16" s="1"/>
  <c r="H640" i="16"/>
  <c r="F640" i="16"/>
  <c r="H639" i="16"/>
  <c r="F639" i="16"/>
  <c r="H638" i="16"/>
  <c r="F638" i="16"/>
  <c r="H637" i="16"/>
  <c r="F637" i="16"/>
  <c r="J635" i="16"/>
  <c r="L634" i="16"/>
  <c r="I634" i="16"/>
  <c r="J634" i="16" s="1"/>
  <c r="H634" i="16"/>
  <c r="H633" i="16" s="1"/>
  <c r="J633" i="16" s="1"/>
  <c r="G634" i="16"/>
  <c r="F634" i="16"/>
  <c r="L633" i="16"/>
  <c r="I633" i="16"/>
  <c r="G633" i="16"/>
  <c r="F633" i="16"/>
  <c r="J632" i="16"/>
  <c r="L631" i="16"/>
  <c r="I631" i="16"/>
  <c r="J631" i="16" s="1"/>
  <c r="H631" i="16"/>
  <c r="G631" i="16"/>
  <c r="F631" i="16"/>
  <c r="L630" i="16"/>
  <c r="L629" i="16" s="1"/>
  <c r="L626" i="16" s="1"/>
  <c r="J630" i="16"/>
  <c r="I630" i="16"/>
  <c r="I629" i="16"/>
  <c r="J629" i="16" s="1"/>
  <c r="H629" i="16"/>
  <c r="G629" i="16"/>
  <c r="F629" i="16"/>
  <c r="J628" i="16"/>
  <c r="L627" i="16"/>
  <c r="I627" i="16"/>
  <c r="I626" i="16" s="1"/>
  <c r="H627" i="16"/>
  <c r="H626" i="16" s="1"/>
  <c r="G627" i="16"/>
  <c r="F627" i="16"/>
  <c r="G626" i="16"/>
  <c r="F626" i="16"/>
  <c r="J625" i="16"/>
  <c r="L624" i="16"/>
  <c r="I624" i="16"/>
  <c r="J624" i="16" s="1"/>
  <c r="H624" i="16"/>
  <c r="G624" i="16"/>
  <c r="F624" i="16"/>
  <c r="L623" i="16"/>
  <c r="L622" i="16" s="1"/>
  <c r="I623" i="16"/>
  <c r="G676" i="29" s="1"/>
  <c r="G675" i="29" s="1"/>
  <c r="G672" i="29" s="1"/>
  <c r="H622" i="16"/>
  <c r="H619" i="16" s="1"/>
  <c r="G622" i="16"/>
  <c r="F622" i="16"/>
  <c r="J621" i="16"/>
  <c r="L620" i="16"/>
  <c r="I620" i="16"/>
  <c r="J620" i="16" s="1"/>
  <c r="H620" i="16"/>
  <c r="G620" i="16"/>
  <c r="G619" i="16" s="1"/>
  <c r="G618" i="16" s="1"/>
  <c r="G617" i="16" s="1"/>
  <c r="G616" i="16" s="1"/>
  <c r="F620" i="16"/>
  <c r="F619" i="16" s="1"/>
  <c r="F618" i="16" s="1"/>
  <c r="F617" i="16" s="1"/>
  <c r="F616" i="16" s="1"/>
  <c r="J615" i="16"/>
  <c r="L614" i="16"/>
  <c r="I614" i="16"/>
  <c r="I613" i="16" s="1"/>
  <c r="I612" i="16" s="1"/>
  <c r="H614" i="16"/>
  <c r="J614" i="16" s="1"/>
  <c r="G614" i="16"/>
  <c r="F614" i="16"/>
  <c r="L613" i="16"/>
  <c r="L612" i="16" s="1"/>
  <c r="G613" i="16"/>
  <c r="G612" i="16" s="1"/>
  <c r="F613" i="16"/>
  <c r="F612" i="16"/>
  <c r="J611" i="16"/>
  <c r="L610" i="16"/>
  <c r="I610" i="16"/>
  <c r="H610" i="16"/>
  <c r="G610" i="16"/>
  <c r="G605" i="16" s="1"/>
  <c r="G604" i="16" s="1"/>
  <c r="F610" i="16"/>
  <c r="J609" i="16"/>
  <c r="L608" i="16"/>
  <c r="J608" i="16"/>
  <c r="I608" i="16"/>
  <c r="H608" i="16"/>
  <c r="G608" i="16"/>
  <c r="F608" i="16"/>
  <c r="J607" i="16"/>
  <c r="L606" i="16"/>
  <c r="I606" i="16"/>
  <c r="J606" i="16" s="1"/>
  <c r="H606" i="16"/>
  <c r="G606" i="16"/>
  <c r="F606" i="16"/>
  <c r="L605" i="16"/>
  <c r="H605" i="16"/>
  <c r="H604" i="16" s="1"/>
  <c r="L604" i="16"/>
  <c r="J603" i="16"/>
  <c r="L602" i="16"/>
  <c r="L601" i="16" s="1"/>
  <c r="L600" i="16" s="1"/>
  <c r="L599" i="16" s="1"/>
  <c r="L598" i="16" s="1"/>
  <c r="L597" i="16" s="1"/>
  <c r="J602" i="16"/>
  <c r="I602" i="16"/>
  <c r="H602" i="16"/>
  <c r="G602" i="16"/>
  <c r="G601" i="16" s="1"/>
  <c r="G600" i="16" s="1"/>
  <c r="G599" i="16" s="1"/>
  <c r="F602" i="16"/>
  <c r="F601" i="16" s="1"/>
  <c r="F600" i="16" s="1"/>
  <c r="F599" i="16" s="1"/>
  <c r="I601" i="16"/>
  <c r="I600" i="16" s="1"/>
  <c r="H601" i="16"/>
  <c r="J601" i="16" s="1"/>
  <c r="J596" i="16"/>
  <c r="L595" i="16"/>
  <c r="L594" i="16" s="1"/>
  <c r="I595" i="16"/>
  <c r="J595" i="16" s="1"/>
  <c r="H595" i="16"/>
  <c r="H594" i="16" s="1"/>
  <c r="G595" i="16"/>
  <c r="G594" i="16" s="1"/>
  <c r="F595" i="16"/>
  <c r="I594" i="16"/>
  <c r="J594" i="16" s="1"/>
  <c r="F594" i="16"/>
  <c r="J593" i="16"/>
  <c r="L592" i="16"/>
  <c r="I592" i="16"/>
  <c r="I591" i="16" s="1"/>
  <c r="H592" i="16"/>
  <c r="J592" i="16" s="1"/>
  <c r="G592" i="16"/>
  <c r="F592" i="16"/>
  <c r="L591" i="16"/>
  <c r="G591" i="16"/>
  <c r="F591" i="16"/>
  <c r="J590" i="16"/>
  <c r="L589" i="16"/>
  <c r="I589" i="16"/>
  <c r="I588" i="16" s="1"/>
  <c r="J588" i="16" s="1"/>
  <c r="H589" i="16"/>
  <c r="G589" i="16"/>
  <c r="F589" i="16"/>
  <c r="F588" i="16" s="1"/>
  <c r="L588" i="16"/>
  <c r="H588" i="16"/>
  <c r="G588" i="16"/>
  <c r="J587" i="16"/>
  <c r="L586" i="16"/>
  <c r="L585" i="16" s="1"/>
  <c r="J586" i="16"/>
  <c r="I586" i="16"/>
  <c r="H586" i="16"/>
  <c r="G586" i="16"/>
  <c r="G585" i="16" s="1"/>
  <c r="F586" i="16"/>
  <c r="F585" i="16" s="1"/>
  <c r="I585" i="16"/>
  <c r="H585" i="16"/>
  <c r="J585" i="16" s="1"/>
  <c r="J584" i="16"/>
  <c r="L583" i="16"/>
  <c r="L582" i="16" s="1"/>
  <c r="L581" i="16" s="1"/>
  <c r="I583" i="16"/>
  <c r="J583" i="16" s="1"/>
  <c r="H583" i="16"/>
  <c r="H582" i="16" s="1"/>
  <c r="H581" i="16" s="1"/>
  <c r="G583" i="16"/>
  <c r="G582" i="16" s="1"/>
  <c r="G581" i="16" s="1"/>
  <c r="F583" i="16"/>
  <c r="I582" i="16"/>
  <c r="I581" i="16" s="1"/>
  <c r="F582" i="16"/>
  <c r="F581" i="16" s="1"/>
  <c r="J580" i="16"/>
  <c r="L579" i="16"/>
  <c r="L578" i="16" s="1"/>
  <c r="L577" i="16" s="1"/>
  <c r="L576" i="16" s="1"/>
  <c r="L575" i="16" s="1"/>
  <c r="L574" i="16" s="1"/>
  <c r="J579" i="16"/>
  <c r="I579" i="16"/>
  <c r="H579" i="16"/>
  <c r="G579" i="16"/>
  <c r="G578" i="16" s="1"/>
  <c r="G577" i="16" s="1"/>
  <c r="G576" i="16" s="1"/>
  <c r="G575" i="16" s="1"/>
  <c r="G574" i="16" s="1"/>
  <c r="F579" i="16"/>
  <c r="F578" i="16" s="1"/>
  <c r="F577" i="16" s="1"/>
  <c r="I578" i="16"/>
  <c r="I577" i="16" s="1"/>
  <c r="H578" i="16"/>
  <c r="J578" i="16" s="1"/>
  <c r="J573" i="16"/>
  <c r="G573" i="16"/>
  <c r="G572" i="16" s="1"/>
  <c r="G571" i="16" s="1"/>
  <c r="G570" i="16" s="1"/>
  <c r="L572" i="16"/>
  <c r="I572" i="16"/>
  <c r="I571" i="16" s="1"/>
  <c r="H572" i="16"/>
  <c r="J572" i="16" s="1"/>
  <c r="F572" i="16"/>
  <c r="L571" i="16"/>
  <c r="L570" i="16" s="1"/>
  <c r="F571" i="16"/>
  <c r="F570" i="16" s="1"/>
  <c r="J569" i="16"/>
  <c r="F569" i="16"/>
  <c r="F568" i="16" s="1"/>
  <c r="F567" i="16" s="1"/>
  <c r="F566" i="16" s="1"/>
  <c r="L568" i="16"/>
  <c r="I568" i="16"/>
  <c r="I567" i="16" s="1"/>
  <c r="H568" i="16"/>
  <c r="J568" i="16" s="1"/>
  <c r="G568" i="16"/>
  <c r="L567" i="16"/>
  <c r="L566" i="16" s="1"/>
  <c r="G567" i="16"/>
  <c r="G566" i="16" s="1"/>
  <c r="J565" i="16"/>
  <c r="G565" i="16"/>
  <c r="G564" i="16" s="1"/>
  <c r="G563" i="16" s="1"/>
  <c r="L564" i="16"/>
  <c r="I564" i="16"/>
  <c r="I563" i="16" s="1"/>
  <c r="H564" i="16"/>
  <c r="J564" i="16" s="1"/>
  <c r="F564" i="16"/>
  <c r="L563" i="16"/>
  <c r="F563" i="16"/>
  <c r="J562" i="16"/>
  <c r="L561" i="16"/>
  <c r="I561" i="16"/>
  <c r="I560" i="16" s="1"/>
  <c r="J560" i="16" s="1"/>
  <c r="H561" i="16"/>
  <c r="G561" i="16"/>
  <c r="F561" i="16"/>
  <c r="F560" i="16" s="1"/>
  <c r="L560" i="16"/>
  <c r="H560" i="16"/>
  <c r="G560" i="16"/>
  <c r="J559" i="16"/>
  <c r="L558" i="16"/>
  <c r="L557" i="16" s="1"/>
  <c r="J558" i="16"/>
  <c r="I558" i="16"/>
  <c r="H558" i="16"/>
  <c r="G558" i="16"/>
  <c r="G557" i="16" s="1"/>
  <c r="F558" i="16"/>
  <c r="F557" i="16" s="1"/>
  <c r="I557" i="16"/>
  <c r="H557" i="16"/>
  <c r="J557" i="16" s="1"/>
  <c r="J556" i="16"/>
  <c r="L555" i="16"/>
  <c r="L554" i="16" s="1"/>
  <c r="I555" i="16"/>
  <c r="J555" i="16" s="1"/>
  <c r="H555" i="16"/>
  <c r="H554" i="16" s="1"/>
  <c r="G555" i="16"/>
  <c r="G554" i="16" s="1"/>
  <c r="F555" i="16"/>
  <c r="I554" i="16"/>
  <c r="F554" i="16"/>
  <c r="J553" i="16"/>
  <c r="L552" i="16"/>
  <c r="I552" i="16"/>
  <c r="J552" i="16" s="1"/>
  <c r="H552" i="16"/>
  <c r="H551" i="16" s="1"/>
  <c r="G552" i="16"/>
  <c r="F552" i="16"/>
  <c r="L551" i="16"/>
  <c r="G551" i="16"/>
  <c r="F551" i="16"/>
  <c r="F550" i="16" s="1"/>
  <c r="J549" i="16"/>
  <c r="L548" i="16"/>
  <c r="L547" i="16" s="1"/>
  <c r="I548" i="16"/>
  <c r="J548" i="16" s="1"/>
  <c r="H548" i="16"/>
  <c r="H547" i="16" s="1"/>
  <c r="G548" i="16"/>
  <c r="G547" i="16" s="1"/>
  <c r="F548" i="16"/>
  <c r="I547" i="16"/>
  <c r="F547" i="16"/>
  <c r="J546" i="16"/>
  <c r="L545" i="16"/>
  <c r="I545" i="16"/>
  <c r="I544" i="16" s="1"/>
  <c r="H545" i="16"/>
  <c r="J545" i="16" s="1"/>
  <c r="G545" i="16"/>
  <c r="F545" i="16"/>
  <c r="L544" i="16"/>
  <c r="G544" i="16"/>
  <c r="F544" i="16"/>
  <c r="J543" i="16"/>
  <c r="L542" i="16"/>
  <c r="I542" i="16"/>
  <c r="I541" i="16" s="1"/>
  <c r="J541" i="16" s="1"/>
  <c r="H542" i="16"/>
  <c r="G542" i="16"/>
  <c r="F542" i="16"/>
  <c r="F541" i="16" s="1"/>
  <c r="L541" i="16"/>
  <c r="H541" i="16"/>
  <c r="G541" i="16"/>
  <c r="J540" i="16"/>
  <c r="L539" i="16"/>
  <c r="L538" i="16" s="1"/>
  <c r="L537" i="16" s="1"/>
  <c r="J539" i="16"/>
  <c r="I539" i="16"/>
  <c r="H539" i="16"/>
  <c r="G539" i="16"/>
  <c r="G538" i="16" s="1"/>
  <c r="G537" i="16" s="1"/>
  <c r="F539" i="16"/>
  <c r="F538" i="16" s="1"/>
  <c r="I538" i="16"/>
  <c r="H538" i="16"/>
  <c r="J538" i="16" s="1"/>
  <c r="J533" i="16"/>
  <c r="L532" i="16"/>
  <c r="L531" i="16" s="1"/>
  <c r="L530" i="16" s="1"/>
  <c r="I532" i="16"/>
  <c r="J532" i="16" s="1"/>
  <c r="H532" i="16"/>
  <c r="H531" i="16" s="1"/>
  <c r="H530" i="16" s="1"/>
  <c r="G532" i="16"/>
  <c r="G531" i="16" s="1"/>
  <c r="G530" i="16" s="1"/>
  <c r="F532" i="16"/>
  <c r="I531" i="16"/>
  <c r="I530" i="16" s="1"/>
  <c r="F531" i="16"/>
  <c r="F530" i="16" s="1"/>
  <c r="J529" i="16"/>
  <c r="L528" i="16"/>
  <c r="L527" i="16" s="1"/>
  <c r="J528" i="16"/>
  <c r="I528" i="16"/>
  <c r="H528" i="16"/>
  <c r="G528" i="16"/>
  <c r="G527" i="16" s="1"/>
  <c r="F528" i="16"/>
  <c r="F527" i="16" s="1"/>
  <c r="I527" i="16"/>
  <c r="H527" i="16"/>
  <c r="J527" i="16" s="1"/>
  <c r="J526" i="16"/>
  <c r="L525" i="16"/>
  <c r="L524" i="16" s="1"/>
  <c r="I525" i="16"/>
  <c r="J525" i="16" s="1"/>
  <c r="H525" i="16"/>
  <c r="H524" i="16" s="1"/>
  <c r="G525" i="16"/>
  <c r="G524" i="16" s="1"/>
  <c r="F525" i="16"/>
  <c r="I524" i="16"/>
  <c r="F524" i="16"/>
  <c r="J523" i="16"/>
  <c r="L522" i="16"/>
  <c r="I522" i="16"/>
  <c r="I521" i="16" s="1"/>
  <c r="H522" i="16"/>
  <c r="J522" i="16" s="1"/>
  <c r="G522" i="16"/>
  <c r="F522" i="16"/>
  <c r="L521" i="16"/>
  <c r="G521" i="16"/>
  <c r="F521" i="16"/>
  <c r="J520" i="16"/>
  <c r="L519" i="16"/>
  <c r="I519" i="16"/>
  <c r="J519" i="16" s="1"/>
  <c r="H519" i="16"/>
  <c r="G519" i="16"/>
  <c r="F519" i="16"/>
  <c r="F518" i="16" s="1"/>
  <c r="L518" i="16"/>
  <c r="I518" i="16"/>
  <c r="J518" i="16" s="1"/>
  <c r="H518" i="16"/>
  <c r="G518" i="16"/>
  <c r="J517" i="16"/>
  <c r="L516" i="16"/>
  <c r="L515" i="16" s="1"/>
  <c r="I516" i="16"/>
  <c r="H516" i="16"/>
  <c r="J516" i="16" s="1"/>
  <c r="G516" i="16"/>
  <c r="G515" i="16" s="1"/>
  <c r="F516" i="16"/>
  <c r="I515" i="16"/>
  <c r="J515" i="16" s="1"/>
  <c r="H515" i="16"/>
  <c r="F515" i="16"/>
  <c r="J514" i="16"/>
  <c r="L513" i="16"/>
  <c r="I513" i="16"/>
  <c r="J513" i="16" s="1"/>
  <c r="H513" i="16"/>
  <c r="H512" i="16" s="1"/>
  <c r="G513" i="16"/>
  <c r="F513" i="16"/>
  <c r="L512" i="16"/>
  <c r="G512" i="16"/>
  <c r="F512" i="16"/>
  <c r="J511" i="16"/>
  <c r="L510" i="16"/>
  <c r="I510" i="16"/>
  <c r="I509" i="16" s="1"/>
  <c r="J509" i="16" s="1"/>
  <c r="H510" i="16"/>
  <c r="G510" i="16"/>
  <c r="F510" i="16"/>
  <c r="L509" i="16"/>
  <c r="H509" i="16"/>
  <c r="G509" i="16"/>
  <c r="F509" i="16"/>
  <c r="F508" i="16" s="1"/>
  <c r="G508" i="16"/>
  <c r="J507" i="16"/>
  <c r="L506" i="16"/>
  <c r="L505" i="16" s="1"/>
  <c r="J506" i="16"/>
  <c r="I506" i="16"/>
  <c r="H506" i="16"/>
  <c r="G506" i="16"/>
  <c r="G505" i="16" s="1"/>
  <c r="F506" i="16"/>
  <c r="F505" i="16" s="1"/>
  <c r="I505" i="16"/>
  <c r="J505" i="16" s="1"/>
  <c r="H505" i="16"/>
  <c r="L504" i="16"/>
  <c r="L503" i="16" s="1"/>
  <c r="L502" i="16" s="1"/>
  <c r="L501" i="16" s="1"/>
  <c r="J504" i="16"/>
  <c r="I504" i="16"/>
  <c r="I503" i="16"/>
  <c r="I502" i="16" s="1"/>
  <c r="H503" i="16"/>
  <c r="G503" i="16"/>
  <c r="F503" i="16"/>
  <c r="F502" i="16" s="1"/>
  <c r="F501" i="16" s="1"/>
  <c r="F500" i="16" s="1"/>
  <c r="F499" i="16" s="1"/>
  <c r="F498" i="16" s="1"/>
  <c r="H502" i="16"/>
  <c r="H501" i="16" s="1"/>
  <c r="G502" i="16"/>
  <c r="G501" i="16" s="1"/>
  <c r="G500" i="16" s="1"/>
  <c r="G499" i="16" s="1"/>
  <c r="G498" i="16" s="1"/>
  <c r="J495" i="16"/>
  <c r="L494" i="16"/>
  <c r="J494" i="16"/>
  <c r="I494" i="16"/>
  <c r="H494" i="16"/>
  <c r="G494" i="16"/>
  <c r="F494" i="16"/>
  <c r="J493" i="16"/>
  <c r="L492" i="16"/>
  <c r="I492" i="16"/>
  <c r="J492" i="16" s="1"/>
  <c r="H492" i="16"/>
  <c r="G492" i="16"/>
  <c r="F492" i="16"/>
  <c r="F491" i="16" s="1"/>
  <c r="F490" i="16" s="1"/>
  <c r="F489" i="16" s="1"/>
  <c r="J491" i="16"/>
  <c r="L490" i="16"/>
  <c r="I490" i="16"/>
  <c r="I489" i="16" s="1"/>
  <c r="J489" i="16" s="1"/>
  <c r="H490" i="16"/>
  <c r="G490" i="16"/>
  <c r="L489" i="16"/>
  <c r="H489" i="16"/>
  <c r="G489" i="16"/>
  <c r="J488" i="16"/>
  <c r="L487" i="16"/>
  <c r="L486" i="16" s="1"/>
  <c r="L485" i="16" s="1"/>
  <c r="J487" i="16"/>
  <c r="I487" i="16"/>
  <c r="H487" i="16"/>
  <c r="G487" i="16"/>
  <c r="G486" i="16" s="1"/>
  <c r="G485" i="16" s="1"/>
  <c r="F487" i="16"/>
  <c r="F486" i="16" s="1"/>
  <c r="F485" i="16" s="1"/>
  <c r="I486" i="16"/>
  <c r="I485" i="16" s="1"/>
  <c r="H486" i="16"/>
  <c r="H485" i="16" s="1"/>
  <c r="J484" i="16"/>
  <c r="L483" i="16"/>
  <c r="I483" i="16"/>
  <c r="I482" i="16" s="1"/>
  <c r="H483" i="16"/>
  <c r="G483" i="16"/>
  <c r="F483" i="16"/>
  <c r="F482" i="16" s="1"/>
  <c r="F481" i="16" s="1"/>
  <c r="F480" i="16" s="1"/>
  <c r="F479" i="16" s="1"/>
  <c r="L482" i="16"/>
  <c r="L481" i="16" s="1"/>
  <c r="L480" i="16" s="1"/>
  <c r="L479" i="16" s="1"/>
  <c r="H482" i="16"/>
  <c r="H481" i="16" s="1"/>
  <c r="H480" i="16" s="1"/>
  <c r="H479" i="16" s="1"/>
  <c r="G482" i="16"/>
  <c r="G481" i="16" s="1"/>
  <c r="G480" i="16" s="1"/>
  <c r="G479" i="16" s="1"/>
  <c r="J478" i="16"/>
  <c r="L477" i="16"/>
  <c r="I477" i="16"/>
  <c r="I476" i="16" s="1"/>
  <c r="H477" i="16"/>
  <c r="H476" i="16" s="1"/>
  <c r="H475" i="16" s="1"/>
  <c r="H474" i="16" s="1"/>
  <c r="G477" i="16"/>
  <c r="F477" i="16"/>
  <c r="L476" i="16"/>
  <c r="L475" i="16" s="1"/>
  <c r="L474" i="16" s="1"/>
  <c r="G476" i="16"/>
  <c r="G475" i="16" s="1"/>
  <c r="G474" i="16" s="1"/>
  <c r="F476" i="16"/>
  <c r="F475" i="16" s="1"/>
  <c r="F474" i="16" s="1"/>
  <c r="J473" i="16"/>
  <c r="L472" i="16"/>
  <c r="I472" i="16"/>
  <c r="I471" i="16" s="1"/>
  <c r="J471" i="16" s="1"/>
  <c r="H472" i="16"/>
  <c r="G472" i="16"/>
  <c r="F472" i="16"/>
  <c r="F471" i="16" s="1"/>
  <c r="L471" i="16"/>
  <c r="H471" i="16"/>
  <c r="G471" i="16"/>
  <c r="J470" i="16"/>
  <c r="L469" i="16"/>
  <c r="J469" i="16"/>
  <c r="I469" i="16"/>
  <c r="H469" i="16"/>
  <c r="G469" i="16"/>
  <c r="F469" i="16"/>
  <c r="F464" i="16" s="1"/>
  <c r="J468" i="16"/>
  <c r="L467" i="16"/>
  <c r="I467" i="16"/>
  <c r="J467" i="16" s="1"/>
  <c r="H467" i="16"/>
  <c r="G467" i="16"/>
  <c r="F467" i="16"/>
  <c r="J466" i="16"/>
  <c r="H466" i="16"/>
  <c r="L465" i="16"/>
  <c r="I465" i="16"/>
  <c r="I464" i="16" s="1"/>
  <c r="J464" i="16" s="1"/>
  <c r="H465" i="16"/>
  <c r="G465" i="16"/>
  <c r="F465" i="16"/>
  <c r="L464" i="16"/>
  <c r="H464" i="16"/>
  <c r="G464" i="16"/>
  <c r="H463" i="16"/>
  <c r="I712" i="16" s="1"/>
  <c r="L462" i="16"/>
  <c r="L461" i="16" s="1"/>
  <c r="L460" i="16" s="1"/>
  <c r="L459" i="16" s="1"/>
  <c r="L458" i="16" s="1"/>
  <c r="L457" i="16" s="1"/>
  <c r="I462" i="16"/>
  <c r="J462" i="16" s="1"/>
  <c r="H462" i="16"/>
  <c r="H461" i="16" s="1"/>
  <c r="H460" i="16" s="1"/>
  <c r="H459" i="16" s="1"/>
  <c r="H458" i="16" s="1"/>
  <c r="H457" i="16" s="1"/>
  <c r="G462" i="16"/>
  <c r="G461" i="16" s="1"/>
  <c r="G460" i="16" s="1"/>
  <c r="G459" i="16" s="1"/>
  <c r="G458" i="16" s="1"/>
  <c r="G457" i="16" s="1"/>
  <c r="F462" i="16"/>
  <c r="I461" i="16"/>
  <c r="F461" i="16"/>
  <c r="F460" i="16" s="1"/>
  <c r="F459" i="16" s="1"/>
  <c r="F458" i="16" s="1"/>
  <c r="F457" i="16" s="1"/>
  <c r="J456" i="16"/>
  <c r="L455" i="16"/>
  <c r="I455" i="16"/>
  <c r="J455" i="16" s="1"/>
  <c r="H455" i="16"/>
  <c r="H454" i="16" s="1"/>
  <c r="G455" i="16"/>
  <c r="F455" i="16"/>
  <c r="L454" i="16"/>
  <c r="I454" i="16"/>
  <c r="G454" i="16"/>
  <c r="F454" i="16"/>
  <c r="F453" i="16" s="1"/>
  <c r="F452" i="16" s="1"/>
  <c r="F451" i="16" s="1"/>
  <c r="F450" i="16" s="1"/>
  <c r="L453" i="16"/>
  <c r="I453" i="16"/>
  <c r="G453" i="16"/>
  <c r="L452" i="16"/>
  <c r="I452" i="16"/>
  <c r="G452" i="16"/>
  <c r="L451" i="16"/>
  <c r="I451" i="16"/>
  <c r="G451" i="16"/>
  <c r="L450" i="16"/>
  <c r="L698" i="16" s="1"/>
  <c r="I450" i="16"/>
  <c r="I698" i="16" s="1"/>
  <c r="G450" i="16"/>
  <c r="G698" i="16" s="1"/>
  <c r="G564" i="17" s="1"/>
  <c r="J449" i="16"/>
  <c r="L448" i="16"/>
  <c r="I448" i="16"/>
  <c r="I447" i="16" s="1"/>
  <c r="H448" i="16"/>
  <c r="G448" i="16"/>
  <c r="F448" i="16"/>
  <c r="F447" i="16" s="1"/>
  <c r="F446" i="16" s="1"/>
  <c r="F445" i="16" s="1"/>
  <c r="L447" i="16"/>
  <c r="L446" i="16" s="1"/>
  <c r="L445" i="16" s="1"/>
  <c r="H447" i="16"/>
  <c r="H446" i="16" s="1"/>
  <c r="H445" i="16" s="1"/>
  <c r="G447" i="16"/>
  <c r="G446" i="16" s="1"/>
  <c r="G445" i="16" s="1"/>
  <c r="J444" i="16"/>
  <c r="L443" i="16"/>
  <c r="L442" i="16" s="1"/>
  <c r="J443" i="16"/>
  <c r="I443" i="16"/>
  <c r="H443" i="16"/>
  <c r="G443" i="16"/>
  <c r="G442" i="16" s="1"/>
  <c r="F443" i="16"/>
  <c r="F442" i="16" s="1"/>
  <c r="I442" i="16"/>
  <c r="J442" i="16" s="1"/>
  <c r="H442" i="16"/>
  <c r="J441" i="16"/>
  <c r="L440" i="16"/>
  <c r="L439" i="16" s="1"/>
  <c r="I440" i="16"/>
  <c r="H440" i="16"/>
  <c r="J440" i="16" s="1"/>
  <c r="G440" i="16"/>
  <c r="G439" i="16" s="1"/>
  <c r="F440" i="16"/>
  <c r="I439" i="16"/>
  <c r="F439" i="16"/>
  <c r="J438" i="16"/>
  <c r="L437" i="16"/>
  <c r="I437" i="16"/>
  <c r="I436" i="16" s="1"/>
  <c r="H437" i="16"/>
  <c r="H436" i="16" s="1"/>
  <c r="G437" i="16"/>
  <c r="F437" i="16"/>
  <c r="L436" i="16"/>
  <c r="G436" i="16"/>
  <c r="G435" i="16" s="1"/>
  <c r="F436" i="16"/>
  <c r="J434" i="16"/>
  <c r="L433" i="16"/>
  <c r="I433" i="16"/>
  <c r="H433" i="16"/>
  <c r="J433" i="16" s="1"/>
  <c r="G433" i="16"/>
  <c r="F433" i="16"/>
  <c r="L432" i="16"/>
  <c r="I432" i="16"/>
  <c r="J432" i="16" s="1"/>
  <c r="H432" i="16"/>
  <c r="L431" i="16"/>
  <c r="I431" i="16"/>
  <c r="H431" i="16"/>
  <c r="G431" i="16"/>
  <c r="F431" i="16"/>
  <c r="F430" i="16" s="1"/>
  <c r="F429" i="16" s="1"/>
  <c r="L430" i="16"/>
  <c r="L429" i="16" s="1"/>
  <c r="H430" i="16"/>
  <c r="H429" i="16" s="1"/>
  <c r="G430" i="16"/>
  <c r="G429" i="16" s="1"/>
  <c r="G428" i="16" s="1"/>
  <c r="G427" i="16" s="1"/>
  <c r="G426" i="16" s="1"/>
  <c r="G697" i="16" s="1"/>
  <c r="G538" i="17" s="1"/>
  <c r="J425" i="16"/>
  <c r="L424" i="16"/>
  <c r="L423" i="16" s="1"/>
  <c r="J424" i="16"/>
  <c r="I424" i="16"/>
  <c r="H424" i="16"/>
  <c r="G424" i="16"/>
  <c r="G423" i="16" s="1"/>
  <c r="F424" i="16"/>
  <c r="F423" i="16" s="1"/>
  <c r="I423" i="16"/>
  <c r="J423" i="16" s="1"/>
  <c r="H423" i="16"/>
  <c r="J422" i="16"/>
  <c r="L421" i="16"/>
  <c r="L420" i="16" s="1"/>
  <c r="I421" i="16"/>
  <c r="H421" i="16"/>
  <c r="J421" i="16" s="1"/>
  <c r="G421" i="16"/>
  <c r="G420" i="16" s="1"/>
  <c r="F421" i="16"/>
  <c r="I420" i="16"/>
  <c r="F420" i="16"/>
  <c r="J419" i="16"/>
  <c r="J418" i="16"/>
  <c r="L417" i="16"/>
  <c r="I417" i="16"/>
  <c r="J417" i="16" s="1"/>
  <c r="H417" i="16"/>
  <c r="G417" i="16"/>
  <c r="F417" i="16"/>
  <c r="J416" i="16"/>
  <c r="L415" i="16"/>
  <c r="I415" i="16"/>
  <c r="H415" i="16"/>
  <c r="H414" i="16" s="1"/>
  <c r="G415" i="16"/>
  <c r="F415" i="16"/>
  <c r="L414" i="16"/>
  <c r="G414" i="16"/>
  <c r="F414" i="16"/>
  <c r="J413" i="16"/>
  <c r="L412" i="16"/>
  <c r="I412" i="16"/>
  <c r="H412" i="16"/>
  <c r="G412" i="16"/>
  <c r="F412" i="16"/>
  <c r="F411" i="16" s="1"/>
  <c r="F410" i="16" s="1"/>
  <c r="F409" i="16" s="1"/>
  <c r="F408" i="16" s="1"/>
  <c r="L411" i="16"/>
  <c r="H411" i="16"/>
  <c r="G411" i="16"/>
  <c r="J407" i="16"/>
  <c r="L406" i="16"/>
  <c r="L405" i="16" s="1"/>
  <c r="L404" i="16" s="1"/>
  <c r="I406" i="16"/>
  <c r="J406" i="16" s="1"/>
  <c r="H406" i="16"/>
  <c r="G406" i="16"/>
  <c r="G405" i="16" s="1"/>
  <c r="G404" i="16" s="1"/>
  <c r="F406" i="16"/>
  <c r="F405" i="16" s="1"/>
  <c r="F404" i="16" s="1"/>
  <c r="I405" i="16"/>
  <c r="J405" i="16" s="1"/>
  <c r="H405" i="16"/>
  <c r="H404" i="16" s="1"/>
  <c r="J403" i="16"/>
  <c r="H403" i="16"/>
  <c r="G403" i="16"/>
  <c r="G402" i="16" s="1"/>
  <c r="G401" i="16" s="1"/>
  <c r="G400" i="16" s="1"/>
  <c r="G399" i="16" s="1"/>
  <c r="L402" i="16"/>
  <c r="L401" i="16" s="1"/>
  <c r="L400" i="16" s="1"/>
  <c r="L399" i="16" s="1"/>
  <c r="I402" i="16"/>
  <c r="H402" i="16"/>
  <c r="J402" i="16" s="1"/>
  <c r="F402" i="16"/>
  <c r="I401" i="16"/>
  <c r="I400" i="16" s="1"/>
  <c r="F401" i="16"/>
  <c r="F400" i="16" s="1"/>
  <c r="F399" i="16" s="1"/>
  <c r="J398" i="16"/>
  <c r="L397" i="16"/>
  <c r="I397" i="16"/>
  <c r="J397" i="16" s="1"/>
  <c r="H397" i="16"/>
  <c r="H396" i="16" s="1"/>
  <c r="H395" i="16" s="1"/>
  <c r="H394" i="16" s="1"/>
  <c r="G397" i="16"/>
  <c r="F397" i="16"/>
  <c r="L396" i="16"/>
  <c r="L395" i="16" s="1"/>
  <c r="L394" i="16" s="1"/>
  <c r="G396" i="16"/>
  <c r="G395" i="16" s="1"/>
  <c r="G394" i="16" s="1"/>
  <c r="G393" i="16" s="1"/>
  <c r="F396" i="16"/>
  <c r="F395" i="16" s="1"/>
  <c r="F394" i="16" s="1"/>
  <c r="F393" i="16" s="1"/>
  <c r="J392" i="16"/>
  <c r="J703" i="16" s="1"/>
  <c r="L391" i="16"/>
  <c r="L390" i="16" s="1"/>
  <c r="L389" i="16" s="1"/>
  <c r="L388" i="16" s="1"/>
  <c r="I391" i="16"/>
  <c r="H391" i="16"/>
  <c r="J391" i="16" s="1"/>
  <c r="G391" i="16"/>
  <c r="G390" i="16" s="1"/>
  <c r="G389" i="16" s="1"/>
  <c r="G388" i="16" s="1"/>
  <c r="F391" i="16"/>
  <c r="I390" i="16"/>
  <c r="I389" i="16" s="1"/>
  <c r="F390" i="16"/>
  <c r="F389" i="16" s="1"/>
  <c r="F388" i="16" s="1"/>
  <c r="F387" i="16" s="1"/>
  <c r="J386" i="16"/>
  <c r="L385" i="16"/>
  <c r="L384" i="16" s="1"/>
  <c r="L383" i="16" s="1"/>
  <c r="L382" i="16" s="1"/>
  <c r="L381" i="16" s="1"/>
  <c r="I385" i="16"/>
  <c r="J385" i="16" s="1"/>
  <c r="H385" i="16"/>
  <c r="G385" i="16"/>
  <c r="G384" i="16" s="1"/>
  <c r="G383" i="16" s="1"/>
  <c r="G382" i="16" s="1"/>
  <c r="G381" i="16" s="1"/>
  <c r="F385" i="16"/>
  <c r="F384" i="16" s="1"/>
  <c r="F383" i="16" s="1"/>
  <c r="F382" i="16" s="1"/>
  <c r="F381" i="16" s="1"/>
  <c r="I384" i="16"/>
  <c r="J384" i="16" s="1"/>
  <c r="H384" i="16"/>
  <c r="H383" i="16" s="1"/>
  <c r="H382" i="16" s="1"/>
  <c r="H381" i="16" s="1"/>
  <c r="J380" i="16"/>
  <c r="J379" i="16"/>
  <c r="L378" i="16"/>
  <c r="L377" i="16" s="1"/>
  <c r="L376" i="16" s="1"/>
  <c r="I378" i="16"/>
  <c r="J378" i="16" s="1"/>
  <c r="H378" i="16"/>
  <c r="G378" i="16"/>
  <c r="G377" i="16" s="1"/>
  <c r="G376" i="16" s="1"/>
  <c r="F378" i="16"/>
  <c r="F377" i="16" s="1"/>
  <c r="F376" i="16" s="1"/>
  <c r="I377" i="16"/>
  <c r="J377" i="16" s="1"/>
  <c r="H377" i="16"/>
  <c r="H376" i="16" s="1"/>
  <c r="J375" i="16"/>
  <c r="L374" i="16"/>
  <c r="J374" i="16"/>
  <c r="I374" i="16"/>
  <c r="I373" i="16" s="1"/>
  <c r="H374" i="16"/>
  <c r="G374" i="16"/>
  <c r="F374" i="16"/>
  <c r="F373" i="16" s="1"/>
  <c r="L373" i="16"/>
  <c r="H373" i="16"/>
  <c r="G373" i="16"/>
  <c r="J372" i="16"/>
  <c r="L371" i="16"/>
  <c r="L370" i="16" s="1"/>
  <c r="I371" i="16"/>
  <c r="J371" i="16" s="1"/>
  <c r="H371" i="16"/>
  <c r="G371" i="16"/>
  <c r="G370" i="16" s="1"/>
  <c r="G359" i="16" s="1"/>
  <c r="G358" i="16" s="1"/>
  <c r="G357" i="16" s="1"/>
  <c r="G356" i="16" s="1"/>
  <c r="G695" i="16" s="1"/>
  <c r="G446" i="17" s="1"/>
  <c r="F371" i="16"/>
  <c r="F370" i="16" s="1"/>
  <c r="I370" i="16"/>
  <c r="J370" i="16" s="1"/>
  <c r="H370" i="16"/>
  <c r="J369" i="16"/>
  <c r="L368" i="16"/>
  <c r="I368" i="16"/>
  <c r="H368" i="16"/>
  <c r="H367" i="16" s="1"/>
  <c r="G368" i="16"/>
  <c r="L367" i="16"/>
  <c r="I367" i="16"/>
  <c r="G367" i="16"/>
  <c r="L366" i="16"/>
  <c r="G386" i="29" s="1"/>
  <c r="G385" i="29" s="1"/>
  <c r="G384" i="29" s="1"/>
  <c r="G383" i="29" s="1"/>
  <c r="J366" i="16"/>
  <c r="G366" i="16"/>
  <c r="L365" i="16"/>
  <c r="I365" i="16"/>
  <c r="J365" i="16" s="1"/>
  <c r="H365" i="16"/>
  <c r="H364" i="16" s="1"/>
  <c r="H363" i="16" s="1"/>
  <c r="G365" i="16"/>
  <c r="F365" i="16"/>
  <c r="L364" i="16"/>
  <c r="L363" i="16" s="1"/>
  <c r="G364" i="16"/>
  <c r="G363" i="16" s="1"/>
  <c r="F364" i="16"/>
  <c r="F363" i="16" s="1"/>
  <c r="L362" i="16"/>
  <c r="L361" i="16" s="1"/>
  <c r="L360" i="16" s="1"/>
  <c r="I362" i="16"/>
  <c r="G376" i="29" s="1"/>
  <c r="G375" i="29" s="1"/>
  <c r="G374" i="29" s="1"/>
  <c r="G373" i="29" s="1"/>
  <c r="G372" i="29" s="1"/>
  <c r="G371" i="29" s="1"/>
  <c r="G370" i="29" s="1"/>
  <c r="G770" i="29" s="1"/>
  <c r="H361" i="16"/>
  <c r="G361" i="16"/>
  <c r="F361" i="16"/>
  <c r="F360" i="16" s="1"/>
  <c r="H360" i="16"/>
  <c r="G360" i="16"/>
  <c r="H359" i="16"/>
  <c r="J355" i="16"/>
  <c r="L354" i="16"/>
  <c r="I354" i="16"/>
  <c r="J354" i="16" s="1"/>
  <c r="H354" i="16"/>
  <c r="G354" i="16"/>
  <c r="F354" i="16"/>
  <c r="F353" i="16" s="1"/>
  <c r="L353" i="16"/>
  <c r="I353" i="16"/>
  <c r="J353" i="16" s="1"/>
  <c r="H353" i="16"/>
  <c r="H352" i="16" s="1"/>
  <c r="G353" i="16"/>
  <c r="L352" i="16"/>
  <c r="I352" i="16"/>
  <c r="G352" i="16"/>
  <c r="J351" i="16"/>
  <c r="L350" i="16"/>
  <c r="L349" i="16" s="1"/>
  <c r="I350" i="16"/>
  <c r="H350" i="16"/>
  <c r="G350" i="16"/>
  <c r="G349" i="16" s="1"/>
  <c r="H349" i="16"/>
  <c r="L348" i="16"/>
  <c r="L347" i="16" s="1"/>
  <c r="L346" i="16" s="1"/>
  <c r="I348" i="16"/>
  <c r="H347" i="16"/>
  <c r="G347" i="16"/>
  <c r="F347" i="16"/>
  <c r="H346" i="16"/>
  <c r="G346" i="16"/>
  <c r="F346" i="16"/>
  <c r="F345" i="16" s="1"/>
  <c r="F344" i="16" s="1"/>
  <c r="F343" i="16" s="1"/>
  <c r="F342" i="16" s="1"/>
  <c r="H345" i="16"/>
  <c r="H344" i="16"/>
  <c r="H343" i="16"/>
  <c r="H342" i="16" s="1"/>
  <c r="J341" i="16"/>
  <c r="L340" i="16"/>
  <c r="I340" i="16"/>
  <c r="J340" i="16" s="1"/>
  <c r="H340" i="16"/>
  <c r="G340" i="16"/>
  <c r="G339" i="16" s="1"/>
  <c r="F340" i="16"/>
  <c r="F339" i="16" s="1"/>
  <c r="L339" i="16"/>
  <c r="I339" i="16"/>
  <c r="J339" i="16" s="1"/>
  <c r="H339" i="16"/>
  <c r="L338" i="16"/>
  <c r="I338" i="16"/>
  <c r="J338" i="16" s="1"/>
  <c r="H338" i="16"/>
  <c r="F338" i="16"/>
  <c r="F337" i="16" s="1"/>
  <c r="L337" i="16"/>
  <c r="H337" i="16"/>
  <c r="J336" i="16"/>
  <c r="L335" i="16"/>
  <c r="L334" i="16" s="1"/>
  <c r="L333" i="16" s="1"/>
  <c r="I335" i="16"/>
  <c r="H335" i="16"/>
  <c r="H334" i="16" s="1"/>
  <c r="G335" i="16"/>
  <c r="G334" i="16" s="1"/>
  <c r="G333" i="16" s="1"/>
  <c r="F335" i="16"/>
  <c r="I334" i="16"/>
  <c r="I333" i="16" s="1"/>
  <c r="F334" i="16"/>
  <c r="F333" i="16"/>
  <c r="J332" i="16"/>
  <c r="L331" i="16"/>
  <c r="I331" i="16"/>
  <c r="J331" i="16" s="1"/>
  <c r="H331" i="16"/>
  <c r="G331" i="16"/>
  <c r="F331" i="16"/>
  <c r="F330" i="16" s="1"/>
  <c r="L330" i="16"/>
  <c r="H330" i="16"/>
  <c r="H329" i="16" s="1"/>
  <c r="G330" i="16"/>
  <c r="G329" i="16" s="1"/>
  <c r="G328" i="16" s="1"/>
  <c r="L329" i="16"/>
  <c r="F329" i="16"/>
  <c r="F328" i="16" s="1"/>
  <c r="L328" i="16"/>
  <c r="L327" i="16"/>
  <c r="L326" i="16" s="1"/>
  <c r="L693" i="16" s="1"/>
  <c r="F327" i="16"/>
  <c r="F326" i="16" s="1"/>
  <c r="J325" i="16"/>
  <c r="L324" i="16"/>
  <c r="J324" i="16"/>
  <c r="I324" i="16"/>
  <c r="H324" i="16"/>
  <c r="G324" i="16"/>
  <c r="F324" i="16"/>
  <c r="F323" i="16" s="1"/>
  <c r="F319" i="16" s="1"/>
  <c r="F318" i="16" s="1"/>
  <c r="F317" i="16" s="1"/>
  <c r="L323" i="16"/>
  <c r="I323" i="16"/>
  <c r="J323" i="16" s="1"/>
  <c r="H323" i="16"/>
  <c r="H319" i="16" s="1"/>
  <c r="H318" i="16" s="1"/>
  <c r="H317" i="16" s="1"/>
  <c r="G323" i="16"/>
  <c r="J322" i="16"/>
  <c r="L321" i="16"/>
  <c r="L320" i="16" s="1"/>
  <c r="L319" i="16" s="1"/>
  <c r="L318" i="16" s="1"/>
  <c r="L317" i="16" s="1"/>
  <c r="I321" i="16"/>
  <c r="H321" i="16"/>
  <c r="J321" i="16" s="1"/>
  <c r="G321" i="16"/>
  <c r="G320" i="16" s="1"/>
  <c r="G319" i="16" s="1"/>
  <c r="G318" i="16" s="1"/>
  <c r="G317" i="16" s="1"/>
  <c r="F321" i="16"/>
  <c r="I320" i="16"/>
  <c r="I319" i="16" s="1"/>
  <c r="H320" i="16"/>
  <c r="F320" i="16"/>
  <c r="J316" i="16"/>
  <c r="L315" i="16"/>
  <c r="J315" i="16"/>
  <c r="I315" i="16"/>
  <c r="H315" i="16"/>
  <c r="G315" i="16"/>
  <c r="F315" i="16"/>
  <c r="F314" i="16" s="1"/>
  <c r="L314" i="16"/>
  <c r="I314" i="16"/>
  <c r="J314" i="16" s="1"/>
  <c r="H314" i="16"/>
  <c r="G314" i="16"/>
  <c r="L313" i="16"/>
  <c r="G323" i="29" s="1"/>
  <c r="G322" i="29" s="1"/>
  <c r="G321" i="29" s="1"/>
  <c r="G314" i="29" s="1"/>
  <c r="G313" i="29" s="1"/>
  <c r="G304" i="29" s="1"/>
  <c r="G794" i="29" s="1"/>
  <c r="J313" i="16"/>
  <c r="I313" i="16"/>
  <c r="I312" i="16"/>
  <c r="I311" i="16" s="1"/>
  <c r="J311" i="16" s="1"/>
  <c r="H312" i="16"/>
  <c r="G312" i="16"/>
  <c r="F312" i="16"/>
  <c r="F311" i="16" s="1"/>
  <c r="H311" i="16"/>
  <c r="G311" i="16"/>
  <c r="J310" i="16"/>
  <c r="L309" i="16"/>
  <c r="L308" i="16" s="1"/>
  <c r="J309" i="16"/>
  <c r="I309" i="16"/>
  <c r="H309" i="16"/>
  <c r="G309" i="16"/>
  <c r="G308" i="16" s="1"/>
  <c r="F309" i="16"/>
  <c r="F308" i="16" s="1"/>
  <c r="I308" i="16"/>
  <c r="J308" i="16" s="1"/>
  <c r="H308" i="16"/>
  <c r="J307" i="16"/>
  <c r="L306" i="16"/>
  <c r="L305" i="16" s="1"/>
  <c r="I306" i="16"/>
  <c r="H306" i="16"/>
  <c r="J306" i="16" s="1"/>
  <c r="G306" i="16"/>
  <c r="G305" i="16" s="1"/>
  <c r="G304" i="16" s="1"/>
  <c r="G303" i="16" s="1"/>
  <c r="F306" i="16"/>
  <c r="I305" i="16"/>
  <c r="F305" i="16"/>
  <c r="L302" i="16"/>
  <c r="L301" i="16" s="1"/>
  <c r="L300" i="16" s="1"/>
  <c r="J302" i="16"/>
  <c r="I302" i="16"/>
  <c r="J301" i="16"/>
  <c r="I301" i="16"/>
  <c r="H301" i="16"/>
  <c r="G301" i="16"/>
  <c r="G300" i="16" s="1"/>
  <c r="F301" i="16"/>
  <c r="F300" i="16" s="1"/>
  <c r="I300" i="16"/>
  <c r="J300" i="16" s="1"/>
  <c r="H300" i="16"/>
  <c r="J299" i="16"/>
  <c r="L298" i="16"/>
  <c r="L297" i="16" s="1"/>
  <c r="L296" i="16" s="1"/>
  <c r="I298" i="16"/>
  <c r="H298" i="16"/>
  <c r="J298" i="16" s="1"/>
  <c r="G298" i="16"/>
  <c r="G297" i="16" s="1"/>
  <c r="G296" i="16" s="1"/>
  <c r="G295" i="16" s="1"/>
  <c r="F298" i="16"/>
  <c r="I297" i="16"/>
  <c r="I296" i="16" s="1"/>
  <c r="F297" i="16"/>
  <c r="F296" i="16" s="1"/>
  <c r="F295" i="16" s="1"/>
  <c r="L293" i="16"/>
  <c r="I293" i="16"/>
  <c r="J293" i="16" s="1"/>
  <c r="L292" i="16"/>
  <c r="H292" i="16"/>
  <c r="H291" i="16" s="1"/>
  <c r="G292" i="16"/>
  <c r="F292" i="16"/>
  <c r="L291" i="16"/>
  <c r="G291" i="16"/>
  <c r="F291" i="16"/>
  <c r="J290" i="16"/>
  <c r="F290" i="16"/>
  <c r="L289" i="16"/>
  <c r="L288" i="16" s="1"/>
  <c r="J289" i="16"/>
  <c r="I289" i="16"/>
  <c r="H289" i="16"/>
  <c r="G289" i="16"/>
  <c r="G288" i="16" s="1"/>
  <c r="F289" i="16"/>
  <c r="F288" i="16" s="1"/>
  <c r="I288" i="16"/>
  <c r="J288" i="16" s="1"/>
  <c r="H288" i="16"/>
  <c r="L287" i="16"/>
  <c r="G291" i="29" s="1"/>
  <c r="G290" i="29" s="1"/>
  <c r="G289" i="29" s="1"/>
  <c r="J287" i="16"/>
  <c r="I287" i="16"/>
  <c r="I286" i="16"/>
  <c r="I285" i="16" s="1"/>
  <c r="H286" i="16"/>
  <c r="G286" i="16"/>
  <c r="F286" i="16"/>
  <c r="F285" i="16" s="1"/>
  <c r="F284" i="16" s="1"/>
  <c r="F283" i="16" s="1"/>
  <c r="H285" i="16"/>
  <c r="H284" i="16" s="1"/>
  <c r="H283" i="16" s="1"/>
  <c r="G285" i="16"/>
  <c r="G284" i="16" s="1"/>
  <c r="G283" i="16" s="1"/>
  <c r="J282" i="16"/>
  <c r="L281" i="16"/>
  <c r="L280" i="16" s="1"/>
  <c r="J281" i="16"/>
  <c r="I281" i="16"/>
  <c r="H281" i="16"/>
  <c r="G281" i="16"/>
  <c r="G280" i="16" s="1"/>
  <c r="F281" i="16"/>
  <c r="F280" i="16" s="1"/>
  <c r="I280" i="16"/>
  <c r="J280" i="16" s="1"/>
  <c r="H280" i="16"/>
  <c r="J279" i="16"/>
  <c r="L278" i="16"/>
  <c r="L277" i="16" s="1"/>
  <c r="I278" i="16"/>
  <c r="H278" i="16"/>
  <c r="J278" i="16" s="1"/>
  <c r="G278" i="16"/>
  <c r="G277" i="16" s="1"/>
  <c r="F278" i="16"/>
  <c r="I277" i="16"/>
  <c r="F277" i="16"/>
  <c r="J276" i="16"/>
  <c r="L275" i="16"/>
  <c r="I275" i="16"/>
  <c r="I274" i="16" s="1"/>
  <c r="H275" i="16"/>
  <c r="H274" i="16" s="1"/>
  <c r="G275" i="16"/>
  <c r="F275" i="16"/>
  <c r="L274" i="16"/>
  <c r="L273" i="16" s="1"/>
  <c r="L272" i="16" s="1"/>
  <c r="G274" i="16"/>
  <c r="F274" i="16"/>
  <c r="F273" i="16" s="1"/>
  <c r="F272" i="16" s="1"/>
  <c r="J270" i="16"/>
  <c r="F270" i="16"/>
  <c r="F269" i="16" s="1"/>
  <c r="F268" i="16" s="1"/>
  <c r="F267" i="16" s="1"/>
  <c r="J269" i="16"/>
  <c r="J268" i="16"/>
  <c r="J267" i="16"/>
  <c r="J266" i="16"/>
  <c r="L265" i="16"/>
  <c r="L264" i="16" s="1"/>
  <c r="I265" i="16"/>
  <c r="H265" i="16"/>
  <c r="J265" i="16" s="1"/>
  <c r="G265" i="16"/>
  <c r="G264" i="16" s="1"/>
  <c r="F265" i="16"/>
  <c r="I264" i="16"/>
  <c r="F264" i="16"/>
  <c r="J263" i="16"/>
  <c r="L262" i="16"/>
  <c r="I262" i="16"/>
  <c r="I261" i="16" s="1"/>
  <c r="J261" i="16" s="1"/>
  <c r="H262" i="16"/>
  <c r="H261" i="16" s="1"/>
  <c r="G262" i="16"/>
  <c r="F262" i="16"/>
  <c r="L261" i="16"/>
  <c r="G261" i="16"/>
  <c r="F261" i="16"/>
  <c r="J260" i="16"/>
  <c r="L259" i="16"/>
  <c r="J259" i="16"/>
  <c r="I259" i="16"/>
  <c r="I258" i="16" s="1"/>
  <c r="J258" i="16" s="1"/>
  <c r="H259" i="16"/>
  <c r="H258" i="16" s="1"/>
  <c r="G259" i="16"/>
  <c r="L258" i="16"/>
  <c r="G258" i="16"/>
  <c r="J257" i="16"/>
  <c r="L256" i="16"/>
  <c r="L255" i="16" s="1"/>
  <c r="I256" i="16"/>
  <c r="J256" i="16" s="1"/>
  <c r="H256" i="16"/>
  <c r="H255" i="16" s="1"/>
  <c r="G256" i="16"/>
  <c r="G255" i="16" s="1"/>
  <c r="L254" i="16"/>
  <c r="G255" i="29" s="1"/>
  <c r="G254" i="29" s="1"/>
  <c r="G253" i="29" s="1"/>
  <c r="J254" i="16"/>
  <c r="I254" i="16"/>
  <c r="J253" i="16"/>
  <c r="I253" i="16"/>
  <c r="I252" i="16" s="1"/>
  <c r="J252" i="16" s="1"/>
  <c r="H253" i="16"/>
  <c r="G253" i="16"/>
  <c r="F253" i="16"/>
  <c r="F252" i="16" s="1"/>
  <c r="H252" i="16"/>
  <c r="G252" i="16"/>
  <c r="J251" i="16"/>
  <c r="L250" i="16"/>
  <c r="L249" i="16" s="1"/>
  <c r="J250" i="16"/>
  <c r="I250" i="16"/>
  <c r="H250" i="16"/>
  <c r="G250" i="16"/>
  <c r="G249" i="16" s="1"/>
  <c r="F250" i="16"/>
  <c r="F249" i="16" s="1"/>
  <c r="I249" i="16"/>
  <c r="J249" i="16" s="1"/>
  <c r="H249" i="16"/>
  <c r="J248" i="16"/>
  <c r="L247" i="16"/>
  <c r="I247" i="16"/>
  <c r="H247" i="16"/>
  <c r="J247" i="16" s="1"/>
  <c r="G247" i="16"/>
  <c r="F247" i="16"/>
  <c r="J246" i="16"/>
  <c r="G242" i="25" s="1"/>
  <c r="L245" i="16"/>
  <c r="J245" i="16"/>
  <c r="I245" i="16"/>
  <c r="H245" i="16"/>
  <c r="G245" i="16"/>
  <c r="F245" i="16"/>
  <c r="L244" i="16"/>
  <c r="J244" i="16"/>
  <c r="L243" i="16"/>
  <c r="L242" i="16" s="1"/>
  <c r="J243" i="16"/>
  <c r="I243" i="16"/>
  <c r="H243" i="16"/>
  <c r="G243" i="16"/>
  <c r="G242" i="16" s="1"/>
  <c r="G241" i="16" s="1"/>
  <c r="G240" i="16" s="1"/>
  <c r="G239" i="16" s="1"/>
  <c r="F243" i="16"/>
  <c r="F242" i="16" s="1"/>
  <c r="I242" i="16"/>
  <c r="H242" i="16"/>
  <c r="J238" i="16"/>
  <c r="L237" i="16"/>
  <c r="J237" i="16"/>
  <c r="I237" i="16"/>
  <c r="I236" i="16" s="1"/>
  <c r="H237" i="16"/>
  <c r="G237" i="16"/>
  <c r="F237" i="16"/>
  <c r="F236" i="16" s="1"/>
  <c r="F235" i="16" s="1"/>
  <c r="F234" i="16" s="1"/>
  <c r="L236" i="16"/>
  <c r="L235" i="16" s="1"/>
  <c r="L234" i="16" s="1"/>
  <c r="H236" i="16"/>
  <c r="H235" i="16" s="1"/>
  <c r="H234" i="16" s="1"/>
  <c r="G236" i="16"/>
  <c r="G235" i="16" s="1"/>
  <c r="G234" i="16" s="1"/>
  <c r="J233" i="16"/>
  <c r="L232" i="16"/>
  <c r="L231" i="16" s="1"/>
  <c r="L230" i="16" s="1"/>
  <c r="L229" i="16" s="1"/>
  <c r="L228" i="16" s="1"/>
  <c r="J232" i="16"/>
  <c r="I232" i="16"/>
  <c r="H232" i="16"/>
  <c r="G232" i="16"/>
  <c r="G231" i="16" s="1"/>
  <c r="G230" i="16" s="1"/>
  <c r="G229" i="16" s="1"/>
  <c r="G228" i="16" s="1"/>
  <c r="F232" i="16"/>
  <c r="F231" i="16" s="1"/>
  <c r="F230" i="16" s="1"/>
  <c r="F229" i="16" s="1"/>
  <c r="F228" i="16" s="1"/>
  <c r="I231" i="16"/>
  <c r="I230" i="16" s="1"/>
  <c r="H231" i="16"/>
  <c r="H230" i="16" s="1"/>
  <c r="H229" i="16" s="1"/>
  <c r="J226" i="16"/>
  <c r="L225" i="16"/>
  <c r="L224" i="16" s="1"/>
  <c r="L223" i="16" s="1"/>
  <c r="I225" i="16"/>
  <c r="H225" i="16"/>
  <c r="J225" i="16" s="1"/>
  <c r="G225" i="16"/>
  <c r="G224" i="16" s="1"/>
  <c r="G223" i="16" s="1"/>
  <c r="F225" i="16"/>
  <c r="I224" i="16"/>
  <c r="I223" i="16" s="1"/>
  <c r="F224" i="16"/>
  <c r="F223" i="16" s="1"/>
  <c r="J222" i="16"/>
  <c r="L221" i="16"/>
  <c r="L220" i="16" s="1"/>
  <c r="L219" i="16" s="1"/>
  <c r="L218" i="16" s="1"/>
  <c r="L208" i="16" s="1"/>
  <c r="J221" i="16"/>
  <c r="I221" i="16"/>
  <c r="H221" i="16"/>
  <c r="G221" i="16"/>
  <c r="G220" i="16" s="1"/>
  <c r="G219" i="16" s="1"/>
  <c r="G218" i="16" s="1"/>
  <c r="F221" i="16"/>
  <c r="F220" i="16" s="1"/>
  <c r="F219" i="16" s="1"/>
  <c r="I220" i="16"/>
  <c r="I219" i="16" s="1"/>
  <c r="H220" i="16"/>
  <c r="H219" i="16" s="1"/>
  <c r="J217" i="16"/>
  <c r="L216" i="16"/>
  <c r="L215" i="16" s="1"/>
  <c r="L214" i="16" s="1"/>
  <c r="L213" i="16" s="1"/>
  <c r="I216" i="16"/>
  <c r="H216" i="16"/>
  <c r="J216" i="16" s="1"/>
  <c r="G216" i="16"/>
  <c r="G215" i="16" s="1"/>
  <c r="G214" i="16" s="1"/>
  <c r="G213" i="16" s="1"/>
  <c r="F216" i="16"/>
  <c r="I215" i="16"/>
  <c r="I214" i="16" s="1"/>
  <c r="F215" i="16"/>
  <c r="F214" i="16" s="1"/>
  <c r="F213" i="16" s="1"/>
  <c r="J212" i="16"/>
  <c r="L211" i="16"/>
  <c r="I211" i="16"/>
  <c r="I210" i="16" s="1"/>
  <c r="H211" i="16"/>
  <c r="H210" i="16" s="1"/>
  <c r="H209" i="16" s="1"/>
  <c r="G211" i="16"/>
  <c r="F211" i="16"/>
  <c r="L210" i="16"/>
  <c r="L209" i="16" s="1"/>
  <c r="G210" i="16"/>
  <c r="G209" i="16" s="1"/>
  <c r="F210" i="16"/>
  <c r="F209" i="16" s="1"/>
  <c r="J207" i="16"/>
  <c r="F207" i="16"/>
  <c r="L206" i="16"/>
  <c r="L205" i="16" s="1"/>
  <c r="J206" i="16"/>
  <c r="I206" i="16"/>
  <c r="H206" i="16"/>
  <c r="G206" i="16"/>
  <c r="G205" i="16" s="1"/>
  <c r="F206" i="16"/>
  <c r="F205" i="16" s="1"/>
  <c r="I205" i="16"/>
  <c r="J205" i="16" s="1"/>
  <c r="H205" i="16"/>
  <c r="J204" i="16"/>
  <c r="L203" i="16"/>
  <c r="L202" i="16" s="1"/>
  <c r="I203" i="16"/>
  <c r="J203" i="16" s="1"/>
  <c r="H203" i="16"/>
  <c r="H202" i="16" s="1"/>
  <c r="J202" i="16" s="1"/>
  <c r="G203" i="16"/>
  <c r="G202" i="16" s="1"/>
  <c r="F203" i="16"/>
  <c r="I202" i="16"/>
  <c r="F202" i="16"/>
  <c r="L201" i="16"/>
  <c r="J201" i="16"/>
  <c r="H201" i="16"/>
  <c r="G201" i="16"/>
  <c r="G200" i="16" s="1"/>
  <c r="G199" i="16" s="1"/>
  <c r="F201" i="16"/>
  <c r="F200" i="16" s="1"/>
  <c r="F199" i="16" s="1"/>
  <c r="I200" i="16"/>
  <c r="I199" i="16" s="1"/>
  <c r="H200" i="16"/>
  <c r="H199" i="16" s="1"/>
  <c r="H198" i="16" s="1"/>
  <c r="H197" i="16" s="1"/>
  <c r="H196" i="16" s="1"/>
  <c r="J195" i="16"/>
  <c r="L194" i="16"/>
  <c r="L193" i="16" s="1"/>
  <c r="L192" i="16" s="1"/>
  <c r="L191" i="16" s="1"/>
  <c r="I194" i="16"/>
  <c r="J194" i="16" s="1"/>
  <c r="H194" i="16"/>
  <c r="H193" i="16" s="1"/>
  <c r="G194" i="16"/>
  <c r="G193" i="16" s="1"/>
  <c r="G192" i="16" s="1"/>
  <c r="G191" i="16" s="1"/>
  <c r="F194" i="16"/>
  <c r="I193" i="16"/>
  <c r="I192" i="16" s="1"/>
  <c r="F193" i="16"/>
  <c r="F192" i="16" s="1"/>
  <c r="F191" i="16" s="1"/>
  <c r="J190" i="16"/>
  <c r="L189" i="16"/>
  <c r="I189" i="16"/>
  <c r="I188" i="16" s="1"/>
  <c r="H189" i="16"/>
  <c r="H188" i="16" s="1"/>
  <c r="G189" i="16"/>
  <c r="F189" i="16"/>
  <c r="L188" i="16"/>
  <c r="L187" i="16" s="1"/>
  <c r="G188" i="16"/>
  <c r="G187" i="16" s="1"/>
  <c r="F188" i="16"/>
  <c r="F187" i="16" s="1"/>
  <c r="L186" i="16"/>
  <c r="L185" i="16" s="1"/>
  <c r="G186" i="16"/>
  <c r="G185" i="16" s="1"/>
  <c r="F186" i="16"/>
  <c r="F185" i="16" s="1"/>
  <c r="J184" i="16"/>
  <c r="L183" i="16"/>
  <c r="L182" i="16" s="1"/>
  <c r="I183" i="16"/>
  <c r="H183" i="16"/>
  <c r="J183" i="16" s="1"/>
  <c r="G183" i="16"/>
  <c r="G182" i="16" s="1"/>
  <c r="F183" i="16"/>
  <c r="I182" i="16"/>
  <c r="I181" i="16" s="1"/>
  <c r="F182" i="16"/>
  <c r="F181" i="16" s="1"/>
  <c r="I180" i="16"/>
  <c r="I179" i="16" s="1"/>
  <c r="F180" i="16"/>
  <c r="F179" i="16" s="1"/>
  <c r="L177" i="16"/>
  <c r="J177" i="16"/>
  <c r="I177" i="16"/>
  <c r="L176" i="16"/>
  <c r="L175" i="16" s="1"/>
  <c r="L174" i="16" s="1"/>
  <c r="L173" i="16" s="1"/>
  <c r="J176" i="16"/>
  <c r="I176" i="16"/>
  <c r="H176" i="16"/>
  <c r="G176" i="16"/>
  <c r="G175" i="16" s="1"/>
  <c r="G174" i="16" s="1"/>
  <c r="G173" i="16" s="1"/>
  <c r="F176" i="16"/>
  <c r="F175" i="16" s="1"/>
  <c r="F174" i="16" s="1"/>
  <c r="F173" i="16" s="1"/>
  <c r="I175" i="16"/>
  <c r="I174" i="16" s="1"/>
  <c r="H175" i="16"/>
  <c r="H174" i="16" s="1"/>
  <c r="H173" i="16" s="1"/>
  <c r="L172" i="16"/>
  <c r="L171" i="16" s="1"/>
  <c r="L170" i="16" s="1"/>
  <c r="L169" i="16" s="1"/>
  <c r="L168" i="16" s="1"/>
  <c r="L167" i="16" s="1"/>
  <c r="L690" i="16" s="1"/>
  <c r="J172" i="16"/>
  <c r="I172" i="16"/>
  <c r="G177" i="29" s="1"/>
  <c r="G176" i="29" s="1"/>
  <c r="G175" i="29" s="1"/>
  <c r="G174" i="29" s="1"/>
  <c r="G173" i="29" s="1"/>
  <c r="G172" i="29" s="1"/>
  <c r="G765" i="29" s="1"/>
  <c r="J171" i="16"/>
  <c r="I171" i="16"/>
  <c r="I170" i="16" s="1"/>
  <c r="H171" i="16"/>
  <c r="G171" i="16"/>
  <c r="F171" i="16"/>
  <c r="F170" i="16" s="1"/>
  <c r="F169" i="16" s="1"/>
  <c r="F168" i="16" s="1"/>
  <c r="H170" i="16"/>
  <c r="H169" i="16" s="1"/>
  <c r="H168" i="16" s="1"/>
  <c r="H167" i="16" s="1"/>
  <c r="H690" i="16" s="1"/>
  <c r="H167" i="17" s="1"/>
  <c r="G170" i="16"/>
  <c r="G169" i="16" s="1"/>
  <c r="G168" i="16" s="1"/>
  <c r="G167" i="16" s="1"/>
  <c r="G690" i="16" s="1"/>
  <c r="G167" i="17" s="1"/>
  <c r="L166" i="16"/>
  <c r="J166" i="16"/>
  <c r="I166" i="16"/>
  <c r="G171" i="29" s="1"/>
  <c r="G170" i="29" s="1"/>
  <c r="G169" i="29" s="1"/>
  <c r="G164" i="29" s="1"/>
  <c r="G163" i="29" s="1"/>
  <c r="G162" i="29" s="1"/>
  <c r="G764" i="29" s="1"/>
  <c r="L165" i="16"/>
  <c r="L164" i="16" s="1"/>
  <c r="J165" i="16"/>
  <c r="I165" i="16"/>
  <c r="H165" i="16"/>
  <c r="G165" i="16"/>
  <c r="G164" i="16" s="1"/>
  <c r="F165" i="16"/>
  <c r="F164" i="16" s="1"/>
  <c r="I164" i="16"/>
  <c r="J164" i="16" s="1"/>
  <c r="H164" i="16"/>
  <c r="J163" i="16"/>
  <c r="L162" i="16"/>
  <c r="L161" i="16" s="1"/>
  <c r="L160" i="16" s="1"/>
  <c r="I162" i="16"/>
  <c r="H162" i="16"/>
  <c r="J162" i="16" s="1"/>
  <c r="G162" i="16"/>
  <c r="G161" i="16" s="1"/>
  <c r="G160" i="16" s="1"/>
  <c r="G159" i="16" s="1"/>
  <c r="F162" i="16"/>
  <c r="I161" i="16"/>
  <c r="I160" i="16" s="1"/>
  <c r="F161" i="16"/>
  <c r="F160" i="16" s="1"/>
  <c r="F159" i="16" s="1"/>
  <c r="F158" i="16" s="1"/>
  <c r="F157" i="16" s="1"/>
  <c r="G158" i="16"/>
  <c r="G157" i="16" s="1"/>
  <c r="G689" i="16" s="1"/>
  <c r="J156" i="16"/>
  <c r="L155" i="16"/>
  <c r="I155" i="16"/>
  <c r="H155" i="16"/>
  <c r="G155" i="16"/>
  <c r="F155" i="16"/>
  <c r="J154" i="16"/>
  <c r="L153" i="16"/>
  <c r="L152" i="16" s="1"/>
  <c r="I153" i="16"/>
  <c r="J153" i="16" s="1"/>
  <c r="H153" i="16"/>
  <c r="G153" i="16"/>
  <c r="G152" i="16" s="1"/>
  <c r="F153" i="16"/>
  <c r="F152" i="16"/>
  <c r="J151" i="16"/>
  <c r="L150" i="16"/>
  <c r="I150" i="16"/>
  <c r="H150" i="16"/>
  <c r="G150" i="16"/>
  <c r="F150" i="16"/>
  <c r="J149" i="16"/>
  <c r="L148" i="16"/>
  <c r="L147" i="16" s="1"/>
  <c r="I148" i="16"/>
  <c r="H148" i="16"/>
  <c r="H147" i="16" s="1"/>
  <c r="G148" i="16"/>
  <c r="F148" i="16"/>
  <c r="I147" i="16"/>
  <c r="J147" i="16" s="1"/>
  <c r="G147" i="16"/>
  <c r="F147" i="16"/>
  <c r="J146" i="16"/>
  <c r="L145" i="16"/>
  <c r="I145" i="16"/>
  <c r="J145" i="16" s="1"/>
  <c r="H145" i="16"/>
  <c r="G145" i="16"/>
  <c r="F145" i="16"/>
  <c r="J144" i="16"/>
  <c r="L143" i="16"/>
  <c r="L142" i="16" s="1"/>
  <c r="J143" i="16"/>
  <c r="I143" i="16"/>
  <c r="H143" i="16"/>
  <c r="G143" i="16"/>
  <c r="G142" i="16" s="1"/>
  <c r="F143" i="16"/>
  <c r="F142" i="16" s="1"/>
  <c r="I142" i="16"/>
  <c r="J142" i="16" s="1"/>
  <c r="H142" i="16"/>
  <c r="J141" i="16"/>
  <c r="L140" i="16"/>
  <c r="I140" i="16"/>
  <c r="J140" i="16" s="1"/>
  <c r="H140" i="16"/>
  <c r="G140" i="16"/>
  <c r="F140" i="16"/>
  <c r="J139" i="16"/>
  <c r="L138" i="16"/>
  <c r="L137" i="16" s="1"/>
  <c r="J138" i="16"/>
  <c r="I138" i="16"/>
  <c r="H138" i="16"/>
  <c r="G138" i="16"/>
  <c r="G137" i="16" s="1"/>
  <c r="F138" i="16"/>
  <c r="F137" i="16" s="1"/>
  <c r="I137" i="16"/>
  <c r="J137" i="16" s="1"/>
  <c r="H137" i="16"/>
  <c r="J136" i="16"/>
  <c r="L135" i="16"/>
  <c r="L134" i="16" s="1"/>
  <c r="I135" i="16"/>
  <c r="J135" i="16" s="1"/>
  <c r="H135" i="16"/>
  <c r="H134" i="16" s="1"/>
  <c r="G135" i="16"/>
  <c r="G134" i="16" s="1"/>
  <c r="F135" i="16"/>
  <c r="I134" i="16"/>
  <c r="F134" i="16"/>
  <c r="J133" i="16"/>
  <c r="L132" i="16"/>
  <c r="I132" i="16"/>
  <c r="J132" i="16" s="1"/>
  <c r="H132" i="16"/>
  <c r="G132" i="16"/>
  <c r="F132" i="16"/>
  <c r="J131" i="16"/>
  <c r="F131" i="16"/>
  <c r="F130" i="16" s="1"/>
  <c r="F129" i="16" s="1"/>
  <c r="F128" i="16" s="1"/>
  <c r="F110" i="16" s="1"/>
  <c r="L130" i="16"/>
  <c r="I130" i="16"/>
  <c r="I129" i="16" s="1"/>
  <c r="H130" i="16"/>
  <c r="H129" i="16" s="1"/>
  <c r="G130" i="16"/>
  <c r="L129" i="16"/>
  <c r="G129" i="16"/>
  <c r="J127" i="16"/>
  <c r="L126" i="16"/>
  <c r="L125" i="16" s="1"/>
  <c r="I126" i="16"/>
  <c r="J126" i="16" s="1"/>
  <c r="H126" i="16"/>
  <c r="H125" i="16" s="1"/>
  <c r="G126" i="16"/>
  <c r="G125" i="16" s="1"/>
  <c r="F126" i="16"/>
  <c r="I125" i="16"/>
  <c r="J125" i="16" s="1"/>
  <c r="F125" i="16"/>
  <c r="J124" i="16"/>
  <c r="L123" i="16"/>
  <c r="I123" i="16"/>
  <c r="J123" i="16" s="1"/>
  <c r="H123" i="16"/>
  <c r="G123" i="16"/>
  <c r="F123" i="16"/>
  <c r="J122" i="16"/>
  <c r="L121" i="16"/>
  <c r="L120" i="16" s="1"/>
  <c r="I121" i="16"/>
  <c r="J121" i="16" s="1"/>
  <c r="H121" i="16"/>
  <c r="H120" i="16" s="1"/>
  <c r="G121" i="16"/>
  <c r="G120" i="16" s="1"/>
  <c r="F121" i="16"/>
  <c r="I120" i="16"/>
  <c r="F120" i="16"/>
  <c r="L119" i="16"/>
  <c r="L117" i="16" s="1"/>
  <c r="L116" i="16" s="1"/>
  <c r="I119" i="16"/>
  <c r="J119" i="16" s="1"/>
  <c r="H119" i="16"/>
  <c r="J118" i="16"/>
  <c r="I117" i="16"/>
  <c r="I116" i="16" s="1"/>
  <c r="J116" i="16" s="1"/>
  <c r="H117" i="16"/>
  <c r="H116" i="16" s="1"/>
  <c r="G117" i="16"/>
  <c r="F117" i="16"/>
  <c r="G116" i="16"/>
  <c r="F116" i="16"/>
  <c r="J115" i="16"/>
  <c r="F115" i="16"/>
  <c r="L114" i="16"/>
  <c r="J114" i="16"/>
  <c r="I114" i="16"/>
  <c r="H114" i="16"/>
  <c r="G114" i="16"/>
  <c r="F114" i="16"/>
  <c r="L113" i="16"/>
  <c r="I113" i="16"/>
  <c r="G116" i="29" s="1"/>
  <c r="G115" i="29" s="1"/>
  <c r="G114" i="29" s="1"/>
  <c r="G110" i="29" s="1"/>
  <c r="G59" i="29" s="1"/>
  <c r="L112" i="16"/>
  <c r="L111" i="16" s="1"/>
  <c r="H112" i="16"/>
  <c r="H111" i="16" s="1"/>
  <c r="G112" i="16"/>
  <c r="G111" i="16" s="1"/>
  <c r="F112" i="16"/>
  <c r="F111" i="16"/>
  <c r="J109" i="16"/>
  <c r="L108" i="16"/>
  <c r="J108" i="16"/>
  <c r="I108" i="16"/>
  <c r="H108" i="16"/>
  <c r="G108" i="16"/>
  <c r="F108" i="16"/>
  <c r="L107" i="16"/>
  <c r="I107" i="16"/>
  <c r="J107" i="16" s="1"/>
  <c r="H107" i="16"/>
  <c r="L106" i="16"/>
  <c r="I106" i="16"/>
  <c r="I105" i="16" s="1"/>
  <c r="H106" i="16"/>
  <c r="H105" i="16" s="1"/>
  <c r="H104" i="16" s="1"/>
  <c r="H103" i="16" s="1"/>
  <c r="G106" i="16"/>
  <c r="F106" i="16"/>
  <c r="L105" i="16"/>
  <c r="L104" i="16" s="1"/>
  <c r="L103" i="16" s="1"/>
  <c r="G105" i="16"/>
  <c r="G104" i="16" s="1"/>
  <c r="G103" i="16" s="1"/>
  <c r="F105" i="16"/>
  <c r="F104" i="16" s="1"/>
  <c r="F103" i="16" s="1"/>
  <c r="J102" i="16"/>
  <c r="L101" i="16"/>
  <c r="J101" i="16"/>
  <c r="I101" i="16"/>
  <c r="I100" i="16" s="1"/>
  <c r="J100" i="16" s="1"/>
  <c r="H101" i="16"/>
  <c r="G101" i="16"/>
  <c r="F101" i="16"/>
  <c r="F100" i="16" s="1"/>
  <c r="L100" i="16"/>
  <c r="H100" i="16"/>
  <c r="G100" i="16"/>
  <c r="J99" i="16"/>
  <c r="G99" i="16"/>
  <c r="G98" i="16" s="1"/>
  <c r="G97" i="16" s="1"/>
  <c r="G96" i="16" s="1"/>
  <c r="G95" i="16" s="1"/>
  <c r="L98" i="16"/>
  <c r="L97" i="16" s="1"/>
  <c r="L96" i="16" s="1"/>
  <c r="L95" i="16" s="1"/>
  <c r="I98" i="16"/>
  <c r="J98" i="16" s="1"/>
  <c r="H98" i="16"/>
  <c r="H97" i="16" s="1"/>
  <c r="F98" i="16"/>
  <c r="I97" i="16"/>
  <c r="I96" i="16" s="1"/>
  <c r="F97" i="16"/>
  <c r="F96" i="16" s="1"/>
  <c r="F95" i="16" s="1"/>
  <c r="J94" i="16"/>
  <c r="L93" i="16"/>
  <c r="I93" i="16"/>
  <c r="I92" i="16" s="1"/>
  <c r="H93" i="16"/>
  <c r="H92" i="16" s="1"/>
  <c r="H91" i="16" s="1"/>
  <c r="H90" i="16" s="1"/>
  <c r="G93" i="16"/>
  <c r="F93" i="16"/>
  <c r="L92" i="16"/>
  <c r="L91" i="16" s="1"/>
  <c r="L90" i="16" s="1"/>
  <c r="G92" i="16"/>
  <c r="G91" i="16" s="1"/>
  <c r="G90" i="16" s="1"/>
  <c r="F92" i="16"/>
  <c r="F91" i="16" s="1"/>
  <c r="F90" i="16" s="1"/>
  <c r="J89" i="16"/>
  <c r="L88" i="16"/>
  <c r="J88" i="16"/>
  <c r="I88" i="16"/>
  <c r="I87" i="16" s="1"/>
  <c r="J87" i="16" s="1"/>
  <c r="H88" i="16"/>
  <c r="G88" i="16"/>
  <c r="F88" i="16"/>
  <c r="F87" i="16" s="1"/>
  <c r="L87" i="16"/>
  <c r="H87" i="16"/>
  <c r="G87" i="16"/>
  <c r="J86" i="16"/>
  <c r="L85" i="16"/>
  <c r="L84" i="16" s="1"/>
  <c r="L83" i="16" s="1"/>
  <c r="J85" i="16"/>
  <c r="I85" i="16"/>
  <c r="H85" i="16"/>
  <c r="G85" i="16"/>
  <c r="G84" i="16" s="1"/>
  <c r="G83" i="16" s="1"/>
  <c r="F85" i="16"/>
  <c r="F84" i="16" s="1"/>
  <c r="I84" i="16"/>
  <c r="I83" i="16" s="1"/>
  <c r="J83" i="16" s="1"/>
  <c r="H84" i="16"/>
  <c r="H83" i="16" s="1"/>
  <c r="J82" i="16"/>
  <c r="L81" i="16"/>
  <c r="J81" i="16"/>
  <c r="I81" i="16"/>
  <c r="H81" i="16"/>
  <c r="G81" i="16"/>
  <c r="F81" i="16"/>
  <c r="J80" i="16"/>
  <c r="F80" i="16"/>
  <c r="L79" i="16"/>
  <c r="J79" i="16"/>
  <c r="I79" i="16"/>
  <c r="H79" i="16"/>
  <c r="G79" i="16"/>
  <c r="F79" i="16"/>
  <c r="J78" i="16"/>
  <c r="L77" i="16"/>
  <c r="I77" i="16"/>
  <c r="I76" i="16" s="1"/>
  <c r="H77" i="16"/>
  <c r="H76" i="16" s="1"/>
  <c r="H75" i="16" s="1"/>
  <c r="G77" i="16"/>
  <c r="F77" i="16"/>
  <c r="L76" i="16"/>
  <c r="L75" i="16" s="1"/>
  <c r="G76" i="16"/>
  <c r="G75" i="16" s="1"/>
  <c r="F76" i="16"/>
  <c r="F75" i="16" s="1"/>
  <c r="J74" i="16"/>
  <c r="L73" i="16"/>
  <c r="L72" i="16" s="1"/>
  <c r="I73" i="16"/>
  <c r="J73" i="16" s="1"/>
  <c r="H73" i="16"/>
  <c r="H72" i="16" s="1"/>
  <c r="J72" i="16" s="1"/>
  <c r="G73" i="16"/>
  <c r="G72" i="16" s="1"/>
  <c r="F73" i="16"/>
  <c r="I72" i="16"/>
  <c r="F72" i="16"/>
  <c r="J71" i="16"/>
  <c r="L70" i="16"/>
  <c r="I70" i="16"/>
  <c r="I69" i="16" s="1"/>
  <c r="H70" i="16"/>
  <c r="H69" i="16" s="1"/>
  <c r="H68" i="16" s="1"/>
  <c r="G70" i="16"/>
  <c r="F70" i="16"/>
  <c r="L69" i="16"/>
  <c r="L68" i="16" s="1"/>
  <c r="L67" i="16" s="1"/>
  <c r="G69" i="16"/>
  <c r="G68" i="16" s="1"/>
  <c r="F69" i="16"/>
  <c r="F68" i="16" s="1"/>
  <c r="L65" i="16"/>
  <c r="K65" i="16"/>
  <c r="K678" i="16" s="1"/>
  <c r="I65" i="16"/>
  <c r="J65" i="16" s="1"/>
  <c r="F65" i="16"/>
  <c r="F64" i="16" s="1"/>
  <c r="F63" i="16" s="1"/>
  <c r="F62" i="16" s="1"/>
  <c r="F61" i="16" s="1"/>
  <c r="L64" i="16"/>
  <c r="L63" i="16" s="1"/>
  <c r="L62" i="16" s="1"/>
  <c r="L61" i="16" s="1"/>
  <c r="I64" i="16"/>
  <c r="J64" i="16" s="1"/>
  <c r="H64" i="16"/>
  <c r="H63" i="16" s="1"/>
  <c r="H62" i="16" s="1"/>
  <c r="H61" i="16" s="1"/>
  <c r="G64" i="16"/>
  <c r="G63" i="16" s="1"/>
  <c r="G62" i="16" s="1"/>
  <c r="G61" i="16" s="1"/>
  <c r="I63" i="16"/>
  <c r="I62" i="16" s="1"/>
  <c r="J60" i="16"/>
  <c r="L59" i="16"/>
  <c r="I59" i="16"/>
  <c r="I58" i="16" s="1"/>
  <c r="H59" i="16"/>
  <c r="H58" i="16" s="1"/>
  <c r="H57" i="16" s="1"/>
  <c r="H56" i="16" s="1"/>
  <c r="G59" i="16"/>
  <c r="F59" i="16"/>
  <c r="L58" i="16"/>
  <c r="L57" i="16" s="1"/>
  <c r="L56" i="16" s="1"/>
  <c r="G58" i="16"/>
  <c r="G57" i="16" s="1"/>
  <c r="G56" i="16" s="1"/>
  <c r="F58" i="16"/>
  <c r="F57" i="16" s="1"/>
  <c r="F56" i="16" s="1"/>
  <c r="J55" i="16"/>
  <c r="L54" i="16"/>
  <c r="I54" i="16"/>
  <c r="I53" i="16" s="1"/>
  <c r="H54" i="16"/>
  <c r="G54" i="16"/>
  <c r="F54" i="16"/>
  <c r="F53" i="16" s="1"/>
  <c r="L53" i="16"/>
  <c r="L52" i="16" s="1"/>
  <c r="H53" i="16"/>
  <c r="H52" i="16" s="1"/>
  <c r="G53" i="16"/>
  <c r="G52" i="16" s="1"/>
  <c r="L51" i="16"/>
  <c r="L50" i="16" s="1"/>
  <c r="H51" i="16"/>
  <c r="H50" i="16" s="1"/>
  <c r="G51" i="16"/>
  <c r="G50" i="16" s="1"/>
  <c r="J49" i="16"/>
  <c r="L48" i="16"/>
  <c r="I48" i="16"/>
  <c r="J48" i="16" s="1"/>
  <c r="H48" i="16"/>
  <c r="H45" i="16" s="1"/>
  <c r="H44" i="16" s="1"/>
  <c r="H43" i="16" s="1"/>
  <c r="G48" i="16"/>
  <c r="F48" i="16"/>
  <c r="L47" i="16"/>
  <c r="L46" i="16" s="1"/>
  <c r="L45" i="16" s="1"/>
  <c r="L44" i="16" s="1"/>
  <c r="L43" i="16" s="1"/>
  <c r="J47" i="16"/>
  <c r="I47" i="16"/>
  <c r="G40" i="29" s="1"/>
  <c r="G39" i="29" s="1"/>
  <c r="G38" i="29" s="1"/>
  <c r="I46" i="16"/>
  <c r="I45" i="16" s="1"/>
  <c r="H46" i="16"/>
  <c r="G46" i="16"/>
  <c r="F46" i="16"/>
  <c r="F45" i="16" s="1"/>
  <c r="F44" i="16" s="1"/>
  <c r="F43" i="16" s="1"/>
  <c r="G45" i="16"/>
  <c r="G44" i="16" s="1"/>
  <c r="G43" i="16" s="1"/>
  <c r="J42" i="16"/>
  <c r="L41" i="16"/>
  <c r="L40" i="16" s="1"/>
  <c r="L39" i="16" s="1"/>
  <c r="L38" i="16" s="1"/>
  <c r="J41" i="16"/>
  <c r="I41" i="16"/>
  <c r="H41" i="16"/>
  <c r="G41" i="16"/>
  <c r="G40" i="16" s="1"/>
  <c r="G39" i="16" s="1"/>
  <c r="G38" i="16" s="1"/>
  <c r="F41" i="16"/>
  <c r="F40" i="16" s="1"/>
  <c r="F39" i="16" s="1"/>
  <c r="F38" i="16" s="1"/>
  <c r="I40" i="16"/>
  <c r="I39" i="16" s="1"/>
  <c r="H40" i="16"/>
  <c r="H39" i="16" s="1"/>
  <c r="H38" i="16" s="1"/>
  <c r="J35" i="16"/>
  <c r="L34" i="16"/>
  <c r="L33" i="16" s="1"/>
  <c r="L32" i="16" s="1"/>
  <c r="L31" i="16" s="1"/>
  <c r="I34" i="16"/>
  <c r="H34" i="16"/>
  <c r="J34" i="16" s="1"/>
  <c r="G34" i="16"/>
  <c r="G33" i="16" s="1"/>
  <c r="G32" i="16" s="1"/>
  <c r="G31" i="16" s="1"/>
  <c r="F34" i="16"/>
  <c r="I33" i="16"/>
  <c r="I32" i="16" s="1"/>
  <c r="F33" i="16"/>
  <c r="F32" i="16" s="1"/>
  <c r="F31" i="16" s="1"/>
  <c r="J30" i="16"/>
  <c r="L29" i="16"/>
  <c r="I29" i="16"/>
  <c r="I28" i="16" s="1"/>
  <c r="H29" i="16"/>
  <c r="H28" i="16" s="1"/>
  <c r="H27" i="16" s="1"/>
  <c r="H26" i="16" s="1"/>
  <c r="G29" i="16"/>
  <c r="F29" i="16"/>
  <c r="L28" i="16"/>
  <c r="L27" i="16" s="1"/>
  <c r="L26" i="16" s="1"/>
  <c r="G28" i="16"/>
  <c r="G27" i="16" s="1"/>
  <c r="G26" i="16" s="1"/>
  <c r="F28" i="16"/>
  <c r="F27" i="16" s="1"/>
  <c r="F26" i="16" s="1"/>
  <c r="F25" i="16" s="1"/>
  <c r="J24" i="16"/>
  <c r="L23" i="16"/>
  <c r="I23" i="16"/>
  <c r="H23" i="16"/>
  <c r="H18" i="16" s="1"/>
  <c r="H17" i="16" s="1"/>
  <c r="H16" i="16" s="1"/>
  <c r="G23" i="16"/>
  <c r="F23" i="16"/>
  <c r="J22" i="16"/>
  <c r="L21" i="16"/>
  <c r="J21" i="16"/>
  <c r="I21" i="16"/>
  <c r="H21" i="16"/>
  <c r="G21" i="16"/>
  <c r="F21" i="16"/>
  <c r="J20" i="16"/>
  <c r="H20" i="16"/>
  <c r="L19" i="16"/>
  <c r="L18" i="16" s="1"/>
  <c r="L17" i="16" s="1"/>
  <c r="L16" i="16" s="1"/>
  <c r="J19" i="16"/>
  <c r="I19" i="16"/>
  <c r="H19" i="16"/>
  <c r="G19" i="16"/>
  <c r="G18" i="16" s="1"/>
  <c r="G17" i="16" s="1"/>
  <c r="G16" i="16" s="1"/>
  <c r="F19" i="16"/>
  <c r="F18" i="16" s="1"/>
  <c r="F17" i="16" s="1"/>
  <c r="F16" i="16" s="1"/>
  <c r="I18" i="16"/>
  <c r="I17" i="16" s="1"/>
  <c r="F698" i="22"/>
  <c r="E57" i="23"/>
  <c r="E56" i="23" s="1"/>
  <c r="E55" i="23" s="1"/>
  <c r="F685" i="22"/>
  <c r="F684" i="22" s="1"/>
  <c r="F682" i="22"/>
  <c r="F681" i="22" s="1"/>
  <c r="F680" i="22"/>
  <c r="E658" i="23" s="1"/>
  <c r="E657" i="23" s="1"/>
  <c r="E656" i="23" s="1"/>
  <c r="F675" i="22"/>
  <c r="F674" i="22" s="1"/>
  <c r="F673" i="22" s="1"/>
  <c r="F668" i="22"/>
  <c r="F665" i="22" s="1"/>
  <c r="F659" i="22"/>
  <c r="F658" i="22" s="1"/>
  <c r="F657" i="22" s="1"/>
  <c r="F656" i="22" s="1"/>
  <c r="F655" i="22" s="1"/>
  <c r="E530" i="23"/>
  <c r="E529" i="23" s="1"/>
  <c r="E528" i="23" s="1"/>
  <c r="F649" i="22"/>
  <c r="E523" i="23"/>
  <c r="E522" i="23" s="1"/>
  <c r="F642" i="22"/>
  <c r="E518" i="23"/>
  <c r="E517" i="23" s="1"/>
  <c r="E516" i="23"/>
  <c r="E515" i="23" s="1"/>
  <c r="F632" i="22"/>
  <c r="F631" i="22" s="1"/>
  <c r="F630" i="22" s="1"/>
  <c r="F628" i="22"/>
  <c r="F626" i="22"/>
  <c r="F624" i="22"/>
  <c r="F620" i="22"/>
  <c r="F619" i="22" s="1"/>
  <c r="F618" i="22" s="1"/>
  <c r="F613" i="22"/>
  <c r="F612" i="22" s="1"/>
  <c r="F610" i="22"/>
  <c r="F609" i="22" s="1"/>
  <c r="F607" i="22"/>
  <c r="F606" i="22" s="1"/>
  <c r="F604" i="22"/>
  <c r="F603" i="22" s="1"/>
  <c r="F601" i="22"/>
  <c r="F600" i="22" s="1"/>
  <c r="E458" i="23"/>
  <c r="E457" i="23" s="1"/>
  <c r="E456" i="23" s="1"/>
  <c r="E455" i="23" s="1"/>
  <c r="F590" i="22"/>
  <c r="F589" i="22" s="1"/>
  <c r="F587" i="22"/>
  <c r="F586" i="22" s="1"/>
  <c r="F585" i="22" s="1"/>
  <c r="F583" i="22"/>
  <c r="F582" i="22" s="1"/>
  <c r="F581" i="22" s="1"/>
  <c r="E440" i="23"/>
  <c r="E439" i="23" s="1"/>
  <c r="E438" i="23" s="1"/>
  <c r="E437" i="23"/>
  <c r="E436" i="23" s="1"/>
  <c r="E435" i="23" s="1"/>
  <c r="F573" i="22"/>
  <c r="F572" i="22" s="1"/>
  <c r="F570" i="22"/>
  <c r="F569" i="22" s="1"/>
  <c r="F567" i="22"/>
  <c r="F566" i="22" s="1"/>
  <c r="F564" i="22"/>
  <c r="F563" i="22" s="1"/>
  <c r="F560" i="22"/>
  <c r="F559" i="22" s="1"/>
  <c r="F557" i="22"/>
  <c r="F556" i="22" s="1"/>
  <c r="E415" i="23"/>
  <c r="E414" i="23" s="1"/>
  <c r="E413" i="23" s="1"/>
  <c r="F551" i="22"/>
  <c r="F550" i="22" s="1"/>
  <c r="F544" i="22"/>
  <c r="F543" i="22" s="1"/>
  <c r="F542" i="22" s="1"/>
  <c r="E401" i="23"/>
  <c r="E400" i="23" s="1"/>
  <c r="E399" i="23" s="1"/>
  <c r="F537" i="22"/>
  <c r="F536" i="22" s="1"/>
  <c r="E389" i="23"/>
  <c r="E388" i="23" s="1"/>
  <c r="E387" i="23" s="1"/>
  <c r="F528" i="22"/>
  <c r="F527" i="22" s="1"/>
  <c r="F525" i="22"/>
  <c r="F524" i="22" s="1"/>
  <c r="F522" i="22"/>
  <c r="F521" i="22" s="1"/>
  <c r="F518" i="22"/>
  <c r="F517" i="22" s="1"/>
  <c r="F506" i="22"/>
  <c r="F505" i="22" s="1"/>
  <c r="F504" i="22" s="1"/>
  <c r="F502" i="22"/>
  <c r="F501" i="22" s="1"/>
  <c r="F500" i="22" s="1"/>
  <c r="F499" i="22" s="1"/>
  <c r="F496" i="22"/>
  <c r="F495" i="22" s="1"/>
  <c r="F493" i="22"/>
  <c r="F491" i="22"/>
  <c r="E25" i="23"/>
  <c r="E24" i="23" s="1"/>
  <c r="E22" i="23"/>
  <c r="E21" i="23" s="1"/>
  <c r="E20" i="23" s="1"/>
  <c r="E676" i="23"/>
  <c r="E675" i="23" s="1"/>
  <c r="E674" i="23" s="1"/>
  <c r="E673" i="23" s="1"/>
  <c r="E672" i="23" s="1"/>
  <c r="F472" i="22"/>
  <c r="F471" i="22" s="1"/>
  <c r="F470" i="22" s="1"/>
  <c r="F469" i="22" s="1"/>
  <c r="F749" i="22" s="1"/>
  <c r="E664" i="23"/>
  <c r="E663" i="23" s="1"/>
  <c r="E662" i="23" s="1"/>
  <c r="E661" i="23"/>
  <c r="E660" i="23" s="1"/>
  <c r="E659" i="23" s="1"/>
  <c r="E652" i="23"/>
  <c r="E651" i="23" s="1"/>
  <c r="F455" i="22"/>
  <c r="F454" i="22" s="1"/>
  <c r="F452" i="22"/>
  <c r="E626" i="23"/>
  <c r="E625" i="23" s="1"/>
  <c r="E624" i="23" s="1"/>
  <c r="F440" i="22"/>
  <c r="F439" i="22" s="1"/>
  <c r="E619" i="23"/>
  <c r="F434" i="22"/>
  <c r="E601" i="23"/>
  <c r="E600" i="23" s="1"/>
  <c r="E599" i="23" s="1"/>
  <c r="E598" i="23" s="1"/>
  <c r="E597" i="23"/>
  <c r="E596" i="23" s="1"/>
  <c r="E595" i="23" s="1"/>
  <c r="E594" i="23" s="1"/>
  <c r="F419" i="22"/>
  <c r="F418" i="22" s="1"/>
  <c r="F417" i="22" s="1"/>
  <c r="F416" i="22" s="1"/>
  <c r="F737" i="22" s="1"/>
  <c r="F413" i="22"/>
  <c r="F412" i="22" s="1"/>
  <c r="F411" i="22" s="1"/>
  <c r="F410" i="22" s="1"/>
  <c r="E572" i="23"/>
  <c r="E571" i="23" s="1"/>
  <c r="E570" i="23" s="1"/>
  <c r="E569" i="23" s="1"/>
  <c r="E568" i="23" s="1"/>
  <c r="F404" i="22"/>
  <c r="F403" i="22" s="1"/>
  <c r="F393" i="22"/>
  <c r="F392" i="22" s="1"/>
  <c r="F383" i="22"/>
  <c r="F382" i="22" s="1"/>
  <c r="F381" i="22" s="1"/>
  <c r="E543" i="23"/>
  <c r="E542" i="23" s="1"/>
  <c r="E541" i="23"/>
  <c r="E540" i="23" s="1"/>
  <c r="E539" i="23" s="1"/>
  <c r="E538" i="23" s="1"/>
  <c r="E537" i="23"/>
  <c r="E536" i="23" s="1"/>
  <c r="E535" i="23" s="1"/>
  <c r="F362" i="22"/>
  <c r="F361" i="22" s="1"/>
  <c r="F359" i="22"/>
  <c r="F358" i="22" s="1"/>
  <c r="F357" i="22" s="1"/>
  <c r="F355" i="22"/>
  <c r="F354" i="22" s="1"/>
  <c r="E480" i="23"/>
  <c r="E479" i="23" s="1"/>
  <c r="E478" i="23" s="1"/>
  <c r="F345" i="22"/>
  <c r="F344" i="22" s="1"/>
  <c r="F340" i="22"/>
  <c r="F339" i="22" s="1"/>
  <c r="F338" i="22" s="1"/>
  <c r="F336" i="22"/>
  <c r="F335" i="22" s="1"/>
  <c r="F334" i="22" s="1"/>
  <c r="F329" i="22"/>
  <c r="F328" i="22" s="1"/>
  <c r="F326" i="22"/>
  <c r="F325" i="22" s="1"/>
  <c r="E337" i="23"/>
  <c r="E336" i="23" s="1"/>
  <c r="E335" i="23" s="1"/>
  <c r="E334" i="23"/>
  <c r="E333" i="23" s="1"/>
  <c r="E332" i="23" s="1"/>
  <c r="F314" i="22"/>
  <c r="F313" i="22" s="1"/>
  <c r="E326" i="23"/>
  <c r="E325" i="23" s="1"/>
  <c r="E324" i="23" s="1"/>
  <c r="E323" i="23"/>
  <c r="E322" i="23" s="1"/>
  <c r="E321" i="23" s="1"/>
  <c r="F300" i="22"/>
  <c r="F299" i="22" s="1"/>
  <c r="F291" i="22"/>
  <c r="F290" i="22" s="1"/>
  <c r="E305" i="23"/>
  <c r="E304" i="23" s="1"/>
  <c r="E303" i="23" s="1"/>
  <c r="F280" i="22"/>
  <c r="F279" i="22" s="1"/>
  <c r="F277" i="22"/>
  <c r="F276" i="22" s="1"/>
  <c r="F274" i="22"/>
  <c r="F273" i="22" s="1"/>
  <c r="F268" i="22"/>
  <c r="F267" i="22" s="1"/>
  <c r="F266" i="22" s="1"/>
  <c r="F264" i="22"/>
  <c r="F263" i="22" s="1"/>
  <c r="F261" i="22"/>
  <c r="F260" i="22" s="1"/>
  <c r="F258" i="22"/>
  <c r="F257" i="22" s="1"/>
  <c r="F255" i="22"/>
  <c r="F254" i="22" s="1"/>
  <c r="E263" i="23"/>
  <c r="E262" i="23" s="1"/>
  <c r="E261" i="23" s="1"/>
  <c r="E260" i="23"/>
  <c r="E259" i="23" s="1"/>
  <c r="E258" i="23" s="1"/>
  <c r="E257" i="23"/>
  <c r="E256" i="23" s="1"/>
  <c r="E255" i="23"/>
  <c r="E254" i="23" s="1"/>
  <c r="F244" i="22"/>
  <c r="F236" i="22"/>
  <c r="F235" i="22" s="1"/>
  <c r="F234" i="22" s="1"/>
  <c r="F233" i="22" s="1"/>
  <c r="E242" i="23"/>
  <c r="E241" i="23" s="1"/>
  <c r="E240" i="23" s="1"/>
  <c r="E239" i="23" s="1"/>
  <c r="E238" i="23" s="1"/>
  <c r="F224" i="22"/>
  <c r="F223" i="22" s="1"/>
  <c r="F222" i="22" s="1"/>
  <c r="E231" i="23"/>
  <c r="E230" i="23" s="1"/>
  <c r="E229" i="23" s="1"/>
  <c r="E228" i="23" s="1"/>
  <c r="F215" i="22"/>
  <c r="F214" i="22" s="1"/>
  <c r="F213" i="22" s="1"/>
  <c r="F212" i="22" s="1"/>
  <c r="F741" i="22" s="1"/>
  <c r="E220" i="23"/>
  <c r="E219" i="23" s="1"/>
  <c r="E218" i="23" s="1"/>
  <c r="F206" i="22"/>
  <c r="F205" i="22" s="1"/>
  <c r="F197" i="22"/>
  <c r="F196" i="22" s="1"/>
  <c r="F195" i="22" s="1"/>
  <c r="F194" i="22" s="1"/>
  <c r="F748" i="22" s="1"/>
  <c r="F192" i="22"/>
  <c r="F191" i="22" s="1"/>
  <c r="E197" i="23"/>
  <c r="E196" i="23" s="1"/>
  <c r="E195" i="23" s="1"/>
  <c r="E194" i="23" s="1"/>
  <c r="E193" i="23" s="1"/>
  <c r="E192" i="23" s="1"/>
  <c r="F179" i="22"/>
  <c r="F178" i="22" s="1"/>
  <c r="F177" i="22" s="1"/>
  <c r="F176" i="22" s="1"/>
  <c r="F174" i="22"/>
  <c r="F173" i="22" s="1"/>
  <c r="F172" i="22" s="1"/>
  <c r="F171" i="22" s="1"/>
  <c r="E179" i="23"/>
  <c r="E178" i="23" s="1"/>
  <c r="E177" i="23" s="1"/>
  <c r="F165" i="22"/>
  <c r="F164" i="22" s="1"/>
  <c r="F163" i="22" s="1"/>
  <c r="E169" i="23"/>
  <c r="E168" i="23" s="1"/>
  <c r="E167" i="23"/>
  <c r="E166" i="23" s="1"/>
  <c r="F153" i="22"/>
  <c r="F151" i="22"/>
  <c r="F148" i="22"/>
  <c r="F146" i="22"/>
  <c r="F143" i="22"/>
  <c r="F141" i="22"/>
  <c r="F138" i="22"/>
  <c r="F137" i="22" s="1"/>
  <c r="F135" i="22"/>
  <c r="F133" i="22"/>
  <c r="F129" i="22"/>
  <c r="F128" i="22" s="1"/>
  <c r="F125" i="22"/>
  <c r="F122" i="22" s="1"/>
  <c r="F120" i="22"/>
  <c r="E123" i="23"/>
  <c r="E122" i="23" s="1"/>
  <c r="F115" i="22"/>
  <c r="F114" i="22" s="1"/>
  <c r="F106" i="22"/>
  <c r="F104" i="22"/>
  <c r="F99" i="22"/>
  <c r="F98" i="22" s="1"/>
  <c r="E100" i="23"/>
  <c r="E99" i="23" s="1"/>
  <c r="F91" i="22"/>
  <c r="F90" i="22" s="1"/>
  <c r="F89" i="22" s="1"/>
  <c r="F88" i="22" s="1"/>
  <c r="F740" i="22" s="1"/>
  <c r="F86" i="22"/>
  <c r="F84" i="22"/>
  <c r="F81" i="22"/>
  <c r="F80" i="22" s="1"/>
  <c r="F77" i="22"/>
  <c r="E80" i="23"/>
  <c r="E79" i="23" s="1"/>
  <c r="E78" i="23"/>
  <c r="E77" i="23" s="1"/>
  <c r="F69" i="22"/>
  <c r="F68" i="22" s="1"/>
  <c r="F66" i="22"/>
  <c r="F65" i="22" s="1"/>
  <c r="F55" i="22"/>
  <c r="F54" i="22" s="1"/>
  <c r="F53" i="22" s="1"/>
  <c r="F52" i="22" s="1"/>
  <c r="F50" i="22"/>
  <c r="F49" i="22" s="1"/>
  <c r="F44" i="22"/>
  <c r="E37" i="23"/>
  <c r="E36" i="23" s="1"/>
  <c r="E17" i="23"/>
  <c r="E16" i="23" s="1"/>
  <c r="E15" i="23" s="1"/>
  <c r="E14" i="23" s="1"/>
  <c r="F30" i="22"/>
  <c r="F29" i="22" s="1"/>
  <c r="F28" i="22" s="1"/>
  <c r="F27" i="22" s="1"/>
  <c r="F25" i="22"/>
  <c r="F24" i="22" s="1"/>
  <c r="F23" i="22" s="1"/>
  <c r="F22" i="22" s="1"/>
  <c r="F19" i="22"/>
  <c r="F17" i="22"/>
  <c r="F15" i="22"/>
  <c r="D60" i="21"/>
  <c r="G60" i="21" s="1"/>
  <c r="D65" i="21"/>
  <c r="G65" i="21" s="1"/>
  <c r="D58" i="21"/>
  <c r="G58" i="21" s="1"/>
  <c r="D57" i="21"/>
  <c r="G57" i="21" s="1"/>
  <c r="D54" i="21"/>
  <c r="D52" i="21"/>
  <c r="G52" i="21" s="1"/>
  <c r="D31" i="15"/>
  <c r="C31" i="15"/>
  <c r="D29" i="15"/>
  <c r="C29" i="15"/>
  <c r="D27" i="15"/>
  <c r="C27" i="15"/>
  <c r="D23" i="15"/>
  <c r="C23" i="15"/>
  <c r="D21" i="15"/>
  <c r="C21" i="15"/>
  <c r="D18" i="15"/>
  <c r="C18" i="15"/>
  <c r="D14" i="15"/>
  <c r="C14" i="15"/>
  <c r="D12" i="15"/>
  <c r="C12" i="15"/>
  <c r="D10" i="15"/>
  <c r="C10" i="15"/>
  <c r="F67" i="21"/>
  <c r="E66" i="21"/>
  <c r="C66" i="21"/>
  <c r="F65" i="21"/>
  <c r="G64" i="21"/>
  <c r="F64" i="21"/>
  <c r="C63" i="21"/>
  <c r="C55" i="21" s="1"/>
  <c r="F55" i="21" s="1"/>
  <c r="G62" i="21"/>
  <c r="F62" i="21"/>
  <c r="F61" i="21"/>
  <c r="D61" i="21"/>
  <c r="G61" i="21" s="1"/>
  <c r="F60" i="21"/>
  <c r="F59" i="21"/>
  <c r="D59" i="21"/>
  <c r="G59" i="21" s="1"/>
  <c r="F58" i="21"/>
  <c r="F57" i="21"/>
  <c r="C57" i="21"/>
  <c r="F56" i="21"/>
  <c r="E56" i="21"/>
  <c r="D56" i="21"/>
  <c r="C56" i="21"/>
  <c r="E55" i="21"/>
  <c r="F54" i="21"/>
  <c r="E54" i="21"/>
  <c r="C54" i="21"/>
  <c r="F53" i="21"/>
  <c r="D53" i="21"/>
  <c r="G53" i="21" s="1"/>
  <c r="F52" i="21"/>
  <c r="G51" i="21"/>
  <c r="C51" i="21"/>
  <c r="C47" i="21" s="1"/>
  <c r="G50" i="21"/>
  <c r="F50" i="21"/>
  <c r="G49" i="21"/>
  <c r="F49" i="21"/>
  <c r="F48" i="21"/>
  <c r="D48" i="21"/>
  <c r="G48" i="21" s="1"/>
  <c r="E47" i="21"/>
  <c r="E43" i="21" s="1"/>
  <c r="G46" i="21"/>
  <c r="F46" i="21"/>
  <c r="G45" i="21"/>
  <c r="F45" i="21"/>
  <c r="C45" i="21"/>
  <c r="G44" i="21"/>
  <c r="E44" i="21"/>
  <c r="F44" i="21" s="1"/>
  <c r="D44" i="21"/>
  <c r="C44" i="21"/>
  <c r="G41" i="21"/>
  <c r="F41" i="21"/>
  <c r="G40" i="21"/>
  <c r="D40" i="21"/>
  <c r="C40" i="21"/>
  <c r="F40" i="21" s="1"/>
  <c r="F39" i="21"/>
  <c r="D39" i="21"/>
  <c r="G39" i="21" s="1"/>
  <c r="F38" i="21"/>
  <c r="D38" i="21"/>
  <c r="G38" i="21" s="1"/>
  <c r="F37" i="21"/>
  <c r="D37" i="21"/>
  <c r="G37" i="21" s="1"/>
  <c r="F36" i="21"/>
  <c r="E36" i="21"/>
  <c r="C36" i="21"/>
  <c r="F35" i="21"/>
  <c r="D35" i="21"/>
  <c r="D34" i="21" s="1"/>
  <c r="G34" i="21" s="1"/>
  <c r="E34" i="21"/>
  <c r="C34" i="21"/>
  <c r="F34" i="21" s="1"/>
  <c r="F33" i="21"/>
  <c r="D33" i="21"/>
  <c r="G33" i="21" s="1"/>
  <c r="E32" i="21"/>
  <c r="F32" i="21" s="1"/>
  <c r="C32" i="21"/>
  <c r="F31" i="21"/>
  <c r="D31" i="21"/>
  <c r="G31" i="21" s="1"/>
  <c r="F30" i="21"/>
  <c r="D30" i="21"/>
  <c r="G30" i="21" s="1"/>
  <c r="F29" i="21"/>
  <c r="D29" i="21"/>
  <c r="G29" i="21" s="1"/>
  <c r="E28" i="21"/>
  <c r="F28" i="21" s="1"/>
  <c r="C28" i="21"/>
  <c r="F27" i="21"/>
  <c r="D27" i="21"/>
  <c r="G27" i="21" s="1"/>
  <c r="E26" i="21"/>
  <c r="F26" i="21" s="1"/>
  <c r="C26" i="21"/>
  <c r="F25" i="21"/>
  <c r="D25" i="21"/>
  <c r="G25" i="21" s="1"/>
  <c r="F24" i="21"/>
  <c r="D24" i="21"/>
  <c r="G24" i="21" s="1"/>
  <c r="E23" i="21"/>
  <c r="C23" i="21"/>
  <c r="F23" i="21" s="1"/>
  <c r="F22" i="21"/>
  <c r="D22" i="21"/>
  <c r="G22" i="21" s="1"/>
  <c r="F21" i="21"/>
  <c r="D21" i="21"/>
  <c r="G20" i="21"/>
  <c r="F20" i="21"/>
  <c r="F19" i="21"/>
  <c r="D19" i="21"/>
  <c r="G19" i="21" s="1"/>
  <c r="E18" i="21"/>
  <c r="F18" i="21" s="1"/>
  <c r="C18" i="21"/>
  <c r="F17" i="21"/>
  <c r="D17" i="21"/>
  <c r="G17" i="21" s="1"/>
  <c r="E16" i="21"/>
  <c r="C16" i="21"/>
  <c r="F15" i="21"/>
  <c r="D15" i="21"/>
  <c r="G15" i="21" s="1"/>
  <c r="F14" i="21"/>
  <c r="E14" i="21"/>
  <c r="C14" i="21"/>
  <c r="C13" i="21"/>
  <c r="C71" i="26"/>
  <c r="C65" i="26"/>
  <c r="C59" i="26" s="1"/>
  <c r="C53" i="26"/>
  <c r="C48" i="26" s="1"/>
  <c r="C46" i="26"/>
  <c r="C45" i="26" s="1"/>
  <c r="C37" i="26"/>
  <c r="C35" i="26"/>
  <c r="C33" i="26"/>
  <c r="C29" i="26"/>
  <c r="C27" i="26"/>
  <c r="C24" i="26"/>
  <c r="C19" i="26"/>
  <c r="C17" i="26"/>
  <c r="C16" i="26"/>
  <c r="C15" i="26"/>
  <c r="E638" i="17" l="1"/>
  <c r="C62" i="18"/>
  <c r="C60" i="18" s="1"/>
  <c r="F638" i="17"/>
  <c r="D62" i="18"/>
  <c r="D60" i="18" s="1"/>
  <c r="E505" i="17"/>
  <c r="E585" i="17" s="1"/>
  <c r="F52" i="18" s="1"/>
  <c r="C53" i="18"/>
  <c r="E500" i="17"/>
  <c r="E580" i="17" s="1"/>
  <c r="F39" i="18" s="1"/>
  <c r="C40" i="18"/>
  <c r="C39" i="18" s="1"/>
  <c r="F620" i="17"/>
  <c r="D35" i="18"/>
  <c r="D33" i="18" s="1"/>
  <c r="E620" i="17"/>
  <c r="C35" i="18"/>
  <c r="C33" i="18" s="1"/>
  <c r="E381" i="17"/>
  <c r="E380" i="17" s="1"/>
  <c r="E121" i="23"/>
  <c r="E23" i="23"/>
  <c r="E19" i="23" s="1"/>
  <c r="E18" i="23" s="1"/>
  <c r="E409" i="23"/>
  <c r="F664" i="22"/>
  <c r="F663" i="22" s="1"/>
  <c r="F662" i="22" s="1"/>
  <c r="F661" i="22" s="1"/>
  <c r="F654" i="22" s="1"/>
  <c r="E35" i="23"/>
  <c r="E34" i="23" s="1"/>
  <c r="E33" i="23" s="1"/>
  <c r="F402" i="22"/>
  <c r="F401" i="22" s="1"/>
  <c r="F467" i="22"/>
  <c r="F466" i="22" s="1"/>
  <c r="D36" i="21"/>
  <c r="G36" i="21" s="1"/>
  <c r="D9" i="15"/>
  <c r="G685" i="25" s="1"/>
  <c r="G687" i="25" s="1"/>
  <c r="D16" i="21"/>
  <c r="G16" i="21" s="1"/>
  <c r="C9" i="15"/>
  <c r="D14" i="21"/>
  <c r="G14" i="21" s="1"/>
  <c r="D18" i="21"/>
  <c r="G18" i="21" s="1"/>
  <c r="D47" i="21"/>
  <c r="G47" i="21" s="1"/>
  <c r="D67" i="21"/>
  <c r="G67" i="21" s="1"/>
  <c r="G54" i="21"/>
  <c r="G56" i="21"/>
  <c r="D37" i="15"/>
  <c r="D63" i="15" s="1"/>
  <c r="E42" i="21"/>
  <c r="F15" i="16"/>
  <c r="F14" i="16" s="1"/>
  <c r="G67" i="16"/>
  <c r="H67" i="16"/>
  <c r="J105" i="16"/>
  <c r="I104" i="16"/>
  <c r="J69" i="16"/>
  <c r="I68" i="16"/>
  <c r="J92" i="16"/>
  <c r="I91" i="16"/>
  <c r="I95" i="16"/>
  <c r="G25" i="16"/>
  <c r="G15" i="16" s="1"/>
  <c r="I52" i="16"/>
  <c r="J52" i="16" s="1"/>
  <c r="J53" i="16"/>
  <c r="I51" i="16"/>
  <c r="I61" i="16"/>
  <c r="J61" i="16" s="1"/>
  <c r="J62" i="16"/>
  <c r="J76" i="16"/>
  <c r="I75" i="16"/>
  <c r="J75" i="16" s="1"/>
  <c r="F83" i="16"/>
  <c r="J120" i="16"/>
  <c r="J134" i="16"/>
  <c r="C43" i="21"/>
  <c r="C42" i="21" s="1"/>
  <c r="C68" i="21" s="1"/>
  <c r="J17" i="16"/>
  <c r="I16" i="16"/>
  <c r="L25" i="16"/>
  <c r="L15" i="16" s="1"/>
  <c r="J28" i="16"/>
  <c r="I27" i="16"/>
  <c r="I31" i="16"/>
  <c r="J39" i="16"/>
  <c r="I38" i="16"/>
  <c r="I44" i="16"/>
  <c r="J45" i="16"/>
  <c r="F51" i="16"/>
  <c r="F50" i="16" s="1"/>
  <c r="F37" i="16" s="1"/>
  <c r="F52" i="16"/>
  <c r="J58" i="16"/>
  <c r="I57" i="16"/>
  <c r="F67" i="16"/>
  <c r="F66" i="16" s="1"/>
  <c r="J97" i="16"/>
  <c r="H96" i="16"/>
  <c r="H95" i="16" s="1"/>
  <c r="G128" i="16"/>
  <c r="J129" i="16"/>
  <c r="L128" i="16"/>
  <c r="L110" i="16" s="1"/>
  <c r="L66" i="16" s="1"/>
  <c r="L37" i="16" s="1"/>
  <c r="J46" i="16"/>
  <c r="J54" i="16"/>
  <c r="J63" i="16"/>
  <c r="G58" i="29"/>
  <c r="G57" i="29" s="1"/>
  <c r="G56" i="29" s="1"/>
  <c r="G55" i="29" s="1"/>
  <c r="G54" i="29" s="1"/>
  <c r="E65" i="23"/>
  <c r="E64" i="23" s="1"/>
  <c r="E63" i="23" s="1"/>
  <c r="E62" i="23" s="1"/>
  <c r="E61" i="23" s="1"/>
  <c r="J148" i="16"/>
  <c r="J170" i="16"/>
  <c r="I169" i="16"/>
  <c r="L180" i="16"/>
  <c r="L179" i="16" s="1"/>
  <c r="L181" i="16"/>
  <c r="F198" i="16"/>
  <c r="F197" i="16" s="1"/>
  <c r="F196" i="16" s="1"/>
  <c r="J236" i="16"/>
  <c r="I235" i="16"/>
  <c r="H241" i="16"/>
  <c r="H240" i="16" s="1"/>
  <c r="H239" i="16" s="1"/>
  <c r="J285" i="16"/>
  <c r="I295" i="16"/>
  <c r="J319" i="16"/>
  <c r="I318" i="16"/>
  <c r="E13" i="21"/>
  <c r="F16" i="21"/>
  <c r="D23" i="21"/>
  <c r="G23" i="21" s="1"/>
  <c r="D26" i="21"/>
  <c r="G26" i="21" s="1"/>
  <c r="F47" i="21"/>
  <c r="F51" i="21"/>
  <c r="F63" i="21"/>
  <c r="F66" i="21"/>
  <c r="F443" i="22"/>
  <c r="F442" i="22" s="1"/>
  <c r="J18" i="16"/>
  <c r="J29" i="16"/>
  <c r="J40" i="16"/>
  <c r="J59" i="16"/>
  <c r="J70" i="16"/>
  <c r="J77" i="16"/>
  <c r="J84" i="16"/>
  <c r="J93" i="16"/>
  <c r="J106" i="16"/>
  <c r="I112" i="16"/>
  <c r="J113" i="16"/>
  <c r="J117" i="16"/>
  <c r="J130" i="16"/>
  <c r="J155" i="16"/>
  <c r="I159" i="16"/>
  <c r="F167" i="16"/>
  <c r="G180" i="16"/>
  <c r="G179" i="16" s="1"/>
  <c r="G181" i="16"/>
  <c r="G198" i="16"/>
  <c r="G197" i="16" s="1"/>
  <c r="G196" i="16" s="1"/>
  <c r="I209" i="16"/>
  <c r="J209" i="16" s="1"/>
  <c r="J210" i="16"/>
  <c r="I213" i="16"/>
  <c r="I218" i="16"/>
  <c r="J219" i="16"/>
  <c r="H228" i="16"/>
  <c r="L295" i="16"/>
  <c r="F304" i="16"/>
  <c r="F303" i="16" s="1"/>
  <c r="J334" i="16"/>
  <c r="H333" i="16"/>
  <c r="H328" i="16" s="1"/>
  <c r="H327" i="16" s="1"/>
  <c r="H326" i="16" s="1"/>
  <c r="H693" i="16" s="1"/>
  <c r="H297" i="17" s="1"/>
  <c r="J23" i="16"/>
  <c r="H33" i="16"/>
  <c r="G37" i="29"/>
  <c r="G800" i="29"/>
  <c r="J150" i="16"/>
  <c r="I152" i="16"/>
  <c r="H152" i="16"/>
  <c r="H128" i="16" s="1"/>
  <c r="L159" i="16"/>
  <c r="L158" i="16" s="1"/>
  <c r="L157" i="16" s="1"/>
  <c r="L689" i="16" s="1"/>
  <c r="I173" i="16"/>
  <c r="J173" i="16" s="1"/>
  <c r="J174" i="16"/>
  <c r="H186" i="16"/>
  <c r="H185" i="16" s="1"/>
  <c r="H187" i="16"/>
  <c r="J193" i="16"/>
  <c r="H192" i="16"/>
  <c r="H191" i="16" s="1"/>
  <c r="F218" i="16"/>
  <c r="F208" i="16" s="1"/>
  <c r="I229" i="16"/>
  <c r="J230" i="16"/>
  <c r="F241" i="16"/>
  <c r="F240" i="16" s="1"/>
  <c r="F239" i="16" s="1"/>
  <c r="G273" i="16"/>
  <c r="G272" i="16" s="1"/>
  <c r="G271" i="16" s="1"/>
  <c r="G227" i="16" s="1"/>
  <c r="G692" i="16" s="1"/>
  <c r="G220" i="17" s="1"/>
  <c r="G294" i="16"/>
  <c r="I304" i="16"/>
  <c r="J333" i="16"/>
  <c r="D32" i="21"/>
  <c r="G32" i="21" s="1"/>
  <c r="F145" i="22"/>
  <c r="F461" i="22"/>
  <c r="F460" i="22" s="1"/>
  <c r="I186" i="16"/>
  <c r="I187" i="16"/>
  <c r="J188" i="16"/>
  <c r="J192" i="16"/>
  <c r="I191" i="16"/>
  <c r="J191" i="16" s="1"/>
  <c r="I198" i="16"/>
  <c r="J199" i="16"/>
  <c r="G208" i="16"/>
  <c r="I273" i="16"/>
  <c r="J274" i="16"/>
  <c r="F294" i="16"/>
  <c r="F271" i="16" s="1"/>
  <c r="G206" i="29"/>
  <c r="G205" i="29" s="1"/>
  <c r="G204" i="29" s="1"/>
  <c r="G203" i="29" s="1"/>
  <c r="G202" i="29" s="1"/>
  <c r="E214" i="23"/>
  <c r="E213" i="23" s="1"/>
  <c r="E212" i="23" s="1"/>
  <c r="E211" i="23" s="1"/>
  <c r="C59" i="24" s="1"/>
  <c r="C58" i="24" s="1"/>
  <c r="I255" i="16"/>
  <c r="J255" i="16" s="1"/>
  <c r="G355" i="29"/>
  <c r="G354" i="29" s="1"/>
  <c r="G353" i="29" s="1"/>
  <c r="G352" i="29" s="1"/>
  <c r="G351" i="29" s="1"/>
  <c r="J348" i="16"/>
  <c r="I347" i="16"/>
  <c r="J286" i="16"/>
  <c r="I292" i="16"/>
  <c r="J312" i="16"/>
  <c r="J320" i="16"/>
  <c r="G345" i="16"/>
  <c r="G344" i="16" s="1"/>
  <c r="G343" i="16" s="1"/>
  <c r="G342" i="16" s="1"/>
  <c r="L345" i="16"/>
  <c r="L344" i="16" s="1"/>
  <c r="L343" i="16" s="1"/>
  <c r="L342" i="16" s="1"/>
  <c r="I388" i="16"/>
  <c r="J175" i="16"/>
  <c r="J189" i="16"/>
  <c r="J200" i="16"/>
  <c r="J211" i="16"/>
  <c r="J220" i="16"/>
  <c r="J231" i="16"/>
  <c r="J242" i="16"/>
  <c r="G241" i="25"/>
  <c r="J247" i="29"/>
  <c r="J246" i="29" s="1"/>
  <c r="J243" i="29" s="1"/>
  <c r="J242" i="29" s="1"/>
  <c r="J241" i="29" s="1"/>
  <c r="L253" i="16"/>
  <c r="L252" i="16" s="1"/>
  <c r="L241" i="16" s="1"/>
  <c r="L240" i="16" s="1"/>
  <c r="L239" i="16" s="1"/>
  <c r="J262" i="16"/>
  <c r="J275" i="16"/>
  <c r="L286" i="16"/>
  <c r="L285" i="16" s="1"/>
  <c r="L284" i="16" s="1"/>
  <c r="L283" i="16" s="1"/>
  <c r="G297" i="29"/>
  <c r="G296" i="29" s="1"/>
  <c r="G295" i="29" s="1"/>
  <c r="G288" i="29" s="1"/>
  <c r="G287" i="29" s="1"/>
  <c r="E311" i="23"/>
  <c r="E310" i="23" s="1"/>
  <c r="E309" i="23" s="1"/>
  <c r="L312" i="16"/>
  <c r="L311" i="16" s="1"/>
  <c r="L304" i="16" s="1"/>
  <c r="L303" i="16" s="1"/>
  <c r="J335" i="16"/>
  <c r="G338" i="16"/>
  <c r="G337" i="16" s="1"/>
  <c r="G327" i="16" s="1"/>
  <c r="G326" i="16" s="1"/>
  <c r="G693" i="16" s="1"/>
  <c r="G297" i="17" s="1"/>
  <c r="J350" i="16"/>
  <c r="I349" i="16"/>
  <c r="J349" i="16" s="1"/>
  <c r="J352" i="16"/>
  <c r="J367" i="16"/>
  <c r="L393" i="16"/>
  <c r="I399" i="16"/>
  <c r="H161" i="16"/>
  <c r="H182" i="16"/>
  <c r="L200" i="16"/>
  <c r="L199" i="16" s="1"/>
  <c r="L198" i="16" s="1"/>
  <c r="L197" i="16" s="1"/>
  <c r="L196" i="16" s="1"/>
  <c r="L178" i="16" s="1"/>
  <c r="L691" i="16" s="1"/>
  <c r="H215" i="16"/>
  <c r="H224" i="16"/>
  <c r="G245" i="29"/>
  <c r="G244" i="29" s="1"/>
  <c r="G243" i="29" s="1"/>
  <c r="G242" i="29" s="1"/>
  <c r="G241" i="29" s="1"/>
  <c r="E253" i="23"/>
  <c r="E252" i="23" s="1"/>
  <c r="E251" i="23" s="1"/>
  <c r="E250" i="23" s="1"/>
  <c r="H264" i="16"/>
  <c r="J264" i="16" s="1"/>
  <c r="H277" i="16"/>
  <c r="H273" i="16" s="1"/>
  <c r="H272" i="16" s="1"/>
  <c r="H271" i="16" s="1"/>
  <c r="H297" i="16"/>
  <c r="H296" i="16" s="1"/>
  <c r="H295" i="16" s="1"/>
  <c r="H294" i="16" s="1"/>
  <c r="H305" i="16"/>
  <c r="H304" i="16" s="1"/>
  <c r="H303" i="16" s="1"/>
  <c r="I330" i="16"/>
  <c r="I337" i="16"/>
  <c r="J337" i="16" s="1"/>
  <c r="F359" i="16"/>
  <c r="F358" i="16" s="1"/>
  <c r="F357" i="16" s="1"/>
  <c r="F356" i="16" s="1"/>
  <c r="L359" i="16"/>
  <c r="L358" i="16" s="1"/>
  <c r="L357" i="16" s="1"/>
  <c r="L356" i="16" s="1"/>
  <c r="L695" i="16" s="1"/>
  <c r="J373" i="16"/>
  <c r="H358" i="16"/>
  <c r="H357" i="16" s="1"/>
  <c r="H356" i="16" s="1"/>
  <c r="H695" i="16" s="1"/>
  <c r="H446" i="17" s="1"/>
  <c r="G387" i="16"/>
  <c r="G696" i="16" s="1"/>
  <c r="G488" i="17" s="1"/>
  <c r="I364" i="16"/>
  <c r="J368" i="16"/>
  <c r="I376" i="16"/>
  <c r="J376" i="16" s="1"/>
  <c r="I383" i="16"/>
  <c r="H390" i="16"/>
  <c r="I396" i="16"/>
  <c r="H401" i="16"/>
  <c r="I404" i="16"/>
  <c r="J404" i="16" s="1"/>
  <c r="G410" i="16"/>
  <c r="G409" i="16" s="1"/>
  <c r="G408" i="16" s="1"/>
  <c r="L410" i="16"/>
  <c r="L409" i="16" s="1"/>
  <c r="L408" i="16" s="1"/>
  <c r="L387" i="16" s="1"/>
  <c r="L696" i="16" s="1"/>
  <c r="I475" i="16"/>
  <c r="J476" i="16"/>
  <c r="I361" i="16"/>
  <c r="J362" i="16"/>
  <c r="I411" i="16"/>
  <c r="J412" i="16"/>
  <c r="F435" i="16"/>
  <c r="F428" i="16" s="1"/>
  <c r="F427" i="16" s="1"/>
  <c r="F426" i="16" s="1"/>
  <c r="J447" i="16"/>
  <c r="I446" i="16"/>
  <c r="J482" i="16"/>
  <c r="I481" i="16"/>
  <c r="J485" i="16"/>
  <c r="I430" i="16"/>
  <c r="J431" i="16"/>
  <c r="J453" i="16"/>
  <c r="J454" i="16"/>
  <c r="H453" i="16"/>
  <c r="H452" i="16" s="1"/>
  <c r="I414" i="16"/>
  <c r="J414" i="16" s="1"/>
  <c r="L435" i="16"/>
  <c r="L428" i="16" s="1"/>
  <c r="L427" i="16" s="1"/>
  <c r="L426" i="16" s="1"/>
  <c r="L697" i="16" s="1"/>
  <c r="I435" i="16"/>
  <c r="J436" i="16"/>
  <c r="I460" i="16"/>
  <c r="J502" i="16"/>
  <c r="I501" i="16"/>
  <c r="I576" i="16"/>
  <c r="I599" i="16"/>
  <c r="J448" i="16"/>
  <c r="J461" i="16"/>
  <c r="J465" i="16"/>
  <c r="J472" i="16"/>
  <c r="J483" i="16"/>
  <c r="J490" i="16"/>
  <c r="J503" i="16"/>
  <c r="J510" i="16"/>
  <c r="J524" i="16"/>
  <c r="J547" i="16"/>
  <c r="G550" i="16"/>
  <c r="G536" i="16" s="1"/>
  <c r="G535" i="16" s="1"/>
  <c r="G534" i="16" s="1"/>
  <c r="G497" i="16" s="1"/>
  <c r="G496" i="16" s="1"/>
  <c r="F576" i="16"/>
  <c r="F575" i="16" s="1"/>
  <c r="F574" i="16" s="1"/>
  <c r="J581" i="16"/>
  <c r="J415" i="16"/>
  <c r="G457" i="29"/>
  <c r="G456" i="29" s="1"/>
  <c r="G455" i="29" s="1"/>
  <c r="G454" i="29" s="1"/>
  <c r="G453" i="29" s="1"/>
  <c r="E633" i="23"/>
  <c r="E632" i="23" s="1"/>
  <c r="E631" i="23" s="1"/>
  <c r="J437" i="16"/>
  <c r="J463" i="16"/>
  <c r="J477" i="16"/>
  <c r="J486" i="16"/>
  <c r="I512" i="16"/>
  <c r="J512" i="16" s="1"/>
  <c r="J530" i="16"/>
  <c r="I537" i="16"/>
  <c r="L550" i="16"/>
  <c r="L536" i="16" s="1"/>
  <c r="L535" i="16" s="1"/>
  <c r="L534" i="16" s="1"/>
  <c r="J554" i="16"/>
  <c r="G598" i="16"/>
  <c r="G597" i="16" s="1"/>
  <c r="H420" i="16"/>
  <c r="H410" i="16" s="1"/>
  <c r="H409" i="16" s="1"/>
  <c r="H408" i="16" s="1"/>
  <c r="H439" i="16"/>
  <c r="J439" i="16" s="1"/>
  <c r="G545" i="29"/>
  <c r="G544" i="29" s="1"/>
  <c r="G543" i="29" s="1"/>
  <c r="G542" i="29" s="1"/>
  <c r="E373" i="23"/>
  <c r="E372" i="23" s="1"/>
  <c r="E371" i="23" s="1"/>
  <c r="E370" i="23" s="1"/>
  <c r="C11" i="24" s="1"/>
  <c r="H521" i="16"/>
  <c r="J521" i="16" s="1"/>
  <c r="L508" i="16"/>
  <c r="L500" i="16" s="1"/>
  <c r="L499" i="16" s="1"/>
  <c r="L498" i="16" s="1"/>
  <c r="L497" i="16" s="1"/>
  <c r="L496" i="16" s="1"/>
  <c r="F537" i="16"/>
  <c r="F536" i="16" s="1"/>
  <c r="F535" i="16" s="1"/>
  <c r="F534" i="16" s="1"/>
  <c r="I566" i="16"/>
  <c r="I570" i="16"/>
  <c r="I551" i="16"/>
  <c r="J551" i="16" s="1"/>
  <c r="I605" i="16"/>
  <c r="H613" i="16"/>
  <c r="L619" i="16"/>
  <c r="L618" i="16" s="1"/>
  <c r="L617" i="16" s="1"/>
  <c r="L616" i="16" s="1"/>
  <c r="H618" i="16"/>
  <c r="H617" i="16" s="1"/>
  <c r="H616" i="16" s="1"/>
  <c r="I638" i="16"/>
  <c r="J639" i="16"/>
  <c r="H669" i="16"/>
  <c r="H668" i="16" s="1"/>
  <c r="H667" i="16" s="1"/>
  <c r="H666" i="16" s="1"/>
  <c r="H706" i="16"/>
  <c r="I669" i="16"/>
  <c r="J670" i="16"/>
  <c r="G564" i="29"/>
  <c r="G563" i="29" s="1"/>
  <c r="G562" i="29" s="1"/>
  <c r="G549" i="29" s="1"/>
  <c r="E392" i="23"/>
  <c r="E391" i="23" s="1"/>
  <c r="E390" i="23" s="1"/>
  <c r="E377" i="23" s="1"/>
  <c r="C12" i="24" s="1"/>
  <c r="J531" i="16"/>
  <c r="J542" i="16"/>
  <c r="J561" i="16"/>
  <c r="J582" i="16"/>
  <c r="J589" i="16"/>
  <c r="F605" i="16"/>
  <c r="F604" i="16" s="1"/>
  <c r="F598" i="16" s="1"/>
  <c r="F597" i="16" s="1"/>
  <c r="J626" i="16"/>
  <c r="L706" i="16"/>
  <c r="H537" i="16"/>
  <c r="H544" i="16"/>
  <c r="J544" i="16" s="1"/>
  <c r="H563" i="16"/>
  <c r="H550" i="16" s="1"/>
  <c r="H567" i="16"/>
  <c r="H566" i="16" s="1"/>
  <c r="H571" i="16"/>
  <c r="H570" i="16" s="1"/>
  <c r="H577" i="16"/>
  <c r="H591" i="16"/>
  <c r="J591" i="16" s="1"/>
  <c r="H600" i="16"/>
  <c r="H599" i="16" s="1"/>
  <c r="H598" i="16" s="1"/>
  <c r="H597" i="16" s="1"/>
  <c r="J610" i="16"/>
  <c r="J657" i="16"/>
  <c r="H656" i="16"/>
  <c r="H655" i="16" s="1"/>
  <c r="G706" i="16"/>
  <c r="J627" i="16"/>
  <c r="J640" i="16"/>
  <c r="J671" i="16"/>
  <c r="J673" i="16"/>
  <c r="I622" i="16"/>
  <c r="J623" i="16"/>
  <c r="G683" i="29"/>
  <c r="G682" i="29" s="1"/>
  <c r="G679" i="29" s="1"/>
  <c r="G671" i="29" s="1"/>
  <c r="G670" i="29" s="1"/>
  <c r="G669" i="29" s="1"/>
  <c r="E525" i="23"/>
  <c r="E524" i="23" s="1"/>
  <c r="E521" i="23" s="1"/>
  <c r="E72" i="17"/>
  <c r="E71" i="17" s="1"/>
  <c r="E70" i="17" s="1"/>
  <c r="I71" i="29"/>
  <c r="I70" i="29" s="1"/>
  <c r="I69" i="29" s="1"/>
  <c r="I68" i="29" s="1"/>
  <c r="I60" i="29" s="1"/>
  <c r="G106" i="25"/>
  <c r="G105" i="25" s="1"/>
  <c r="G104" i="25" s="1"/>
  <c r="G103" i="25" s="1"/>
  <c r="E200" i="17"/>
  <c r="E199" i="17" s="1"/>
  <c r="E198" i="17" s="1"/>
  <c r="I206" i="29"/>
  <c r="I205" i="29" s="1"/>
  <c r="I204" i="29" s="1"/>
  <c r="I203" i="29" s="1"/>
  <c r="I202" i="29" s="1"/>
  <c r="E289" i="17"/>
  <c r="E288" i="17" s="1"/>
  <c r="E284" i="17" s="1"/>
  <c r="E283" i="17" s="1"/>
  <c r="C75" i="18" s="1"/>
  <c r="I320" i="29"/>
  <c r="I319" i="29" s="1"/>
  <c r="I318" i="29" s="1"/>
  <c r="I314" i="29" s="1"/>
  <c r="I313" i="29" s="1"/>
  <c r="E103" i="17"/>
  <c r="E102" i="17" s="1"/>
  <c r="E101" i="17" s="1"/>
  <c r="I102" i="29"/>
  <c r="I101" i="29" s="1"/>
  <c r="I100" i="29" s="1"/>
  <c r="I99" i="29" s="1"/>
  <c r="I98" i="29" s="1"/>
  <c r="I790" i="29" s="1"/>
  <c r="E119" i="17"/>
  <c r="E118" i="17" s="1"/>
  <c r="I124" i="29"/>
  <c r="I122" i="29" s="1"/>
  <c r="I119" i="29" s="1"/>
  <c r="E138" i="17"/>
  <c r="E137" i="17" s="1"/>
  <c r="I144" i="29"/>
  <c r="I143" i="29" s="1"/>
  <c r="I142" i="29" s="1"/>
  <c r="E51" i="17"/>
  <c r="E48" i="17" s="1"/>
  <c r="E47" i="17" s="1"/>
  <c r="E46" i="17" s="1"/>
  <c r="I736" i="29"/>
  <c r="I735" i="29" s="1"/>
  <c r="I732" i="29" s="1"/>
  <c r="I728" i="29" s="1"/>
  <c r="I727" i="29" s="1"/>
  <c r="I726" i="29" s="1"/>
  <c r="I725" i="29" s="1"/>
  <c r="E143" i="17"/>
  <c r="E142" i="17" s="1"/>
  <c r="I149" i="29"/>
  <c r="I148" i="29" s="1"/>
  <c r="I147" i="29" s="1"/>
  <c r="E148" i="17"/>
  <c r="E147" i="17" s="1"/>
  <c r="I154" i="29"/>
  <c r="I153" i="29" s="1"/>
  <c r="I152" i="29" s="1"/>
  <c r="E239" i="17"/>
  <c r="E238" i="17" s="1"/>
  <c r="I247" i="29"/>
  <c r="I246" i="29" s="1"/>
  <c r="I243" i="29" s="1"/>
  <c r="I242" i="29" s="1"/>
  <c r="I241" i="29" s="1"/>
  <c r="E281" i="17"/>
  <c r="E280" i="17" s="1"/>
  <c r="E279" i="17" s="1"/>
  <c r="E643" i="17" s="1"/>
  <c r="I309" i="29"/>
  <c r="I308" i="29" s="1"/>
  <c r="I307" i="29" s="1"/>
  <c r="I306" i="29" s="1"/>
  <c r="I305" i="29" s="1"/>
  <c r="E398" i="17"/>
  <c r="E397" i="17" s="1"/>
  <c r="E396" i="17" s="1"/>
  <c r="E615" i="17" s="1"/>
  <c r="I355" i="29"/>
  <c r="I354" i="29" s="1"/>
  <c r="I353" i="29" s="1"/>
  <c r="I352" i="29" s="1"/>
  <c r="I351" i="29" s="1"/>
  <c r="F629" i="25"/>
  <c r="E432" i="17" s="1"/>
  <c r="E429" i="17" s="1"/>
  <c r="E554" i="17"/>
  <c r="E622" i="17" s="1"/>
  <c r="E129" i="17"/>
  <c r="F147" i="17"/>
  <c r="G632" i="25"/>
  <c r="F45" i="25"/>
  <c r="F44" i="25" s="1"/>
  <c r="F43" i="25" s="1"/>
  <c r="G477" i="25"/>
  <c r="G473" i="25" s="1"/>
  <c r="G472" i="25" s="1"/>
  <c r="G111" i="25"/>
  <c r="G18" i="25"/>
  <c r="G17" i="25" s="1"/>
  <c r="G16" i="25" s="1"/>
  <c r="G45" i="25"/>
  <c r="G44" i="25" s="1"/>
  <c r="G43" i="25" s="1"/>
  <c r="G337" i="25"/>
  <c r="D58" i="18" s="1"/>
  <c r="F632" i="25"/>
  <c r="F445" i="25"/>
  <c r="G625" i="25"/>
  <c r="G318" i="25"/>
  <c r="G317" i="25" s="1"/>
  <c r="G316" i="25" s="1"/>
  <c r="F477" i="25"/>
  <c r="F473" i="25" s="1"/>
  <c r="F472" i="25" s="1"/>
  <c r="F611" i="25"/>
  <c r="F610" i="25" s="1"/>
  <c r="F272" i="22"/>
  <c r="F271" i="22" s="1"/>
  <c r="C37" i="15"/>
  <c r="D63" i="21"/>
  <c r="G63" i="21" s="1"/>
  <c r="F150" i="22"/>
  <c r="C14" i="26"/>
  <c r="F489" i="22"/>
  <c r="F488" i="22" s="1"/>
  <c r="F132" i="22"/>
  <c r="F140" i="22"/>
  <c r="F343" i="22"/>
  <c r="F342" i="22" s="1"/>
  <c r="F745" i="22" s="1"/>
  <c r="F152" i="25"/>
  <c r="F362" i="25"/>
  <c r="G440" i="25"/>
  <c r="G439" i="25" s="1"/>
  <c r="G152" i="25"/>
  <c r="F269" i="25"/>
  <c r="G514" i="25"/>
  <c r="F137" i="25"/>
  <c r="F337" i="25"/>
  <c r="C58" i="18" s="1"/>
  <c r="F318" i="25"/>
  <c r="F317" i="25" s="1"/>
  <c r="F316" i="25" s="1"/>
  <c r="F440" i="25"/>
  <c r="F439" i="25" s="1"/>
  <c r="G543" i="25"/>
  <c r="G642" i="25"/>
  <c r="G679" i="25"/>
  <c r="G675" i="25" s="1"/>
  <c r="G674" i="25" s="1"/>
  <c r="G673" i="25" s="1"/>
  <c r="G672" i="25" s="1"/>
  <c r="G96" i="25"/>
  <c r="G95" i="25" s="1"/>
  <c r="F129" i="25"/>
  <c r="G421" i="25"/>
  <c r="F492" i="25"/>
  <c r="G611" i="25"/>
  <c r="G610" i="25" s="1"/>
  <c r="F137" i="17"/>
  <c r="F102" i="17"/>
  <c r="F101" i="17" s="1"/>
  <c r="F142" i="17"/>
  <c r="F256" i="17"/>
  <c r="F198" i="17"/>
  <c r="E256" i="17"/>
  <c r="C47" i="18" s="1"/>
  <c r="E476" i="17"/>
  <c r="E475" i="17" s="1"/>
  <c r="F78" i="17"/>
  <c r="E453" i="17"/>
  <c r="C32" i="18" s="1"/>
  <c r="E93" i="17"/>
  <c r="F384" i="17"/>
  <c r="F609" i="17" s="1"/>
  <c r="F529" i="17"/>
  <c r="F526" i="17" s="1"/>
  <c r="F522" i="17" s="1"/>
  <c r="F521" i="17" s="1"/>
  <c r="F436" i="22"/>
  <c r="F433" i="22" s="1"/>
  <c r="F540" i="22"/>
  <c r="F539" i="22" s="1"/>
  <c r="F645" i="22"/>
  <c r="F623" i="22"/>
  <c r="F622" i="22" s="1"/>
  <c r="F617" i="22" s="1"/>
  <c r="F616" i="22" s="1"/>
  <c r="F615" i="22" s="1"/>
  <c r="F652" i="22"/>
  <c r="F651" i="22" s="1"/>
  <c r="F672" i="22"/>
  <c r="F671" i="22" s="1"/>
  <c r="F670" i="22" s="1"/>
  <c r="F231" i="22"/>
  <c r="F230" i="22" s="1"/>
  <c r="F229" i="22" s="1"/>
  <c r="F228" i="22" s="1"/>
  <c r="F227" i="22" s="1"/>
  <c r="F306" i="22"/>
  <c r="F305" i="22" s="1"/>
  <c r="F304" i="22" s="1"/>
  <c r="F333" i="22"/>
  <c r="F735" i="22" s="1"/>
  <c r="F324" i="22"/>
  <c r="F323" i="22" s="1"/>
  <c r="F322" i="22" s="1"/>
  <c r="F64" i="22"/>
  <c r="F83" i="22"/>
  <c r="F79" i="22" s="1"/>
  <c r="F103" i="22"/>
  <c r="F102" i="22" s="1"/>
  <c r="F101" i="22" s="1"/>
  <c r="F747" i="22" s="1"/>
  <c r="F156" i="22"/>
  <c r="F309" i="22"/>
  <c r="F308" i="22" s="1"/>
  <c r="F317" i="22"/>
  <c r="F316" i="22" s="1"/>
  <c r="F498" i="22"/>
  <c r="F390" i="22"/>
  <c r="F534" i="22"/>
  <c r="F533" i="22" s="1"/>
  <c r="E477" i="23"/>
  <c r="G283" i="25"/>
  <c r="G282" i="25" s="1"/>
  <c r="G362" i="25"/>
  <c r="F18" i="25"/>
  <c r="F17" i="25" s="1"/>
  <c r="F16" i="25" s="1"/>
  <c r="G83" i="25"/>
  <c r="F96" i="25"/>
  <c r="F95" i="25" s="1"/>
  <c r="F111" i="25"/>
  <c r="G117" i="25"/>
  <c r="G116" i="25" s="1"/>
  <c r="F142" i="25"/>
  <c r="F297" i="25"/>
  <c r="F296" i="25" s="1"/>
  <c r="F295" i="25" s="1"/>
  <c r="F294" i="25" s="1"/>
  <c r="G358" i="25"/>
  <c r="G357" i="25" s="1"/>
  <c r="G356" i="25" s="1"/>
  <c r="F587" i="25"/>
  <c r="F582" i="25" s="1"/>
  <c r="F581" i="25" s="1"/>
  <c r="F580" i="25" s="1"/>
  <c r="F77" i="25"/>
  <c r="F76" i="25" s="1"/>
  <c r="F75" i="25" s="1"/>
  <c r="F148" i="25"/>
  <c r="F147" i="25" s="1"/>
  <c r="G297" i="25"/>
  <c r="G296" i="25" s="1"/>
  <c r="G295" i="25" s="1"/>
  <c r="F421" i="25"/>
  <c r="G492" i="25"/>
  <c r="G507" i="25"/>
  <c r="F533" i="25"/>
  <c r="F514" i="25" s="1"/>
  <c r="F415" i="17"/>
  <c r="F414" i="17" s="1"/>
  <c r="F606" i="17" s="1"/>
  <c r="F200" i="25"/>
  <c r="F199" i="25" s="1"/>
  <c r="F198" i="25" s="1"/>
  <c r="F436" i="17"/>
  <c r="F68" i="25"/>
  <c r="G344" i="25"/>
  <c r="G343" i="25" s="1"/>
  <c r="G342" i="25" s="1"/>
  <c r="G341" i="25" s="1"/>
  <c r="F358" i="25"/>
  <c r="F543" i="25"/>
  <c r="F453" i="17"/>
  <c r="D32" i="18" s="1"/>
  <c r="F48" i="17"/>
  <c r="F47" i="17" s="1"/>
  <c r="F46" i="17" s="1"/>
  <c r="G68" i="25"/>
  <c r="F83" i="25"/>
  <c r="D67" i="18"/>
  <c r="G458" i="25"/>
  <c r="G269" i="25"/>
  <c r="F556" i="25"/>
  <c r="G77" i="25"/>
  <c r="G76" i="25" s="1"/>
  <c r="G75" i="25" s="1"/>
  <c r="G130" i="25"/>
  <c r="G129" i="25" s="1"/>
  <c r="G138" i="25"/>
  <c r="G137" i="25" s="1"/>
  <c r="G143" i="25"/>
  <c r="G142" i="25" s="1"/>
  <c r="G148" i="25"/>
  <c r="G147" i="25" s="1"/>
  <c r="G159" i="25"/>
  <c r="G158" i="25" s="1"/>
  <c r="G157" i="25" s="1"/>
  <c r="G200" i="25"/>
  <c r="G199" i="25" s="1"/>
  <c r="G198" i="25" s="1"/>
  <c r="G445" i="25"/>
  <c r="G556" i="25"/>
  <c r="G587" i="25"/>
  <c r="G582" i="25" s="1"/>
  <c r="G581" i="25" s="1"/>
  <c r="G580" i="25" s="1"/>
  <c r="F642" i="25"/>
  <c r="F106" i="25"/>
  <c r="F105" i="25" s="1"/>
  <c r="F104" i="25" s="1"/>
  <c r="F103" i="25" s="1"/>
  <c r="F117" i="25"/>
  <c r="F116" i="25" s="1"/>
  <c r="G238" i="25"/>
  <c r="G237" i="25" s="1"/>
  <c r="C67" i="18"/>
  <c r="F458" i="25"/>
  <c r="F283" i="25"/>
  <c r="F308" i="25"/>
  <c r="F307" i="25" s="1"/>
  <c r="F303" i="25" s="1"/>
  <c r="F509" i="25"/>
  <c r="F508" i="25" s="1"/>
  <c r="F507" i="25" s="1"/>
  <c r="F697" i="25"/>
  <c r="E486" i="17"/>
  <c r="E485" i="17" s="1"/>
  <c r="E484" i="17" s="1"/>
  <c r="E483" i="17" s="1"/>
  <c r="D39" i="18"/>
  <c r="G308" i="25"/>
  <c r="G307" i="25" s="1"/>
  <c r="G303" i="25" s="1"/>
  <c r="F353" i="25"/>
  <c r="F352" i="25" s="1"/>
  <c r="F351" i="25" s="1"/>
  <c r="F402" i="25"/>
  <c r="F401" i="25" s="1"/>
  <c r="F409" i="25"/>
  <c r="F408" i="25" s="1"/>
  <c r="F407" i="25" s="1"/>
  <c r="F419" i="25"/>
  <c r="F418" i="25" s="1"/>
  <c r="F578" i="25"/>
  <c r="F577" i="25" s="1"/>
  <c r="F576" i="25" s="1"/>
  <c r="G697" i="25"/>
  <c r="F113" i="17"/>
  <c r="F344" i="25"/>
  <c r="F382" i="25"/>
  <c r="F381" i="25" s="1"/>
  <c r="F380" i="25" s="1"/>
  <c r="G409" i="25"/>
  <c r="G408" i="25" s="1"/>
  <c r="G407" i="25" s="1"/>
  <c r="G419" i="25"/>
  <c r="G418" i="25" s="1"/>
  <c r="F662" i="25"/>
  <c r="F661" i="25" s="1"/>
  <c r="F660" i="25" s="1"/>
  <c r="F659" i="25" s="1"/>
  <c r="F658" i="25" s="1"/>
  <c r="G382" i="25"/>
  <c r="G381" i="25" s="1"/>
  <c r="G380" i="25" s="1"/>
  <c r="F682" i="25"/>
  <c r="F679" i="25" s="1"/>
  <c r="F675" i="25" s="1"/>
  <c r="F674" i="25" s="1"/>
  <c r="F673" i="25" s="1"/>
  <c r="F672" i="25" s="1"/>
  <c r="E317" i="17"/>
  <c r="E436" i="17"/>
  <c r="G167" i="25"/>
  <c r="E35" i="17"/>
  <c r="E34" i="17" s="1"/>
  <c r="E33" i="17" s="1"/>
  <c r="F129" i="17"/>
  <c r="F449" i="17"/>
  <c r="E160" i="17"/>
  <c r="E159" i="17" s="1"/>
  <c r="E158" i="17" s="1"/>
  <c r="E157" i="17" s="1"/>
  <c r="E529" i="17"/>
  <c r="E526" i="17" s="1"/>
  <c r="E522" i="17" s="1"/>
  <c r="E521" i="17" s="1"/>
  <c r="E113" i="17"/>
  <c r="E343" i="17"/>
  <c r="E604" i="17" s="1"/>
  <c r="G181" i="25"/>
  <c r="G180" i="25"/>
  <c r="G179" i="25" s="1"/>
  <c r="F167" i="25"/>
  <c r="F327" i="25"/>
  <c r="G327" i="25"/>
  <c r="F23" i="17"/>
  <c r="F19" i="17" s="1"/>
  <c r="F18" i="17" s="1"/>
  <c r="F71" i="17"/>
  <c r="F70" i="17" s="1"/>
  <c r="F180" i="25"/>
  <c r="F179" i="25" s="1"/>
  <c r="F152" i="17"/>
  <c r="F343" i="17"/>
  <c r="D16" i="18" s="1"/>
  <c r="E63" i="17"/>
  <c r="E384" i="17"/>
  <c r="E609" i="17" s="1"/>
  <c r="G26" i="25"/>
  <c r="G31" i="25"/>
  <c r="G52" i="25"/>
  <c r="G51" i="25"/>
  <c r="G50" i="25" s="1"/>
  <c r="D49" i="18"/>
  <c r="D48" i="18" s="1"/>
  <c r="G90" i="25"/>
  <c r="D65" i="18"/>
  <c r="G191" i="25"/>
  <c r="G225" i="25"/>
  <c r="G224" i="25" s="1"/>
  <c r="F187" i="25"/>
  <c r="F186" i="25"/>
  <c r="F185" i="25" s="1"/>
  <c r="F209" i="25"/>
  <c r="C50" i="18"/>
  <c r="F214" i="25"/>
  <c r="F35" i="17"/>
  <c r="F34" i="17" s="1"/>
  <c r="F33" i="17" s="1"/>
  <c r="E78" i="17"/>
  <c r="G187" i="25"/>
  <c r="G186" i="25"/>
  <c r="G185" i="25" s="1"/>
  <c r="G209" i="25"/>
  <c r="D50" i="18"/>
  <c r="G214" i="25"/>
  <c r="E23" i="17"/>
  <c r="E19" i="17" s="1"/>
  <c r="E18" i="17" s="1"/>
  <c r="F643" i="17"/>
  <c r="F278" i="17"/>
  <c r="D73" i="18" s="1"/>
  <c r="F26" i="25"/>
  <c r="F25" i="25" s="1"/>
  <c r="F52" i="25"/>
  <c r="F51" i="25"/>
  <c r="F50" i="25" s="1"/>
  <c r="C49" i="18"/>
  <c r="C48" i="18" s="1"/>
  <c r="F90" i="25"/>
  <c r="C65" i="18"/>
  <c r="F191" i="25"/>
  <c r="F225" i="25"/>
  <c r="F224" i="25" s="1"/>
  <c r="F161" i="25"/>
  <c r="F160" i="25" s="1"/>
  <c r="F159" i="25" s="1"/>
  <c r="F158" i="25" s="1"/>
  <c r="F157" i="25" s="1"/>
  <c r="F241" i="25"/>
  <c r="F238" i="25" s="1"/>
  <c r="F237" i="25" s="1"/>
  <c r="F628" i="25"/>
  <c r="F63" i="17"/>
  <c r="E152" i="17"/>
  <c r="F162" i="17"/>
  <c r="F161" i="17" s="1"/>
  <c r="F160" i="17" s="1"/>
  <c r="F159" i="17" s="1"/>
  <c r="F158" i="17" s="1"/>
  <c r="F157" i="17" s="1"/>
  <c r="F356" i="17"/>
  <c r="D17" i="18" s="1"/>
  <c r="F468" i="17"/>
  <c r="F467" i="17" s="1"/>
  <c r="F468" i="25"/>
  <c r="F467" i="25" s="1"/>
  <c r="F466" i="25" s="1"/>
  <c r="F465" i="25" s="1"/>
  <c r="F464" i="25" s="1"/>
  <c r="F463" i="25" s="1"/>
  <c r="F93" i="17"/>
  <c r="F542" i="17"/>
  <c r="F554" i="17"/>
  <c r="F553" i="17" s="1"/>
  <c r="E623" i="17"/>
  <c r="E415" i="17"/>
  <c r="E414" i="17" s="1"/>
  <c r="E409" i="17" s="1"/>
  <c r="E408" i="17" s="1"/>
  <c r="E407" i="17" s="1"/>
  <c r="E468" i="17"/>
  <c r="E467" i="17" s="1"/>
  <c r="E466" i="17" s="1"/>
  <c r="F294" i="22"/>
  <c r="F293" i="22" s="1"/>
  <c r="F48" i="22"/>
  <c r="F47" i="22"/>
  <c r="F46" i="22" s="1"/>
  <c r="F190" i="22"/>
  <c r="F189" i="22"/>
  <c r="F188" i="22" s="1"/>
  <c r="F21" i="22"/>
  <c r="F599" i="22"/>
  <c r="E91" i="23"/>
  <c r="E90" i="23" s="1"/>
  <c r="E87" i="23" s="1"/>
  <c r="E83" i="23" s="1"/>
  <c r="C45" i="24" s="1"/>
  <c r="E109" i="23"/>
  <c r="E108" i="23" s="1"/>
  <c r="E107" i="23" s="1"/>
  <c r="E106" i="23" s="1"/>
  <c r="E428" i="23"/>
  <c r="E427" i="23" s="1"/>
  <c r="E426" i="23" s="1"/>
  <c r="E557" i="23"/>
  <c r="E556" i="23" s="1"/>
  <c r="F170" i="22"/>
  <c r="F722" i="22" s="1"/>
  <c r="C32" i="24"/>
  <c r="E144" i="23"/>
  <c r="E143" i="23" s="1"/>
  <c r="E142" i="23" s="1"/>
  <c r="E308" i="23"/>
  <c r="E307" i="23" s="1"/>
  <c r="E306" i="23" s="1"/>
  <c r="E434" i="23"/>
  <c r="E433" i="23" s="1"/>
  <c r="E432" i="23" s="1"/>
  <c r="F186" i="22"/>
  <c r="F185" i="22" s="1"/>
  <c r="F424" i="22"/>
  <c r="F423" i="22" s="1"/>
  <c r="F422" i="22" s="1"/>
  <c r="F421" i="22" s="1"/>
  <c r="F742" i="22" s="1"/>
  <c r="F576" i="22"/>
  <c r="F575" i="22" s="1"/>
  <c r="E60" i="23"/>
  <c r="E59" i="23" s="1"/>
  <c r="E58" i="23" s="1"/>
  <c r="E291" i="23"/>
  <c r="E290" i="23" s="1"/>
  <c r="E289" i="23" s="1"/>
  <c r="E288" i="23" s="1"/>
  <c r="F14" i="22"/>
  <c r="F13" i="22" s="1"/>
  <c r="F37" i="22"/>
  <c r="F36" i="22" s="1"/>
  <c r="F35" i="22" s="1"/>
  <c r="F34" i="22" s="1"/>
  <c r="F158" i="22"/>
  <c r="E52" i="23"/>
  <c r="E51" i="23" s="1"/>
  <c r="F42" i="22"/>
  <c r="F41" i="22" s="1"/>
  <c r="F40" i="22" s="1"/>
  <c r="F39" i="22" s="1"/>
  <c r="F118" i="22"/>
  <c r="F117" i="22" s="1"/>
  <c r="F209" i="22"/>
  <c r="F208" i="22" s="1"/>
  <c r="E618" i="23"/>
  <c r="E615" i="23" s="1"/>
  <c r="E550" i="23"/>
  <c r="E549" i="23" s="1"/>
  <c r="E548" i="23" s="1"/>
  <c r="F252" i="22"/>
  <c r="F251" i="22" s="1"/>
  <c r="F695" i="22"/>
  <c r="F694" i="22" s="1"/>
  <c r="E150" i="23"/>
  <c r="F640" i="22"/>
  <c r="F96" i="22"/>
  <c r="F95" i="22" s="1"/>
  <c r="F94" i="22" s="1"/>
  <c r="F93" i="22" s="1"/>
  <c r="C34" i="24"/>
  <c r="E500" i="23"/>
  <c r="E499" i="23" s="1"/>
  <c r="E494" i="23" s="1"/>
  <c r="E493" i="23" s="1"/>
  <c r="E492" i="23" s="1"/>
  <c r="E98" i="23"/>
  <c r="C57" i="24" s="1"/>
  <c r="C56" i="24" s="1"/>
  <c r="E320" i="23"/>
  <c r="E319" i="23" s="1"/>
  <c r="F242" i="22"/>
  <c r="F246" i="22"/>
  <c r="F320" i="22"/>
  <c r="F319" i="22" s="1"/>
  <c r="F464" i="22"/>
  <c r="F463" i="22" s="1"/>
  <c r="E514" i="23"/>
  <c r="F647" i="22"/>
  <c r="E165" i="23"/>
  <c r="F60" i="22"/>
  <c r="F59" i="22" s="1"/>
  <c r="F58" i="22" s="1"/>
  <c r="F57" i="22" s="1"/>
  <c r="F220" i="22"/>
  <c r="F219" i="22" s="1"/>
  <c r="F218" i="22" s="1"/>
  <c r="F217" i="22" s="1"/>
  <c r="F211" i="22" s="1"/>
  <c r="F288" i="22"/>
  <c r="F287" i="22" s="1"/>
  <c r="F479" i="22"/>
  <c r="F478" i="22" s="1"/>
  <c r="F477" i="22" s="1"/>
  <c r="F476" i="22" s="1"/>
  <c r="F475" i="22" s="1"/>
  <c r="F474" i="22" s="1"/>
  <c r="F730" i="22" s="1"/>
  <c r="F638" i="22"/>
  <c r="E68" i="23"/>
  <c r="C43" i="24" s="1"/>
  <c r="E155" i="23"/>
  <c r="E534" i="23"/>
  <c r="E198" i="23"/>
  <c r="E129" i="23"/>
  <c r="E126" i="23" s="1"/>
  <c r="F579" i="22"/>
  <c r="F578" i="22" s="1"/>
  <c r="C44" i="26"/>
  <c r="C43" i="26" s="1"/>
  <c r="C73" i="26" s="1"/>
  <c r="E237" i="23"/>
  <c r="C63" i="24"/>
  <c r="C62" i="24" s="1"/>
  <c r="C704" i="23"/>
  <c r="E227" i="23"/>
  <c r="E13" i="23"/>
  <c r="C21" i="24"/>
  <c r="E173" i="23"/>
  <c r="E172" i="23" s="1"/>
  <c r="E171" i="23" s="1"/>
  <c r="E170" i="23" s="1"/>
  <c r="E671" i="23"/>
  <c r="E670" i="23" s="1"/>
  <c r="E328" i="23"/>
  <c r="C55" i="24"/>
  <c r="C54" i="24" s="1"/>
  <c r="E593" i="23"/>
  <c r="C700" i="23" s="1"/>
  <c r="F222" i="17"/>
  <c r="F221" i="17" s="1"/>
  <c r="F619" i="17"/>
  <c r="F299" i="17"/>
  <c r="F73" i="22"/>
  <c r="F168" i="22"/>
  <c r="F167" i="22" s="1"/>
  <c r="F162" i="22" s="1"/>
  <c r="F161" i="22" s="1"/>
  <c r="F160" i="22" s="1"/>
  <c r="F721" i="22" s="1"/>
  <c r="F203" i="22"/>
  <c r="F202" i="22" s="1"/>
  <c r="F369" i="22"/>
  <c r="F368" i="22" s="1"/>
  <c r="F367" i="22" s="1"/>
  <c r="F379" i="22"/>
  <c r="F378" i="22" s="1"/>
  <c r="F377" i="22" s="1"/>
  <c r="F428" i="22"/>
  <c r="F427" i="22" s="1"/>
  <c r="F426" i="22" s="1"/>
  <c r="F486" i="22"/>
  <c r="F485" i="22" s="1"/>
  <c r="F515" i="22"/>
  <c r="F514" i="22" s="1"/>
  <c r="F513" i="22" s="1"/>
  <c r="F531" i="22"/>
  <c r="F530" i="22" s="1"/>
  <c r="F554" i="22"/>
  <c r="F553" i="22" s="1"/>
  <c r="F549" i="22" s="1"/>
  <c r="F679" i="22"/>
  <c r="F678" i="22" s="1"/>
  <c r="F677" i="22" s="1"/>
  <c r="F700" i="22"/>
  <c r="F697" i="22" s="1"/>
  <c r="E185" i="23"/>
  <c r="E184" i="23" s="1"/>
  <c r="E183" i="23" s="1"/>
  <c r="E182" i="23" s="1"/>
  <c r="E181" i="23" s="1"/>
  <c r="E180" i="23" s="1"/>
  <c r="E222" i="23"/>
  <c r="C699" i="23" s="1"/>
  <c r="E352" i="23"/>
  <c r="C27" i="24"/>
  <c r="E583" i="23"/>
  <c r="C70" i="24"/>
  <c r="C69" i="24" s="1"/>
  <c r="E665" i="23"/>
  <c r="C706" i="23" s="1"/>
  <c r="F13" i="17"/>
  <c r="E324" i="17"/>
  <c r="E76" i="23"/>
  <c r="E75" i="23" s="1"/>
  <c r="C44" i="24" s="1"/>
  <c r="C61" i="24"/>
  <c r="C60" i="24" s="1"/>
  <c r="E361" i="23"/>
  <c r="C703" i="23" s="1"/>
  <c r="G21" i="21"/>
  <c r="D28" i="21"/>
  <c r="G28" i="21" s="1"/>
  <c r="G35" i="21"/>
  <c r="C51" i="24"/>
  <c r="C50" i="24" s="1"/>
  <c r="E92" i="23"/>
  <c r="C698" i="23" s="1"/>
  <c r="E160" i="23"/>
  <c r="E343" i="23"/>
  <c r="E342" i="23" s="1"/>
  <c r="E341" i="23" s="1"/>
  <c r="E431" i="23"/>
  <c r="E430" i="23" s="1"/>
  <c r="E429" i="23" s="1"/>
  <c r="E459" i="23"/>
  <c r="C22" i="24" s="1"/>
  <c r="E13" i="17"/>
  <c r="F630" i="17"/>
  <c r="F87" i="17"/>
  <c r="F583" i="17" s="1"/>
  <c r="G48" i="18" s="1"/>
  <c r="F167" i="17"/>
  <c r="E637" i="17"/>
  <c r="E211" i="17"/>
  <c r="C31" i="18"/>
  <c r="E618" i="17"/>
  <c r="E449" i="17"/>
  <c r="C28" i="18" s="1"/>
  <c r="E50" i="23"/>
  <c r="E49" i="23" s="1"/>
  <c r="F75" i="22"/>
  <c r="F249" i="22"/>
  <c r="F248" i="22" s="1"/>
  <c r="F352" i="22"/>
  <c r="F351" i="22" s="1"/>
  <c r="F350" i="22" s="1"/>
  <c r="F349" i="22" s="1"/>
  <c r="F450" i="22"/>
  <c r="F449" i="22" s="1"/>
  <c r="F597" i="22"/>
  <c r="F596" i="22" s="1"/>
  <c r="F595" i="22" s="1"/>
  <c r="E167" i="17"/>
  <c r="F637" i="17"/>
  <c r="F211" i="17"/>
  <c r="D23" i="18"/>
  <c r="F610" i="17"/>
  <c r="D29" i="18"/>
  <c r="F615" i="17"/>
  <c r="F395" i="17"/>
  <c r="F413" i="25"/>
  <c r="F412" i="25" s="1"/>
  <c r="F411" i="25" s="1"/>
  <c r="F626" i="25"/>
  <c r="E650" i="23"/>
  <c r="F239" i="17"/>
  <c r="F238" i="17" s="1"/>
  <c r="F235" i="17" s="1"/>
  <c r="F234" i="17" s="1"/>
  <c r="D46" i="18" s="1"/>
  <c r="F284" i="17"/>
  <c r="F635" i="17"/>
  <c r="F308" i="17"/>
  <c r="F588" i="17" s="1"/>
  <c r="G58" i="18" s="1"/>
  <c r="E588" i="23"/>
  <c r="C695" i="23" s="1"/>
  <c r="E630" i="17"/>
  <c r="E87" i="17"/>
  <c r="E583" i="17" s="1"/>
  <c r="F48" i="18" s="1"/>
  <c r="F640" i="17"/>
  <c r="F591" i="17"/>
  <c r="G65" i="18" s="1"/>
  <c r="F191" i="17"/>
  <c r="F185" i="17" s="1"/>
  <c r="F631" i="17"/>
  <c r="F206" i="17"/>
  <c r="F584" i="17" s="1"/>
  <c r="E222" i="17"/>
  <c r="E221" i="17" s="1"/>
  <c r="E235" i="17"/>
  <c r="E234" i="17" s="1"/>
  <c r="C46" i="18" s="1"/>
  <c r="F267" i="17"/>
  <c r="D70" i="18" s="1"/>
  <c r="E635" i="17"/>
  <c r="E308" i="17"/>
  <c r="E588" i="17" s="1"/>
  <c r="F58" i="18" s="1"/>
  <c r="F324" i="17"/>
  <c r="D19" i="18"/>
  <c r="F607" i="17"/>
  <c r="D21" i="18"/>
  <c r="F608" i="17"/>
  <c r="C25" i="18"/>
  <c r="E612" i="17"/>
  <c r="E605" i="23"/>
  <c r="E640" i="17"/>
  <c r="E591" i="17"/>
  <c r="F65" i="18" s="1"/>
  <c r="E191" i="17"/>
  <c r="E185" i="17" s="1"/>
  <c r="E631" i="17"/>
  <c r="E206" i="17"/>
  <c r="E584" i="17" s="1"/>
  <c r="E267" i="17"/>
  <c r="C70" i="18" s="1"/>
  <c r="F317" i="17"/>
  <c r="D12" i="18" s="1"/>
  <c r="D26" i="18"/>
  <c r="F613" i="17"/>
  <c r="F495" i="17"/>
  <c r="F632" i="17"/>
  <c r="F505" i="17"/>
  <c r="F585" i="17" s="1"/>
  <c r="G52" i="18" s="1"/>
  <c r="C14" i="18"/>
  <c r="E603" i="17"/>
  <c r="E516" i="17"/>
  <c r="E515" i="17" s="1"/>
  <c r="E641" i="17"/>
  <c r="E559" i="17"/>
  <c r="E592" i="17" s="1"/>
  <c r="F67" i="18" s="1"/>
  <c r="E619" i="17"/>
  <c r="E299" i="17"/>
  <c r="E356" i="17"/>
  <c r="C17" i="18" s="1"/>
  <c r="C26" i="18"/>
  <c r="E613" i="17"/>
  <c r="E495" i="17"/>
  <c r="E632" i="17"/>
  <c r="C23" i="18"/>
  <c r="E610" i="17"/>
  <c r="D31" i="18"/>
  <c r="F618" i="17"/>
  <c r="F623" i="17"/>
  <c r="F500" i="17"/>
  <c r="F580" i="17" s="1"/>
  <c r="G39" i="18" s="1"/>
  <c r="D14" i="18"/>
  <c r="F603" i="17"/>
  <c r="F516" i="17"/>
  <c r="F515" i="17" s="1"/>
  <c r="F559" i="17"/>
  <c r="F592" i="17" s="1"/>
  <c r="G67" i="18" s="1"/>
  <c r="F641" i="17"/>
  <c r="E607" i="17"/>
  <c r="D25" i="18"/>
  <c r="F612" i="17"/>
  <c r="F429" i="17"/>
  <c r="E542" i="17"/>
  <c r="F743" i="22" l="1"/>
  <c r="F448" i="22"/>
  <c r="F12" i="22"/>
  <c r="E630" i="23"/>
  <c r="C38" i="24" s="1"/>
  <c r="F466" i="17"/>
  <c r="E221" i="23"/>
  <c r="E37" i="15"/>
  <c r="G708" i="38"/>
  <c r="G702" i="38"/>
  <c r="D72" i="18"/>
  <c r="C69" i="18"/>
  <c r="E494" i="17"/>
  <c r="F100" i="17"/>
  <c r="D64" i="18"/>
  <c r="D63" i="18" s="1"/>
  <c r="F40" i="18"/>
  <c r="E100" i="17"/>
  <c r="C64" i="18"/>
  <c r="F197" i="17"/>
  <c r="D57" i="18"/>
  <c r="E634" i="17"/>
  <c r="C57" i="18"/>
  <c r="C56" i="18" s="1"/>
  <c r="E92" i="17"/>
  <c r="E586" i="17" s="1"/>
  <c r="F54" i="18" s="1"/>
  <c r="C55" i="18"/>
  <c r="F633" i="17"/>
  <c r="D55" i="18"/>
  <c r="F628" i="17"/>
  <c r="D47" i="18"/>
  <c r="E626" i="17"/>
  <c r="C44" i="18"/>
  <c r="F626" i="17"/>
  <c r="D44" i="18"/>
  <c r="F625" i="17"/>
  <c r="D43" i="18"/>
  <c r="E625" i="17"/>
  <c r="C43" i="18"/>
  <c r="F624" i="17"/>
  <c r="D42" i="18"/>
  <c r="E624" i="17"/>
  <c r="C42" i="18"/>
  <c r="F541" i="17"/>
  <c r="F614" i="17"/>
  <c r="D28" i="18"/>
  <c r="D18" i="18"/>
  <c r="D15" i="18" s="1"/>
  <c r="C18" i="18"/>
  <c r="E605" i="17"/>
  <c r="F605" i="17"/>
  <c r="E601" i="17"/>
  <c r="C12" i="18"/>
  <c r="C21" i="18"/>
  <c r="E608" i="17"/>
  <c r="E278" i="17"/>
  <c r="C30" i="24"/>
  <c r="E476" i="23"/>
  <c r="F447" i="22"/>
  <c r="F201" i="22"/>
  <c r="F200" i="22" s="1"/>
  <c r="F199" i="22" s="1"/>
  <c r="E614" i="23"/>
  <c r="E613" i="23" s="1"/>
  <c r="F415" i="22"/>
  <c r="E302" i="23"/>
  <c r="C72" i="24" s="1"/>
  <c r="C71" i="24" s="1"/>
  <c r="F432" i="22"/>
  <c r="F431" i="22" s="1"/>
  <c r="F430" i="22" s="1"/>
  <c r="F389" i="22"/>
  <c r="D66" i="21"/>
  <c r="G66" i="21" s="1"/>
  <c r="C63" i="15"/>
  <c r="F702" i="38" s="1"/>
  <c r="C12" i="12" s="1"/>
  <c r="F685" i="25"/>
  <c r="G680" i="16"/>
  <c r="D55" i="21"/>
  <c r="G55" i="21" s="1"/>
  <c r="G541" i="29"/>
  <c r="G540" i="29" s="1"/>
  <c r="F227" i="16"/>
  <c r="G14" i="16"/>
  <c r="F497" i="16"/>
  <c r="F496" i="16" s="1"/>
  <c r="L688" i="16"/>
  <c r="L14" i="16"/>
  <c r="G793" i="29"/>
  <c r="G272" i="29"/>
  <c r="I304" i="29"/>
  <c r="J656" i="16"/>
  <c r="J566" i="16"/>
  <c r="I508" i="16"/>
  <c r="J600" i="16"/>
  <c r="I575" i="16"/>
  <c r="J420" i="16"/>
  <c r="I360" i="16"/>
  <c r="J361" i="16"/>
  <c r="J401" i="16"/>
  <c r="H400" i="16"/>
  <c r="G782" i="29"/>
  <c r="G240" i="29"/>
  <c r="H180" i="16"/>
  <c r="J182" i="16"/>
  <c r="H181" i="16"/>
  <c r="J181" i="16" s="1"/>
  <c r="G694" i="16"/>
  <c r="G313" i="17" s="1"/>
  <c r="J297" i="16"/>
  <c r="I272" i="16"/>
  <c r="J273" i="16"/>
  <c r="H227" i="16"/>
  <c r="H692" i="16" s="1"/>
  <c r="H220" i="17" s="1"/>
  <c r="I158" i="16"/>
  <c r="I680" i="16"/>
  <c r="H680" i="16"/>
  <c r="I708" i="16"/>
  <c r="E68" i="21"/>
  <c r="F13" i="21"/>
  <c r="I317" i="16"/>
  <c r="J317" i="16" s="1"/>
  <c r="J318" i="16"/>
  <c r="F178" i="16"/>
  <c r="F36" i="16" s="1"/>
  <c r="F678" i="16" s="1"/>
  <c r="J38" i="16"/>
  <c r="I26" i="16"/>
  <c r="J27" i="16"/>
  <c r="J95" i="16"/>
  <c r="I781" i="29"/>
  <c r="J655" i="16"/>
  <c r="H654" i="16"/>
  <c r="I668" i="16"/>
  <c r="J669" i="16"/>
  <c r="J571" i="16"/>
  <c r="J563" i="16"/>
  <c r="J537" i="16"/>
  <c r="J599" i="16"/>
  <c r="H435" i="16"/>
  <c r="H428" i="16" s="1"/>
  <c r="H427" i="16" s="1"/>
  <c r="H426" i="16" s="1"/>
  <c r="H508" i="16"/>
  <c r="H500" i="16" s="1"/>
  <c r="H499" i="16" s="1"/>
  <c r="H498" i="16" s="1"/>
  <c r="I445" i="16"/>
  <c r="J445" i="16" s="1"/>
  <c r="J446" i="16"/>
  <c r="I395" i="16"/>
  <c r="J396" i="16"/>
  <c r="J224" i="16"/>
  <c r="H223" i="16"/>
  <c r="J161" i="16"/>
  <c r="H160" i="16"/>
  <c r="I291" i="16"/>
  <c r="J292" i="16"/>
  <c r="I346" i="16"/>
  <c r="J347" i="16"/>
  <c r="J304" i="16"/>
  <c r="I303" i="16"/>
  <c r="J303" i="16" s="1"/>
  <c r="L294" i="16"/>
  <c r="L271" i="16" s="1"/>
  <c r="L227" i="16" s="1"/>
  <c r="I50" i="16"/>
  <c r="J50" i="16" s="1"/>
  <c r="J51" i="16"/>
  <c r="I90" i="16"/>
  <c r="J90" i="16" s="1"/>
  <c r="J91" i="16"/>
  <c r="F42" i="21"/>
  <c r="I350" i="29"/>
  <c r="I349" i="29" s="1"/>
  <c r="I769" i="29" s="1"/>
  <c r="I777" i="29"/>
  <c r="I240" i="29"/>
  <c r="I782" i="29"/>
  <c r="I133" i="29"/>
  <c r="I110" i="29" s="1"/>
  <c r="I796" i="29" s="1"/>
  <c r="I201" i="29"/>
  <c r="I183" i="29" s="1"/>
  <c r="I766" i="29" s="1"/>
  <c r="I787" i="29"/>
  <c r="J622" i="16"/>
  <c r="I619" i="16"/>
  <c r="H576" i="16"/>
  <c r="H575" i="16" s="1"/>
  <c r="H574" i="16" s="1"/>
  <c r="H612" i="16"/>
  <c r="J612" i="16" s="1"/>
  <c r="J613" i="16"/>
  <c r="J570" i="16"/>
  <c r="I550" i="16"/>
  <c r="J550" i="16" s="1"/>
  <c r="G779" i="29"/>
  <c r="G452" i="29"/>
  <c r="G451" i="29" s="1"/>
  <c r="G772" i="29" s="1"/>
  <c r="J460" i="16"/>
  <c r="I459" i="16"/>
  <c r="J452" i="16"/>
  <c r="H451" i="16"/>
  <c r="J411" i="16"/>
  <c r="I410" i="16"/>
  <c r="J390" i="16"/>
  <c r="H389" i="16"/>
  <c r="I363" i="16"/>
  <c r="J363" i="16" s="1"/>
  <c r="J364" i="16"/>
  <c r="J330" i="16"/>
  <c r="I329" i="16"/>
  <c r="J215" i="16"/>
  <c r="H214" i="16"/>
  <c r="G201" i="29"/>
  <c r="G183" i="29" s="1"/>
  <c r="G766" i="29" s="1"/>
  <c r="G787" i="29"/>
  <c r="J277" i="16"/>
  <c r="I197" i="16"/>
  <c r="J198" i="16"/>
  <c r="J187" i="16"/>
  <c r="H681" i="16"/>
  <c r="H110" i="16"/>
  <c r="H66" i="16" s="1"/>
  <c r="H37" i="16" s="1"/>
  <c r="G36" i="29"/>
  <c r="G30" i="29" s="1"/>
  <c r="G796" i="29"/>
  <c r="I208" i="16"/>
  <c r="I111" i="16"/>
  <c r="J111" i="16" s="1"/>
  <c r="J112" i="16"/>
  <c r="F687" i="25"/>
  <c r="I754" i="29" s="1"/>
  <c r="I752" i="29"/>
  <c r="I294" i="16"/>
  <c r="J294" i="16" s="1"/>
  <c r="J295" i="16"/>
  <c r="G681" i="16"/>
  <c r="G110" i="16"/>
  <c r="I56" i="16"/>
  <c r="J56" i="16" s="1"/>
  <c r="J57" i="16"/>
  <c r="G66" i="16"/>
  <c r="G37" i="16" s="1"/>
  <c r="G688" i="16" s="1"/>
  <c r="F43" i="21"/>
  <c r="C79" i="26"/>
  <c r="F758" i="22"/>
  <c r="G801" i="29"/>
  <c r="G760" i="29"/>
  <c r="H536" i="16"/>
  <c r="H535" i="16" s="1"/>
  <c r="H534" i="16" s="1"/>
  <c r="I637" i="16"/>
  <c r="J638" i="16"/>
  <c r="J605" i="16"/>
  <c r="I604" i="16"/>
  <c r="J604" i="16" s="1"/>
  <c r="J567" i="16"/>
  <c r="G539" i="29"/>
  <c r="G538" i="29" s="1"/>
  <c r="G537" i="29" s="1"/>
  <c r="G776" i="29"/>
  <c r="J577" i="16"/>
  <c r="I500" i="16"/>
  <c r="J501" i="16"/>
  <c r="J430" i="16"/>
  <c r="I429" i="16"/>
  <c r="I480" i="16"/>
  <c r="J481" i="16"/>
  <c r="I474" i="16"/>
  <c r="J474" i="16" s="1"/>
  <c r="J475" i="16"/>
  <c r="I382" i="16"/>
  <c r="J383" i="16"/>
  <c r="J240" i="29"/>
  <c r="J228" i="29" s="1"/>
  <c r="J782" i="29"/>
  <c r="J797" i="29" s="1"/>
  <c r="L694" i="16"/>
  <c r="J305" i="16"/>
  <c r="G350" i="29"/>
  <c r="G349" i="29" s="1"/>
  <c r="G777" i="29"/>
  <c r="I185" i="16"/>
  <c r="J185" i="16" s="1"/>
  <c r="J186" i="16"/>
  <c r="I228" i="16"/>
  <c r="J229" i="16"/>
  <c r="J152" i="16"/>
  <c r="I128" i="16"/>
  <c r="J33" i="16"/>
  <c r="H32" i="16"/>
  <c r="I241" i="16"/>
  <c r="G178" i="16"/>
  <c r="G691" i="16" s="1"/>
  <c r="G178" i="17" s="1"/>
  <c r="J296" i="16"/>
  <c r="I234" i="16"/>
  <c r="J234" i="16" s="1"/>
  <c r="J235" i="16"/>
  <c r="I168" i="16"/>
  <c r="J169" i="16"/>
  <c r="I43" i="16"/>
  <c r="J43" i="16" s="1"/>
  <c r="J44" i="16"/>
  <c r="J16" i="16"/>
  <c r="J96" i="16"/>
  <c r="I67" i="16"/>
  <c r="J68" i="16"/>
  <c r="I103" i="16"/>
  <c r="J103" i="16" s="1"/>
  <c r="J104" i="16"/>
  <c r="E553" i="17"/>
  <c r="E541" i="17" s="1"/>
  <c r="G417" i="25"/>
  <c r="G416" i="25" s="1"/>
  <c r="G415" i="25" s="1"/>
  <c r="D41" i="18"/>
  <c r="C29" i="18"/>
  <c r="F49" i="18"/>
  <c r="C63" i="18"/>
  <c r="F625" i="25"/>
  <c r="F624" i="25" s="1"/>
  <c r="F623" i="25" s="1"/>
  <c r="F622" i="25" s="1"/>
  <c r="D22" i="18"/>
  <c r="D20" i="18" s="1"/>
  <c r="G506" i="25"/>
  <c r="G505" i="25" s="1"/>
  <c r="G504" i="25" s="1"/>
  <c r="D54" i="18"/>
  <c r="F417" i="25"/>
  <c r="F416" i="25" s="1"/>
  <c r="F415" i="25" s="1"/>
  <c r="F68" i="18"/>
  <c r="G624" i="25"/>
  <c r="G623" i="25" s="1"/>
  <c r="G622" i="25" s="1"/>
  <c r="G49" i="18"/>
  <c r="F634" i="17"/>
  <c r="C41" i="18"/>
  <c r="G605" i="25"/>
  <c r="G604" i="25" s="1"/>
  <c r="G603" i="25" s="1"/>
  <c r="F357" i="25"/>
  <c r="F356" i="25" s="1"/>
  <c r="F355" i="25" s="1"/>
  <c r="F59" i="18"/>
  <c r="G355" i="25"/>
  <c r="C45" i="18"/>
  <c r="F268" i="25"/>
  <c r="G59" i="18"/>
  <c r="G336" i="25"/>
  <c r="G326" i="25" s="1"/>
  <c r="G325" i="25" s="1"/>
  <c r="G471" i="25"/>
  <c r="G470" i="25" s="1"/>
  <c r="G294" i="25"/>
  <c r="F542" i="25"/>
  <c r="F541" i="25" s="1"/>
  <c r="F540" i="25" s="1"/>
  <c r="F605" i="25"/>
  <c r="F604" i="25" s="1"/>
  <c r="F603" i="25" s="1"/>
  <c r="D69" i="18"/>
  <c r="G686" i="25"/>
  <c r="G688" i="25" s="1"/>
  <c r="G68" i="18"/>
  <c r="C54" i="18"/>
  <c r="F55" i="18" s="1"/>
  <c r="F438" i="25"/>
  <c r="F437" i="25" s="1"/>
  <c r="F436" i="25" s="1"/>
  <c r="F471" i="25"/>
  <c r="F470" i="25" s="1"/>
  <c r="E422" i="23"/>
  <c r="C17" i="24" s="1"/>
  <c r="F686" i="25"/>
  <c r="F312" i="22"/>
  <c r="F311" i="22" s="1"/>
  <c r="C31" i="24"/>
  <c r="F484" i="22"/>
  <c r="F483" i="22" s="1"/>
  <c r="C75" i="24"/>
  <c r="C74" i="24" s="1"/>
  <c r="F746" i="22"/>
  <c r="E513" i="23"/>
  <c r="E512" i="23" s="1"/>
  <c r="E511" i="23" s="1"/>
  <c r="F644" i="22"/>
  <c r="F11" i="22"/>
  <c r="F10" i="22" s="1"/>
  <c r="E48" i="23"/>
  <c r="E47" i="23" s="1"/>
  <c r="E46" i="23" s="1"/>
  <c r="F366" i="22"/>
  <c r="F365" i="22" s="1"/>
  <c r="F562" i="22"/>
  <c r="F548" i="22" s="1"/>
  <c r="F547" i="22" s="1"/>
  <c r="F546" i="22" s="1"/>
  <c r="G236" i="25"/>
  <c r="G235" i="25" s="1"/>
  <c r="F128" i="25"/>
  <c r="F110" i="25" s="1"/>
  <c r="F236" i="25"/>
  <c r="F235" i="25" s="1"/>
  <c r="F336" i="25"/>
  <c r="F282" i="25"/>
  <c r="F15" i="25"/>
  <c r="F14" i="25" s="1"/>
  <c r="F343" i="25"/>
  <c r="F342" i="25" s="1"/>
  <c r="F341" i="25" s="1"/>
  <c r="G542" i="25"/>
  <c r="G541" i="25" s="1"/>
  <c r="G540" i="25" s="1"/>
  <c r="F197" i="25"/>
  <c r="F196" i="25" s="1"/>
  <c r="C16" i="18"/>
  <c r="F326" i="25"/>
  <c r="F325" i="25" s="1"/>
  <c r="F428" i="17"/>
  <c r="D24" i="18" s="1"/>
  <c r="F604" i="17"/>
  <c r="C30" i="18"/>
  <c r="F639" i="17"/>
  <c r="E197" i="17"/>
  <c r="E587" i="17" s="1"/>
  <c r="F56" i="18" s="1"/>
  <c r="C22" i="18"/>
  <c r="C20" i="18" s="1"/>
  <c r="E474" i="17"/>
  <c r="G40" i="18"/>
  <c r="E395" i="17"/>
  <c r="E606" i="17"/>
  <c r="F617" i="17"/>
  <c r="E633" i="17"/>
  <c r="E428" i="17"/>
  <c r="E611" i="17" s="1"/>
  <c r="E617" i="17"/>
  <c r="F255" i="17"/>
  <c r="E644" i="17"/>
  <c r="F622" i="17"/>
  <c r="F128" i="17"/>
  <c r="F112" i="17" s="1"/>
  <c r="F62" i="17"/>
  <c r="F379" i="17"/>
  <c r="F378" i="17" s="1"/>
  <c r="F377" i="17" s="1"/>
  <c r="F342" i="17"/>
  <c r="F341" i="17" s="1"/>
  <c r="F340" i="17" s="1"/>
  <c r="F409" i="17"/>
  <c r="F408" i="17" s="1"/>
  <c r="F407" i="17" s="1"/>
  <c r="E62" i="17"/>
  <c r="F448" i="17"/>
  <c r="F447" i="17" s="1"/>
  <c r="F446" i="17" s="1"/>
  <c r="E379" i="17"/>
  <c r="E378" i="17" s="1"/>
  <c r="E639" i="17"/>
  <c r="E316" i="17"/>
  <c r="E315" i="17" s="1"/>
  <c r="E314" i="17" s="1"/>
  <c r="F92" i="17"/>
  <c r="F586" i="17" s="1"/>
  <c r="G54" i="18" s="1"/>
  <c r="G55" i="18" s="1"/>
  <c r="F155" i="22"/>
  <c r="F131" i="22" s="1"/>
  <c r="F113" i="22" s="1"/>
  <c r="F332" i="22"/>
  <c r="F331" i="22" s="1"/>
  <c r="F725" i="22" s="1"/>
  <c r="E210" i="23"/>
  <c r="C702" i="23" s="1"/>
  <c r="F446" i="22"/>
  <c r="F445" i="22" s="1"/>
  <c r="F729" i="22" s="1"/>
  <c r="F594" i="22"/>
  <c r="F593" i="22" s="1"/>
  <c r="F592" i="22" s="1"/>
  <c r="F520" i="22"/>
  <c r="F512" i="22" s="1"/>
  <c r="F511" i="22" s="1"/>
  <c r="F510" i="22" s="1"/>
  <c r="F286" i="22"/>
  <c r="F285" i="22" s="1"/>
  <c r="F750" i="22" s="1"/>
  <c r="F303" i="22"/>
  <c r="E97" i="23"/>
  <c r="C701" i="23" s="1"/>
  <c r="E533" i="23"/>
  <c r="E532" i="23" s="1"/>
  <c r="E531" i="23" s="1"/>
  <c r="C29" i="24"/>
  <c r="F637" i="22"/>
  <c r="E105" i="23"/>
  <c r="C705" i="23" s="1"/>
  <c r="C66" i="24"/>
  <c r="C65" i="24" s="1"/>
  <c r="F67" i="25"/>
  <c r="G128" i="25"/>
  <c r="G110" i="25" s="1"/>
  <c r="G302" i="25"/>
  <c r="F506" i="25"/>
  <c r="F505" i="25" s="1"/>
  <c r="F504" i="25" s="1"/>
  <c r="G268" i="25"/>
  <c r="G67" i="25"/>
  <c r="D52" i="18"/>
  <c r="G53" i="18" s="1"/>
  <c r="G406" i="25"/>
  <c r="G400" i="25" s="1"/>
  <c r="C52" i="18"/>
  <c r="F53" i="18" s="1"/>
  <c r="F406" i="25"/>
  <c r="F400" i="25" s="1"/>
  <c r="F394" i="25" s="1"/>
  <c r="F302" i="25"/>
  <c r="F293" i="25" s="1"/>
  <c r="C74" i="18"/>
  <c r="D56" i="18"/>
  <c r="G197" i="25"/>
  <c r="G196" i="25" s="1"/>
  <c r="G438" i="25"/>
  <c r="G437" i="25" s="1"/>
  <c r="G436" i="25" s="1"/>
  <c r="E616" i="17"/>
  <c r="F590" i="17"/>
  <c r="G63" i="18" s="1"/>
  <c r="G64" i="18" s="1"/>
  <c r="E128" i="17"/>
  <c r="E112" i="17" s="1"/>
  <c r="E646" i="17" s="1"/>
  <c r="F514" i="17"/>
  <c r="E342" i="17"/>
  <c r="E341" i="17" s="1"/>
  <c r="E340" i="17" s="1"/>
  <c r="G208" i="25"/>
  <c r="F208" i="25"/>
  <c r="G25" i="25"/>
  <c r="G15" i="25" s="1"/>
  <c r="G14" i="25" s="1"/>
  <c r="F183" i="22"/>
  <c r="F182" i="22" s="1"/>
  <c r="F184" i="22"/>
  <c r="C18" i="24"/>
  <c r="E138" i="23"/>
  <c r="E117" i="23" s="1"/>
  <c r="E67" i="23"/>
  <c r="C696" i="23" s="1"/>
  <c r="F241" i="22"/>
  <c r="F240" i="22" s="1"/>
  <c r="F239" i="22" s="1"/>
  <c r="F238" i="22" s="1"/>
  <c r="F717" i="22"/>
  <c r="F693" i="22"/>
  <c r="F692" i="22" s="1"/>
  <c r="F691" i="22" s="1"/>
  <c r="F589" i="17"/>
  <c r="G60" i="18" s="1"/>
  <c r="G61" i="18" s="1"/>
  <c r="F205" i="17"/>
  <c r="H571" i="17"/>
  <c r="G693" i="25"/>
  <c r="F34" i="15"/>
  <c r="F31" i="15"/>
  <c r="F29" i="15"/>
  <c r="F27" i="15"/>
  <c r="F23" i="15"/>
  <c r="F21" i="15"/>
  <c r="F18" i="15"/>
  <c r="F14" i="15"/>
  <c r="F12" i="15"/>
  <c r="F10" i="15"/>
  <c r="F9" i="15"/>
  <c r="D11" i="12"/>
  <c r="F35" i="15"/>
  <c r="E514" i="17"/>
  <c r="E488" i="17" s="1"/>
  <c r="E628" i="17"/>
  <c r="E255" i="17"/>
  <c r="F587" i="17"/>
  <c r="G56" i="18" s="1"/>
  <c r="F196" i="17"/>
  <c r="C693" i="23"/>
  <c r="E351" i="23"/>
  <c r="E350" i="23" s="1"/>
  <c r="F72" i="22"/>
  <c r="F71" i="22" s="1"/>
  <c r="F63" i="22" s="1"/>
  <c r="F738" i="22" s="1"/>
  <c r="F578" i="17"/>
  <c r="G33" i="18" s="1"/>
  <c r="G34" i="18" s="1"/>
  <c r="F298" i="17"/>
  <c r="F297" i="17" s="1"/>
  <c r="C77" i="24"/>
  <c r="C76" i="24" s="1"/>
  <c r="E327" i="23"/>
  <c r="E318" i="23" s="1"/>
  <c r="C708" i="23" s="1"/>
  <c r="E454" i="23"/>
  <c r="E453" i="23" s="1"/>
  <c r="C42" i="24"/>
  <c r="D67" i="15"/>
  <c r="E642" i="17"/>
  <c r="E266" i="17"/>
  <c r="E593" i="17" s="1"/>
  <c r="F69" i="18" s="1"/>
  <c r="F70" i="18" s="1"/>
  <c r="F494" i="17"/>
  <c r="D13" i="18"/>
  <c r="D11" i="18" s="1"/>
  <c r="F602" i="17"/>
  <c r="F627" i="17"/>
  <c r="F233" i="17"/>
  <c r="F348" i="22"/>
  <c r="F347" i="22" s="1"/>
  <c r="D43" i="21"/>
  <c r="F41" i="26"/>
  <c r="F38" i="26"/>
  <c r="F31" i="26"/>
  <c r="F27" i="26"/>
  <c r="F24" i="26"/>
  <c r="F20" i="26"/>
  <c r="F14" i="26"/>
  <c r="F40" i="26"/>
  <c r="F37" i="26"/>
  <c r="F30" i="26"/>
  <c r="F25" i="26"/>
  <c r="F33" i="26"/>
  <c r="F19" i="26"/>
  <c r="F35" i="26"/>
  <c r="F22" i="26"/>
  <c r="F39" i="26"/>
  <c r="F29" i="26"/>
  <c r="F26" i="26"/>
  <c r="F23" i="26"/>
  <c r="F15" i="26"/>
  <c r="F32" i="26"/>
  <c r="F17" i="26"/>
  <c r="C20" i="24"/>
  <c r="E627" i="17"/>
  <c r="E233" i="17"/>
  <c r="F644" i="17"/>
  <c r="F283" i="17"/>
  <c r="E589" i="17"/>
  <c r="F60" i="18" s="1"/>
  <c r="F61" i="18" s="1"/>
  <c r="E205" i="17"/>
  <c r="C13" i="18"/>
  <c r="E602" i="17"/>
  <c r="C47" i="24"/>
  <c r="E249" i="23"/>
  <c r="E578" i="17"/>
  <c r="F33" i="18" s="1"/>
  <c r="F34" i="18" s="1"/>
  <c r="E298" i="17"/>
  <c r="E297" i="17" s="1"/>
  <c r="F601" i="17"/>
  <c r="F316" i="17"/>
  <c r="F315" i="17" s="1"/>
  <c r="C13" i="24"/>
  <c r="C10" i="24" s="1"/>
  <c r="E604" i="23"/>
  <c r="E603" i="23" s="1"/>
  <c r="F642" i="17"/>
  <c r="F266" i="17"/>
  <c r="C48" i="24"/>
  <c r="E287" i="23"/>
  <c r="E614" i="17"/>
  <c r="E448" i="17"/>
  <c r="E447" i="17" s="1"/>
  <c r="E590" i="17"/>
  <c r="F63" i="18" s="1"/>
  <c r="C16" i="24"/>
  <c r="E582" i="23"/>
  <c r="D13" i="21"/>
  <c r="E369" i="23"/>
  <c r="E368" i="23" s="1"/>
  <c r="C11" i="12"/>
  <c r="E29" i="15"/>
  <c r="E18" i="15"/>
  <c r="E14" i="15"/>
  <c r="E9" i="15"/>
  <c r="E581" i="17" l="1"/>
  <c r="F41" i="18" s="1"/>
  <c r="F42" i="18" s="1"/>
  <c r="E61" i="17"/>
  <c r="F581" i="17"/>
  <c r="G41" i="18" s="1"/>
  <c r="F61" i="17"/>
  <c r="F12" i="17" s="1"/>
  <c r="F744" i="22"/>
  <c r="F753" i="22"/>
  <c r="D30" i="18"/>
  <c r="D27" i="18" s="1"/>
  <c r="F616" i="17"/>
  <c r="E629" i="23"/>
  <c r="E628" i="23" s="1"/>
  <c r="E627" i="23" s="1"/>
  <c r="G571" i="17"/>
  <c r="E34" i="15"/>
  <c r="E10" i="15"/>
  <c r="E23" i="15"/>
  <c r="E12" i="15"/>
  <c r="E27" i="15"/>
  <c r="E35" i="15"/>
  <c r="E21" i="15"/>
  <c r="E31" i="15"/>
  <c r="F693" i="25"/>
  <c r="F708" i="38"/>
  <c r="C67" i="15"/>
  <c r="F577" i="17"/>
  <c r="F596" i="17"/>
  <c r="D84" i="18" s="1"/>
  <c r="D12" i="12"/>
  <c r="D10" i="12" s="1"/>
  <c r="D13" i="12" s="1"/>
  <c r="G698" i="38"/>
  <c r="G701" i="38" s="1"/>
  <c r="G703" i="38" s="1"/>
  <c r="E63" i="15"/>
  <c r="F277" i="17"/>
  <c r="F594" i="17" s="1"/>
  <c r="G71" i="18" s="1"/>
  <c r="D75" i="18"/>
  <c r="D74" i="18" s="1"/>
  <c r="D71" i="18" s="1"/>
  <c r="E277" i="17"/>
  <c r="E594" i="17" s="1"/>
  <c r="F71" i="18" s="1"/>
  <c r="C73" i="18"/>
  <c r="C72" i="18" s="1"/>
  <c r="F57" i="18"/>
  <c r="G42" i="18"/>
  <c r="E540" i="17"/>
  <c r="C37" i="18" s="1"/>
  <c r="C36" i="18" s="1"/>
  <c r="E621" i="17"/>
  <c r="E648" i="17" s="1"/>
  <c r="D37" i="18"/>
  <c r="D36" i="18" s="1"/>
  <c r="F540" i="17"/>
  <c r="F539" i="17" s="1"/>
  <c r="F538" i="17" s="1"/>
  <c r="F621" i="17"/>
  <c r="C15" i="18"/>
  <c r="C28" i="24"/>
  <c r="E301" i="23"/>
  <c r="C707" i="23" s="1"/>
  <c r="E408" i="23"/>
  <c r="E407" i="23" s="1"/>
  <c r="E406" i="23" s="1"/>
  <c r="F409" i="22"/>
  <c r="F728" i="22" s="1"/>
  <c r="E602" i="23"/>
  <c r="E576" i="23" s="1"/>
  <c r="C37" i="24"/>
  <c r="F364" i="22"/>
  <c r="F727" i="22" s="1"/>
  <c r="F690" i="22"/>
  <c r="F482" i="22"/>
  <c r="F481" i="22" s="1"/>
  <c r="C73" i="24"/>
  <c r="E452" i="23"/>
  <c r="G682" i="16"/>
  <c r="G12" i="17"/>
  <c r="G699" i="16"/>
  <c r="L692" i="16"/>
  <c r="L36" i="16"/>
  <c r="I240" i="16"/>
  <c r="J241" i="16"/>
  <c r="G763" i="29"/>
  <c r="I618" i="16"/>
  <c r="J619" i="16"/>
  <c r="J706" i="16" s="1"/>
  <c r="I706" i="16"/>
  <c r="I716" i="16" s="1"/>
  <c r="I345" i="16"/>
  <c r="J346" i="16"/>
  <c r="J395" i="16"/>
  <c r="I394" i="16"/>
  <c r="F68" i="21"/>
  <c r="J272" i="16"/>
  <c r="H399" i="16"/>
  <c r="J400" i="16"/>
  <c r="J508" i="16"/>
  <c r="L699" i="16"/>
  <c r="H31" i="16"/>
  <c r="J32" i="16"/>
  <c r="J382" i="16"/>
  <c r="I381" i="16"/>
  <c r="J381" i="16" s="1"/>
  <c r="J480" i="16"/>
  <c r="I479" i="16"/>
  <c r="J479" i="16" s="1"/>
  <c r="J500" i="16"/>
  <c r="I499" i="16"/>
  <c r="I636" i="16"/>
  <c r="J636" i="16" s="1"/>
  <c r="J637" i="16"/>
  <c r="I196" i="16"/>
  <c r="J197" i="16"/>
  <c r="J329" i="16"/>
  <c r="I328" i="16"/>
  <c r="H388" i="16"/>
  <c r="J389" i="16"/>
  <c r="H450" i="16"/>
  <c r="J451" i="16"/>
  <c r="H218" i="16"/>
  <c r="J223" i="16"/>
  <c r="J435" i="16"/>
  <c r="I536" i="16"/>
  <c r="I667" i="16"/>
  <c r="J668" i="16"/>
  <c r="I59" i="29"/>
  <c r="I30" i="29" s="1"/>
  <c r="J26" i="16"/>
  <c r="I25" i="16"/>
  <c r="I709" i="16"/>
  <c r="I157" i="16"/>
  <c r="J180" i="16"/>
  <c r="H179" i="16"/>
  <c r="J179" i="16" s="1"/>
  <c r="I574" i="16"/>
  <c r="J574" i="16" s="1"/>
  <c r="J575" i="16"/>
  <c r="G228" i="29"/>
  <c r="G767" i="29" s="1"/>
  <c r="F688" i="25"/>
  <c r="C10" i="12" s="1"/>
  <c r="C13" i="12" s="1"/>
  <c r="I753" i="29"/>
  <c r="I755" i="29" s="1"/>
  <c r="J67" i="16"/>
  <c r="J168" i="16"/>
  <c r="I167" i="16"/>
  <c r="J228" i="16"/>
  <c r="G769" i="29"/>
  <c r="J29" i="29"/>
  <c r="J750" i="29" s="1"/>
  <c r="J767" i="29"/>
  <c r="J774" i="29" s="1"/>
  <c r="I428" i="16"/>
  <c r="J429" i="16"/>
  <c r="G36" i="16"/>
  <c r="G678" i="16" s="1"/>
  <c r="J291" i="16"/>
  <c r="I284" i="16"/>
  <c r="I598" i="16"/>
  <c r="H653" i="16"/>
  <c r="J654" i="16"/>
  <c r="H682" i="16"/>
  <c r="J576" i="16"/>
  <c r="I681" i="16"/>
  <c r="J128" i="16"/>
  <c r="I110" i="16"/>
  <c r="J110" i="16" s="1"/>
  <c r="G797" i="29"/>
  <c r="H213" i="16"/>
  <c r="J213" i="16" s="1"/>
  <c r="J214" i="16"/>
  <c r="I409" i="16"/>
  <c r="J410" i="16"/>
  <c r="I458" i="16"/>
  <c r="J459" i="16"/>
  <c r="H159" i="16"/>
  <c r="J160" i="16"/>
  <c r="H497" i="16"/>
  <c r="I682" i="16"/>
  <c r="J360" i="16"/>
  <c r="I359" i="16"/>
  <c r="I794" i="29"/>
  <c r="I797" i="29" s="1"/>
  <c r="I272" i="29"/>
  <c r="I228" i="29" s="1"/>
  <c r="I767" i="29" s="1"/>
  <c r="C27" i="18"/>
  <c r="G394" i="25"/>
  <c r="F64" i="18"/>
  <c r="D45" i="18"/>
  <c r="G503" i="25"/>
  <c r="G502" i="25" s="1"/>
  <c r="G178" i="25"/>
  <c r="F66" i="25"/>
  <c r="F37" i="25" s="1"/>
  <c r="F178" i="25"/>
  <c r="F267" i="25"/>
  <c r="F223" i="25" s="1"/>
  <c r="G293" i="25"/>
  <c r="G267" i="25" s="1"/>
  <c r="G223" i="25" s="1"/>
  <c r="G57" i="18"/>
  <c r="F503" i="25"/>
  <c r="F502" i="25" s="1"/>
  <c r="C11" i="18"/>
  <c r="C71" i="18"/>
  <c r="F302" i="22"/>
  <c r="F270" i="22" s="1"/>
  <c r="F226" i="22" s="1"/>
  <c r="F724" i="22" s="1"/>
  <c r="E66" i="23"/>
  <c r="E12" i="23" s="1"/>
  <c r="F62" i="22"/>
  <c r="F33" i="22" s="1"/>
  <c r="F636" i="22"/>
  <c r="F635" i="22" s="1"/>
  <c r="F634" i="22" s="1"/>
  <c r="F509" i="22" s="1"/>
  <c r="F508" i="22" s="1"/>
  <c r="F757" i="22"/>
  <c r="E209" i="23"/>
  <c r="E191" i="23" s="1"/>
  <c r="C25" i="24"/>
  <c r="G66" i="25"/>
  <c r="G37" i="25" s="1"/>
  <c r="F611" i="17"/>
  <c r="F648" i="17" s="1"/>
  <c r="F427" i="17"/>
  <c r="F426" i="17" s="1"/>
  <c r="E196" i="17"/>
  <c r="E178" i="17" s="1"/>
  <c r="F646" i="17"/>
  <c r="E427" i="17"/>
  <c r="E426" i="17" s="1"/>
  <c r="G27" i="18"/>
  <c r="E377" i="17"/>
  <c r="C24" i="18"/>
  <c r="E446" i="17"/>
  <c r="E12" i="17"/>
  <c r="E596" i="17"/>
  <c r="C84" i="18" s="1"/>
  <c r="F488" i="17"/>
  <c r="C83" i="24"/>
  <c r="F181" i="22"/>
  <c r="F723" i="22" s="1"/>
  <c r="F736" i="22"/>
  <c r="C692" i="23"/>
  <c r="F734" i="22"/>
  <c r="E647" i="17"/>
  <c r="F178" i="17"/>
  <c r="C15" i="24"/>
  <c r="F739" i="22"/>
  <c r="E579" i="17"/>
  <c r="E539" i="17"/>
  <c r="E538" i="17" s="1"/>
  <c r="E577" i="17"/>
  <c r="E367" i="23"/>
  <c r="G13" i="21"/>
  <c r="C697" i="23"/>
  <c r="E248" i="23"/>
  <c r="E582" i="17"/>
  <c r="E232" i="17"/>
  <c r="D10" i="18"/>
  <c r="E254" i="17"/>
  <c r="F314" i="17"/>
  <c r="F593" i="17"/>
  <c r="F254" i="17"/>
  <c r="C46" i="24"/>
  <c r="D42" i="21"/>
  <c r="G42" i="21" s="1"/>
  <c r="G43" i="21"/>
  <c r="F582" i="17"/>
  <c r="F232" i="17"/>
  <c r="D78" i="18" l="1"/>
  <c r="G28" i="18"/>
  <c r="G707" i="38"/>
  <c r="G709" i="38" s="1"/>
  <c r="C691" i="23"/>
  <c r="E286" i="23"/>
  <c r="E236" i="23" s="1"/>
  <c r="C694" i="23"/>
  <c r="E366" i="23"/>
  <c r="F751" i="22"/>
  <c r="L757" i="29"/>
  <c r="K759" i="29"/>
  <c r="I597" i="16"/>
  <c r="J597" i="16" s="1"/>
  <c r="J598" i="16"/>
  <c r="I689" i="16"/>
  <c r="J536" i="16"/>
  <c r="I535" i="16"/>
  <c r="J328" i="16"/>
  <c r="I327" i="16"/>
  <c r="H158" i="16"/>
  <c r="J159" i="16"/>
  <c r="I408" i="16"/>
  <c r="J408" i="16" s="1"/>
  <c r="J409" i="16"/>
  <c r="I283" i="16"/>
  <c r="J284" i="16"/>
  <c r="J762" i="29"/>
  <c r="J761" i="29"/>
  <c r="I690" i="16"/>
  <c r="J167" i="16"/>
  <c r="J690" i="16" s="1"/>
  <c r="I29" i="29"/>
  <c r="I750" i="29" s="1"/>
  <c r="I763" i="29"/>
  <c r="I774" i="29" s="1"/>
  <c r="H698" i="16"/>
  <c r="H564" i="17" s="1"/>
  <c r="J450" i="16"/>
  <c r="J698" i="16" s="1"/>
  <c r="J618" i="16"/>
  <c r="I617" i="16"/>
  <c r="H25" i="16"/>
  <c r="H15" i="16" s="1"/>
  <c r="J31" i="16"/>
  <c r="I344" i="16"/>
  <c r="J345" i="16"/>
  <c r="G774" i="29"/>
  <c r="I239" i="16"/>
  <c r="J240" i="16"/>
  <c r="I358" i="16"/>
  <c r="J359" i="16"/>
  <c r="H694" i="16"/>
  <c r="H313" i="17" s="1"/>
  <c r="J458" i="16"/>
  <c r="I457" i="16"/>
  <c r="J457" i="16" s="1"/>
  <c r="J653" i="16"/>
  <c r="H652" i="16"/>
  <c r="J428" i="16"/>
  <c r="I427" i="16"/>
  <c r="I66" i="16"/>
  <c r="J25" i="16"/>
  <c r="I15" i="16"/>
  <c r="I666" i="16"/>
  <c r="J666" i="16" s="1"/>
  <c r="J667" i="16"/>
  <c r="H208" i="16"/>
  <c r="J218" i="16"/>
  <c r="J388" i="16"/>
  <c r="J196" i="16"/>
  <c r="I178" i="16"/>
  <c r="I498" i="16"/>
  <c r="J499" i="16"/>
  <c r="H393" i="16"/>
  <c r="H387" i="16" s="1"/>
  <c r="H696" i="16" s="1"/>
  <c r="H488" i="17" s="1"/>
  <c r="J399" i="16"/>
  <c r="I393" i="16"/>
  <c r="J394" i="16"/>
  <c r="G29" i="29"/>
  <c r="G750" i="29" s="1"/>
  <c r="C10" i="18"/>
  <c r="F36" i="25"/>
  <c r="F684" i="25" s="1"/>
  <c r="F692" i="25" s="1"/>
  <c r="K682" i="25" s="1"/>
  <c r="K683" i="25" s="1"/>
  <c r="D68" i="21"/>
  <c r="G68" i="21" s="1"/>
  <c r="G36" i="25"/>
  <c r="G684" i="25" s="1"/>
  <c r="F733" i="22"/>
  <c r="C9" i="24"/>
  <c r="F726" i="22"/>
  <c r="E576" i="17"/>
  <c r="E597" i="17" s="1"/>
  <c r="E650" i="17" s="1"/>
  <c r="F647" i="17"/>
  <c r="F313" i="17"/>
  <c r="F576" i="17"/>
  <c r="G10" i="18" s="1"/>
  <c r="G11" i="18" s="1"/>
  <c r="E313" i="17"/>
  <c r="G314" i="17" s="1"/>
  <c r="F579" i="17"/>
  <c r="G36" i="18" s="1"/>
  <c r="G37" i="18" s="1"/>
  <c r="G45" i="18"/>
  <c r="G46" i="18" s="1"/>
  <c r="F36" i="18"/>
  <c r="F37" i="18" s="1"/>
  <c r="G69" i="18"/>
  <c r="G70" i="18" s="1"/>
  <c r="E220" i="17"/>
  <c r="D87" i="18"/>
  <c r="F220" i="17"/>
  <c r="F45" i="18"/>
  <c r="F46" i="18" s="1"/>
  <c r="F32" i="22"/>
  <c r="F720" i="22"/>
  <c r="F78" i="18"/>
  <c r="G78" i="18"/>
  <c r="F27" i="18"/>
  <c r="F28" i="18" s="1"/>
  <c r="C78" i="18" l="1"/>
  <c r="C87" i="18" s="1"/>
  <c r="F754" i="22"/>
  <c r="C710" i="23"/>
  <c r="E677" i="23"/>
  <c r="F731" i="22"/>
  <c r="G762" i="29"/>
  <c r="G761" i="29"/>
  <c r="H178" i="16"/>
  <c r="H691" i="16" s="1"/>
  <c r="H178" i="17" s="1"/>
  <c r="J208" i="16"/>
  <c r="J652" i="16"/>
  <c r="H697" i="16"/>
  <c r="H538" i="17" s="1"/>
  <c r="I343" i="16"/>
  <c r="J344" i="16"/>
  <c r="I762" i="29"/>
  <c r="I761" i="29"/>
  <c r="J327" i="16"/>
  <c r="I326" i="16"/>
  <c r="J66" i="16"/>
  <c r="I37" i="16"/>
  <c r="H496" i="16"/>
  <c r="J239" i="16"/>
  <c r="J393" i="16"/>
  <c r="I387" i="16"/>
  <c r="J498" i="16"/>
  <c r="I426" i="16"/>
  <c r="J427" i="16"/>
  <c r="H688" i="16"/>
  <c r="H14" i="16"/>
  <c r="I534" i="16"/>
  <c r="J534" i="16" s="1"/>
  <c r="J535" i="16"/>
  <c r="I691" i="16"/>
  <c r="J178" i="16"/>
  <c r="J691" i="16" s="1"/>
  <c r="I688" i="16"/>
  <c r="J15" i="16"/>
  <c r="I14" i="16"/>
  <c r="I357" i="16"/>
  <c r="J358" i="16"/>
  <c r="I616" i="16"/>
  <c r="J616" i="16" s="1"/>
  <c r="J617" i="16"/>
  <c r="J283" i="16"/>
  <c r="I271" i="16"/>
  <c r="J271" i="16" s="1"/>
  <c r="H157" i="16"/>
  <c r="J158" i="16"/>
  <c r="C85" i="18"/>
  <c r="F80" i="18"/>
  <c r="F694" i="25"/>
  <c r="F10" i="18"/>
  <c r="F11" i="18" s="1"/>
  <c r="C80" i="24"/>
  <c r="C84" i="24" s="1"/>
  <c r="B88" i="24" s="1"/>
  <c r="G692" i="25"/>
  <c r="G694" i="25" s="1"/>
  <c r="F571" i="17"/>
  <c r="F573" i="17" s="1"/>
  <c r="E571" i="17"/>
  <c r="E599" i="17" s="1"/>
  <c r="F597" i="17"/>
  <c r="F650" i="17" s="1"/>
  <c r="G80" i="18"/>
  <c r="N39" i="16"/>
  <c r="F715" i="22"/>
  <c r="C14" i="3" s="1"/>
  <c r="C709" i="23" l="1"/>
  <c r="J14" i="16"/>
  <c r="H699" i="16"/>
  <c r="I693" i="16"/>
  <c r="J326" i="16"/>
  <c r="J693" i="16" s="1"/>
  <c r="H689" i="16"/>
  <c r="H36" i="16"/>
  <c r="H678" i="16" s="1"/>
  <c r="H679" i="16" s="1"/>
  <c r="J157" i="16"/>
  <c r="J689" i="16" s="1"/>
  <c r="I696" i="16"/>
  <c r="J387" i="16"/>
  <c r="J696" i="16" s="1"/>
  <c r="I342" i="16"/>
  <c r="J343" i="16"/>
  <c r="I697" i="16"/>
  <c r="J426" i="16"/>
  <c r="J697" i="16" s="1"/>
  <c r="J37" i="16"/>
  <c r="J688" i="16" s="1"/>
  <c r="I356" i="16"/>
  <c r="J357" i="16"/>
  <c r="I497" i="16"/>
  <c r="I227" i="16"/>
  <c r="I36" i="16" s="1"/>
  <c r="L682" i="25"/>
  <c r="K684" i="25" s="1"/>
  <c r="E573" i="17"/>
  <c r="F599" i="17"/>
  <c r="C12" i="3"/>
  <c r="C15" i="3" s="1"/>
  <c r="G531" i="23"/>
  <c r="F719" i="22"/>
  <c r="G670" i="23"/>
  <c r="G180" i="23"/>
  <c r="F718" i="22"/>
  <c r="G170" i="23"/>
  <c r="G191" i="23"/>
  <c r="G350" i="23"/>
  <c r="G236" i="23"/>
  <c r="G12" i="23"/>
  <c r="G366" i="23"/>
  <c r="G576" i="23"/>
  <c r="G627" i="23"/>
  <c r="J36" i="16" l="1"/>
  <c r="I694" i="16"/>
  <c r="J342" i="16"/>
  <c r="I695" i="16"/>
  <c r="J356" i="16"/>
  <c r="J695" i="16" s="1"/>
  <c r="I496" i="16"/>
  <c r="J496" i="16" s="1"/>
  <c r="J678" i="16" s="1"/>
  <c r="J497" i="16"/>
  <c r="I692" i="16"/>
  <c r="I699" i="16" s="1"/>
  <c r="J227" i="16"/>
  <c r="J692" i="16" s="1"/>
  <c r="J699" i="16" l="1"/>
  <c r="I678" i="16"/>
  <c r="J694" i="16"/>
  <c r="L678" i="16" l="1"/>
  <c r="G715" i="16"/>
  <c r="F715" i="16"/>
  <c r="I679" i="16"/>
  <c r="F433" i="38"/>
  <c r="F430" i="38" s="1"/>
  <c r="F699" i="38" s="1"/>
  <c r="F48" i="38" l="1"/>
  <c r="F47" i="38"/>
  <c r="F46" i="38" s="1"/>
  <c r="F33" i="38" s="1"/>
  <c r="F426" i="38"/>
  <c r="F425" i="38" s="1"/>
  <c r="F424" i="38" s="1"/>
  <c r="F403" i="38" s="1"/>
  <c r="F32" i="38" l="1"/>
  <c r="F697" i="38" s="1"/>
  <c r="F698" i="38"/>
  <c r="F701" i="38" s="1"/>
  <c r="F703" i="38" l="1"/>
  <c r="F707" i="38"/>
  <c r="F709" i="38" s="1"/>
</calcChain>
</file>

<file path=xl/sharedStrings.xml><?xml version="1.0" encoding="utf-8"?>
<sst xmlns="http://schemas.openxmlformats.org/spreadsheetml/2006/main" count="39217" uniqueCount="1129">
  <si>
    <t>Наименование показателей</t>
  </si>
  <si>
    <t>Вед.</t>
  </si>
  <si>
    <t>Разд.</t>
  </si>
  <si>
    <t>Ц.ст.</t>
  </si>
  <si>
    <t>Расх.</t>
  </si>
  <si>
    <t>0000</t>
  </si>
  <si>
    <t>000</t>
  </si>
  <si>
    <t>ОБЩЕГОСУДАРСТВЕННЫЕ ВОПРОСЫ</t>
  </si>
  <si>
    <t>0100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</si>
  <si>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</si>
  <si>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0106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</si>
  <si>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</si>
  <si>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100</t>
  </si>
  <si>
    <t>Расходы на выплаты персоналу государственных (муниципальных) органов</t>
  </si>
  <si>
    <t>120</t>
  </si>
  <si>
    <t>Закупка товаров, работ и услуг для государственных (муниципальных) нужд</t>
  </si>
  <si>
    <t>200</t>
  </si>
  <si>
    <t>Иные закупки товаров, работ и услуг для обеспечения государственных (муниципальных) нужд</t>
  </si>
  <si>
    <t>240</t>
  </si>
  <si>
    <t>Иные бюджетные ассигнования</t>
  </si>
  <si>
    <t>800</t>
  </si>
  <si>
    <t>Уплата налогов, сборов и иных платежей</t>
  </si>
  <si>
    <t>850</t>
  </si>
  <si>
    <t>Другие общегосударственные вопросы</t>
  </si>
  <si>
    <t>0113</t>
  </si>
  <si>
    <t>Мероприятия по информационно-техническому сопровождению коммуникационного оборудования и программных продуктов</t>
  </si>
  <si>
    <t>0200</t>
  </si>
  <si>
    <t>Администрация Ханкайского муниципального района Приморского края</t>
  </si>
  <si>
    <t>Функционирование высшего должностного лица субъекта Российской Федерации и муниципального образования</t>
  </si>
  <si>
    <t>0102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</si>
  <si>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</si>
  <si>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</si>
  <si>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>Содержание и обслуживание муниципальной  казны, оценка недвижимости, признание прав и регулирование отношений по муниципальной собственности</t>
  </si>
  <si>
    <t>Расходы на обеспечение деятельности (оказание услуг, выполнение работ) муниципальных учреждений</t>
  </si>
  <si>
    <t>Расходы на выплаты персоналу казенных учреждений</t>
  </si>
  <si>
    <t>110</t>
  </si>
  <si>
    <t>Расходы на обеспечение деятельности (оказание услуг, выполнение работ) муниципальных автономных учреждений</t>
  </si>
  <si>
    <t>Предоставление субсидий бюджетным, автономным учреждениям и иным некоммерческим организациям</t>
  </si>
  <si>
    <t>600</t>
  </si>
  <si>
    <t>Субсидии автономным учреждениям</t>
  </si>
  <si>
    <t>620</t>
  </si>
  <si>
    <t>НАЦИОНАЛЬНАЯ БЕЗОПАСНОСТЬ И ПРАВООХРАНИТЕЛЬНАЯ ДЕЯТЕЛЬНОСТЬ</t>
  </si>
  <si>
    <t>0300</t>
  </si>
  <si>
    <t>Защита населения и территории от чрезвычайных ситуаций природного и техногенного характера, гражданская оборона</t>
  </si>
  <si>
    <t>0309</t>
  </si>
  <si>
    <t>Мероприятия по подготовке населения и организаций к действиям в чрезвычайной ситуации</t>
  </si>
  <si>
    <t>0400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</si>
  <si>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</si>
  <si>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</si>
  <si>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Дорожное хозяйство (дорожные фонды)</t>
  </si>
  <si>
    <t>0409</t>
  </si>
  <si>
    <t xml:space="preserve"> </t>
  </si>
  <si>
    <t>Другие вопросы в области национальной экономики</t>
  </si>
  <si>
    <t>0412</t>
  </si>
  <si>
    <t>ЖИЛИЩНО-КОММУНАЛЬНОЕ ХОЗЯЙСТВО</t>
  </si>
  <si>
    <t>0500</t>
  </si>
  <si>
    <t>Жилищное хозяйство</t>
  </si>
  <si>
    <t>0501</t>
  </si>
  <si>
    <t>Коммунальное хозяйство</t>
  </si>
  <si>
    <t>0502</t>
  </si>
  <si>
    <t>Расходы по оплате договоров на выполнение работ, оказания услуг, приобретение нефинансовых активов, связанных со строительством, реконструкцией, капитальным ремонтом и ремонтом объектов коммунального хозяйства</t>
  </si>
  <si>
    <t>Благоустройство</t>
  </si>
  <si>
    <t>0503</t>
  </si>
  <si>
    <t>Расходы по организации ритуальных услуг и содержания мест захоронения</t>
  </si>
  <si>
    <t>ОХРАНА ОКРУЖАЮЩЕЙ СРЕДЫ</t>
  </si>
  <si>
    <t>0600</t>
  </si>
  <si>
    <t>Другие вопросы в области охраны окружающей среды</t>
  </si>
  <si>
    <t>0605</t>
  </si>
  <si>
    <t>Мероприятия в области охраны окружающей среды</t>
  </si>
  <si>
    <t>ОБРАЗОВАНИЕ</t>
  </si>
  <si>
    <t>0700</t>
  </si>
  <si>
    <t>Общее образование</t>
  </si>
  <si>
    <t>0702</t>
  </si>
  <si>
    <t>Расходы на обеспечение деятельности (оказание услуг, выполнение работ) муниципальных учреждений дополнительного образования</t>
  </si>
  <si>
    <t>Субсидии бюджетным учреждениям</t>
  </si>
  <si>
    <t>610</t>
  </si>
  <si>
    <t>Молодежная политика и оздоровление детей</t>
  </si>
  <si>
    <t>0707</t>
  </si>
  <si>
    <t>Проведение мероприятий для  детей и молодежи</t>
  </si>
  <si>
    <t>КУЛЬТУРА, КИНЕМАТОГРАФИЯ</t>
  </si>
  <si>
    <t>0800</t>
  </si>
  <si>
    <t>Культура</t>
  </si>
  <si>
    <t>0801</t>
  </si>
  <si>
    <t>Организация и  проведение культурных мероприятий</t>
  </si>
  <si>
    <t>Расходы на обеспечение деятельности (оказание услуг, выполнение работ) муниципальных бюджетных учреждений</t>
  </si>
  <si>
    <t>СОЦИАЛЬНАЯ ПОЛИТИКА</t>
  </si>
  <si>
    <t>1000</t>
  </si>
  <si>
    <t>Пенсионное обеспечение</t>
  </si>
  <si>
    <t>1001</t>
  </si>
  <si>
    <t>Доплата к пенсиям муниципальных служащих</t>
  </si>
  <si>
    <t>Социальное обеспечение и иные выплаты населению</t>
  </si>
  <si>
    <t>300</t>
  </si>
  <si>
    <t>Публичные нормативные социальные выплаты гражданам</t>
  </si>
  <si>
    <t>310</t>
  </si>
  <si>
    <t>Социальное обеспечение населения</t>
  </si>
  <si>
    <t>1003</t>
  </si>
  <si>
    <t>Мероприятия по софинансированию расходов на приобретение жилья молодыми семьями</t>
  </si>
  <si>
    <t>Социальные выплаты гражданам, кроме публичных нормативных социальных выплат</t>
  </si>
  <si>
    <t>320</t>
  </si>
  <si>
    <t>Мероприятия по софинансированию расходов на приобретение жилья в сельской местности</t>
  </si>
  <si>
    <t>ФИЗИЧЕСКАЯ КУЛЬТУРА И СПОРТ</t>
  </si>
  <si>
    <t>1100</t>
  </si>
  <si>
    <t>Организация, проведение и участие в спортивных мероприятиях</t>
  </si>
  <si>
    <t>СРЕДСТВА МАССОВОЙ ИНФОРМАЦИИ</t>
  </si>
  <si>
    <t>1200</t>
  </si>
  <si>
    <t>Периодическая печать и издательства</t>
  </si>
  <si>
    <t>1202</t>
  </si>
  <si>
    <t>Информационное освещение  деятельности органов местного самоуправления в средствах массовой информации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</si>
  <si>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</si>
  <si>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0103</t>
  </si>
  <si>
    <t>Дошкольное образование</t>
  </si>
  <si>
    <t>0701</t>
  </si>
  <si>
    <t>Программно-техническое обслуживание сети интернет</t>
  </si>
  <si>
    <t>Расходы на обеспечение деятельности (оказание услуг, выполнение работ) муниципальных учреждений по дошкольному воспитанию</t>
  </si>
  <si>
    <t>Расходы на обеспечение деятельности (оказание услуг, выполнение работ) муниципальных общеобразовательных учреждений</t>
  </si>
  <si>
    <t>Расходы на обеспечение деятельности (оказание услуг, выполнение работ) муниципальных учреждений дополнительного образования детей</t>
  </si>
  <si>
    <t>Другие вопросы в области образования</t>
  </si>
  <si>
    <t>0709</t>
  </si>
  <si>
    <t>Всего расходов:</t>
  </si>
  <si>
    <t>НАЦИОНАЛЬНАЯ ЭКОНОМИКА</t>
  </si>
  <si>
    <t>Руководитель контрольно - счетной палаты</t>
  </si>
  <si>
    <t>Сельское хозяйство и рыболовство</t>
  </si>
  <si>
    <t>0405</t>
  </si>
  <si>
    <t>Охрана семьи и детства</t>
  </si>
  <si>
    <t>1004</t>
  </si>
  <si>
    <t>ВСЕГО</t>
  </si>
  <si>
    <t>0000000000</t>
  </si>
  <si>
    <t>9900000000</t>
  </si>
  <si>
    <t>0600000000</t>
  </si>
  <si>
    <t>0500000000</t>
  </si>
  <si>
    <t>0696470010</t>
  </si>
  <si>
    <t>0800000000</t>
  </si>
  <si>
    <t>Непрограммные направления деятельности органов местного самоуправления</t>
  </si>
  <si>
    <t>9909920060</t>
  </si>
  <si>
    <t>0700000000</t>
  </si>
  <si>
    <t>0300000000</t>
  </si>
  <si>
    <t>0200000000</t>
  </si>
  <si>
    <t>0292270040</t>
  </si>
  <si>
    <t>0100000000</t>
  </si>
  <si>
    <t>0110000000</t>
  </si>
  <si>
    <t>0292320080</t>
  </si>
  <si>
    <t>0292170080</t>
  </si>
  <si>
    <t>9909910060</t>
  </si>
  <si>
    <t>9909910050</t>
  </si>
  <si>
    <t>0111170020</t>
  </si>
  <si>
    <t>0111193070</t>
  </si>
  <si>
    <t>0120000000</t>
  </si>
  <si>
    <t>0121170030</t>
  </si>
  <si>
    <t>0121193060</t>
  </si>
  <si>
    <t>0130000000</t>
  </si>
  <si>
    <t>0131220500</t>
  </si>
  <si>
    <t>0131170040</t>
  </si>
  <si>
    <t>0121493080</t>
  </si>
  <si>
    <t>0191220160</t>
  </si>
  <si>
    <t>0191170010</t>
  </si>
  <si>
    <t>0191170070</t>
  </si>
  <si>
    <t>0111393090</t>
  </si>
  <si>
    <t>Источники</t>
  </si>
  <si>
    <t xml:space="preserve">                                                                                    </t>
  </si>
  <si>
    <t>Код бюджетной классификации Российской Федерации</t>
  </si>
  <si>
    <t>Наименование источников</t>
  </si>
  <si>
    <t xml:space="preserve"> 01 05 00 00 00 0000 000</t>
  </si>
  <si>
    <t>Изменение остатков средств на счетах по учету средств бюджета</t>
  </si>
  <si>
    <t xml:space="preserve">Итого источников </t>
  </si>
  <si>
    <t>Наименование налога (сбора)</t>
  </si>
  <si>
    <t xml:space="preserve">1 00 00000 00 0000 000 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</si>
  <si>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</si>
  <si>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</si>
  <si>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</si>
  <si>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</si>
  <si>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</si>
  <si>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1 03 00000 00 0000 000</t>
  </si>
  <si>
    <t>НАЛОГИ НА ТОВАРЫ (РАБОТЫ, УСЛУГИ),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</si>
  <si>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</si>
  <si>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</si>
  <si>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1 05 00000 00 0000 000</t>
  </si>
  <si>
    <t>НАЛОГИ НА СОВОКУПНЫЙ ДОХОД</t>
  </si>
  <si>
    <t>1 05 03000 01 0000 110</t>
  </si>
  <si>
    <t>Единый сельскохозяйственный налог</t>
  </si>
  <si>
    <t>1 08 00000 00 0000 000</t>
  </si>
  <si>
    <t>ГОСУДАРСТВЕННАЯ ПОШЛИНА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</si>
  <si>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</si>
  <si>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</si>
  <si>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1 12 00000 00 0000 000</t>
  </si>
  <si>
    <t xml:space="preserve">ПЛАТЕЖИ ПРИ ПОЛЬЗОВАНИИ ПРИРОДНЫМИ РЕСУРСАМИ </t>
  </si>
  <si>
    <t>1 12 01000 01 0000 120</t>
  </si>
  <si>
    <t>Плата за негативное воздействие на окружающую среду</t>
  </si>
  <si>
    <t>1 13 00000 00 0000 000</t>
  </si>
  <si>
    <t>ДОХОДЫ ОТ ОКАЗАНИЯ ПЛАТНЫХ УСЛУГ (РАБОТ) И КОМПЕНСАЦИИ ЗАТРАТ  ГОСУДАРСТВА</t>
  </si>
  <si>
    <t>1 14 00000 00 0000 000</t>
  </si>
  <si>
    <t>ДОХОДЫ ОТ ПРОДАЖИ МАТЕРИАЛЬНЫХ И НЕМАТЕРИАЛЬНЫХ АКТИВОВ</t>
  </si>
  <si>
    <t>1 16 00000 00 0000 000</t>
  </si>
  <si>
    <t>ШТРАФЫ, САНКЦИИ, ВОЗМЕЩЕНИЕ УЩЕРБА</t>
  </si>
  <si>
    <t>2 00 00000 00 0000 000</t>
  </si>
  <si>
    <t>БЕЗВОЗМЕЗДНЫЕ ПОСТУПЛЕНИЯ</t>
  </si>
  <si>
    <t>2 02 00000 00 0000 000</t>
  </si>
  <si>
    <t>Распределение</t>
  </si>
  <si>
    <t xml:space="preserve">Сумма </t>
  </si>
  <si>
    <t>НЕПРОГРАММНЫЕ РАСХОДЫ</t>
  </si>
  <si>
    <t>Руководитель контрольно -счетной палаты</t>
  </si>
  <si>
    <t>0400000000</t>
  </si>
  <si>
    <t>0494120170</t>
  </si>
  <si>
    <t>Основное мероприятие: "Обеспечение воспитательного процесса в дошкольных образовательных учреждениях"</t>
  </si>
  <si>
    <t>Основное меропритяие: "Мероприятия не связанные с воспитательным процессом"</t>
  </si>
  <si>
    <t>Основное мероприятие: "Меры поддержки семей, имеющих детей"</t>
  </si>
  <si>
    <t>Основное мероприятие: "Обеспечение деятельности организаций, осуществляющих программу общего образования"</t>
  </si>
  <si>
    <t>Основное мероприятие: "Мероприятия не связанные с образовательным процессом"</t>
  </si>
  <si>
    <t>Основное мероприятие: "Обеспечение деятельности учреждений дополнительного образования"</t>
  </si>
  <si>
    <t>Основное мероприятие: "Мероприятия не связанные с дополнительно-образовательным процессом"</t>
  </si>
  <si>
    <t>Основное мероприятие: "Обеспечение деятельности инфраструктуры образовательных учреждений"</t>
  </si>
  <si>
    <t>Основное мероприятие: "Обеспечение деятельности музейно-библиотечного обслуживания"</t>
  </si>
  <si>
    <t>Основное мероприятие: "Прочие мероприятия в области культуры"</t>
  </si>
  <si>
    <t>Основное мероприятие: "Мероприятие по уничтожению дикорастущей конопли"</t>
  </si>
  <si>
    <t>Основное мероприятие: "Содействие развития физической культуры и спорта в Ханкайском муниципальном районе"</t>
  </si>
  <si>
    <t>Основное мероприятие: "Совершенствование деятельности муниципальной службы в Ханкайском муниципальном районе"</t>
  </si>
  <si>
    <t>Основное мероприятие: "Повышение эффективности управления муниципальным имуществом"</t>
  </si>
  <si>
    <t>Основное мероприятие: "Обеспечение деятельности муниципальных учреждений"</t>
  </si>
  <si>
    <t>Основное мероприятие: "Мероприятия по поддержке и развитию дорожной отрасли"</t>
  </si>
  <si>
    <t>Основное мероприятие: "Прочие мероприятия"</t>
  </si>
  <si>
    <t>0111100000</t>
  </si>
  <si>
    <t>0121200000</t>
  </si>
  <si>
    <t>0111200000</t>
  </si>
  <si>
    <t>0121100000</t>
  </si>
  <si>
    <t>0121400000</t>
  </si>
  <si>
    <t>0131100000</t>
  </si>
  <si>
    <t>0131200000</t>
  </si>
  <si>
    <t>0191100000</t>
  </si>
  <si>
    <t>0292100000</t>
  </si>
  <si>
    <t>0292200000</t>
  </si>
  <si>
    <t>0292300000</t>
  </si>
  <si>
    <t>0494100000</t>
  </si>
  <si>
    <t>0696400000</t>
  </si>
  <si>
    <t>0797400000</t>
  </si>
  <si>
    <t>0898100000</t>
  </si>
  <si>
    <t>0111300000</t>
  </si>
  <si>
    <t>0121220050</t>
  </si>
  <si>
    <t>Приложение 1</t>
  </si>
  <si>
    <t>0191200000</t>
  </si>
  <si>
    <t>Основное мероприятие: "Мероприятия для детей и молодежи"</t>
  </si>
  <si>
    <t>Сумма</t>
  </si>
  <si>
    <t xml:space="preserve">Распределение </t>
  </si>
  <si>
    <t>Объемы</t>
  </si>
  <si>
    <t>Наименование</t>
  </si>
  <si>
    <t>БЕЗВОЗМЕЗДНЫЕ ПОСТУПЛЕНИЯ ОТ ДРУГИХ БЮДЖЕТОВ БЮДЖЕТНОЙ СИСТЕМЫ РОССИЙСКОЙ ФЕДЕРАЦИИ</t>
  </si>
  <si>
    <t>Оборудование и содержание площадок временного хранения ТБО</t>
  </si>
  <si>
    <t>0393340060</t>
  </si>
  <si>
    <t>0393300000</t>
  </si>
  <si>
    <t>Основное мероприятие: "Создание условий для получения качественного общего образования"</t>
  </si>
  <si>
    <t>Основное мероприятие: "Мероприятия в области окружающей среды"</t>
  </si>
  <si>
    <t>Основное мероприятие: "Повышение уровня качества предоставления муниципальных услуг"</t>
  </si>
  <si>
    <t>Возмещение части затрат и (или) недополученных доходов юридическим лицам, предоставляющим услуги по водоснабжению</t>
  </si>
  <si>
    <t>Субвенции бюджетам бюджетной системы Российской Федерации</t>
  </si>
  <si>
    <t>630</t>
  </si>
  <si>
    <t>Приложение 11</t>
  </si>
  <si>
    <t>Приложение 7</t>
  </si>
  <si>
    <t>Приложение 13</t>
  </si>
  <si>
    <t>0703</t>
  </si>
  <si>
    <t>Дополнительное образование детей</t>
  </si>
  <si>
    <t>непрограммным направлениям деятельности), группам (группам и подгруппам)</t>
  </si>
  <si>
    <t xml:space="preserve">видов расходов классификации расходов бюджетов </t>
  </si>
  <si>
    <t>СУДЕБНАЯ СИСТЕМА</t>
  </si>
  <si>
    <t>0105</t>
  </si>
  <si>
    <t>Субсидии муниципальным унитарным предприятиям на финансовое обеспечение затрат по капитальному ремонту</t>
  </si>
  <si>
    <t>Расходы на проектирование и (или) строительство, реконструкцию, модернизацию, капитальный ремонт объектов водопроводно-канализационного хозяйства</t>
  </si>
  <si>
    <t>Капитальные вложения в объекты недвижимого имущества государственной (муниципальной) собственности</t>
  </si>
  <si>
    <t>400</t>
  </si>
  <si>
    <t>Бюджетные инвестиции</t>
  </si>
  <si>
    <t>410</t>
  </si>
  <si>
    <t>Мероприятия по профилактике терроризма и экстремизма</t>
  </si>
  <si>
    <t>0121220040</t>
  </si>
  <si>
    <t>0696500000</t>
  </si>
  <si>
    <t xml:space="preserve">Иные бюджетные ассигнования
</t>
  </si>
  <si>
    <t xml:space="preserve">Уплата налогов, сборов и иных платежей
</t>
  </si>
  <si>
    <t>Приложение 2</t>
  </si>
  <si>
    <t>№ п/п</t>
  </si>
  <si>
    <t>Основное мероприятие: "Создание условий для получения качественного общего образовани"</t>
  </si>
  <si>
    <t>9910000000</t>
  </si>
  <si>
    <t>Финансовое обеспечение переданных полномочий</t>
  </si>
  <si>
    <t>9919959300</t>
  </si>
  <si>
    <t>9919993100</t>
  </si>
  <si>
    <t>Расходы по софинансированию на капитальный ремонт и ремонт автомобильных дорог общего пользования населенных пунктов</t>
  </si>
  <si>
    <t xml:space="preserve">Развитие спортивной инфраструктуры, находящейся в муниципальной собственности </t>
  </si>
  <si>
    <t>Обеспечение беспрепятственного доступа инвалидов к объектам социальной инфраструктуры</t>
  </si>
  <si>
    <t>0111220020</t>
  </si>
  <si>
    <t>0111220040</t>
  </si>
  <si>
    <t>9919951200</t>
  </si>
  <si>
    <t>9919993040</t>
  </si>
  <si>
    <t>2 02 30000 00 0000 150</t>
  </si>
  <si>
    <t>0131220040</t>
  </si>
  <si>
    <t>Субсидии бюджетам бюджетной системы Российской Федерации (межбюджетные субсидии)</t>
  </si>
  <si>
    <t>Транспорт</t>
  </si>
  <si>
    <t>0408</t>
  </si>
  <si>
    <t>Другие вопросы в области жилищно-коммунального хозяйства</t>
  </si>
  <si>
    <t>0505</t>
  </si>
  <si>
    <t>0292192540</t>
  </si>
  <si>
    <t>99199М0820</t>
  </si>
  <si>
    <t xml:space="preserve">Расходы на строительство, реконструкцию зданий (в том числе проектно-изыскательские работы) муниципальных образовательных организаций, реализующих основную общеобразовательную программу дошкольного образования </t>
  </si>
  <si>
    <t>01112S2010</t>
  </si>
  <si>
    <t>2 02 20000 00 0000 150</t>
  </si>
  <si>
    <t>Расходы по софинансированию мероприятия по энергосбережению и повышению энергетической эффективности систем коммунальной инфраструктуры</t>
  </si>
  <si>
    <t>1102</t>
  </si>
  <si>
    <t>Массовый спорт</t>
  </si>
  <si>
    <t>049P5S2190</t>
  </si>
  <si>
    <t>049P500000</t>
  </si>
  <si>
    <t>013P500000</t>
  </si>
  <si>
    <t>Федеральный проект "Спорт - норма жизни"</t>
  </si>
  <si>
    <t>Расходы на софинансирование по обеспечению граждан твердым топливом (дровами) за счет средств местного бюджета</t>
  </si>
  <si>
    <t>Расходы по софинансированию на комплектование книжных фондов и обеспечение информационно-техническим оборудованием библиотек за счет средств местного бюджета</t>
  </si>
  <si>
    <t>02921S2540</t>
  </si>
  <si>
    <t>Иные выплаты населению</t>
  </si>
  <si>
    <t>360</t>
  </si>
  <si>
    <t>Мероприятия по пожарной безопасности</t>
  </si>
  <si>
    <t>0121220400</t>
  </si>
  <si>
    <t>012E200000</t>
  </si>
  <si>
    <t>Основное мероприятие "Совершенствование деятельности муниципальной службы в Ханкайском муниципальном районе"</t>
  </si>
  <si>
    <t>0696100000</t>
  </si>
  <si>
    <t>0696113010</t>
  </si>
  <si>
    <t>1100000000</t>
  </si>
  <si>
    <t>1196200000</t>
  </si>
  <si>
    <t>1196212080</t>
  </si>
  <si>
    <t>1600000000</t>
  </si>
  <si>
    <t>Диспансеризация муниципальных служащих</t>
  </si>
  <si>
    <t>Повышение квалификации муниципальных служащих</t>
  </si>
  <si>
    <t>0696113020</t>
  </si>
  <si>
    <t>Основное мероприятие: "Доступная среда"</t>
  </si>
  <si>
    <t>Обеспечение благоприятных условий для социальной интеграции инвалидов</t>
  </si>
  <si>
    <t>0898120200</t>
  </si>
  <si>
    <t>Основное мероприятие:"Повышение уровня качества предоставления муницпальных услуг"</t>
  </si>
  <si>
    <t>Мероприятия по информационно- техническому сопровождению коммуникационного оборудования и программных продуктов</t>
  </si>
  <si>
    <t>1196212070</t>
  </si>
  <si>
    <t xml:space="preserve">Информационное освещение  деятельности органов местного самоуправления </t>
  </si>
  <si>
    <t>1500000000</t>
  </si>
  <si>
    <t>1596300000</t>
  </si>
  <si>
    <t>1596360010</t>
  </si>
  <si>
    <t>Муниципальная программа "Развитие дорожного хозяйства и повышение безопасности дорожного движения в Ханкайском муниципальном районе" на 2020-2024 годы</t>
  </si>
  <si>
    <t>1200000000</t>
  </si>
  <si>
    <t>Основное мероприятие: Мероприятия по поддержке и развитию дорожной отрасли"</t>
  </si>
  <si>
    <t>1297300000</t>
  </si>
  <si>
    <t>Развитие муниципального дорожного фонда (содоржание и ремонт, проектирование, строительство и капитальный ремонт улично- дородной сети на них и другие расходы)</t>
  </si>
  <si>
    <t>1297342400</t>
  </si>
  <si>
    <t>1400000000</t>
  </si>
  <si>
    <t>1495300000</t>
  </si>
  <si>
    <t>Мероприятия в области градостроительной деятельности</t>
  </si>
  <si>
    <t>1495314010</t>
  </si>
  <si>
    <t>Мероприятия в области землеустроительной деятельности</t>
  </si>
  <si>
    <t>Основное мероприятие "Повышение эффективности управления муниципальным имуществом"</t>
  </si>
  <si>
    <t>Содержание и обслуживание муниципального жилого фонда</t>
  </si>
  <si>
    <t>1596360020</t>
  </si>
  <si>
    <t>Муниципальная программа "Развитие систем жилищно-коммунальной инфраструктуры  в Ханкайском муниципальном районе" на 2020-2024 годы</t>
  </si>
  <si>
    <t>Основное мероприятие: "Развитие систем энерго- тепло- газо- водоснабжения в Ханкайском муниципальном районе" на 2020-2024 годы</t>
  </si>
  <si>
    <t>0797200000</t>
  </si>
  <si>
    <t>0797241200</t>
  </si>
  <si>
    <t>0797241500</t>
  </si>
  <si>
    <t>0797241600</t>
  </si>
  <si>
    <t>Основное мероприятие "Прочие мероприятия"</t>
  </si>
  <si>
    <t>0797443300</t>
  </si>
  <si>
    <t>Основное мероприятие "Развитие систем энерго- тепло- газо- и водоснабжения в Ханкайском муниципальном районе"</t>
  </si>
  <si>
    <t>07972S2620</t>
  </si>
  <si>
    <t>Муниципальная программа "Охрана окружающей среды Ханкайского муниципального района" на 2020-2024 годы</t>
  </si>
  <si>
    <t>Основное мероприятие: "Развитие  системы утилизации и переработки бытовых отходов на территории Ханкайского муниципального района"</t>
  </si>
  <si>
    <t>Мероприятия по обустройству контейнерных площадок</t>
  </si>
  <si>
    <t>0393140040</t>
  </si>
  <si>
    <t>Основное мероприятие :"Мероприятия в области окружающей среды"</t>
  </si>
  <si>
    <t>1300000000</t>
  </si>
  <si>
    <t>Основное мероприятие "Мероприятие по уничтожению дикорастущей конопли"</t>
  </si>
  <si>
    <t>1393200000</t>
  </si>
  <si>
    <t>Материально- техническое обеспечение мепроприятия</t>
  </si>
  <si>
    <t>1393220030</t>
  </si>
  <si>
    <t>Основное мероприятие "Обеспечение деятельности учреждений дополнительного образования"</t>
  </si>
  <si>
    <t>Муниципальная программа "Развитие культуры и туризма в Ханкайском муниципальном районе" на 2020-2024 годы</t>
  </si>
  <si>
    <t>Основное мероприятие: "Обеспечение деятельности музейно- библиотечного обслуживания"</t>
  </si>
  <si>
    <t>Субсидии некоммерческих организациям (за исключением государственных (муниципальных) учреждений)</t>
  </si>
  <si>
    <t>Основное мероприятие "Субсидирование на приобретение жилья в сельской местности"</t>
  </si>
  <si>
    <t>Муниципальная программа "Обеспечение жильем молодых семей Ханкайского мунципального района" на 2020- 2024 годы</t>
  </si>
  <si>
    <t>1000000000</t>
  </si>
  <si>
    <t>1095800000</t>
  </si>
  <si>
    <t>10958L4970</t>
  </si>
  <si>
    <t>Муниципальная программа  "Развитие физической культуры и спорта в Ханкайском муниципальном районе" на 2020-2024 годы</t>
  </si>
  <si>
    <t>Федеральный проект "Спорт- норма жизни"</t>
  </si>
  <si>
    <t>Муниципальная программа "Развитие муниципальной службы в  Ханкайском муниципальном районе" на 2020-2024 годы</t>
  </si>
  <si>
    <t>Муниципальная программа "Управление муниципальным имуществом в Ханкайском муниципальном районе" на 2020-2024 годы</t>
  </si>
  <si>
    <t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</si>
  <si>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образований Приморского края на осуществелие отдельных государственных полномочий по государственному управлению охраной труда</t>
  </si>
  <si>
    <t>Субвенции бюджетам муниципальных образований Приморского края на осуществление отдельных государственных полномочий Приморского края по организации мероприятий при осуществлении деятельности по обращению с животными без владельцев</t>
  </si>
  <si>
    <t>9919993130</t>
  </si>
  <si>
    <t>Субвенции бюджетам муниципальных образований Приморского края на реализацию государственного полномочия по установлению  регулируемых тарифов на регулярные перевозки пассажиров и багажа автомобильным  и наземным электрическим общественным транспортом  по муниципальным маршрутам в границах муниципального образования</t>
  </si>
  <si>
    <t>Основное мероприятие: Организация деятельности в области градостроения"</t>
  </si>
  <si>
    <t>1495400000</t>
  </si>
  <si>
    <t>Основное мероприятие: "Организация деятельности в области землепользования"</t>
  </si>
  <si>
    <t>Муниципальная программа "Развитие градостроительной и землеустроительной деятельности на территории Ханкайского муниципального района" на 2020-2024 годы</t>
  </si>
  <si>
    <t>07972S2270</t>
  </si>
  <si>
    <t>07972S2320</t>
  </si>
  <si>
    <t>0393100000</t>
  </si>
  <si>
    <t>Субсидии из краевого бюджета бюджетам муниципальных образований Приморского края на комплектование книжных фондов и обеспечение информационно-техническим оборудованием библиотек</t>
  </si>
  <si>
    <t>Основное мероприятие "Обеспечение выплаты молодым семьям субсидий на приобретение (строительство) стандартного жилья"</t>
  </si>
  <si>
    <t>Муниципальная программа  "Развитие образования в Ханкайском муниципальном районе" на 2020-2024 годы</t>
  </si>
  <si>
    <t>Подпрограмма "Развитие дошкольного образования в Ханкайском муниципальном районе" 2020-2024 годы</t>
  </si>
  <si>
    <t>Субвенции бюджетам муниципальных образований Приморского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</si>
  <si>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Подпрограмма "Развитие системы общего образования в  Ханкайском муниципальном районе" в 2020-2024 годы</t>
  </si>
  <si>
    <t>Подпрограмма "Развитие системы общего образования в  Ханкайском муниципальном районе" на 2020-2024 годы</t>
  </si>
  <si>
    <t>Субвенции бюджетам муниципальных образований Приморского края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общего, дополнительного образования детей в муниципальных общеобразовательных организациях Приморского края</t>
  </si>
  <si>
    <t>Подпрограмма "Развитие системы дополнительного образования в Ханкайском муниципальном районе" на 2020-2024 годы</t>
  </si>
  <si>
    <t>Основное мероприятие: "Мероприятия не связанные с дополнительным образовательным процессом"</t>
  </si>
  <si>
    <t>Субвенции бюджетам муниципальных образований Приморского края на  организацию и обеспечение оздоровления и отдыха детей Приморского края (за исключением организации отдыха детей в каникулярное время)</t>
  </si>
  <si>
    <t>Муниципальная программа "Развитие образования в Ханкайском муниципальном районе" на 2020-2024 годы</t>
  </si>
  <si>
    <t>Субвенции бюджетам муниципальных образований Приморского края на осуществление отдельных государственных полномочий по обеспечению мер социальной поддержки педагогическим работникам муниципальных образовательных организаций Приморского края</t>
  </si>
  <si>
    <t>Субвенции на реализацию государственных полномочий органов опеки и попечительства в отношении несовершеннолетних</t>
  </si>
  <si>
    <t>9919993160</t>
  </si>
  <si>
    <t>(рублей)</t>
  </si>
  <si>
    <t>12973S2390</t>
  </si>
  <si>
    <t>Субвенции для финансового обеспечения переданных исполнительно-распорядительным органам муниципальных образований Приморского края государственных полномочий по составлению (изменению) списков кандидатов  в присяжные заседатели федеральных судов общей юрисдикции</t>
  </si>
  <si>
    <t>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состояния</t>
  </si>
  <si>
    <t>0900000000</t>
  </si>
  <si>
    <t>0595100000</t>
  </si>
  <si>
    <t>0999100000</t>
  </si>
  <si>
    <t>1393300000</t>
  </si>
  <si>
    <t>0595120130</t>
  </si>
  <si>
    <t>1495414020</t>
  </si>
  <si>
    <t xml:space="preserve">Основное мероприятие: "Развитие системы утилизации и переработки бытовых отходов на территории Ханкайского муниципального района" </t>
  </si>
  <si>
    <t>Основное мероприятие: "Субсидирование расходов на приобретение жилья в сельской местности"</t>
  </si>
  <si>
    <t>Муниципальная программа "Развитие муниципальной службы в Ханкайском муниципальном районе" на 2020-2024 годы</t>
  </si>
  <si>
    <t>Муниципальная программа "Развитие систем жилищно-коммунальной инфраструктуры в Ханкайском муниципальном районе" на 2020-2024 годы</t>
  </si>
  <si>
    <t>Основное мероприятие: "Обеспечение выплаты молодым семьям субсидий на приобретение (строительство) жилья"</t>
  </si>
  <si>
    <t>Основное мероприятие: "Организация деятельности в области градостроения"</t>
  </si>
  <si>
    <t>Мероприятия по профилактике правонарушений</t>
  </si>
  <si>
    <t>Приложение 15</t>
  </si>
  <si>
    <t>Муниципальная программа "Доступная среда в Ханкайском муниципальном районе" на 2020-2024 годы</t>
  </si>
  <si>
    <t>Муниципальная программа "Развитие информационного общества в Ханкайском муниципальном районе" на 2020-2024 годы</t>
  </si>
  <si>
    <t>Муниципальная программа "Профилактика прованарушений, терроризма и экстремизма и противодействие распространению наркотиков в Ханкайском муниципальном районе" на 2020-2024 годы</t>
  </si>
  <si>
    <t>Субвенции бюджетам муниципальных образований Приморского края на реализацию государственных полномочий по назначению и предоставлению выплаты единовременного пособия при передаче ребенка на воспитание в семью</t>
  </si>
  <si>
    <t>9919952600</t>
  </si>
  <si>
    <t>Субвенции бюджетам муниципальных образований Приморского края на реализацию государственных полномочий по социальной поддержке детей, оставшихся без попечения родителей, и лиц, принявших на воспитание в семью детей, оставшихся без попечения родителей</t>
  </si>
  <si>
    <t>9919993050</t>
  </si>
  <si>
    <t>Приложение 6</t>
  </si>
  <si>
    <t>Приложение 8</t>
  </si>
  <si>
    <t>Наименование межбюджетных трансфертов</t>
  </si>
  <si>
    <t>Приложение 10</t>
  </si>
  <si>
    <t>Наименование межбюджетных трасфертов</t>
  </si>
  <si>
    <t xml:space="preserve">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состояния </t>
  </si>
  <si>
    <t>1495314020</t>
  </si>
  <si>
    <t>Муниципальная программа "Социальное развитие села  Ханкайского муниципального района" на 2020-2024 годы</t>
  </si>
  <si>
    <t>0590000000</t>
  </si>
  <si>
    <t>05958L4970</t>
  </si>
  <si>
    <t>Расходы на капитальный ремонт зданий и благоустройство территорий муниципальных образовательных организаций, оказывающих услуги дошкольного образования</t>
  </si>
  <si>
    <t>01112S2020</t>
  </si>
  <si>
    <t>Расходы на проведение ремонтных работ общеобразовательных учреждений</t>
  </si>
  <si>
    <t>01212S2340</t>
  </si>
  <si>
    <t>собствен.</t>
  </si>
  <si>
    <t>обязательства</t>
  </si>
  <si>
    <t>Приложение 14</t>
  </si>
  <si>
    <t>по разделам, подразделам, целевым статьям (муниципальным программам Ханкайского</t>
  </si>
  <si>
    <t>муниципального района и непрограммным направлениям деятельности), группам</t>
  </si>
  <si>
    <t xml:space="preserve"> (группам и подгруппам) видов расходов классификации расходов бюджетов </t>
  </si>
  <si>
    <t>Приложение 16</t>
  </si>
  <si>
    <t xml:space="preserve"> бюджетных ассигнований по муниципальным программам Ханкайского </t>
  </si>
  <si>
    <t>Федеральный проект "Чистая вода"</t>
  </si>
  <si>
    <t>079G500000</t>
  </si>
  <si>
    <t>019E500000</t>
  </si>
  <si>
    <t>Расходы на приобретение муниципальными учреждениями недвижимого и особо ценного движимого имущества</t>
  </si>
  <si>
    <t>0111270060</t>
  </si>
  <si>
    <t>Субсидии бюджетам муниципальных образований Приморского края на строительство и реконструкцию (модернизацию) объектов питьевого водоснабжения</t>
  </si>
  <si>
    <t>0797440010</t>
  </si>
  <si>
    <t>Муниципальная программа "Укрепление общественного здоровья в Ханкайском муниципальном районе" на 2020-2024 годы</t>
  </si>
  <si>
    <t>1700000000</t>
  </si>
  <si>
    <t>Основное мероприятие: "Укрепление общественного здоровья"</t>
  </si>
  <si>
    <t>1795700000</t>
  </si>
  <si>
    <t>Мероприятия направленные на формирование системы мотивации граждан к здоровому образу жизни</t>
  </si>
  <si>
    <t>1795720180</t>
  </si>
  <si>
    <t>Федеральный проект "Успех каждого ребенка"</t>
  </si>
  <si>
    <t>Мероприятия по созданию в общеобразовательных организациях условий для занятий физической культурой и спортом</t>
  </si>
  <si>
    <t>Субвенции бюджетам муниципальных образований Приморского края на осуществление отдельных государственных полномочий по обеспечению горячим питанием обучающихся, получающих начальное общее образование в муниципальных общеобразовательных организациях Приморского края, софинансируемые за счет средств федерального бюджета</t>
  </si>
  <si>
    <t>01211R3041</t>
  </si>
  <si>
    <t>структуре расходов бюджета Ханкайского муниципального округа</t>
  </si>
  <si>
    <t>1 05 01000 00 0000 110</t>
  </si>
  <si>
    <t>Налог, взимаемый в связи с применением упрощенной системы налогообложения</t>
  </si>
  <si>
    <t>1 05 04010 02 0000 110</t>
  </si>
  <si>
    <t>1 06 00000 00 0000 000</t>
  </si>
  <si>
    <t>НАЛОГИ НА ИМУЩЕСТВО</t>
  </si>
  <si>
    <t>Земельный налог</t>
  </si>
  <si>
    <t>1 06 06000 00 0000 110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</si>
  <si>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</si>
  <si>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</si>
  <si>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1 17 00000 00 0000 000</t>
  </si>
  <si>
    <t>ПРОЧИЕ НЕНАЛОГОВЫЕ ДОХОДЫ</t>
  </si>
  <si>
    <t>1 00 00000 00 0000 000</t>
  </si>
  <si>
    <t>НАЛОГИ  НА  ПРИБЫЛЬ, ДОХОДЫ</t>
  </si>
  <si>
    <t>НАЛОГИ НА ТОВАРЫ (РАБОТЫ, УСЛУГИ), РЕАЛИЗУЕМЫЕ НА ТЕРРИТОРИИ РОССИЙСКОЙ ФЕДЕРАЦИИ</t>
  </si>
  <si>
    <t xml:space="preserve">НАЛОГИ  НА  СОВОКУПНЫЙ ДОХОД </t>
  </si>
  <si>
    <t xml:space="preserve">1 05 03000 01 0000 110 </t>
  </si>
  <si>
    <t>ГОСУДАРСТВЕННАЯ  ПОШЛИНА</t>
  </si>
  <si>
    <t xml:space="preserve">ДОХОДЫ  ОТ  ИСПОЛЬЗОВАНИЯ ИМУЩЕСТВА, НАХОДЯЩЕГОСЯ В ГОСУДАРСТВЕННОЙ И МУНИЦИПАЛЬНОЙ СОБСТВЕННОСТИ </t>
  </si>
  <si>
    <t>ПЛАТЕЖИ  ПРИ ПОЛЬЗОВАНИИ ПРИРОДНЫМИ  РЕСУРСАМИ</t>
  </si>
  <si>
    <t xml:space="preserve">ДОХОДЫ ОТ ПРОДАЖИ МАТЕРИАЛЬНЫХ И НЕМАТЕРИАЛЬНЫХ АКТИВОВ                       </t>
  </si>
  <si>
    <t>Финансовое управление Администрации Ханкайского муниципального округа Приморского края</t>
  </si>
  <si>
    <t>Руководство и управление в сфере установленных функций органов местного  самоуправления Ханкайского муниципального округа</t>
  </si>
  <si>
    <t>9909910031</t>
  </si>
  <si>
    <t>Глава Ханкайского  муниципального округа</t>
  </si>
  <si>
    <t>9909910011</t>
  </si>
  <si>
    <t>Контрольный орган Администрации Ханкайского муниципального округа</t>
  </si>
  <si>
    <t>955</t>
  </si>
  <si>
    <t>956</t>
  </si>
  <si>
    <t>957</t>
  </si>
  <si>
    <t>9909970101</t>
  </si>
  <si>
    <t>Мероприятия, проводимые Администрацией Ханкайского муниципального округа</t>
  </si>
  <si>
    <t>Обеспечение пожарной безопасности</t>
  </si>
  <si>
    <t>0310</t>
  </si>
  <si>
    <t>Мероприятия, направленные на расходы по обеспечению первичных мер пожарной безопасности</t>
  </si>
  <si>
    <t>99199M0820</t>
  </si>
  <si>
    <t>Муниципальная программа "Благоустройство, озеленение и освещение территории муниципального округа" на 2021 -2025 годы</t>
  </si>
  <si>
    <t>1800000000</t>
  </si>
  <si>
    <t>Основное мероприятие: "Благоустройство территории муниципального округа"</t>
  </si>
  <si>
    <t>1895800000</t>
  </si>
  <si>
    <t>Мероприятия, направленные на расходы связанные с потреблением электроэнергии, восстановлением, капитальным ремонтом и ремонтом объектов уличного освещения</t>
  </si>
  <si>
    <t>1895843600</t>
  </si>
  <si>
    <t>Мероприятия, направленные на расходы связанные с содержанием и развитием озеленения на территории муниципального округа</t>
  </si>
  <si>
    <t>1895843700</t>
  </si>
  <si>
    <t>Мероприятия, направленные на благоустройство муниципального округа</t>
  </si>
  <si>
    <t>1895843800</t>
  </si>
  <si>
    <t xml:space="preserve">Муниципальная программа "Формирование современной городской среды" на  территории Ханкайского муниципального округа" на 2021-2027 годы </t>
  </si>
  <si>
    <t>1900000000</t>
  </si>
  <si>
    <t xml:space="preserve">Субсидии бюджетам муниципальных образований на софинансирование расходных обязательств, возникающих при реализации мероприятий по модернизации муниципальных детских школ искусств по видам искусств </t>
  </si>
  <si>
    <t>02923L3060</t>
  </si>
  <si>
    <t>Другие вопросы в области культуры, кинематографии</t>
  </si>
  <si>
    <t>0804</t>
  </si>
  <si>
    <t>Расходы на софинансирование строительство, реконструкцию, ремонту объектов культуры (в том числе проектно-изыскательские работы)</t>
  </si>
  <si>
    <t>02923S2050</t>
  </si>
  <si>
    <t>Резервный фонды Администрации Ханкайского муниципального округа</t>
  </si>
  <si>
    <t>Дума Ханкайского муниципального округа Приморского края</t>
  </si>
  <si>
    <t>Председатель Думы Ханкайского  муниципипального округа</t>
  </si>
  <si>
    <t>9909910021</t>
  </si>
  <si>
    <t>9909910041</t>
  </si>
  <si>
    <t>Депутаты Думы Ханкайского муниципального округа</t>
  </si>
  <si>
    <t>Мероприятия, проводимые Думой Ханкайского муниципального округа</t>
  </si>
  <si>
    <t>9909970201</t>
  </si>
  <si>
    <t>0111220400</t>
  </si>
  <si>
    <t>0191110031</t>
  </si>
  <si>
    <t>958</t>
  </si>
  <si>
    <t>9909910101</t>
  </si>
  <si>
    <t>краевые</t>
  </si>
  <si>
    <t>9909900011</t>
  </si>
  <si>
    <t>Мероприятия, проводимые администрацией Ханкайского муниципального округа</t>
  </si>
  <si>
    <t>бюджетных ассигнований из бюджета Ханкайского муниципального округа на 2022 и 2023 годы в ведомственной структуре расходов бюджета Ханкайского муниципального округа</t>
  </si>
  <si>
    <t>Ханкайского муниципального округа</t>
  </si>
  <si>
    <t>Уменьшение прочих остатков денежных средств бюджетов городских округов</t>
  </si>
  <si>
    <t>Увеличение прочих остатков денежных средств бюджетов городских округов</t>
  </si>
  <si>
    <t xml:space="preserve">внутреннего финансирования дефицита  бюджета Ханкайского муниципального округа  </t>
  </si>
  <si>
    <t>Управление образования Администрации Ханкайского муниципального округа Приморского края</t>
  </si>
  <si>
    <t>Муниципальная программа "Управление муниципальным имуществом  в Ханкайском муниципальном районе" на 2020-2024 годы</t>
  </si>
  <si>
    <t>Расходы, направленные на  формирование современной городской среды</t>
  </si>
  <si>
    <t>Федеральный проект "Формирование комфортной городской среды"</t>
  </si>
  <si>
    <t>Подпрограмма № 1 «Формирование современной городской среды на территории Ханкайского муниципального округа» на 2021-2027 годы»</t>
  </si>
  <si>
    <t>1910000000</t>
  </si>
  <si>
    <t>191F200000</t>
  </si>
  <si>
    <t>191F255550</t>
  </si>
  <si>
    <t>Подпрограмма № 2 «Благоустройство территорий Ханкайского муниципального округа» на 2021 – 2027 годы</t>
  </si>
  <si>
    <t>Основное мероприятие: "Благоустройство территорий, детских и спортивных площадок"</t>
  </si>
  <si>
    <t>1920000000</t>
  </si>
  <si>
    <t>1925900000</t>
  </si>
  <si>
    <t>19259S2610</t>
  </si>
  <si>
    <t>Мероприятия, направленные на благоустройство территорий, детских и спортивных площадок на территории Ханкайского муниципального округа</t>
  </si>
  <si>
    <t>2 02 40000 00 0000 150</t>
  </si>
  <si>
    <t>Иные межбюджетные трансферты</t>
  </si>
  <si>
    <t>Субсидии бюджетам муниципальных образований Приморского края на 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</si>
  <si>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Субсидии бюджетам муниципальных образований Приморского края на обеспечение граждан твердым топливом</t>
  </si>
  <si>
    <t>Субсидии бюджетам муниципальных образований Приморского края на капитальный ремонт и ремонт автомобильных дорог общего пользования населенных пунктов за счет дорожного фонда Приморского края</t>
  </si>
  <si>
    <t>Субсидии бюджетам муниципальных образований Приморского края на поддержку муниципальных программ по благоустройству территорий муниципальных образований Приморского края</t>
  </si>
  <si>
    <t>Субвенции на проведение Всероссийской переписи населения</t>
  </si>
  <si>
    <t>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</t>
  </si>
  <si>
    <t>Субвенции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общего, дополнительного образования детей в муниципальных общеобразовательных организациях Приморского края</t>
  </si>
  <si>
    <t>Субвенции на выполнение органами местного самоуправления отдельных государственных полномочий по государственному управлению охраной труда</t>
  </si>
  <si>
    <t>Субвенции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Приморского края</t>
  </si>
  <si>
    <t>Субвенции на организацию и обеспечение оздоровления и отдыха детей Приморского края (за исключением организации отдыха детей в каникулярное время)</t>
  </si>
  <si>
    <t>Субвенции бюджетам муниципальных образований Приморского края на реализацию государственного полномочия по назначению и предоставлению выплаты единовременного пособия при передаче ребенка на воспитание в семью</t>
  </si>
  <si>
    <t>Единая субвенция местным бюджетам из краевого бюджета</t>
  </si>
  <si>
    <t>Иные межбюджетные трансферты бюджетам муниципальных образований Приморского края на ежемесячное денежное вознаграждение за классное руководство педагогическим работникам муниципальных общеобразовательных организаций</t>
  </si>
  <si>
    <t>Субсидии бюджетам муниципальных образований Приморского края на оснащение образовательных учреждений в сфере культуры (детских школ искусств и училищ) музыкальными инструментами, оборудованием и учебными материалами</t>
  </si>
  <si>
    <t xml:space="preserve">Субвенции бюджетам муниципальных образований Приморского края на осуществление полномочийРоссийской Федерации по первичному воинскому учету на территориях, где отсутствуют военные комиссариаты
</t>
  </si>
  <si>
    <t xml:space="preserve">Субвенции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Приморского края
</t>
  </si>
  <si>
    <t xml:space="preserve">Субвенции для финансового обеспечения переданных исполнительно-распорядительным органам муниципальных образований Приморского края государственных полномочий по составлению (изменению) списков кандидатов в присяжные заседатели федеральных судов общей юрисдикции
</t>
  </si>
  <si>
    <t>9919954690</t>
  </si>
  <si>
    <t>9919993000</t>
  </si>
  <si>
    <t xml:space="preserve">НАЦИОНАЛЬНАЯ ОБОРОНА
</t>
  </si>
  <si>
    <t xml:space="preserve">Мобилизационная и вневойсковая подготовка
</t>
  </si>
  <si>
    <t>0203</t>
  </si>
  <si>
    <t>Субвенции на осуществление первичного воинского учета на территориях, где отсутствуют военные комиссариаты</t>
  </si>
  <si>
    <t>9919951180</t>
  </si>
  <si>
    <t>1297392390</t>
  </si>
  <si>
    <t>1925992610</t>
  </si>
  <si>
    <t>0797292620</t>
  </si>
  <si>
    <t>Субсидии из краевого бюджета бюджетам муниципальных образований Приморского края на капитальный ремонт зданий и благоустройство территорий муниципальных образовательных организаций, оказывающих услуги дошкольного образования</t>
  </si>
  <si>
    <t>0111292020</t>
  </si>
  <si>
    <t>Федеральный проект "Содействие занятости женщин - создание условий дошкольного образования для детей в возрасте до трех лет"</t>
  </si>
  <si>
    <t>011P200000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</si>
  <si>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</si>
  <si>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0121153030</t>
  </si>
  <si>
    <t>Cубсидии из краевого бюджета бюджетам муниципальных образований на капитальный ремонт зданий муниципальных общеобразовательных учреждений</t>
  </si>
  <si>
    <t>0121292340</t>
  </si>
  <si>
    <t>Федеральный проект "Культурная среда"</t>
  </si>
  <si>
    <t>029A100000</t>
  </si>
  <si>
    <t>029A155191</t>
  </si>
  <si>
    <t>Расходы направленные на ликвидацию муниципальных учреждений</t>
  </si>
  <si>
    <t>9909930200</t>
  </si>
  <si>
    <t>Мероприятия, направленные на оснащение объектов спортивной инфраструктуры спортивно-технологическим оборудованием</t>
  </si>
  <si>
    <t>013P5L2280</t>
  </si>
  <si>
    <t>1 11 05012 14 0000 120</t>
  </si>
  <si>
    <t>1 11 05074 14 0000 120</t>
  </si>
  <si>
    <t>1 11 09044 14 0000 120</t>
  </si>
  <si>
    <t>Налог, взимаемый в связи с применением патентной системы налогообложения, зачисляемый в бюджеты муниципальных округов</t>
  </si>
  <si>
    <t>Налог на имущество физических лиц, взимаемый по ставкам, применяемым к объектам налогообложения, расположенным в границах муниципальных округов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</si>
  <si>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муниципальных округов, а также средства от продажи права на заключение договоров аренды указанных земельных участков</t>
  </si>
  <si>
    <t xml:space="preserve">Доходы от сдачи в аренду имущества, составляющего казну муниципальных округов (за исключением земельных участков)
</t>
  </si>
  <si>
    <t>Прочие поступления от использования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</si>
  <si>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Доходы, поступающие в порядке возмещения расходов, понесенных в связи с эксплуатацией имущества муниципальных округов</t>
  </si>
  <si>
    <t>Доходы от реализации иного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</si>
  <si>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 xml:space="preserve">Доходы от продажи земельных участков, государственная собственность на которые не разграничена и которые расположены в границах муниципальных округов
</t>
  </si>
  <si>
    <t>Прочие неналоговые доходы бюджетов муниципальных округов</t>
  </si>
  <si>
    <t>Субсидии бюджетам муниципальных округов на 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</si>
  <si>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 xml:space="preserve">Субсидии бюджетам муниципальных округов на строительство и реконструкцию (модернизацию) объектов питьевого водоснабжения
</t>
  </si>
  <si>
    <t>Субсидии бюджетам муниципальных округов на реализацию программ формирования современной городской среды</t>
  </si>
  <si>
    <t>Прочие субсидии бюджетам муниципальных округов</t>
  </si>
  <si>
    <t>Субвенции бюджетам муниципальных округов на выполнение передаваемых полномочий субъектов Российской Федерации</t>
  </si>
  <si>
    <t>Субвенции бюджетам муниципальных округов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</si>
  <si>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округов на осуществление первичного воинского учета на территориях, где отсутствуют военные комиссариаты</t>
  </si>
  <si>
    <t xml:space="preserve">Субвенции бюджетам муниципальных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
</t>
  </si>
  <si>
    <t>Субвенции бюджетам муниципальных округов на выплату единовременного пособия при всех формах устройства детей, лишенных родительского попечения, в семью</t>
  </si>
  <si>
    <t>Субвенции бюджетам муниципальных округов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</si>
  <si>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Субвенции бюджетам муниципальных округов на проведение Всероссийской переписи населения 2020 года</t>
  </si>
  <si>
    <t>Субвенции бюджетам муниципальных округов на государственную регистрацию актов гражданского состояния</t>
  </si>
  <si>
    <t>Единая субвенция бюджетам муниципальных округов из бюджета субъекта Российской Федерации</t>
  </si>
  <si>
    <t>Межбюджетные трансферты бюджетам муниципальных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</si>
  <si>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1 13 02064 14 0000 130</t>
  </si>
  <si>
    <t>1 14 02043 14 0000 410</t>
  </si>
  <si>
    <t>1 14 06012 14 0000 430</t>
  </si>
  <si>
    <t>1 17 05040 14 0000 180</t>
  </si>
  <si>
    <t>2 02 25232 14 0000 150</t>
  </si>
  <si>
    <t>2 02 25243 14 0000 150</t>
  </si>
  <si>
    <t>2 02 25555 14 0000 150</t>
  </si>
  <si>
    <t>2 02 29999 14 0000 150</t>
  </si>
  <si>
    <t>2 02 30024 14 0000 150</t>
  </si>
  <si>
    <t>2 02 30029 14 0000 150</t>
  </si>
  <si>
    <t>1 06 01020 14 0000 110</t>
  </si>
  <si>
    <t>2 02 35118 14 0000 150</t>
  </si>
  <si>
    <t>2 02 35120 14 0000 150</t>
  </si>
  <si>
    <t xml:space="preserve">2 02 35260 14 0000 150
</t>
  </si>
  <si>
    <t>2 02 35304 14 0000 150</t>
  </si>
  <si>
    <t>2 02 35469 14 0000 150</t>
  </si>
  <si>
    <t>2 02 35930 14 0000 150</t>
  </si>
  <si>
    <t>2 02 36900 14 0000 150</t>
  </si>
  <si>
    <t>2 02 45303 14 0000 150</t>
  </si>
  <si>
    <t>Доходы от продажи земельных участков, государственная собственность на которые не разграничена и которые расположены в границах муниципальных округов</t>
  </si>
  <si>
    <t>Субсидии бюджетам муниципальных округов на поддержку отрасли культуры</t>
  </si>
  <si>
    <t>2 02 35260 14 0000 150</t>
  </si>
  <si>
    <t>2 02 25519 14 0000 150</t>
  </si>
  <si>
    <t xml:space="preserve"> муниципального округа</t>
  </si>
  <si>
    <t>012E2L0970</t>
  </si>
  <si>
    <t xml:space="preserve">Субвенции бюджетам муниципальных образований Приморского края на осуществление отдельных государственных полномочий по обеспечению бесплатным питанием детей, обучающихся в муниципальных общеобразовательных организациях Приморского края
</t>
  </si>
  <si>
    <t xml:space="preserve">Субвенции бюджетам муниципальных образований Приморского края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 за счет средств краевого бюджета
</t>
  </si>
  <si>
    <t xml:space="preserve">Субвенции бюджетам муниципальных образований Приморского края на осуществление отдельных государственных полномочий по выплате компенсации части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организациях, осуществляющих образовательную деятельность
</t>
  </si>
  <si>
    <t>Субвенции бюджетам муниципальных образований Приморского края на осуществление отдельных государственных полномочий по обеспечению бесплатным питанием детей, обучающихся в муниципальных общеобразовательных организациях Приморского края</t>
  </si>
  <si>
    <t>0121493150</t>
  </si>
  <si>
    <t>Субвенции бюджетам муниципальных образований Приморского края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 за счет средств краевого бюджета</t>
  </si>
  <si>
    <t>председ</t>
  </si>
  <si>
    <t xml:space="preserve">глава </t>
  </si>
  <si>
    <t xml:space="preserve"> 01 05 02 01 14 0000 510</t>
  </si>
  <si>
    <t xml:space="preserve"> 01 05 02 01 14 0000 610</t>
  </si>
  <si>
    <t>1 05 02000 02 0000 110</t>
  </si>
  <si>
    <t>Единый  налог на вмененный доход</t>
  </si>
  <si>
    <t>Субсидии бюджетам муниципальных округов на реализацию мероприятий по обеспечению жильем молодых семей</t>
  </si>
  <si>
    <t>2 02 25497 14 0000 150</t>
  </si>
  <si>
    <t>Субсидии бюджетам муниципальных округов на оснащение объектов спортивной инфраструктуры спортивно-технологическим оборудованием</t>
  </si>
  <si>
    <t>2 02 25228 14 0000 150</t>
  </si>
  <si>
    <t>Субсидии бюджетам муниципальных округов на 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</si>
  <si>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2 02 25097 14 0000 150</t>
  </si>
  <si>
    <t>049P5L2280</t>
  </si>
  <si>
    <t>0490000000</t>
  </si>
  <si>
    <t>011P2L2320</t>
  </si>
  <si>
    <t>0292470080</t>
  </si>
  <si>
    <t>0292400000</t>
  </si>
  <si>
    <t>Основное мероприятие: "Обеспечение деятельности учреждений культуры"</t>
  </si>
  <si>
    <t>1925944100</t>
  </si>
  <si>
    <t>Благоустройство территорий, детских и спортивных площадок на территории Ханкайского муниципального округа</t>
  </si>
  <si>
    <t>07972S2360</t>
  </si>
  <si>
    <t>Расходы на реализацию проектов инициативного бюджетирования по направлению "Твой проект"</t>
  </si>
  <si>
    <t>9909930100</t>
  </si>
  <si>
    <t>Расходы на оплату работ по разработке программ комплексного развития транспортной, социальной и коммунальной инфраструктуры Ханкайского муниципального округа</t>
  </si>
  <si>
    <t>9909920400</t>
  </si>
  <si>
    <t>9909930110</t>
  </si>
  <si>
    <t xml:space="preserve">Уплата налогов, сборов и иных платежей
</t>
  </si>
  <si>
    <t>Расходы, направленные на возмещение материального ущерба и судебных издержек</t>
  </si>
  <si>
    <t>0696570400</t>
  </si>
  <si>
    <t>Расходы на содержание территориальных отделов Администрации  муниципального округа</t>
  </si>
  <si>
    <t>0696570300</t>
  </si>
  <si>
    <t>0696570000</t>
  </si>
  <si>
    <t>Основное мероприятие: "Прочие расходы"</t>
  </si>
  <si>
    <t>870</t>
  </si>
  <si>
    <t>0111</t>
  </si>
  <si>
    <t>Резервные средства</t>
  </si>
  <si>
    <t>Резервный фонды Администрации Ханкайского муниципального района</t>
  </si>
  <si>
    <t>Резервные фонды</t>
  </si>
  <si>
    <t xml:space="preserve">подразделам, целевым статьям (муниципальным программам Ханкайского муниципального округа и </t>
  </si>
  <si>
    <t>079F500000</t>
  </si>
  <si>
    <t>079F552430</t>
  </si>
  <si>
    <t>2 02 10000 00 0000 150</t>
  </si>
  <si>
    <t>Дотации бюджетам бюджетной системы Российской Федерации</t>
  </si>
  <si>
    <t>2 02 19999 14 0000 150</t>
  </si>
  <si>
    <t>Прочие дотации бюджетам муниципальных округов</t>
  </si>
  <si>
    <t>Субсидии на реализацию проектов инициативного бюджетирования по направлению "Твой проект"</t>
  </si>
  <si>
    <t>Субсидии на  реализацию проектов инициативного бюджетирования по направлению "Твой проект"</t>
  </si>
  <si>
    <t>0797292360</t>
  </si>
  <si>
    <t>Субсидии из краевого бюджета на  реализацию проектов инициативного бюджетирования по направлению "Твой проект"</t>
  </si>
  <si>
    <t>Расходы на софинансирование строительства, реконструкции, ремонт объектов культуры (в том числе проектно-изыскательские работы), находящихся в муниципальной собственности, и приобретение объектов культуры для муниципальных нужд</t>
  </si>
  <si>
    <t>02922S2050</t>
  </si>
  <si>
    <t>02924S2050</t>
  </si>
  <si>
    <t>Увеличение прочих остатков денежных средств бюджетов муниципальных округов</t>
  </si>
  <si>
    <t>Уменьшение прочих остатков денежных средств бюджетов  муниципальных округов</t>
  </si>
  <si>
    <t xml:space="preserve">Исполнение судебных актов
</t>
  </si>
  <si>
    <t>830</t>
  </si>
  <si>
    <t>Расходы на содержание и приобретение имущества для нужд Администрации округа</t>
  </si>
  <si>
    <t>Дотации бюджетам муниципальных округов на поддержку мер по обеспечению сбалансированности бюджетов</t>
  </si>
  <si>
    <t>2 02 15002 14 0000 150</t>
  </si>
  <si>
    <t>0121270060</t>
  </si>
  <si>
    <t>9919993180</t>
  </si>
  <si>
    <t>Субвенции бюджетам муниципальных образований Приморского края на реализацию полномочий Российской Федерации на государственную регистрацию актов гражданского состояния за счет средств краевого бюджета</t>
  </si>
  <si>
    <t>Расходы  на осуществление первичного воинского учета на территориях, где отсутствуют военные комиссариаты за счет местного бюджета</t>
  </si>
  <si>
    <t>191F244100</t>
  </si>
  <si>
    <t>Расходы на обустройство прилегающей территории образовательных учреждений</t>
  </si>
  <si>
    <t>0111270090</t>
  </si>
  <si>
    <t>0131270060</t>
  </si>
  <si>
    <t>9909941180</t>
  </si>
  <si>
    <t>Развитие муниципального дорожного фонда (содержание и ремонт, проектирование, строительство и капитальный ремонт улично- дорожной сети  и другие расходы)</t>
  </si>
  <si>
    <t>2 02 39999 14 0000 150</t>
  </si>
  <si>
    <t>Прочие субвенции бюджетам муниципальных округов</t>
  </si>
  <si>
    <t>1 05 04060 02 0000 110</t>
  </si>
  <si>
    <t>1 14 02043 14 0000 400</t>
  </si>
  <si>
    <t>Доходы от реализации иного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</si>
  <si>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0131220400</t>
  </si>
  <si>
    <t>019E100000</t>
  </si>
  <si>
    <t>019E193140</t>
  </si>
  <si>
    <t>Федеральный проект "Современная школа"</t>
  </si>
  <si>
    <t>Сумма на 2022 год утв</t>
  </si>
  <si>
    <t>Потребность 2022</t>
  </si>
  <si>
    <t>Возможность 2022</t>
  </si>
  <si>
    <t>Сумма утв 2021</t>
  </si>
  <si>
    <t>Прогноз 2022</t>
  </si>
  <si>
    <t>Утверждено 2022</t>
  </si>
  <si>
    <t>Отклонения от 2021 г</t>
  </si>
  <si>
    <t>Отклонения от утв 2022</t>
  </si>
  <si>
    <t>Сумма на 2024 год</t>
  </si>
  <si>
    <t>Основное мероприятие "Прочие расходы"</t>
  </si>
  <si>
    <t>Утверждено 2021 год</t>
  </si>
  <si>
    <t>Контрольно-счетная палата Ханкайского муниципального округа</t>
  </si>
  <si>
    <t>959</t>
  </si>
  <si>
    <t>Председатель контрольно - счетной палаты</t>
  </si>
  <si>
    <t>Итого</t>
  </si>
  <si>
    <t>Основное мероприятие «Обеспечение персонифицированного финансирования дополнительного образования детей»</t>
  </si>
  <si>
    <t>0131300000</t>
  </si>
  <si>
    <t>0131370040</t>
  </si>
  <si>
    <t>доходов бюджета Ханкайского муниципального округа на 2022 год</t>
  </si>
  <si>
    <t>Отклонение возможности от потребности</t>
  </si>
  <si>
    <t xml:space="preserve">Субвенции бюджетам муниципальных образований Приморского края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 </t>
  </si>
  <si>
    <t xml:space="preserve">Субвенции бюджетам муниципальных образований Приморского края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 
</t>
  </si>
  <si>
    <t>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состояни, за счет краевого бюджета</t>
  </si>
  <si>
    <t>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состояния, за счет краевого бюджета,</t>
  </si>
  <si>
    <t>Субсидии на приобретение и поставку спортивного инфентаря, спортивного оборудования и иного имущества для развития массового спорта</t>
  </si>
  <si>
    <t>049P592230</t>
  </si>
  <si>
    <t>19259S2360</t>
  </si>
  <si>
    <t>07974S5762</t>
  </si>
  <si>
    <t>Обеспечение комплексного развития сельских территорий (на реализацию мероприятий по благоустройству сельских территорий)</t>
  </si>
  <si>
    <t>ИТОГО</t>
  </si>
  <si>
    <t>049P5S2230</t>
  </si>
  <si>
    <t>Софинансирование расходов на приобретение и поставку спортивного инфентаря, спортивного оборудования и иного имущества для развития массового спорта</t>
  </si>
  <si>
    <t>Субсидии бюджетам муниципальных образований Приморского края на организацию физкультурно-спортивной работы по месту жительства</t>
  </si>
  <si>
    <t xml:space="preserve">Субсидии   на организацию предоставления транспортных услуг населению </t>
  </si>
  <si>
    <t>Подпрограмма"Обеспечение доступности транспортных услуг населению"</t>
  </si>
  <si>
    <t>ОМСУ</t>
  </si>
  <si>
    <t>норматив</t>
  </si>
  <si>
    <t>глава</t>
  </si>
  <si>
    <t>КСП</t>
  </si>
  <si>
    <t>резервный фонд предел</t>
  </si>
  <si>
    <t xml:space="preserve">Муниципальная программа "Развитие малого и среднего предпринимательства в Ханкайском муниципальном районе" на 2020-2024 годы </t>
  </si>
  <si>
    <t>Основное мероприятие: "Субсидии на оказание поддержки малого и среднего предпринимательства"</t>
  </si>
  <si>
    <t>Гранты в форме субсидий субъектам малого и среднего предпринимательства, включенным в реестр социальных предпринимателей, на финансовое обеспечение расходов, связанных с реализацией проекта в сфере социального предпринимательства</t>
  </si>
  <si>
    <t>0999119180</t>
  </si>
  <si>
    <t>0585400000</t>
  </si>
  <si>
    <t>0585440070</t>
  </si>
  <si>
    <t>0580000000</t>
  </si>
  <si>
    <t xml:space="preserve">Основное мероприятие: "Обеспечение доступности транспортных услуг населению" </t>
  </si>
  <si>
    <t>Распределение резервного фонда</t>
  </si>
  <si>
    <t>Субсидии на приобретение и поставку спортивного инвентаря, спортивного оборудования и иного имущества для развития массового спорта</t>
  </si>
  <si>
    <t xml:space="preserve">Основное мероприятие: "Субсидии на оказание поддержки малого и среднего предпринимательства" </t>
  </si>
  <si>
    <t>Сумма 2023 год</t>
  </si>
  <si>
    <t>Сумма 2024 год</t>
  </si>
  <si>
    <t>99199R0820</t>
  </si>
  <si>
    <t>Развитие муниципального дорожного фонда (содержание и ремонт, проектирование, строительство и капитальный ремонт улично- дородной сети на них и другие расходы)</t>
  </si>
  <si>
    <t>Утверждено на 2022 год</t>
  </si>
  <si>
    <t>Расходы на капитальный ремонт зданий и обустройство прилегающей территорий образовательных учреждений</t>
  </si>
  <si>
    <t>049P592220</t>
  </si>
  <si>
    <t>049P5S2220</t>
  </si>
  <si>
    <t>собственные</t>
  </si>
  <si>
    <t xml:space="preserve">условно утвержденные </t>
  </si>
  <si>
    <t>софинансирование</t>
  </si>
  <si>
    <t>в составе краевых</t>
  </si>
  <si>
    <t>условно утв 2,5%</t>
  </si>
  <si>
    <t>условно утв 5%</t>
  </si>
  <si>
    <t xml:space="preserve">Сумма на 2024 год </t>
  </si>
  <si>
    <t>условно утв</t>
  </si>
  <si>
    <t>01313000000</t>
  </si>
  <si>
    <t>0900</t>
  </si>
  <si>
    <t>Основное мероприятие: "Обеспечение доступности транспортных услуг населению"</t>
  </si>
  <si>
    <t>1696100000</t>
  </si>
  <si>
    <t>1696140801</t>
  </si>
  <si>
    <t>Субсидии юридическим лицам, индивидуальным предпринимателям, физическим лицам- призводителям товаров, работ, услуг на возмещение затрат и (или) недополученных доходов в связи с производством (реализацией) товаров, выполнением работ, оказанием услуг.</t>
  </si>
  <si>
    <t xml:space="preserve"> Ханкайского муниципального округа</t>
  </si>
  <si>
    <t>Перечень</t>
  </si>
  <si>
    <t xml:space="preserve">главных администраторов источников внутреннего  финансирования дефицита  бюджета                       </t>
  </si>
  <si>
    <t>Код главно-го админи-стратора</t>
  </si>
  <si>
    <t>Код источников внутреннего финансирования дефицита  бюджета муниципального округа</t>
  </si>
  <si>
    <t>ФИНАНСОВОЕ  УПРАВЛЕНИЕ АДМИНИСТРАЦИИ ХАНКАЙСКОГО МУНИЦИПАЛЬНОГО ОКРУГА ПРИМОРСКОГО КРАЯ</t>
  </si>
  <si>
    <t>01 05 02 01 14 0000 610</t>
  </si>
  <si>
    <t>01 05 02 01 14 0000 510</t>
  </si>
  <si>
    <t>Приложение 12</t>
  </si>
  <si>
    <t>Муниципальная программа "Поддержка и развитие транспортного обслуживания на территории Ханкайского муниципального округа" на 2022 -2026 годы</t>
  </si>
  <si>
    <t>Развитие муниципального дорожного фонда (содержание и ремонт, проектирование, строительство и капитальный ремонт улично- дорожной сети на них и другие расходы)</t>
  </si>
  <si>
    <t>Доля программных расходов</t>
  </si>
  <si>
    <t>Публично-нормативные</t>
  </si>
  <si>
    <t>Муниципальная программа  "Развитие образования в Ханкайском муниципальном округе" на 2020-2024 годы</t>
  </si>
  <si>
    <t>Подпрограмма "Развитие дошкольного образования в Ханкайском муниципальном округе" на 2020-2024 годы</t>
  </si>
  <si>
    <t>Муниципальная программа "Развитие образования в Ханкайском муниципальном округе" на 2020-2024 годы</t>
  </si>
  <si>
    <t>Муниципальная программа "Укрепление общественного здоровья в Ханкайском муниципальном округе" на 2020-2024 годы</t>
  </si>
  <si>
    <t>Муниципальная программа "Развитие информационного общества в Ханкайском муниципальном округе" на 2020-2024 годы</t>
  </si>
  <si>
    <t>Муниципальная программа "Развитие муниципальной службы в Ханкайском муниципальном округе" на 2020-2024 годы</t>
  </si>
  <si>
    <t>Подпрограмма "Развитие системы общего образования в  Ханкайском муниципальном округе" на 2020-2024 годы</t>
  </si>
  <si>
    <t>Подпрограмма "Развитие системы дополнительного образования в Ханкайском муниципальном округе" на 2020-2024 годы</t>
  </si>
  <si>
    <t>Подпрограмма "Развитие системы общего образования в  Ханкайском муниципальном округе" в 2020-2024 годы</t>
  </si>
  <si>
    <t>Подпрограмма "Развитие дошкольного образования в Ханкайском муниципальном округе" 2020-2024 годы</t>
  </si>
  <si>
    <t>Основное мероприятие: "Совершенствование деятельности муниципальной службы в Ханкайском муниципальном округе"</t>
  </si>
  <si>
    <t>Муниципальная программа  "Развитие физической культуры и спорта в Ханкайском муниципальном округе" на 2020-2024 годы</t>
  </si>
  <si>
    <t>Основное мероприятие: "Содействие развития физической культуры и спорта в Ханкайском муниципальном округе"</t>
  </si>
  <si>
    <t>Муниципальная программа "Обеспечение жильем молодых семей Ханкайского мунципального округе" на 2020- 2024 годы</t>
  </si>
  <si>
    <t>Муниципальная программа "Развитие культуры и туризма в Ханкайском муниципальном округе" на 2020-2024 годы</t>
  </si>
  <si>
    <t>Муниципальная программа "Профилактика прованарушений, терроризма и экстремизма и противодействие распространению наркотиков в Ханкайском муниципальном округе" на 2020-2024 годы</t>
  </si>
  <si>
    <t>Муниципальная программа "Охрана окружающей среды Ханкайского муниципального округа" на 2020-2024 годы</t>
  </si>
  <si>
    <t>Основное мероприятие: "Развитие  системы утилизации и переработки бытовых отходов на территории Ханкайского муниципального округа"</t>
  </si>
  <si>
    <t>Муниципальная программа "Развитие систем жилищно-коммунальной инфраструктуры в Ханкайском муниципальном округе" на 2020-2024 годы</t>
  </si>
  <si>
    <t>Основное мероприятие "Развитие систем энерго- тепло- газо- и водоснабжения в Ханкайском муниципальном округе"</t>
  </si>
  <si>
    <t>Муниципальная программа "Развитие систем жилищно-коммунальной инфраструктуры  в Ханкайском муниципальном округе" на 2020-2024 годы</t>
  </si>
  <si>
    <t>Основное мероприятие: "Развитие систем энерго- тепло- газо- водоснабжения в Ханкайском муниципальном округе" на 2020-2024 годы</t>
  </si>
  <si>
    <t>Муниципальная программа "Управление муниципальным имуществом  в Ханкайском муниципальном округе" на 2020-2024 годы</t>
  </si>
  <si>
    <t>Муниципальная программа "Развитие градостроительной и землеустроительной деятельности на территории Ханкайского муниципального округа" на 2020-2024 годы</t>
  </si>
  <si>
    <t xml:space="preserve">Муниципальная программа "Развитие малого и среднего предпринимательства в Ханкайском муниципальном округе" на 2020-2024 годы </t>
  </si>
  <si>
    <t>Муниципальная программа "Развитие дорожного хозяйства и повышение безопасности дорожного движения в Ханкайском муниципальном округе" на 2020-2024 годы</t>
  </si>
  <si>
    <t>Муниципальная программа "Управление муниципальным имуществом в Ханкайском муниципальном округе" на 2020-2024 годы</t>
  </si>
  <si>
    <t>Муниципальная программа "Доступная среда в Ханкайском муниципальном округе" на 2020-2024 годы</t>
  </si>
  <si>
    <t>Муниципальная программа "Развитие муниципальной службы в  Ханкайском муниципальном округе" на 2020-2024 годы</t>
  </si>
  <si>
    <t>Основное мероприятие "Совершенствование деятельности муниципальной службы в Ханкайском муниципальном округе"</t>
  </si>
  <si>
    <t>Муниципальная программа "Обеспечение жильем молодых семей Ханкайского мунципального округа" на 2020- 2024 годы</t>
  </si>
  <si>
    <t xml:space="preserve">Муниципальная программа "Развитие малого и среднего предпринимательства в Ханкайском муниципальном округе на 2020-2024 годы </t>
  </si>
  <si>
    <t>Муниципальная программа "Охрана окружающей среды Ханкайского муниципального округаа" на 2020-2024 годы</t>
  </si>
  <si>
    <t>Муниципальная программа "Профилактика прованарушений, терроризма и экстремизма и противодействие распространению наркотиков на территории Ханкайского муниципального округа" на 2020-2024 годы</t>
  </si>
  <si>
    <t>Муниципальная программа "Развитие культуры и туризма в Ханкайского муниципального округа" на 2020-2024 годы</t>
  </si>
  <si>
    <t>Муниципальная программа "Развитие культуры и туризма в Ханкайском муниципальном окурге" на 2020-2024 годы</t>
  </si>
  <si>
    <t>Подпрограмма "Развитие системы общего образования в  Ханкайском муниципальном округе" на  2020-2024 годы</t>
  </si>
  <si>
    <t>Муниципальная программа "Развитие культуры и туризма в Ханкайском муниципальном округе»" на 2020-2024 годы</t>
  </si>
  <si>
    <t xml:space="preserve">Основное мероприятие: "Развитие системы утилизации и переработки бытовых отходов на территории Ханкайского муниципального округа" </t>
  </si>
  <si>
    <t>Муниципальная программа "Развитие физической культуры  и спорта в Ханкайском муниципальном округе"  на 2020-2024 годы</t>
  </si>
  <si>
    <t>Основное мероприятие: "Развитие систем энерго- тепло- газо- и водоснабжения в Ханкайском муниципальтном округе"</t>
  </si>
  <si>
    <t>Муниципальная программа "Обеспечение жильем молодых семей Ханкайского муниципального округа" на 2020-2024 годы</t>
  </si>
  <si>
    <t>Муниципальная программа "Профилактика правонарушений, терроризма и экстремизма и противодействие распространению наркотиков на территории Ханкайского муниципального округа" на 2020-2024 годы</t>
  </si>
  <si>
    <t>Муниципальная программа "Развитие культуры и туризма в Ханкайском муниципальном округе» на 2020-2024 годы</t>
  </si>
  <si>
    <t>Муниципальная программа "Развитие информационного общества в Ханкайском муниципальном округее" на 2020-2024 годы</t>
  </si>
  <si>
    <t>Муниципальная программа "Профилактика правонарушений, терроризма и экстремизма и противодействие распространению наркотиков на территории Ханкайского муниципального округаа" на 2020-2024 годы</t>
  </si>
  <si>
    <t>02923R2990</t>
  </si>
  <si>
    <t>Субсидии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</si>
  <si>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Субсидии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
 на 2019 - 2024 годы"</t>
  </si>
  <si>
    <t>18958S2360</t>
  </si>
  <si>
    <t>МК+КБ</t>
  </si>
  <si>
    <t>0100000</t>
  </si>
  <si>
    <t>0200000</t>
  </si>
  <si>
    <t>0300000</t>
  </si>
  <si>
    <t>0400000</t>
  </si>
  <si>
    <t>0500000</t>
  </si>
  <si>
    <t>0600000</t>
  </si>
  <si>
    <t>0700000</t>
  </si>
  <si>
    <t>0800000</t>
  </si>
  <si>
    <t>0900000</t>
  </si>
  <si>
    <t>1000000</t>
  </si>
  <si>
    <t>1100000</t>
  </si>
  <si>
    <t>1200000</t>
  </si>
  <si>
    <t>1300000</t>
  </si>
  <si>
    <t>1400000</t>
  </si>
  <si>
    <t>1500000</t>
  </si>
  <si>
    <t>1700000</t>
  </si>
  <si>
    <t>1800000</t>
  </si>
  <si>
    <t>1900000</t>
  </si>
  <si>
    <t>9900000</t>
  </si>
  <si>
    <t>1600000</t>
  </si>
  <si>
    <t>публ норм</t>
  </si>
  <si>
    <t xml:space="preserve">бюджетных ассигнований из бюджета Ханкайского муниципального округа на 2023-2024 годы год в </t>
  </si>
  <si>
    <t>ведомственной структуре расходов бюджета Ханкайского муниципального округа</t>
  </si>
  <si>
    <t>к решению Думы Ханкайского</t>
  </si>
  <si>
    <t>к  решению Думы</t>
  </si>
  <si>
    <t>от 23.12.2021 №301</t>
  </si>
  <si>
    <t>от 23.12.2021 № 301</t>
  </si>
  <si>
    <t>2 02 25299 14 0000 150</t>
  </si>
  <si>
    <t>02923L2990</t>
  </si>
  <si>
    <t>муниципального округа</t>
  </si>
  <si>
    <t>Приложение №2</t>
  </si>
  <si>
    <t>Приложение №3</t>
  </si>
  <si>
    <t>15963L2990</t>
  </si>
  <si>
    <t>Содержание и обслуживание муниципальных объектов культуры</t>
  </si>
  <si>
    <t>Расходы на содержание и обслуживание муниципальных объектов культуры</t>
  </si>
  <si>
    <t>Софинансирование расходов на приобретение и поставку спортивного инвентаря, спортивного оборудования и иного имущества для развития массового спорта</t>
  </si>
  <si>
    <t>2 02 25750 14 0000 150</t>
  </si>
  <si>
    <t>Субсидии бюджетам муниципальных округов на реализацию мероприятий по модернизации школьных систем образования</t>
  </si>
  <si>
    <t>2 02 35082 00 0000 150</t>
  </si>
  <si>
    <t xml:space="preserve">Субвенции бюджетам муниципальных образований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
</t>
  </si>
  <si>
    <t>1895892360</t>
  </si>
  <si>
    <t>Расходы на капитальный ремонт и благоустройство учреждений культуры</t>
  </si>
  <si>
    <t>0292470100</t>
  </si>
  <si>
    <t>Подготовка к организации и  проведению  "Сельских спортивных игр"</t>
  </si>
  <si>
    <t>0494170500</t>
  </si>
  <si>
    <t>0494170600</t>
  </si>
  <si>
    <t>01211R3040</t>
  </si>
  <si>
    <t>Субсидия на реализацию мероприятий по модернизации школьных систем образования</t>
  </si>
  <si>
    <t>01212L7500</t>
  </si>
  <si>
    <t>Расходы на содержание объектов спортивной инфраструктуры, находящейся в муниципальной собственности</t>
  </si>
  <si>
    <t>0494170700</t>
  </si>
  <si>
    <t>к проекту  решения Думы Ханкайского</t>
  </si>
  <si>
    <t>к  проекту решения Думы Ханкайского</t>
  </si>
  <si>
    <t>к проекту решения Думы Ханкайского</t>
  </si>
  <si>
    <t>Муниципальная программа "Комплексное развитие сельских территорий Ханкайского муниципального округа" на 2020-2024 годы</t>
  </si>
  <si>
    <t>Муниципальная программа "Комплексное развитие сель-ских территорий Ханкайского муниципального округа" на 2020-2024 годы</t>
  </si>
  <si>
    <t>Муниципальная программа «Комплексное развитие сель-ских территорий Ханкайского муниципального округа» на 2020-2024 годы</t>
  </si>
  <si>
    <t>Муниципальная программа «Комплексное развитие сельских территорий Ханкайского муниципального округа» на 2020-2024 годы</t>
  </si>
  <si>
    <t>Субсидии на государственную поддержку отрасли культуры (модернизация библиотек в части комплектования книжных фондов библиотек муниципальных образований и государственных общедоступных библиотек)</t>
  </si>
  <si>
    <t>02921L5190</t>
  </si>
  <si>
    <t>Государственная поддержка отрасли культуры
на модернизацию  библиотек в части комплектования книжных фондов библиотек муниципальных образований и государственных общедоступных библиотек</t>
  </si>
  <si>
    <t>Расходы на капитальный ремонт и благоустройство учреждений культуры и образовательных учреждений в сфере культуры</t>
  </si>
  <si>
    <t>Расходы на проведение текущего, капитального ремонта зданий и  помещений и обустройство прилегающей территории образовательных учреждений</t>
  </si>
  <si>
    <t>0121270090</t>
  </si>
  <si>
    <t>Приложение №9</t>
  </si>
  <si>
    <t>Расходы Резервного фонда администрации Ханкайского муниципального округа, направленные на проведение мероприятий по увековечению памяти военнослужащих, лиц, проходящих службу в войсках национальной гвардии Российской Федерации и имеющих специальное звание полиции, в случае их гибели (смерти) в ходе участия в специальной военной операции на территориях Донецкой Народной Республики, Луганской Народной Республики и Украины, погребение которых осуществляется на территории Ханкайского  муниципального округа</t>
  </si>
  <si>
    <t>9909900012</t>
  </si>
  <si>
    <t>Расходы на капитальный ремонт (ремонт) объектов муниципальных физкультурно-спортивных организаций на сельских территориях</t>
  </si>
  <si>
    <t>04941S2290</t>
  </si>
  <si>
    <t>Субсидии на капитальный ремонт (ремонт) объектов муниципальных физкультурно-спортивных организаций на сельских территориях</t>
  </si>
  <si>
    <t>0494192290</t>
  </si>
  <si>
    <t>07974L5762</t>
  </si>
  <si>
    <t>Приобретение специализированной коммунальной техники, оборудования, материалов</t>
  </si>
  <si>
    <t>0797440020</t>
  </si>
  <si>
    <t>Муниципальная программа "Противодействие коррупции в Ханкайском муниципальном округе" на 2020-2024 годы</t>
  </si>
  <si>
    <t>Основное мероприятие: "Антикоррупционное обучение и антикоррупционная пропаганда"</t>
  </si>
  <si>
    <t>2100000000</t>
  </si>
  <si>
    <t>2193400000</t>
  </si>
  <si>
    <t>2193413020</t>
  </si>
  <si>
    <t xml:space="preserve">Расходы на капитальный ремонт и благоустройство учреждений культуры </t>
  </si>
  <si>
    <t>0292370100</t>
  </si>
  <si>
    <t>к   проекту решения Думы Ханкайского</t>
  </si>
  <si>
    <t>№____ от _______</t>
  </si>
  <si>
    <t>№___  от ______</t>
  </si>
  <si>
    <t>Приложение №6</t>
  </si>
  <si>
    <t>от_______ №___</t>
  </si>
  <si>
    <t>Потребность 2023</t>
  </si>
  <si>
    <t>Возможность 2023</t>
  </si>
  <si>
    <t>Утверждено на 2023 год</t>
  </si>
  <si>
    <t xml:space="preserve">бюджетных ассигнований из бюджета Ханкайского муниципального округа на 2023 год в ведомственной </t>
  </si>
  <si>
    <t>Утверждено в бюджете  2022 год</t>
  </si>
  <si>
    <t xml:space="preserve">Утверждено в бюджете 2023 год </t>
  </si>
  <si>
    <t>012E250970</t>
  </si>
  <si>
    <t>председатель думы</t>
  </si>
  <si>
    <t xml:space="preserve">краевые </t>
  </si>
  <si>
    <t>итого</t>
  </si>
  <si>
    <t>Утверждено 2023</t>
  </si>
  <si>
    <t>Отклонения от утв 2023</t>
  </si>
  <si>
    <r>
      <t>Софинансирование расходов</t>
    </r>
    <r>
      <rPr>
        <sz val="14"/>
        <color rgb="FF0070C0"/>
        <rFont val="Times New Roman"/>
        <family val="1"/>
        <charset val="204"/>
      </rPr>
      <t xml:space="preserve"> на приобретение и поставку спортивного инвентаря, спортивного оборудования и иного имущества для развития массового спорта</t>
    </r>
    <r>
      <rPr>
        <sz val="14"/>
        <color rgb="FF000000"/>
        <rFont val="Times New Roman"/>
        <family val="1"/>
        <charset val="204"/>
      </rPr>
      <t xml:space="preserve"> </t>
    </r>
    <r>
      <rPr>
        <sz val="14"/>
        <color rgb="FFFF0000"/>
        <rFont val="Times New Roman"/>
        <family val="1"/>
        <charset val="204"/>
      </rPr>
      <t>(на организацию физкультурно-спортивной работы по месту жительства)</t>
    </r>
  </si>
  <si>
    <t>Фактически исполнено в 2021 году</t>
  </si>
  <si>
    <t>0</t>
  </si>
  <si>
    <t>21000000</t>
  </si>
  <si>
    <t>услов-утвержденные</t>
  </si>
  <si>
    <t>Фактически исполнено на 9 месяцев 2022</t>
  </si>
  <si>
    <t>01321270090</t>
  </si>
  <si>
    <t>0131270090</t>
  </si>
  <si>
    <t>Дотации на выравнивание бюджетной обеспеченности муниципальных районов (муниципальных округов, городских округов)</t>
  </si>
  <si>
    <t xml:space="preserve">межбюджетных трансфертов от других бюджетов бюджетной системы на 2023 год  </t>
  </si>
  <si>
    <t>Государственная поддержка отрасли культуры (оснащение образовательных учреждений в сфере культуры (детских школ искусств и училищ) музыкальными инструментами, оборудованием и учебными материалами)</t>
  </si>
  <si>
    <t>Комплектование книжных фондов и обеспечение информационно-техническим оборудованием библиотек</t>
  </si>
  <si>
    <t>Проведение работ по сохранению объектов культурного наследия</t>
  </si>
  <si>
    <t>Реализация мероприятий по обеспечению жильем молодых семей</t>
  </si>
  <si>
    <t>Приобретение и поставка спортивного инвентаря, спортивного оборудования и иного имущества для развития массового спорта</t>
  </si>
  <si>
    <t>Организация физкультурно-спортивной работы по месту жительства</t>
  </si>
  <si>
    <t>Реализация программ формирования современной городской среды</t>
  </si>
  <si>
    <t>Поддержка муниципальных программ по благоустройству территорий муниципальных образований</t>
  </si>
  <si>
    <t>Реализация государственного полномочия в сфере транспортного обслуживания по муниципальным маршрутам в границах муниципальных образований</t>
  </si>
  <si>
    <t xml:space="preserve">Реализация федеральной целевой программы "Увековечение памяти погибших при защите Отечества на 2019 - 2024 годы" (Субсидии бюджетам муниципальных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годы")
</t>
  </si>
  <si>
    <t xml:space="preserve">Субвенции бюджетам муниципальных образований Приморского края на осуществление полномочий Российской Федерации по первичному воинскому учету на территориях, где отсутствуют военные комиссариаты
</t>
  </si>
  <si>
    <t>Субсидии бюджетам муниципальных округов на поддержку отрасли культуры
(Государственная поддержка отрасли культуры (оснащение образовательных учреждений в сфере культуры (детских школ искусств и училищ) музыкальными инструментами, оборудованием и учебными материалами))</t>
  </si>
  <si>
    <t>Реализация федеральной целевой программы "Увековечение памяти погибших при защите Отечества  на 2019-2025 годы" за счёт средств краевого бюджета</t>
  </si>
  <si>
    <t>Субсидии бюджетам муниципальных округов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</si>
  <si>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Субвенции бюджетам муниципальных округов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</si>
  <si>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округов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</si>
  <si>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Межбюджетные трансферты, передаваемые бюджетам муниципальных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</si>
  <si>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утверждено 2022 год</t>
  </si>
  <si>
    <t>Субсидии бюджетам муниципальных образований Приморского края на капитальный ремонт зданий муниципальных общеобразовательных учреждений</t>
  </si>
  <si>
    <t>Субсидия на капитальный ремонт (ремонт) объектов муниципальных физкультурно-спортивных организаций на сельских территориях</t>
  </si>
  <si>
    <t>отклонение</t>
  </si>
  <si>
    <t>Поощрение муниципальных округов в связи с их образованием в течение трех финансовых лет после образования соответствующих муниципальных округов</t>
  </si>
  <si>
    <t xml:space="preserve">Дотация в целях достижения наилучших показателей соц-экон развития </t>
  </si>
  <si>
    <t>Дополнительные доходы по доп. нормативам по налогу, взимаемому по УСНО</t>
  </si>
  <si>
    <t>0292355191</t>
  </si>
  <si>
    <t>(Государственная поддержка отрасли культуры (оснащение образовательных учреждений в сфере культуры (детских школ искусств и училищ) музыкальными инструментами, оборудованием и учебными материалами))</t>
  </si>
  <si>
    <t>Расчетный объем дотации</t>
  </si>
  <si>
    <t>в том числе:</t>
  </si>
  <si>
    <t xml:space="preserve">  - Замена дополнительным  нормативом НДФЛ</t>
  </si>
  <si>
    <t xml:space="preserve"> -  Дотации на выравнивание бюджетной обеспеченности муниципальных районов (муниципальных округов, городских округов)</t>
  </si>
  <si>
    <t>0292392490</t>
  </si>
  <si>
    <t>Расходы по софинансированию работ по сохранению объектов культурного наследия</t>
  </si>
  <si>
    <t>02923S2490</t>
  </si>
  <si>
    <t>0494192190</t>
  </si>
  <si>
    <t xml:space="preserve">расходы по софинансированию мероприятий по организация физкультурно-спортивной работы по месту жительства </t>
  </si>
  <si>
    <t>04941S2190</t>
  </si>
  <si>
    <t>15963Q2990</t>
  </si>
  <si>
    <t>Субсидии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 за счет средств краевого бюджета</t>
  </si>
  <si>
    <r>
      <t>049</t>
    </r>
    <r>
      <rPr>
        <sz val="13"/>
        <color rgb="FFFF0000"/>
        <rFont val="Times New Roman"/>
        <family val="1"/>
        <charset val="204"/>
      </rPr>
      <t>P5</t>
    </r>
    <r>
      <rPr>
        <sz val="13"/>
        <color rgb="FF000000"/>
        <rFont val="Times New Roman"/>
        <family val="1"/>
        <charset val="204"/>
      </rPr>
      <t>92230</t>
    </r>
  </si>
  <si>
    <r>
      <t>049</t>
    </r>
    <r>
      <rPr>
        <sz val="13"/>
        <color rgb="FFFF0000"/>
        <rFont val="Times New Roman"/>
        <family val="1"/>
        <charset val="204"/>
      </rPr>
      <t>P5</t>
    </r>
    <r>
      <rPr>
        <sz val="13"/>
        <color rgb="FF000000"/>
        <rFont val="Times New Roman"/>
        <family val="1"/>
        <charset val="204"/>
      </rPr>
      <t>S2230</t>
    </r>
  </si>
  <si>
    <r>
      <t>Софинансирование расходов</t>
    </r>
    <r>
      <rPr>
        <sz val="13"/>
        <color rgb="FF0070C0"/>
        <rFont val="Times New Roman"/>
        <family val="1"/>
        <charset val="204"/>
      </rPr>
      <t xml:space="preserve"> на приобретение и поставку спортивного инвентаря, спортивного оборудования и иного имущества для развития массового спорта</t>
    </r>
    <r>
      <rPr>
        <sz val="13"/>
        <color rgb="FF000000"/>
        <rFont val="Times New Roman"/>
        <family val="1"/>
        <charset val="204"/>
      </rPr>
      <t xml:space="preserve"> </t>
    </r>
    <r>
      <rPr>
        <sz val="13"/>
        <color rgb="FFFF0000"/>
        <rFont val="Times New Roman"/>
        <family val="1"/>
        <charset val="204"/>
      </rPr>
      <t>(на организацию физкультурно-спортивной работы по месту жительства)</t>
    </r>
  </si>
  <si>
    <t>прочие субсидии</t>
  </si>
  <si>
    <t>% роста потреб</t>
  </si>
  <si>
    <t>% роста возмож</t>
  </si>
  <si>
    <t>отклонение потребности от возможн</t>
  </si>
  <si>
    <t>0494192230</t>
  </si>
  <si>
    <t>04941S2230</t>
  </si>
  <si>
    <t>ремонты убрать</t>
  </si>
  <si>
    <t>Дотации на выравнивание бюджетной обеспеченности, подлежащие перечислению из краевого бюджета</t>
  </si>
  <si>
    <t xml:space="preserve">межбюджетных трансфертов от других бюджетов бюджетной системы на 2024 и 2025 годы  </t>
  </si>
  <si>
    <t>Сумма на 2025 год</t>
  </si>
  <si>
    <t>Расходы Резервного фонда Администрации Ханкайского муниципального округа, направленные на проведение мероприятий по увековечению памяти военнослужащих, лиц, проходящих службу в войсках национальной гвардии Российской Федерации и имеющих специальное звание полиции, в случае их гибели (смерти) в ходе участия в специальной военной операции на территориях Донецкой Народной Республики, Луганской Народной Республики и Украины, погребение которых осуществляется на территории Ханкайского  муниципального округа</t>
  </si>
  <si>
    <t>% роста потреб от 2022</t>
  </si>
  <si>
    <t>% роста возмож от 2022</t>
  </si>
  <si>
    <t>остатки средств на начало года</t>
  </si>
  <si>
    <t>2 02 25576 14 0000 150</t>
  </si>
  <si>
    <t>Субсидии бюджетам муниципальных округов на обеспечение комплексного развития сельских территорий (строительство и реконструкция (модернизация), капитальный ремонт объектов государственных или муниципальных организаций культурно-досугового типа)</t>
  </si>
  <si>
    <t xml:space="preserve">бюджетных ассигнований из бюджета Ханкайского муниципального округа на 2024-2025 годы год в </t>
  </si>
  <si>
    <t>Сумма 2025 год</t>
  </si>
  <si>
    <t>Обеспечение комплексного развития сельских территорий (строительство и реконструкция (модернизация), капитальный ремонт объектов государственных или муниципальных организаций культурно-досугового типа)</t>
  </si>
  <si>
    <t>02923L5763</t>
  </si>
  <si>
    <t>Субвенции, передаваемые органам местного самоуправления городских округов и муниципальных районов Приморского края на реализацию государственного полномочия в сфере транспортного обслуживания по муниципальным маршрутам в границах муниципальных образований</t>
  </si>
  <si>
    <t>2 02 35082 14 0000 150</t>
  </si>
  <si>
    <t xml:space="preserve">Субвенции бюджетам муниципальных округов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 за счет средств краевого бюджета
</t>
  </si>
  <si>
    <t xml:space="preserve">  </t>
  </si>
  <si>
    <t>Региональный проект "Успех каждого ребенка"</t>
  </si>
  <si>
    <t>Создание в общеобразовательных организациях, расположенных в сельской местности и малых городах, условий для занятий физической культурой и спортом</t>
  </si>
  <si>
    <t>софин</t>
  </si>
  <si>
    <t>доходов бюджета Ханкайского муниципального округа на 2023 год</t>
  </si>
  <si>
    <t>к проекту решения Думы</t>
  </si>
  <si>
    <t>Дотация на поощрение муниципальных округов в связи с их образованием в течение трех финансовых лет после образования соответствующих муниципальных округов</t>
  </si>
  <si>
    <t>Резервные фонды Администрации Ханкайского муниципального округа</t>
  </si>
  <si>
    <t>0292270100</t>
  </si>
  <si>
    <t>Региональный проект "Культурная среда"</t>
  </si>
  <si>
    <t>к проекту  решению Думы Ханкайского</t>
  </si>
  <si>
    <t>от _._.__№___</t>
  </si>
  <si>
    <t xml:space="preserve"> бюджетных ассигнований из бюджета Ханкайского муниципального округа на 2023 год по разделам,  </t>
  </si>
  <si>
    <t xml:space="preserve"> бюджетных ассигнований по муниципальным программам Ханкайского муниципального округа на 2023 год</t>
  </si>
  <si>
    <t>Региональный проект "Современная школа"</t>
  </si>
  <si>
    <t>от __.__.__ №__</t>
  </si>
  <si>
    <t>от __,__,__ №__</t>
  </si>
  <si>
    <t xml:space="preserve"> бюджетных ассигнований из бюджета Ханкайского муниципального округа на 2024 и 2025 годы  </t>
  </si>
  <si>
    <t xml:space="preserve">Сумма на 2025 год </t>
  </si>
  <si>
    <t>0494192220</t>
  </si>
  <si>
    <t>от  __.__.__ №___</t>
  </si>
  <si>
    <t>внутреннего финансирования дефицита  бюджета Ханкайского муниципального округа на 2023 год</t>
  </si>
  <si>
    <t>от  __.__.__  № __</t>
  </si>
  <si>
    <t xml:space="preserve">             на 2024 и 2025 годы</t>
  </si>
  <si>
    <t>от __.__.2022 №___</t>
  </si>
  <si>
    <t>утверждено 2023</t>
  </si>
  <si>
    <t>от __.__.2022  № __</t>
  </si>
  <si>
    <t>доходов бюджета Ханкайского муниципального округа на 2024 и 2025 годы</t>
  </si>
  <si>
    <t>от __.__.2022 №__</t>
  </si>
  <si>
    <t xml:space="preserve">от __.__.2022 №__ </t>
  </si>
  <si>
    <t>Администрация Ханкайского муниципального округа Приморского края</t>
  </si>
  <si>
    <t>от __.__.2022 № __</t>
  </si>
  <si>
    <t xml:space="preserve"> муниципального округа на 2024 и 2025 годы</t>
  </si>
  <si>
    <t>2 02 15001 14 0000 150</t>
  </si>
  <si>
    <t xml:space="preserve">Уменьшение прочих остатков денежных средств бюджетов муниципальных округов
</t>
  </si>
  <si>
    <t>Дотации бюджетам муниципальных округов на выравнивание бюджетной обеспеченности из бюджета субъекта Российской Федерации</t>
  </si>
  <si>
    <t>Единый  налог на вмененный доход, для отдельных видов деятельности</t>
  </si>
  <si>
    <t>ДОХОДЫ ОТ ОКАЗАНИЯ ПЛАТНЫХ УСЛУГ И КОМПЕНСАЦИИ ЗАТРАТ  ГОСУДАРСТВА</t>
  </si>
  <si>
    <t xml:space="preserve">Субвенции бюджетам муниципальных округов на 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
</t>
  </si>
  <si>
    <t>Субвенции бюджетам муниципальных округов на осуществление первичного воинского учета органами местного самоуправления поселений, муниципальных и городских округов</t>
  </si>
  <si>
    <t>ДОХОДЫ ОТ ОКАЗАНИЯ ПЛАТНЫХ УСЛУГ И КОМПЕНСАЦИИ ЗАТРАТ ГОСУДАРСТВА</t>
  </si>
  <si>
    <t>04941S2680</t>
  </si>
  <si>
    <t>Обеспечение граждан твердым топливом</t>
  </si>
  <si>
    <t>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</si>
  <si>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муниципальных округов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</si>
  <si>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2 02 25467 14 0000 150</t>
  </si>
  <si>
    <t>02923L4670</t>
  </si>
  <si>
    <t>Субсидии бюджетам муниципальных округов на поддержку отрасли культуры (Государственная поддержка отрасли культуры (оснащение образовательных учреждений в сфере культуры (детских школ искусств и училищ) музыкальными инструментами, оборудованием и учебными материалами)</t>
  </si>
  <si>
    <t xml:space="preserve"> Дотации бюджетам муниципальных округов на выравнивание бюджетной обеспеченности из бюджета субъекта Российской Федерации
</t>
  </si>
  <si>
    <t>Прочие субсидии бюджетам муниципальных округов - всего, в том числе:</t>
  </si>
  <si>
    <t>Субсидии бюджетам бюджетной системы Российской Федерации (межбюджетные субсидии), в том числе:</t>
  </si>
  <si>
    <t>Дотации бюджетам бюджетной системы Российской Федерации- всего, в том числе:</t>
  </si>
  <si>
    <t xml:space="preserve"> - на обеспечение граждан твердым топливом</t>
  </si>
  <si>
    <t xml:space="preserve"> - на проведение работ по сохранению объектов культурного наследия</t>
  </si>
  <si>
    <t xml:space="preserve"> - на комплектование книжных фондов и обеспечение информационно-техническим оборудованием библиотек</t>
  </si>
  <si>
    <t xml:space="preserve"> - на реализацию федеральной целевой программы "Увековечение памяти погибших при защите Отечества  на 2019-2025 годы" за счёт средств краевого бюджета</t>
  </si>
  <si>
    <t xml:space="preserve"> - на организацию физкультурно-спортивной работы по месту жительства</t>
  </si>
  <si>
    <t xml:space="preserve"> - на приобретение и поставку спортивного инвентаря, спортивного оборудования и иного имущества для развития массового спорта</t>
  </si>
  <si>
    <t xml:space="preserve"> - на поддержку муниципальных программ по благоустройству территорий муниципальных образований</t>
  </si>
  <si>
    <t>Субвенции бюджетам бюджетной системы Российской Федерации- всего, в том числе:</t>
  </si>
  <si>
    <t>Прочие субвенции бюджетам муниципальных образований Приморского края на осуществление полномочий Российской Федерации по государственной регистрации актов гражданского состояни, за счет краевого бюджета</t>
  </si>
  <si>
    <t xml:space="preserve"> - Субвенции на реализацию государственных полномочий органов опеки и попечительства в отношении несовершеннолетних</t>
  </si>
  <si>
    <t xml:space="preserve"> - Субвенции бюджетам муниципальных образований Приморского края на реализацию государственных полномочий по социальной поддержке детей, оставшихся без попечения родителей, и лиц, принявших на воспитание в семью детей, оставшихся без попечения родителей</t>
  </si>
  <si>
    <t xml:space="preserve"> - на реализация государственного полномочия в сфере транспортного обслуживания по муниципальным маршрутам в границах муниципальных образований</t>
  </si>
  <si>
    <t xml:space="preserve"> -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общего, дополнительного образования детей в муниципальных общеобразовательных организациях Приморского края</t>
  </si>
  <si>
    <t xml:space="preserve"> -  на выполнение органами местного самоуправления отдельных государственных полномочий по государственному управлению охраной труда</t>
  </si>
  <si>
    <t xml:space="preserve"> -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Приморского края</t>
  </si>
  <si>
    <t xml:space="preserve"> -  на организацию и обеспечение оздоровления и отдыха детей Приморского края (за исключением организации отдыха детей в каникулярное время)</t>
  </si>
  <si>
    <t xml:space="preserve"> -  на осуществление отдельных государственных полномочий Приморского края по организации мероприятий при осуществлении деятельности по обращению с животными без владельцев</t>
  </si>
  <si>
    <t xml:space="preserve"> -  на осуществление отдельных государственных полномочий по обеспечению мер социальной поддержки педагогическим работникам муниципальных образовательных организаций Приморского края</t>
  </si>
  <si>
    <t xml:space="preserve"> -  на осуществление отдельных государственных полномочий по обеспечению бесплатным питанием детей, обучающихся в муниципальных общеобразовательных организациях Приморского края
</t>
  </si>
  <si>
    <t xml:space="preserve"> - 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 за счет средств краевого бюджета
</t>
  </si>
  <si>
    <t xml:space="preserve"> на комплектование книжных фондов и обеспечение информационно-техническим оборудованием библиотек</t>
  </si>
  <si>
    <t>на организацию физкультурно-спортивной работы по месту жительства</t>
  </si>
  <si>
    <t>на поддержку муниципальных программ по благоустройству территорий муниципальных образований Приморского края</t>
  </si>
  <si>
    <t>Субвенции бюджетам муниципальных округов на выполнение передаваемых полномочий субъектов Российской Федерации- всего, в том числе:</t>
  </si>
  <si>
    <t xml:space="preserve"> Поддержка муниципальных программ по благоустройству территорий муниципальных образований </t>
  </si>
  <si>
    <t xml:space="preserve">Поддержка муниципальных программ по благоустройству территорий муниципальных образований </t>
  </si>
  <si>
    <t>21000</t>
  </si>
  <si>
    <t>210000000</t>
  </si>
  <si>
    <t>Региональный проект "Формирование комфортной городской среды"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</si>
</sst>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"/>
  </numFmts>
  <fonts count="51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i/>
      <sz val="14"/>
      <color theme="1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name val="Arial Cyr"/>
      <charset val="204"/>
    </font>
    <font>
      <sz val="14"/>
      <color rgb="FFFF0000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8"/>
      <color rgb="FF000000"/>
      <name val="Arial Cyr"/>
    </font>
    <font>
      <sz val="14"/>
      <color rgb="FF0070C0"/>
      <name val="Times New Roman"/>
      <family val="1"/>
      <charset val="204"/>
    </font>
    <font>
      <b/>
      <sz val="10"/>
      <color rgb="FF000000"/>
      <name val="Arial CYR"/>
    </font>
    <font>
      <b/>
      <sz val="13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i/>
      <sz val="14"/>
      <color theme="1"/>
      <name val="Calibri"/>
      <family val="2"/>
      <scheme val="minor"/>
    </font>
    <font>
      <sz val="13.5"/>
      <color theme="1"/>
      <name val="Times New Roman"/>
      <family val="1"/>
      <charset val="204"/>
    </font>
    <font>
      <b/>
      <sz val="13.5"/>
      <color theme="1"/>
      <name val="Times New Roman"/>
      <family val="1"/>
      <charset val="204"/>
    </font>
    <font>
      <i/>
      <sz val="13.5"/>
      <color theme="1"/>
      <name val="Times New Roman"/>
      <family val="1"/>
      <charset val="204"/>
    </font>
    <font>
      <i/>
      <sz val="13"/>
      <color rgb="FF000000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rgb="FF0070C0"/>
      <name val="Times New Roman"/>
      <family val="1"/>
      <charset val="204"/>
    </font>
    <font>
      <sz val="13"/>
      <color rgb="FF7030A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3"/>
      <name val="Times New Roman"/>
      <family val="1"/>
      <charset val="204"/>
    </font>
    <font>
      <b/>
      <i/>
      <sz val="13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5">
    <xf numFmtId="0" fontId="0" fillId="0" borderId="0"/>
    <xf numFmtId="0" fontId="27" fillId="5" borderId="8">
      <alignment vertical="top" wrapText="1"/>
    </xf>
    <xf numFmtId="4" fontId="29" fillId="7" borderId="8">
      <alignment horizontal="right" vertical="top" shrinkToFit="1"/>
    </xf>
    <xf numFmtId="4" fontId="27" fillId="0" borderId="12">
      <alignment horizontal="right" wrapText="1"/>
    </xf>
    <xf numFmtId="0" fontId="48" fillId="0" borderId="0">
      <alignment vertical="top" wrapText="1"/>
    </xf>
  </cellStyleXfs>
  <cellXfs count="693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4" fontId="2" fillId="2" borderId="0" xfId="0" applyNumberFormat="1" applyFont="1" applyFill="1"/>
    <xf numFmtId="0" fontId="2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horizontal="justify" wrapText="1"/>
    </xf>
    <xf numFmtId="0" fontId="6" fillId="0" borderId="0" xfId="0" applyFont="1" applyFill="1" applyBorder="1"/>
    <xf numFmtId="0" fontId="6" fillId="2" borderId="0" xfId="0" applyFont="1" applyFill="1" applyAlignment="1"/>
    <xf numFmtId="0" fontId="6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justify" vertical="top" wrapText="1"/>
    </xf>
    <xf numFmtId="0" fontId="6" fillId="2" borderId="1" xfId="0" applyFont="1" applyFill="1" applyBorder="1" applyAlignment="1">
      <alignment horizontal="justify" vertical="top" wrapText="1"/>
    </xf>
    <xf numFmtId="0" fontId="6" fillId="2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/>
    <xf numFmtId="0" fontId="4" fillId="0" borderId="1" xfId="0" applyFont="1" applyFill="1" applyBorder="1"/>
    <xf numFmtId="49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0" fontId="6" fillId="2" borderId="0" xfId="0" applyFont="1" applyFill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top" wrapText="1"/>
    </xf>
    <xf numFmtId="49" fontId="9" fillId="2" borderId="1" xfId="0" applyNumberFormat="1" applyFont="1" applyFill="1" applyBorder="1" applyAlignment="1">
      <alignment horizontal="center" vertical="top" shrinkToFit="1"/>
    </xf>
    <xf numFmtId="0" fontId="9" fillId="2" borderId="0" xfId="0" applyFont="1" applyFill="1"/>
    <xf numFmtId="4" fontId="6" fillId="2" borderId="0" xfId="0" applyNumberFormat="1" applyFont="1" applyFill="1" applyAlignment="1">
      <alignment vertical="top"/>
    </xf>
    <xf numFmtId="0" fontId="7" fillId="2" borderId="0" xfId="0" applyFont="1" applyFill="1"/>
    <xf numFmtId="49" fontId="14" fillId="2" borderId="1" xfId="0" applyNumberFormat="1" applyFont="1" applyFill="1" applyBorder="1" applyAlignment="1">
      <alignment horizontal="center" vertical="top" shrinkToFit="1"/>
    </xf>
    <xf numFmtId="164" fontId="6" fillId="2" borderId="0" xfId="0" applyNumberFormat="1" applyFont="1" applyFill="1" applyAlignment="1">
      <alignment horizontal="right" wrapText="1"/>
    </xf>
    <xf numFmtId="164" fontId="6" fillId="2" borderId="0" xfId="0" applyNumberFormat="1" applyFont="1" applyFill="1" applyBorder="1" applyAlignment="1">
      <alignment horizontal="right" wrapText="1"/>
    </xf>
    <xf numFmtId="164" fontId="6" fillId="0" borderId="0" xfId="0" applyNumberFormat="1" applyFont="1" applyFill="1"/>
    <xf numFmtId="0" fontId="15" fillId="2" borderId="0" xfId="0" applyFont="1" applyFill="1"/>
    <xf numFmtId="0" fontId="6" fillId="0" borderId="0" xfId="0" applyFont="1" applyFill="1" applyAlignment="1">
      <alignment horizontal="right"/>
    </xf>
    <xf numFmtId="0" fontId="14" fillId="2" borderId="1" xfId="0" applyFont="1" applyFill="1" applyBorder="1" applyAlignment="1">
      <alignment vertical="top" wrapText="1"/>
    </xf>
    <xf numFmtId="4" fontId="6" fillId="2" borderId="1" xfId="0" applyNumberFormat="1" applyFont="1" applyFill="1" applyBorder="1"/>
    <xf numFmtId="4" fontId="4" fillId="0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horizontal="right" wrapText="1"/>
    </xf>
    <xf numFmtId="4" fontId="4" fillId="2" borderId="1" xfId="0" applyNumberFormat="1" applyFont="1" applyFill="1" applyBorder="1"/>
    <xf numFmtId="4" fontId="4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right" wrapText="1"/>
    </xf>
    <xf numFmtId="4" fontId="6" fillId="0" borderId="1" xfId="0" applyNumberFormat="1" applyFont="1" applyFill="1" applyBorder="1"/>
    <xf numFmtId="0" fontId="7" fillId="0" borderId="0" xfId="0" applyFont="1"/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Alignment="1">
      <alignment horizontal="right" vertical="top"/>
    </xf>
    <xf numFmtId="49" fontId="6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vertical="top"/>
    </xf>
    <xf numFmtId="0" fontId="4" fillId="2" borderId="0" xfId="0" applyFont="1" applyFill="1"/>
    <xf numFmtId="4" fontId="4" fillId="2" borderId="0" xfId="0" applyNumberFormat="1" applyFont="1" applyFill="1" applyAlignment="1">
      <alignment vertical="top"/>
    </xf>
    <xf numFmtId="0" fontId="5" fillId="2" borderId="0" xfId="0" applyFont="1" applyFill="1"/>
    <xf numFmtId="0" fontId="4" fillId="0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2" borderId="0" xfId="0" applyNumberFormat="1" applyFont="1" applyFill="1"/>
    <xf numFmtId="0" fontId="18" fillId="0" borderId="1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 wrapText="1"/>
    </xf>
    <xf numFmtId="0" fontId="7" fillId="0" borderId="5" xfId="0" applyFont="1" applyFill="1" applyBorder="1" applyAlignment="1">
      <alignment wrapText="1"/>
    </xf>
    <xf numFmtId="0" fontId="7" fillId="0" borderId="5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justify" wrapText="1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justify" wrapText="1"/>
    </xf>
    <xf numFmtId="4" fontId="7" fillId="0" borderId="7" xfId="0" applyNumberFormat="1" applyFont="1" applyFill="1" applyBorder="1" applyAlignment="1">
      <alignment horizontal="right"/>
    </xf>
    <xf numFmtId="4" fontId="7" fillId="0" borderId="1" xfId="0" applyNumberFormat="1" applyFont="1" applyFill="1" applyBorder="1" applyAlignment="1">
      <alignment horizontal="right"/>
    </xf>
    <xf numFmtId="4" fontId="18" fillId="0" borderId="1" xfId="0" applyNumberFormat="1" applyFont="1" applyFill="1" applyBorder="1" applyAlignment="1">
      <alignment horizontal="right"/>
    </xf>
    <xf numFmtId="4" fontId="21" fillId="4" borderId="0" xfId="0" applyNumberFormat="1" applyFont="1" applyFill="1" applyAlignment="1">
      <alignment vertical="top"/>
    </xf>
    <xf numFmtId="4" fontId="22" fillId="2" borderId="0" xfId="0" applyNumberFormat="1" applyFont="1" applyFill="1" applyAlignment="1">
      <alignment vertical="top"/>
    </xf>
    <xf numFmtId="0" fontId="7" fillId="0" borderId="1" xfId="0" applyFont="1" applyFill="1" applyBorder="1" applyAlignment="1">
      <alignment horizontal="justify" vertical="top" wrapText="1"/>
    </xf>
    <xf numFmtId="49" fontId="9" fillId="0" borderId="1" xfId="0" applyNumberFormat="1" applyFont="1" applyFill="1" applyBorder="1" applyAlignment="1">
      <alignment horizontal="center" vertical="top" shrinkToFit="1"/>
    </xf>
    <xf numFmtId="0" fontId="9" fillId="0" borderId="1" xfId="0" applyFont="1" applyFill="1" applyBorder="1" applyAlignment="1">
      <alignment vertical="top" wrapText="1"/>
    </xf>
    <xf numFmtId="4" fontId="9" fillId="0" borderId="1" xfId="0" applyNumberFormat="1" applyFont="1" applyFill="1" applyBorder="1" applyAlignment="1">
      <alignment horizontal="right" vertical="top" shrinkToFit="1"/>
    </xf>
    <xf numFmtId="49" fontId="9" fillId="0" borderId="6" xfId="0" applyNumberFormat="1" applyFont="1" applyFill="1" applyBorder="1" applyAlignment="1">
      <alignment horizontal="center" vertical="top" shrinkToFit="1"/>
    </xf>
    <xf numFmtId="4" fontId="13" fillId="0" borderId="1" xfId="0" applyNumberFormat="1" applyFont="1" applyFill="1" applyBorder="1" applyAlignment="1">
      <alignment horizontal="right" vertical="top" shrinkToFit="1"/>
    </xf>
    <xf numFmtId="4" fontId="14" fillId="0" borderId="1" xfId="0" applyNumberFormat="1" applyFont="1" applyFill="1" applyBorder="1" applyAlignment="1">
      <alignment horizontal="right" vertical="top" shrinkToFi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0" fontId="6" fillId="2" borderId="0" xfId="0" applyFont="1" applyFill="1" applyAlignment="1">
      <alignment horizontal="center" wrapText="1"/>
    </xf>
    <xf numFmtId="0" fontId="2" fillId="4" borderId="0" xfId="0" applyFont="1" applyFill="1"/>
    <xf numFmtId="164" fontId="6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/>
    <xf numFmtId="4" fontId="5" fillId="0" borderId="1" xfId="0" applyNumberFormat="1" applyFont="1" applyFill="1" applyBorder="1" applyAlignment="1">
      <alignment vertical="center" wrapText="1"/>
    </xf>
    <xf numFmtId="4" fontId="6" fillId="2" borderId="6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right" vertical="top" shrinkToFit="1"/>
    </xf>
    <xf numFmtId="0" fontId="6" fillId="2" borderId="1" xfId="0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top" wrapText="1"/>
    </xf>
    <xf numFmtId="4" fontId="6" fillId="0" borderId="1" xfId="0" applyNumberFormat="1" applyFont="1" applyFill="1" applyBorder="1" applyAlignment="1">
      <alignment horizontal="right"/>
    </xf>
    <xf numFmtId="0" fontId="6" fillId="0" borderId="4" xfId="0" applyFont="1" applyFill="1" applyBorder="1" applyAlignment="1">
      <alignment horizontal="left" vertical="top" wrapText="1"/>
    </xf>
    <xf numFmtId="0" fontId="9" fillId="0" borderId="0" xfId="0" applyFont="1" applyFill="1"/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horizontal="center" vertical="top" shrinkToFit="1"/>
    </xf>
    <xf numFmtId="49" fontId="10" fillId="0" borderId="6" xfId="0" applyNumberFormat="1" applyFont="1" applyFill="1" applyBorder="1" applyAlignment="1">
      <alignment horizontal="center" vertical="top" shrinkToFit="1"/>
    </xf>
    <xf numFmtId="4" fontId="10" fillId="0" borderId="6" xfId="0" applyNumberFormat="1" applyFont="1" applyFill="1" applyBorder="1" applyAlignment="1">
      <alignment horizontal="right" vertical="top" shrinkToFit="1"/>
    </xf>
    <xf numFmtId="4" fontId="6" fillId="0" borderId="6" xfId="0" applyNumberFormat="1" applyFont="1" applyFill="1" applyBorder="1" applyAlignment="1">
      <alignment horizontal="right" vertical="top"/>
    </xf>
    <xf numFmtId="0" fontId="14" fillId="0" borderId="1" xfId="0" applyFont="1" applyFill="1" applyBorder="1" applyAlignment="1">
      <alignment vertical="top" wrapText="1"/>
    </xf>
    <xf numFmtId="49" fontId="14" fillId="0" borderId="1" xfId="0" applyNumberFormat="1" applyFont="1" applyFill="1" applyBorder="1" applyAlignment="1">
      <alignment horizontal="center" vertical="top" shrinkToFit="1"/>
    </xf>
    <xf numFmtId="49" fontId="14" fillId="0" borderId="6" xfId="0" applyNumberFormat="1" applyFont="1" applyFill="1" applyBorder="1" applyAlignment="1">
      <alignment horizontal="center" vertical="top" shrinkToFit="1"/>
    </xf>
    <xf numFmtId="4" fontId="14" fillId="0" borderId="6" xfId="0" applyNumberFormat="1" applyFont="1" applyFill="1" applyBorder="1" applyAlignment="1">
      <alignment horizontal="right" vertical="top" shrinkToFit="1"/>
    </xf>
    <xf numFmtId="0" fontId="7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4" fontId="17" fillId="0" borderId="6" xfId="0" applyNumberFormat="1" applyFont="1" applyFill="1" applyBorder="1" applyAlignment="1">
      <alignment horizontal="right" vertical="top"/>
    </xf>
    <xf numFmtId="0" fontId="7" fillId="0" borderId="3" xfId="0" applyFont="1" applyFill="1" applyBorder="1" applyAlignment="1">
      <alignment vertical="top" wrapText="1"/>
    </xf>
    <xf numFmtId="4" fontId="6" fillId="0" borderId="6" xfId="0" applyNumberFormat="1" applyFont="1" applyFill="1" applyBorder="1" applyAlignment="1">
      <alignment vertical="top"/>
    </xf>
    <xf numFmtId="49" fontId="6" fillId="0" borderId="1" xfId="0" applyNumberFormat="1" applyFont="1" applyFill="1" applyBorder="1" applyAlignment="1">
      <alignment horizontal="center" vertical="top" shrinkToFit="1"/>
    </xf>
    <xf numFmtId="0" fontId="6" fillId="0" borderId="0" xfId="0" applyFont="1" applyFill="1" applyAlignment="1">
      <alignment vertical="top" wrapText="1"/>
    </xf>
    <xf numFmtId="4" fontId="17" fillId="0" borderId="6" xfId="0" applyNumberFormat="1" applyFont="1" applyFill="1" applyBorder="1" applyAlignment="1">
      <alignment horizontal="right" vertical="top" shrinkToFit="1"/>
    </xf>
    <xf numFmtId="0" fontId="17" fillId="0" borderId="1" xfId="0" applyFont="1" applyFill="1" applyBorder="1" applyAlignment="1">
      <alignment vertical="top" wrapText="1"/>
    </xf>
    <xf numFmtId="4" fontId="17" fillId="0" borderId="1" xfId="0" applyNumberFormat="1" applyFont="1" applyFill="1" applyBorder="1" applyAlignment="1">
      <alignment horizontal="right" vertical="top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top"/>
    </xf>
    <xf numFmtId="4" fontId="17" fillId="0" borderId="6" xfId="0" applyNumberFormat="1" applyFont="1" applyFill="1" applyBorder="1" applyAlignment="1">
      <alignment vertical="top"/>
    </xf>
    <xf numFmtId="0" fontId="6" fillId="0" borderId="4" xfId="0" applyFont="1" applyFill="1" applyBorder="1" applyAlignment="1">
      <alignment horizontal="center" vertical="top"/>
    </xf>
    <xf numFmtId="4" fontId="6" fillId="0" borderId="6" xfId="0" applyNumberFormat="1" applyFont="1" applyFill="1" applyBorder="1"/>
    <xf numFmtId="4" fontId="10" fillId="0" borderId="1" xfId="0" applyNumberFormat="1" applyFont="1" applyFill="1" applyBorder="1" applyAlignment="1">
      <alignment horizontal="right" vertical="top" shrinkToFit="1"/>
    </xf>
    <xf numFmtId="4" fontId="18" fillId="0" borderId="1" xfId="0" applyNumberFormat="1" applyFont="1" applyFill="1" applyBorder="1" applyAlignment="1">
      <alignment vertical="top"/>
    </xf>
    <xf numFmtId="4" fontId="6" fillId="0" borderId="1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vertical="top"/>
    </xf>
    <xf numFmtId="4" fontId="17" fillId="0" borderId="1" xfId="0" applyNumberFormat="1" applyFont="1" applyFill="1" applyBorder="1" applyAlignment="1">
      <alignment horizontal="right" vertical="top" shrinkToFit="1"/>
    </xf>
    <xf numFmtId="4" fontId="17" fillId="0" borderId="1" xfId="0" applyNumberFormat="1" applyFont="1" applyFill="1" applyBorder="1" applyAlignment="1">
      <alignment vertical="top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4" fontId="14" fillId="0" borderId="1" xfId="0" quotePrefix="1" applyNumberFormat="1" applyFont="1" applyFill="1" applyBorder="1" applyAlignment="1">
      <alignment horizontal="right" vertical="top" shrinkToFit="1"/>
    </xf>
    <xf numFmtId="4" fontId="14" fillId="0" borderId="6" xfId="0" quotePrefix="1" applyNumberFormat="1" applyFont="1" applyFill="1" applyBorder="1" applyAlignment="1">
      <alignment horizontal="right" vertical="top" shrinkToFi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center"/>
    </xf>
    <xf numFmtId="49" fontId="10" fillId="0" borderId="1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top"/>
    </xf>
    <xf numFmtId="4" fontId="4" fillId="0" borderId="6" xfId="0" applyNumberFormat="1" applyFont="1" applyFill="1" applyBorder="1" applyAlignment="1">
      <alignment vertical="top"/>
    </xf>
    <xf numFmtId="0" fontId="24" fillId="3" borderId="5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top" shrinkToFit="1"/>
    </xf>
    <xf numFmtId="4" fontId="6" fillId="2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6" fillId="0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9" fontId="2" fillId="0" borderId="0" xfId="0" applyNumberFormat="1" applyFont="1" applyFill="1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top"/>
    </xf>
    <xf numFmtId="0" fontId="8" fillId="0" borderId="5" xfId="0" applyFont="1" applyFill="1" applyBorder="1" applyAlignment="1">
      <alignment vertical="center" wrapText="1"/>
    </xf>
    <xf numFmtId="0" fontId="6" fillId="0" borderId="0" xfId="0" applyFont="1" applyFill="1" applyAlignment="1">
      <alignment vertical="top"/>
    </xf>
    <xf numFmtId="4" fontId="2" fillId="0" borderId="0" xfId="0" applyNumberFormat="1" applyFont="1" applyFill="1"/>
    <xf numFmtId="4" fontId="1" fillId="0" borderId="0" xfId="0" applyNumberFormat="1" applyFont="1" applyFill="1"/>
    <xf numFmtId="0" fontId="1" fillId="0" borderId="0" xfId="0" applyFont="1" applyFill="1"/>
    <xf numFmtId="0" fontId="6" fillId="0" borderId="0" xfId="0" applyFont="1" applyFill="1" applyAlignment="1">
      <alignment horizontal="center" vertical="top" wrapText="1"/>
    </xf>
    <xf numFmtId="4" fontId="7" fillId="0" borderId="0" xfId="0" applyNumberFormat="1" applyFont="1" applyFill="1" applyAlignment="1">
      <alignment horizontal="right" vertical="top"/>
    </xf>
    <xf numFmtId="0" fontId="9" fillId="0" borderId="1" xfId="0" applyFont="1" applyFill="1" applyBorder="1" applyAlignment="1">
      <alignment horizontal="center" vertical="center" wrapText="1"/>
    </xf>
    <xf numFmtId="4" fontId="3" fillId="0" borderId="0" xfId="0" applyNumberFormat="1" applyFont="1" applyFill="1"/>
    <xf numFmtId="0" fontId="3" fillId="0" borderId="0" xfId="0" applyFont="1" applyFill="1"/>
    <xf numFmtId="4" fontId="15" fillId="0" borderId="0" xfId="0" applyNumberFormat="1" applyFont="1" applyFill="1"/>
    <xf numFmtId="0" fontId="15" fillId="0" borderId="0" xfId="0" applyFont="1" applyFill="1"/>
    <xf numFmtId="4" fontId="3" fillId="0" borderId="0" xfId="0" applyNumberFormat="1" applyFont="1" applyFill="1" applyAlignment="1">
      <alignment horizontal="right" vertical="top"/>
    </xf>
    <xf numFmtId="0" fontId="2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top"/>
    </xf>
    <xf numFmtId="0" fontId="6" fillId="0" borderId="1" xfId="0" applyFont="1" applyFill="1" applyBorder="1"/>
    <xf numFmtId="49" fontId="6" fillId="0" borderId="1" xfId="0" applyNumberFormat="1" applyFont="1" applyFill="1" applyBorder="1"/>
    <xf numFmtId="49" fontId="6" fillId="0" borderId="0" xfId="0" applyNumberFormat="1" applyFont="1" applyFill="1"/>
    <xf numFmtId="4" fontId="6" fillId="0" borderId="0" xfId="0" applyNumberFormat="1" applyFont="1" applyFill="1"/>
    <xf numFmtId="4" fontId="6" fillId="0" borderId="0" xfId="0" applyNumberFormat="1" applyFont="1" applyFill="1" applyAlignment="1">
      <alignment vertical="top"/>
    </xf>
    <xf numFmtId="4" fontId="22" fillId="0" borderId="0" xfId="0" applyNumberFormat="1" applyFont="1" applyFill="1" applyAlignment="1">
      <alignment vertical="top"/>
    </xf>
    <xf numFmtId="164" fontId="6" fillId="0" borderId="0" xfId="0" applyNumberFormat="1" applyFont="1" applyFill="1" applyAlignment="1">
      <alignment vertical="top"/>
    </xf>
    <xf numFmtId="4" fontId="17" fillId="0" borderId="0" xfId="0" applyNumberFormat="1" applyFont="1" applyFill="1"/>
    <xf numFmtId="49" fontId="4" fillId="0" borderId="0" xfId="0" applyNumberFormat="1" applyFont="1" applyFill="1"/>
    <xf numFmtId="4" fontId="4" fillId="0" borderId="0" xfId="0" applyNumberFormat="1" applyFont="1" applyFill="1" applyAlignment="1">
      <alignment vertical="top"/>
    </xf>
    <xf numFmtId="0" fontId="6" fillId="0" borderId="0" xfId="0" applyFont="1" applyFill="1" applyAlignment="1">
      <alignment horizontal="right" vertical="top"/>
    </xf>
    <xf numFmtId="0" fontId="6" fillId="0" borderId="0" xfId="0" applyFont="1" applyFill="1" applyAlignment="1">
      <alignment horizontal="right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164" fontId="6" fillId="0" borderId="0" xfId="0" applyNumberFormat="1" applyFont="1" applyFill="1" applyAlignment="1">
      <alignment horizontal="right" wrapText="1"/>
    </xf>
    <xf numFmtId="0" fontId="16" fillId="0" borderId="0" xfId="0" applyFont="1" applyFill="1"/>
    <xf numFmtId="4" fontId="10" fillId="0" borderId="2" xfId="0" applyNumberFormat="1" applyFont="1" applyFill="1" applyBorder="1" applyAlignment="1">
      <alignment horizontal="right" vertical="top" shrinkToFit="1"/>
    </xf>
    <xf numFmtId="4" fontId="9" fillId="0" borderId="0" xfId="0" applyNumberFormat="1" applyFont="1" applyFill="1"/>
    <xf numFmtId="0" fontId="9" fillId="0" borderId="0" xfId="0" applyFont="1" applyFill="1" applyAlignment="1">
      <alignment wrapText="1"/>
    </xf>
    <xf numFmtId="4" fontId="9" fillId="0" borderId="0" xfId="0" applyNumberFormat="1" applyFont="1" applyFill="1" applyAlignment="1">
      <alignment wrapText="1"/>
    </xf>
    <xf numFmtId="49" fontId="7" fillId="0" borderId="0" xfId="0" applyNumberFormat="1" applyFont="1" applyFill="1"/>
    <xf numFmtId="4" fontId="7" fillId="0" borderId="0" xfId="0" applyNumberFormat="1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vertical="top"/>
    </xf>
    <xf numFmtId="4" fontId="1" fillId="0" borderId="0" xfId="0" applyNumberFormat="1" applyFont="1" applyFill="1" applyAlignment="1">
      <alignment vertical="top"/>
    </xf>
    <xf numFmtId="0" fontId="1" fillId="0" borderId="0" xfId="0" applyFont="1" applyFill="1" applyAlignment="1">
      <alignment vertical="top"/>
    </xf>
    <xf numFmtId="0" fontId="6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/>
    <xf numFmtId="0" fontId="7" fillId="0" borderId="0" xfId="0" applyFont="1" applyFill="1" applyBorder="1"/>
    <xf numFmtId="4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/>
    <xf numFmtId="4" fontId="2" fillId="0" borderId="0" xfId="0" applyNumberFormat="1" applyFont="1" applyFill="1" applyAlignment="1">
      <alignment vertical="top"/>
    </xf>
    <xf numFmtId="0" fontId="12" fillId="0" borderId="1" xfId="0" applyFont="1" applyFill="1" applyBorder="1" applyAlignment="1">
      <alignment wrapText="1"/>
    </xf>
    <xf numFmtId="49" fontId="13" fillId="0" borderId="1" xfId="0" applyNumberFormat="1" applyFont="1" applyFill="1" applyBorder="1" applyAlignment="1">
      <alignment horizontal="center" vertical="top" shrinkToFit="1"/>
    </xf>
    <xf numFmtId="0" fontId="12" fillId="0" borderId="1" xfId="0" applyFont="1" applyFill="1" applyBorder="1" applyAlignment="1">
      <alignment vertical="center" wrapText="1"/>
    </xf>
    <xf numFmtId="4" fontId="14" fillId="0" borderId="1" xfId="0" applyNumberFormat="1" applyFont="1" applyFill="1" applyBorder="1" applyAlignment="1">
      <alignment horizontal="right" vertical="top"/>
    </xf>
    <xf numFmtId="0" fontId="14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wrapText="1"/>
    </xf>
    <xf numFmtId="0" fontId="17" fillId="0" borderId="5" xfId="0" applyFont="1" applyFill="1" applyBorder="1" applyAlignment="1">
      <alignment vertical="top" wrapText="1"/>
    </xf>
    <xf numFmtId="4" fontId="15" fillId="0" borderId="0" xfId="0" applyNumberFormat="1" applyFont="1" applyFill="1" applyAlignment="1">
      <alignment vertical="top"/>
    </xf>
    <xf numFmtId="0" fontId="8" fillId="0" borderId="3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 wrapText="1"/>
    </xf>
    <xf numFmtId="0" fontId="26" fillId="0" borderId="5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 wrapText="1"/>
    </xf>
    <xf numFmtId="0" fontId="23" fillId="0" borderId="1" xfId="0" applyFont="1" applyFill="1" applyBorder="1" applyAlignment="1">
      <alignment horizontal="center" vertical="top"/>
    </xf>
    <xf numFmtId="0" fontId="17" fillId="0" borderId="1" xfId="0" applyFont="1" applyFill="1" applyBorder="1" applyAlignment="1">
      <alignment vertical="top"/>
    </xf>
    <xf numFmtId="0" fontId="17" fillId="0" borderId="1" xfId="0" applyFont="1" applyFill="1" applyBorder="1" applyAlignment="1">
      <alignment horizontal="center" vertical="top"/>
    </xf>
    <xf numFmtId="0" fontId="24" fillId="0" borderId="5" xfId="0" applyFont="1" applyFill="1" applyBorder="1" applyAlignment="1">
      <alignment vertical="center" wrapText="1"/>
    </xf>
    <xf numFmtId="4" fontId="25" fillId="0" borderId="0" xfId="0" applyNumberFormat="1" applyFont="1" applyFill="1"/>
    <xf numFmtId="49" fontId="25" fillId="0" borderId="0" xfId="0" applyNumberFormat="1" applyFont="1" applyFill="1"/>
    <xf numFmtId="4" fontId="21" fillId="0" borderId="0" xfId="0" applyNumberFormat="1" applyFont="1" applyFill="1"/>
    <xf numFmtId="0" fontId="2" fillId="0" borderId="1" xfId="0" applyFont="1" applyFill="1" applyBorder="1"/>
    <xf numFmtId="0" fontId="15" fillId="0" borderId="1" xfId="0" applyFont="1" applyFill="1" applyBorder="1"/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2" fillId="0" borderId="0" xfId="0" applyFont="1" applyFill="1" applyAlignment="1"/>
    <xf numFmtId="0" fontId="2" fillId="0" borderId="0" xfId="0" applyFont="1" applyFill="1" applyAlignment="1">
      <alignment horizontal="right"/>
    </xf>
    <xf numFmtId="49" fontId="6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justify" vertical="top" wrapText="1"/>
    </xf>
    <xf numFmtId="0" fontId="6" fillId="0" borderId="0" xfId="0" applyFont="1" applyFill="1" applyAlignment="1"/>
    <xf numFmtId="49" fontId="6" fillId="0" borderId="0" xfId="0" applyNumberFormat="1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4" fontId="6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4" fontId="11" fillId="0" borderId="0" xfId="0" applyNumberFormat="1" applyFont="1" applyFill="1"/>
    <xf numFmtId="0" fontId="6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0" xfId="0" applyFont="1" applyFill="1"/>
    <xf numFmtId="4" fontId="5" fillId="0" borderId="0" xfId="0" applyNumberFormat="1" applyFont="1" applyFill="1" applyAlignment="1">
      <alignment vertical="top"/>
    </xf>
    <xf numFmtId="164" fontId="2" fillId="0" borderId="0" xfId="0" applyNumberFormat="1" applyFont="1" applyFill="1"/>
    <xf numFmtId="49" fontId="10" fillId="0" borderId="1" xfId="0" applyNumberFormat="1" applyFont="1" applyFill="1" applyBorder="1" applyAlignment="1">
      <alignment horizontal="center" shrinkToFit="1"/>
    </xf>
    <xf numFmtId="4" fontId="10" fillId="0" borderId="1" xfId="0" applyNumberFormat="1" applyFont="1" applyFill="1" applyBorder="1" applyAlignment="1">
      <alignment horizontal="right" shrinkToFit="1"/>
    </xf>
    <xf numFmtId="4" fontId="3" fillId="0" borderId="0" xfId="0" applyNumberFormat="1" applyFont="1" applyFill="1" applyAlignment="1"/>
    <xf numFmtId="4" fontId="5" fillId="0" borderId="0" xfId="0" applyNumberFormat="1" applyFont="1" applyFill="1" applyAlignment="1"/>
    <xf numFmtId="164" fontId="5" fillId="0" borderId="0" xfId="0" applyNumberFormat="1" applyFont="1" applyFill="1" applyAlignment="1"/>
    <xf numFmtId="0" fontId="3" fillId="0" borderId="0" xfId="0" applyFont="1" applyFill="1" applyAlignment="1"/>
    <xf numFmtId="4" fontId="3" fillId="0" borderId="0" xfId="0" applyNumberFormat="1" applyFont="1" applyFill="1" applyAlignment="1">
      <alignment vertical="top"/>
    </xf>
    <xf numFmtId="4" fontId="5" fillId="0" borderId="0" xfId="0" applyNumberFormat="1" applyFont="1" applyFill="1"/>
    <xf numFmtId="164" fontId="5" fillId="0" borderId="0" xfId="0" applyNumberFormat="1" applyFont="1" applyFill="1"/>
    <xf numFmtId="0" fontId="16" fillId="0" borderId="0" xfId="0" applyFont="1" applyFill="1" applyAlignment="1">
      <alignment vertical="top"/>
    </xf>
    <xf numFmtId="4" fontId="16" fillId="0" borderId="0" xfId="0" applyNumberFormat="1" applyFont="1" applyFill="1" applyAlignment="1">
      <alignment vertical="top"/>
    </xf>
    <xf numFmtId="0" fontId="3" fillId="0" borderId="0" xfId="0" applyFont="1" applyFill="1" applyAlignment="1">
      <alignment vertical="top"/>
    </xf>
    <xf numFmtId="4" fontId="10" fillId="0" borderId="0" xfId="0" applyNumberFormat="1" applyFont="1" applyFill="1" applyBorder="1" applyAlignment="1">
      <alignment horizontal="right" vertical="top" shrinkToFit="1"/>
    </xf>
    <xf numFmtId="2" fontId="7" fillId="0" borderId="0" xfId="0" applyNumberFormat="1" applyFont="1" applyFill="1"/>
    <xf numFmtId="0" fontId="6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horizontal="center" vertical="top"/>
    </xf>
    <xf numFmtId="0" fontId="7" fillId="0" borderId="9" xfId="0" applyFont="1" applyFill="1" applyBorder="1" applyAlignment="1">
      <alignment vertical="top" wrapText="1"/>
    </xf>
    <xf numFmtId="0" fontId="7" fillId="0" borderId="0" xfId="0" applyFont="1" applyFill="1" applyAlignment="1">
      <alignment horizontal="justify" vertical="top" wrapText="1"/>
    </xf>
    <xf numFmtId="0" fontId="9" fillId="0" borderId="1" xfId="0" applyFont="1" applyFill="1" applyBorder="1" applyAlignment="1">
      <alignment horizontal="justify" vertical="top" wrapText="1"/>
    </xf>
    <xf numFmtId="0" fontId="9" fillId="0" borderId="0" xfId="0" applyFont="1" applyFill="1" applyBorder="1" applyAlignment="1">
      <alignment vertical="top"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 wrapText="1"/>
    </xf>
    <xf numFmtId="0" fontId="7" fillId="0" borderId="9" xfId="0" applyFont="1" applyFill="1" applyBorder="1" applyAlignment="1">
      <alignment vertical="center" wrapText="1"/>
    </xf>
    <xf numFmtId="164" fontId="1" fillId="0" borderId="0" xfId="0" applyNumberFormat="1" applyFont="1" applyFill="1"/>
    <xf numFmtId="164" fontId="16" fillId="0" borderId="0" xfId="0" applyNumberFormat="1" applyFont="1" applyFill="1"/>
    <xf numFmtId="164" fontId="3" fillId="0" borderId="0" xfId="0" applyNumberFormat="1" applyFont="1" applyFill="1"/>
    <xf numFmtId="0" fontId="19" fillId="0" borderId="0" xfId="0" applyFont="1" applyFill="1"/>
    <xf numFmtId="0" fontId="14" fillId="0" borderId="1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4" fontId="21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 wrapText="1"/>
    </xf>
    <xf numFmtId="4" fontId="9" fillId="4" borderId="1" xfId="0" applyNumberFormat="1" applyFont="1" applyFill="1" applyBorder="1" applyAlignment="1">
      <alignment horizontal="right" vertical="top" shrinkToFit="1"/>
    </xf>
    <xf numFmtId="0" fontId="4" fillId="0" borderId="1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left" vertical="top" wrapText="1"/>
    </xf>
    <xf numFmtId="49" fontId="9" fillId="4" borderId="6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/>
    <xf numFmtId="0" fontId="3" fillId="0" borderId="1" xfId="0" applyFont="1" applyFill="1" applyBorder="1"/>
    <xf numFmtId="4" fontId="2" fillId="0" borderId="1" xfId="0" applyNumberFormat="1" applyFont="1" applyFill="1" applyBorder="1"/>
    <xf numFmtId="4" fontId="15" fillId="0" borderId="1" xfId="0" applyNumberFormat="1" applyFont="1" applyFill="1" applyBorder="1"/>
    <xf numFmtId="4" fontId="3" fillId="0" borderId="1" xfId="0" applyNumberFormat="1" applyFont="1" applyFill="1" applyBorder="1" applyAlignment="1">
      <alignment horizontal="right" vertical="top"/>
    </xf>
    <xf numFmtId="0" fontId="6" fillId="0" borderId="0" xfId="0" applyFont="1" applyFill="1" applyAlignment="1">
      <alignment horizontal="right"/>
    </xf>
    <xf numFmtId="49" fontId="21" fillId="0" borderId="1" xfId="0" applyNumberFormat="1" applyFont="1" applyFill="1" applyBorder="1" applyAlignment="1">
      <alignment horizontal="center" vertical="top" shrinkToFit="1"/>
    </xf>
    <xf numFmtId="4" fontId="6" fillId="0" borderId="6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right"/>
    </xf>
    <xf numFmtId="0" fontId="4" fillId="0" borderId="0" xfId="0" applyFont="1" applyFill="1" applyBorder="1" applyAlignment="1">
      <alignment vertical="top"/>
    </xf>
    <xf numFmtId="4" fontId="2" fillId="0" borderId="0" xfId="0" applyNumberFormat="1" applyFont="1" applyFill="1" applyBorder="1"/>
    <xf numFmtId="0" fontId="2" fillId="0" borderId="0" xfId="0" applyFont="1" applyFill="1" applyBorder="1"/>
    <xf numFmtId="49" fontId="14" fillId="4" borderId="1" xfId="0" applyNumberFormat="1" applyFont="1" applyFill="1" applyBorder="1" applyAlignment="1">
      <alignment horizontal="center" vertical="top" shrinkToFit="1"/>
    </xf>
    <xf numFmtId="0" fontId="6" fillId="0" borderId="0" xfId="0" applyFont="1" applyFill="1" applyAlignment="1">
      <alignment horizontal="right" vertical="top"/>
    </xf>
    <xf numFmtId="0" fontId="9" fillId="4" borderId="1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top"/>
    </xf>
    <xf numFmtId="4" fontId="7" fillId="0" borderId="0" xfId="0" applyNumberFormat="1" applyFont="1" applyFill="1" applyAlignment="1">
      <alignment horizontal="center" vertical="top"/>
    </xf>
    <xf numFmtId="4" fontId="6" fillId="0" borderId="1" xfId="0" applyNumberFormat="1" applyFont="1" applyFill="1" applyBorder="1" applyAlignment="1">
      <alignment horizontal="center" vertical="top" wrapText="1"/>
    </xf>
    <xf numFmtId="4" fontId="10" fillId="0" borderId="8" xfId="2" applyNumberFormat="1" applyFont="1" applyFill="1" applyAlignment="1" applyProtection="1">
      <alignment horizontal="center" vertical="top" shrinkToFit="1"/>
    </xf>
    <xf numFmtId="4" fontId="10" fillId="0" borderId="1" xfId="0" applyNumberFormat="1" applyFont="1" applyFill="1" applyBorder="1" applyAlignment="1">
      <alignment horizontal="center" vertical="top" shrinkToFit="1"/>
    </xf>
    <xf numFmtId="4" fontId="9" fillId="0" borderId="8" xfId="2" applyNumberFormat="1" applyFont="1" applyFill="1" applyAlignment="1" applyProtection="1">
      <alignment horizontal="center" vertical="top" shrinkToFit="1"/>
    </xf>
    <xf numFmtId="4" fontId="9" fillId="0" borderId="1" xfId="0" applyNumberFormat="1" applyFont="1" applyFill="1" applyBorder="1" applyAlignment="1">
      <alignment horizontal="center" vertical="top" shrinkToFit="1"/>
    </xf>
    <xf numFmtId="4" fontId="6" fillId="0" borderId="1" xfId="0" applyNumberFormat="1" applyFont="1" applyFill="1" applyBorder="1" applyAlignment="1">
      <alignment horizontal="center" vertical="top"/>
    </xf>
    <xf numFmtId="4" fontId="2" fillId="0" borderId="1" xfId="0" applyNumberFormat="1" applyFont="1" applyFill="1" applyBorder="1" applyAlignment="1">
      <alignment horizontal="center" vertical="top"/>
    </xf>
    <xf numFmtId="4" fontId="14" fillId="0" borderId="8" xfId="2" applyNumberFormat="1" applyFont="1" applyFill="1" applyAlignment="1" applyProtection="1">
      <alignment horizontal="center" vertical="top" shrinkToFit="1"/>
    </xf>
    <xf numFmtId="4" fontId="14" fillId="0" borderId="1" xfId="0" applyNumberFormat="1" applyFont="1" applyFill="1" applyBorder="1" applyAlignment="1">
      <alignment horizontal="center" vertical="top" shrinkToFit="1"/>
    </xf>
    <xf numFmtId="4" fontId="15" fillId="0" borderId="1" xfId="0" applyNumberFormat="1" applyFont="1" applyFill="1" applyBorder="1" applyAlignment="1">
      <alignment horizontal="center" vertical="top"/>
    </xf>
    <xf numFmtId="4" fontId="17" fillId="0" borderId="1" xfId="0" applyNumberFormat="1" applyFont="1" applyFill="1" applyBorder="1" applyAlignment="1">
      <alignment horizontal="center" vertical="top"/>
    </xf>
    <xf numFmtId="4" fontId="6" fillId="6" borderId="1" xfId="0" applyNumberFormat="1" applyFont="1" applyFill="1" applyBorder="1" applyAlignment="1">
      <alignment horizontal="center" vertical="top"/>
    </xf>
    <xf numFmtId="4" fontId="21" fillId="0" borderId="1" xfId="0" applyNumberFormat="1" applyFont="1" applyFill="1" applyBorder="1" applyAlignment="1">
      <alignment horizontal="center" vertical="top"/>
    </xf>
    <xf numFmtId="4" fontId="9" fillId="0" borderId="11" xfId="2" applyNumberFormat="1" applyFont="1" applyFill="1" applyBorder="1" applyAlignment="1" applyProtection="1">
      <alignment horizontal="center" vertical="top" shrinkToFit="1"/>
    </xf>
    <xf numFmtId="4" fontId="17" fillId="6" borderId="1" xfId="0" applyNumberFormat="1" applyFont="1" applyFill="1" applyBorder="1" applyAlignment="1">
      <alignment horizontal="center" vertical="top"/>
    </xf>
    <xf numFmtId="4" fontId="17" fillId="0" borderId="1" xfId="0" applyNumberFormat="1" applyFont="1" applyFill="1" applyBorder="1" applyAlignment="1">
      <alignment horizontal="center" vertical="top" shrinkToFit="1"/>
    </xf>
    <xf numFmtId="4" fontId="9" fillId="4" borderId="1" xfId="0" applyNumberFormat="1" applyFont="1" applyFill="1" applyBorder="1" applyAlignment="1">
      <alignment horizontal="center" vertical="top" shrinkToFit="1"/>
    </xf>
    <xf numFmtId="4" fontId="6" fillId="4" borderId="1" xfId="0" applyNumberFormat="1" applyFont="1" applyFill="1" applyBorder="1" applyAlignment="1">
      <alignment horizontal="center" vertical="top"/>
    </xf>
    <xf numFmtId="4" fontId="9" fillId="6" borderId="1" xfId="0" applyNumberFormat="1" applyFont="1" applyFill="1" applyBorder="1" applyAlignment="1">
      <alignment horizontal="center" vertical="top" shrinkToFit="1"/>
    </xf>
    <xf numFmtId="4" fontId="21" fillId="0" borderId="1" xfId="0" applyNumberFormat="1" applyFont="1" applyFill="1" applyBorder="1" applyAlignment="1">
      <alignment horizontal="center" vertical="top" shrinkToFit="1"/>
    </xf>
    <xf numFmtId="4" fontId="14" fillId="0" borderId="1" xfId="0" quotePrefix="1" applyNumberFormat="1" applyFont="1" applyFill="1" applyBorder="1" applyAlignment="1">
      <alignment horizontal="center" vertical="top" shrinkToFit="1"/>
    </xf>
    <xf numFmtId="4" fontId="4" fillId="0" borderId="1" xfId="0" applyNumberFormat="1" applyFont="1" applyFill="1" applyBorder="1" applyAlignment="1">
      <alignment horizontal="center" vertical="top"/>
    </xf>
    <xf numFmtId="4" fontId="10" fillId="0" borderId="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4" fontId="6" fillId="0" borderId="0" xfId="0" applyNumberFormat="1" applyFont="1" applyFill="1" applyBorder="1" applyAlignment="1">
      <alignment horizontal="center" vertical="top"/>
    </xf>
    <xf numFmtId="4" fontId="6" fillId="0" borderId="0" xfId="0" applyNumberFormat="1" applyFont="1" applyFill="1" applyAlignment="1">
      <alignment horizontal="center" vertical="top"/>
    </xf>
    <xf numFmtId="4" fontId="22" fillId="0" borderId="0" xfId="0" applyNumberFormat="1" applyFont="1" applyFill="1" applyAlignment="1">
      <alignment horizontal="center" vertical="top"/>
    </xf>
    <xf numFmtId="4" fontId="4" fillId="0" borderId="0" xfId="0" applyNumberFormat="1" applyFont="1" applyFill="1" applyAlignment="1">
      <alignment horizontal="center" vertical="top"/>
    </xf>
    <xf numFmtId="164" fontId="6" fillId="0" borderId="0" xfId="0" applyNumberFormat="1" applyFont="1" applyFill="1" applyAlignment="1">
      <alignment horizontal="center" vertical="top"/>
    </xf>
    <xf numFmtId="0" fontId="9" fillId="0" borderId="1" xfId="0" applyFont="1" applyFill="1" applyBorder="1" applyAlignment="1">
      <alignment horizontal="center" vertical="top" wrapText="1"/>
    </xf>
    <xf numFmtId="164" fontId="6" fillId="0" borderId="1" xfId="0" applyNumberFormat="1" applyFont="1" applyFill="1" applyBorder="1" applyAlignment="1">
      <alignment horizontal="center" vertical="top" wrapText="1"/>
    </xf>
    <xf numFmtId="2" fontId="2" fillId="0" borderId="1" xfId="0" applyNumberFormat="1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4" fontId="4" fillId="0" borderId="0" xfId="0" applyNumberFormat="1" applyFont="1" applyFill="1" applyBorder="1" applyAlignment="1">
      <alignment horizontal="center" vertical="top"/>
    </xf>
    <xf numFmtId="49" fontId="6" fillId="0" borderId="0" xfId="0" applyNumberFormat="1" applyFont="1" applyFill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" fontId="17" fillId="0" borderId="0" xfId="0" applyNumberFormat="1" applyFont="1" applyFill="1" applyAlignment="1">
      <alignment horizontal="center" vertical="top"/>
    </xf>
    <xf numFmtId="2" fontId="6" fillId="0" borderId="0" xfId="0" applyNumberFormat="1" applyFont="1" applyFill="1" applyAlignment="1">
      <alignment horizontal="center" vertical="top"/>
    </xf>
    <xf numFmtId="0" fontId="24" fillId="0" borderId="1" xfId="0" applyFont="1" applyFill="1" applyBorder="1" applyAlignment="1">
      <alignment vertical="top" wrapText="1"/>
    </xf>
    <xf numFmtId="0" fontId="7" fillId="0" borderId="0" xfId="0" applyFont="1" applyFill="1" applyAlignment="1">
      <alignment vertical="top" wrapText="1"/>
    </xf>
    <xf numFmtId="4" fontId="5" fillId="0" borderId="0" xfId="0" applyNumberFormat="1" applyFont="1" applyFill="1" applyBorder="1" applyAlignment="1">
      <alignment horizontal="center" vertical="top"/>
    </xf>
    <xf numFmtId="4" fontId="9" fillId="0" borderId="1" xfId="0" applyNumberFormat="1" applyFont="1" applyFill="1" applyBorder="1" applyAlignment="1">
      <alignment horizontal="center" shrinkToFit="1"/>
    </xf>
    <xf numFmtId="4" fontId="6" fillId="0" borderId="1" xfId="0" applyNumberFormat="1" applyFont="1" applyFill="1" applyBorder="1" applyAlignment="1">
      <alignment horizontal="center"/>
    </xf>
    <xf numFmtId="4" fontId="7" fillId="0" borderId="0" xfId="0" applyNumberFormat="1" applyFont="1" applyFill="1" applyAlignment="1">
      <alignment vertical="top"/>
    </xf>
    <xf numFmtId="164" fontId="6" fillId="0" borderId="1" xfId="0" applyNumberFormat="1" applyFont="1" applyFill="1" applyBorder="1" applyAlignment="1">
      <alignment vertical="top" wrapText="1"/>
    </xf>
    <xf numFmtId="4" fontId="9" fillId="0" borderId="1" xfId="0" applyNumberFormat="1" applyFont="1" applyFill="1" applyBorder="1" applyAlignment="1">
      <alignment vertical="top" shrinkToFit="1"/>
    </xf>
    <xf numFmtId="4" fontId="14" fillId="0" borderId="1" xfId="0" applyNumberFormat="1" applyFont="1" applyFill="1" applyBorder="1" applyAlignment="1">
      <alignment vertical="top" shrinkToFit="1"/>
    </xf>
    <xf numFmtId="4" fontId="10" fillId="0" borderId="0" xfId="0" applyNumberFormat="1" applyFont="1" applyFill="1" applyBorder="1" applyAlignment="1">
      <alignment vertical="top" shrinkToFit="1"/>
    </xf>
    <xf numFmtId="4" fontId="17" fillId="0" borderId="0" xfId="0" applyNumberFormat="1" applyFont="1" applyFill="1" applyAlignment="1">
      <alignment vertical="top"/>
    </xf>
    <xf numFmtId="4" fontId="9" fillId="4" borderId="8" xfId="2" applyNumberFormat="1" applyFont="1" applyFill="1" applyAlignment="1" applyProtection="1">
      <alignment horizontal="center" vertical="top" shrinkToFit="1"/>
    </xf>
    <xf numFmtId="4" fontId="10" fillId="0" borderId="12" xfId="3" applyNumberFormat="1" applyFont="1" applyFill="1" applyAlignment="1" applyProtection="1">
      <alignment vertical="top" wrapText="1"/>
    </xf>
    <xf numFmtId="4" fontId="9" fillId="0" borderId="12" xfId="3" applyNumberFormat="1" applyFont="1" applyFill="1" applyAlignment="1" applyProtection="1">
      <alignment vertical="top" wrapText="1"/>
    </xf>
    <xf numFmtId="4" fontId="31" fillId="0" borderId="12" xfId="3" applyNumberFormat="1" applyFont="1" applyFill="1" applyAlignment="1" applyProtection="1">
      <alignment vertical="top" wrapText="1"/>
    </xf>
    <xf numFmtId="4" fontId="30" fillId="0" borderId="12" xfId="3" applyNumberFormat="1" applyFont="1" applyFill="1" applyAlignment="1" applyProtection="1">
      <alignment vertical="top" wrapText="1"/>
    </xf>
    <xf numFmtId="4" fontId="31" fillId="0" borderId="13" xfId="3" applyNumberFormat="1" applyFont="1" applyFill="1" applyBorder="1" applyAlignment="1" applyProtection="1">
      <alignment vertical="top" wrapText="1"/>
    </xf>
    <xf numFmtId="4" fontId="31" fillId="0" borderId="12" xfId="3" applyNumberFormat="1" applyFont="1" applyFill="1" applyAlignment="1" applyProtection="1">
      <alignment horizontal="center" vertical="top" wrapText="1"/>
    </xf>
    <xf numFmtId="4" fontId="31" fillId="0" borderId="12" xfId="3" applyNumberFormat="1" applyFont="1" applyFill="1" applyAlignment="1" applyProtection="1">
      <alignment horizontal="center" wrapText="1"/>
    </xf>
    <xf numFmtId="4" fontId="9" fillId="0" borderId="12" xfId="3" applyNumberFormat="1" applyFont="1" applyFill="1" applyAlignment="1" applyProtection="1">
      <alignment horizontal="center" vertical="top" wrapText="1"/>
    </xf>
    <xf numFmtId="4" fontId="31" fillId="0" borderId="12" xfId="3" applyNumberFormat="1" applyFont="1" applyFill="1" applyProtection="1">
      <alignment horizontal="right" wrapText="1"/>
    </xf>
    <xf numFmtId="0" fontId="17" fillId="0" borderId="1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/>
    </xf>
    <xf numFmtId="4" fontId="9" fillId="8" borderId="1" xfId="0" applyNumberFormat="1" applyFont="1" applyFill="1" applyBorder="1" applyAlignment="1">
      <alignment horizontal="center" vertical="top" shrinkToFit="1"/>
    </xf>
    <xf numFmtId="4" fontId="6" fillId="0" borderId="1" xfId="0" applyNumberFormat="1" applyFont="1" applyFill="1" applyBorder="1" applyAlignment="1">
      <alignment horizontal="center" wrapText="1"/>
    </xf>
    <xf numFmtId="4" fontId="17" fillId="0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center" wrapText="1"/>
    </xf>
    <xf numFmtId="164" fontId="32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justify" vertical="top" wrapText="1"/>
    </xf>
    <xf numFmtId="4" fontId="33" fillId="0" borderId="1" xfId="0" applyNumberFormat="1" applyFont="1" applyFill="1" applyBorder="1" applyAlignment="1">
      <alignment vertical="center" wrapText="1"/>
    </xf>
    <xf numFmtId="4" fontId="34" fillId="0" borderId="6" xfId="0" applyNumberFormat="1" applyFont="1" applyFill="1" applyBorder="1" applyAlignment="1">
      <alignment horizontal="right"/>
    </xf>
    <xf numFmtId="4" fontId="33" fillId="0" borderId="1" xfId="0" applyNumberFormat="1" applyFont="1" applyFill="1" applyBorder="1"/>
    <xf numFmtId="4" fontId="32" fillId="0" borderId="1" xfId="0" applyNumberFormat="1" applyFont="1" applyFill="1" applyBorder="1"/>
    <xf numFmtId="0" fontId="32" fillId="0" borderId="1" xfId="0" applyFont="1" applyFill="1" applyBorder="1" applyAlignment="1">
      <alignment horizontal="justify" vertical="top" wrapText="1"/>
    </xf>
    <xf numFmtId="4" fontId="35" fillId="0" borderId="10" xfId="0" applyNumberFormat="1" applyFont="1" applyFill="1" applyBorder="1" applyAlignment="1">
      <alignment horizontal="right"/>
    </xf>
    <xf numFmtId="4" fontId="35" fillId="0" borderId="6" xfId="0" applyNumberFormat="1" applyFont="1" applyFill="1" applyBorder="1" applyAlignment="1">
      <alignment horizontal="right"/>
    </xf>
    <xf numFmtId="0" fontId="32" fillId="0" borderId="0" xfId="0" applyFont="1" applyFill="1"/>
    <xf numFmtId="4" fontId="32" fillId="0" borderId="0" xfId="0" applyNumberFormat="1" applyFont="1" applyFill="1"/>
    <xf numFmtId="0" fontId="32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vertical="top" wrapText="1"/>
    </xf>
    <xf numFmtId="4" fontId="33" fillId="0" borderId="6" xfId="0" applyNumberFormat="1" applyFont="1" applyFill="1" applyBorder="1"/>
    <xf numFmtId="0" fontId="32" fillId="0" borderId="1" xfId="0" applyFont="1" applyFill="1" applyBorder="1" applyAlignment="1">
      <alignment wrapText="1"/>
    </xf>
    <xf numFmtId="0" fontId="32" fillId="0" borderId="1" xfId="0" applyFont="1" applyFill="1" applyBorder="1" applyAlignment="1">
      <alignment vertical="top" wrapText="1"/>
    </xf>
    <xf numFmtId="4" fontId="32" fillId="0" borderId="6" xfId="0" applyNumberFormat="1" applyFont="1" applyFill="1" applyBorder="1"/>
    <xf numFmtId="0" fontId="33" fillId="0" borderId="1" xfId="0" applyFont="1" applyFill="1" applyBorder="1" applyAlignment="1">
      <alignment vertical="top"/>
    </xf>
    <xf numFmtId="0" fontId="32" fillId="0" borderId="1" xfId="0" applyFont="1" applyFill="1" applyBorder="1"/>
    <xf numFmtId="4" fontId="1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4" fontId="7" fillId="0" borderId="6" xfId="0" applyNumberFormat="1" applyFont="1" applyFill="1" applyBorder="1" applyAlignment="1">
      <alignment horizontal="center" wrapText="1"/>
    </xf>
    <xf numFmtId="4" fontId="18" fillId="0" borderId="6" xfId="0" applyNumberFormat="1" applyFont="1" applyFill="1" applyBorder="1" applyAlignment="1">
      <alignment horizontal="center" wrapText="1"/>
    </xf>
    <xf numFmtId="4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Alignment="1">
      <alignment horizontal="center"/>
    </xf>
    <xf numFmtId="4" fontId="17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0" fontId="37" fillId="0" borderId="0" xfId="0" applyFont="1" applyFill="1"/>
    <xf numFmtId="0" fontId="37" fillId="0" borderId="1" xfId="0" applyFont="1" applyFill="1" applyBorder="1"/>
    <xf numFmtId="4" fontId="37" fillId="0" borderId="1" xfId="0" applyNumberFormat="1" applyFont="1" applyFill="1" applyBorder="1"/>
    <xf numFmtId="4" fontId="38" fillId="0" borderId="1" xfId="0" applyNumberFormat="1" applyFont="1" applyFill="1" applyBorder="1"/>
    <xf numFmtId="4" fontId="39" fillId="0" borderId="1" xfId="0" applyNumberFormat="1" applyFont="1" applyFill="1" applyBorder="1"/>
    <xf numFmtId="49" fontId="17" fillId="0" borderId="1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left" vertical="top" wrapText="1"/>
    </xf>
    <xf numFmtId="0" fontId="32" fillId="0" borderId="0" xfId="0" applyFont="1" applyFill="1" applyAlignment="1">
      <alignment vertical="top"/>
    </xf>
    <xf numFmtId="0" fontId="32" fillId="0" borderId="0" xfId="0" applyFont="1" applyFill="1" applyAlignment="1">
      <alignment horizontal="center" vertical="top"/>
    </xf>
    <xf numFmtId="0" fontId="32" fillId="0" borderId="0" xfId="0" applyFont="1" applyFill="1" applyAlignment="1">
      <alignment horizontal="right"/>
    </xf>
    <xf numFmtId="0" fontId="35" fillId="0" borderId="0" xfId="0" applyFont="1" applyFill="1" applyAlignment="1">
      <alignment vertical="top"/>
    </xf>
    <xf numFmtId="0" fontId="35" fillId="0" borderId="0" xfId="0" applyFont="1" applyFill="1" applyAlignment="1">
      <alignment horizontal="center" vertical="top"/>
    </xf>
    <xf numFmtId="4" fontId="35" fillId="0" borderId="0" xfId="0" applyNumberFormat="1" applyFont="1" applyFill="1" applyAlignment="1">
      <alignment horizontal="center" vertical="top"/>
    </xf>
    <xf numFmtId="0" fontId="35" fillId="0" borderId="0" xfId="0" applyFont="1" applyFill="1"/>
    <xf numFmtId="0" fontId="32" fillId="0" borderId="0" xfId="0" applyFont="1" applyFill="1" applyAlignment="1">
      <alignment vertical="top" wrapText="1"/>
    </xf>
    <xf numFmtId="0" fontId="32" fillId="0" borderId="0" xfId="0" applyFont="1" applyFill="1" applyAlignment="1">
      <alignment horizontal="center" vertical="top" wrapText="1"/>
    </xf>
    <xf numFmtId="4" fontId="35" fillId="0" borderId="0" xfId="0" applyNumberFormat="1" applyFont="1" applyFill="1" applyAlignment="1">
      <alignment vertical="top"/>
    </xf>
    <xf numFmtId="0" fontId="31" fillId="0" borderId="1" xfId="0" applyFont="1" applyFill="1" applyBorder="1" applyAlignment="1">
      <alignment horizontal="center" vertical="top" wrapText="1"/>
    </xf>
    <xf numFmtId="164" fontId="32" fillId="0" borderId="1" xfId="0" applyNumberFormat="1" applyFont="1" applyFill="1" applyBorder="1" applyAlignment="1">
      <alignment horizontal="center" vertical="top" wrapText="1"/>
    </xf>
    <xf numFmtId="164" fontId="32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vertical="top" wrapText="1"/>
    </xf>
    <xf numFmtId="49" fontId="30" fillId="0" borderId="1" xfId="0" applyNumberFormat="1" applyFont="1" applyFill="1" applyBorder="1" applyAlignment="1">
      <alignment horizontal="center" vertical="top" shrinkToFit="1"/>
    </xf>
    <xf numFmtId="4" fontId="30" fillId="0" borderId="1" xfId="0" applyNumberFormat="1" applyFont="1" applyFill="1" applyBorder="1" applyAlignment="1">
      <alignment horizontal="center" vertical="top" shrinkToFit="1"/>
    </xf>
    <xf numFmtId="4" fontId="34" fillId="0" borderId="1" xfId="0" applyNumberFormat="1" applyFont="1" applyFill="1" applyBorder="1"/>
    <xf numFmtId="0" fontId="34" fillId="0" borderId="0" xfId="0" applyFont="1" applyFill="1"/>
    <xf numFmtId="0" fontId="31" fillId="0" borderId="1" xfId="0" applyFont="1" applyFill="1" applyBorder="1" applyAlignment="1">
      <alignment vertical="top" wrapText="1"/>
    </xf>
    <xf numFmtId="49" fontId="31" fillId="0" borderId="1" xfId="0" applyNumberFormat="1" applyFont="1" applyFill="1" applyBorder="1" applyAlignment="1">
      <alignment horizontal="center" vertical="top" shrinkToFit="1"/>
    </xf>
    <xf numFmtId="4" fontId="31" fillId="0" borderId="1" xfId="0" applyNumberFormat="1" applyFont="1" applyFill="1" applyBorder="1" applyAlignment="1">
      <alignment horizontal="center" vertical="top" shrinkToFit="1"/>
    </xf>
    <xf numFmtId="4" fontId="31" fillId="0" borderId="1" xfId="0" applyNumberFormat="1" applyFont="1" applyFill="1" applyBorder="1" applyAlignment="1">
      <alignment vertical="top" shrinkToFit="1"/>
    </xf>
    <xf numFmtId="4" fontId="32" fillId="0" borderId="1" xfId="0" applyNumberFormat="1" applyFont="1" applyFill="1" applyBorder="1" applyAlignment="1">
      <alignment horizontal="center" vertical="top"/>
    </xf>
    <xf numFmtId="4" fontId="32" fillId="0" borderId="1" xfId="0" applyNumberFormat="1" applyFont="1" applyFill="1" applyBorder="1" applyAlignment="1">
      <alignment vertical="top"/>
    </xf>
    <xf numFmtId="0" fontId="40" fillId="0" borderId="1" xfId="0" applyFont="1" applyFill="1" applyBorder="1" applyAlignment="1">
      <alignment vertical="top" wrapText="1"/>
    </xf>
    <xf numFmtId="49" fontId="40" fillId="0" borderId="1" xfId="0" applyNumberFormat="1" applyFont="1" applyFill="1" applyBorder="1" applyAlignment="1">
      <alignment horizontal="center" vertical="top" shrinkToFit="1"/>
    </xf>
    <xf numFmtId="4" fontId="40" fillId="0" borderId="1" xfId="0" applyNumberFormat="1" applyFont="1" applyFill="1" applyBorder="1" applyAlignment="1">
      <alignment horizontal="center" vertical="top" shrinkToFit="1"/>
    </xf>
    <xf numFmtId="4" fontId="40" fillId="0" borderId="1" xfId="0" applyNumberFormat="1" applyFont="1" applyFill="1" applyBorder="1" applyAlignment="1">
      <alignment vertical="top" shrinkToFit="1"/>
    </xf>
    <xf numFmtId="4" fontId="41" fillId="0" borderId="1" xfId="0" applyNumberFormat="1" applyFont="1" applyFill="1" applyBorder="1" applyAlignment="1">
      <alignment horizontal="center" vertical="top"/>
    </xf>
    <xf numFmtId="0" fontId="41" fillId="0" borderId="0" xfId="0" applyFont="1" applyFill="1"/>
    <xf numFmtId="0" fontId="35" fillId="0" borderId="1" xfId="0" applyFont="1" applyFill="1" applyBorder="1" applyAlignment="1">
      <alignment vertical="top" wrapText="1"/>
    </xf>
    <xf numFmtId="0" fontId="42" fillId="0" borderId="1" xfId="0" applyFont="1" applyFill="1" applyBorder="1" applyAlignment="1">
      <alignment vertical="top" wrapText="1"/>
    </xf>
    <xf numFmtId="4" fontId="41" fillId="0" borderId="1" xfId="0" applyNumberFormat="1" applyFont="1" applyFill="1" applyBorder="1" applyAlignment="1">
      <alignment vertical="top"/>
    </xf>
    <xf numFmtId="0" fontId="31" fillId="0" borderId="1" xfId="0" applyFont="1" applyFill="1" applyBorder="1" applyAlignment="1">
      <alignment horizontal="justify" vertical="top" wrapText="1"/>
    </xf>
    <xf numFmtId="0" fontId="35" fillId="0" borderId="0" xfId="0" applyFont="1" applyFill="1" applyAlignment="1">
      <alignment horizontal="justify" vertical="top" wrapText="1"/>
    </xf>
    <xf numFmtId="0" fontId="43" fillId="0" borderId="1" xfId="0" applyFont="1" applyFill="1" applyBorder="1" applyAlignment="1">
      <alignment vertical="top" wrapText="1"/>
    </xf>
    <xf numFmtId="4" fontId="41" fillId="0" borderId="1" xfId="0" applyNumberFormat="1" applyFont="1" applyFill="1" applyBorder="1" applyAlignment="1">
      <alignment horizontal="center" vertical="top" shrinkToFit="1"/>
    </xf>
    <xf numFmtId="4" fontId="31" fillId="4" borderId="1" xfId="0" applyNumberFormat="1" applyFont="1" applyFill="1" applyBorder="1" applyAlignment="1">
      <alignment horizontal="center" vertical="top" shrinkToFit="1"/>
    </xf>
    <xf numFmtId="0" fontId="41" fillId="0" borderId="1" xfId="0" applyFont="1" applyFill="1" applyBorder="1" applyAlignment="1">
      <alignment vertical="top" wrapText="1"/>
    </xf>
    <xf numFmtId="4" fontId="32" fillId="4" borderId="1" xfId="0" applyNumberFormat="1" applyFont="1" applyFill="1" applyBorder="1" applyAlignment="1">
      <alignment horizontal="center" vertical="top"/>
    </xf>
    <xf numFmtId="49" fontId="40" fillId="4" borderId="1" xfId="0" applyNumberFormat="1" applyFont="1" applyFill="1" applyBorder="1" applyAlignment="1">
      <alignment horizontal="center" vertical="top" shrinkToFit="1"/>
    </xf>
    <xf numFmtId="49" fontId="31" fillId="4" borderId="1" xfId="0" applyNumberFormat="1" applyFont="1" applyFill="1" applyBorder="1" applyAlignment="1">
      <alignment horizontal="center" vertical="top" shrinkToFit="1"/>
    </xf>
    <xf numFmtId="0" fontId="35" fillId="0" borderId="0" xfId="0" applyFont="1" applyFill="1" applyAlignment="1">
      <alignment vertical="top" wrapText="1"/>
    </xf>
    <xf numFmtId="2" fontId="32" fillId="0" borderId="1" xfId="0" applyNumberFormat="1" applyFont="1" applyFill="1" applyBorder="1" applyAlignment="1">
      <alignment horizontal="center" vertical="top"/>
    </xf>
    <xf numFmtId="0" fontId="31" fillId="0" borderId="0" xfId="0" applyFont="1" applyAlignment="1">
      <alignment vertical="top"/>
    </xf>
    <xf numFmtId="4" fontId="31" fillId="0" borderId="1" xfId="0" applyNumberFormat="1" applyFont="1" applyFill="1" applyBorder="1" applyAlignment="1">
      <alignment horizontal="center" shrinkToFit="1"/>
    </xf>
    <xf numFmtId="4" fontId="32" fillId="0" borderId="1" xfId="0" applyNumberFormat="1" applyFont="1" applyFill="1" applyBorder="1" applyAlignment="1">
      <alignment horizontal="center"/>
    </xf>
    <xf numFmtId="0" fontId="31" fillId="0" borderId="0" xfId="0" applyFont="1" applyAlignment="1">
      <alignment vertical="top" wrapText="1"/>
    </xf>
    <xf numFmtId="0" fontId="35" fillId="0" borderId="1" xfId="0" applyFont="1" applyFill="1" applyBorder="1" applyAlignment="1">
      <alignment vertical="top"/>
    </xf>
    <xf numFmtId="0" fontId="32" fillId="0" borderId="1" xfId="0" applyFont="1" applyFill="1" applyBorder="1" applyAlignment="1">
      <alignment horizontal="center" vertical="top"/>
    </xf>
    <xf numFmtId="0" fontId="35" fillId="0" borderId="9" xfId="0" applyFont="1" applyFill="1" applyBorder="1" applyAlignment="1">
      <alignment vertical="top" wrapText="1"/>
    </xf>
    <xf numFmtId="4" fontId="40" fillId="0" borderId="1" xfId="0" quotePrefix="1" applyNumberFormat="1" applyFont="1" applyFill="1" applyBorder="1" applyAlignment="1">
      <alignment horizontal="center" vertical="top" shrinkToFit="1"/>
    </xf>
    <xf numFmtId="0" fontId="33" fillId="0" borderId="1" xfId="0" applyFont="1" applyFill="1" applyBorder="1" applyAlignment="1">
      <alignment horizontal="center" vertical="top"/>
    </xf>
    <xf numFmtId="4" fontId="33" fillId="0" borderId="1" xfId="0" applyNumberFormat="1" applyFont="1" applyFill="1" applyBorder="1" applyAlignment="1">
      <alignment horizontal="center" vertical="top"/>
    </xf>
    <xf numFmtId="49" fontId="32" fillId="0" borderId="1" xfId="0" applyNumberFormat="1" applyFont="1" applyFill="1" applyBorder="1" applyAlignment="1">
      <alignment horizontal="center" vertical="top"/>
    </xf>
    <xf numFmtId="0" fontId="33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horizontal="center" vertical="top"/>
    </xf>
    <xf numFmtId="4" fontId="30" fillId="0" borderId="0" xfId="0" applyNumberFormat="1" applyFont="1" applyFill="1" applyBorder="1" applyAlignment="1">
      <alignment horizontal="center" vertical="top" shrinkToFit="1"/>
    </xf>
    <xf numFmtId="4" fontId="30" fillId="0" borderId="0" xfId="0" applyNumberFormat="1" applyFont="1" applyFill="1" applyBorder="1" applyAlignment="1">
      <alignment vertical="top" shrinkToFit="1"/>
    </xf>
    <xf numFmtId="0" fontId="32" fillId="0" borderId="0" xfId="0" applyFont="1" applyFill="1" applyBorder="1"/>
    <xf numFmtId="4" fontId="32" fillId="0" borderId="0" xfId="0" applyNumberFormat="1" applyFont="1" applyFill="1" applyBorder="1"/>
    <xf numFmtId="4" fontId="32" fillId="0" borderId="0" xfId="0" applyNumberFormat="1" applyFont="1" applyFill="1" applyAlignment="1">
      <alignment horizontal="center" vertical="top"/>
    </xf>
    <xf numFmtId="4" fontId="3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horizontal="center" vertical="top"/>
    </xf>
    <xf numFmtId="4" fontId="41" fillId="0" borderId="0" xfId="0" applyNumberFormat="1" applyFont="1" applyFill="1" applyAlignment="1">
      <alignment vertical="top"/>
    </xf>
    <xf numFmtId="4" fontId="46" fillId="0" borderId="0" xfId="0" applyNumberFormat="1" applyFont="1" applyFill="1" applyAlignment="1">
      <alignment horizontal="center" vertical="top"/>
    </xf>
    <xf numFmtId="4" fontId="46" fillId="0" borderId="0" xfId="0" applyNumberFormat="1" applyFont="1" applyFill="1" applyAlignment="1">
      <alignment vertical="top"/>
    </xf>
    <xf numFmtId="0" fontId="32" fillId="0" borderId="0" xfId="0" applyFont="1" applyFill="1" applyAlignment="1">
      <alignment horizontal="right" vertical="top"/>
    </xf>
    <xf numFmtId="4" fontId="33" fillId="0" borderId="0" xfId="0" applyNumberFormat="1" applyFont="1" applyFill="1" applyAlignment="1">
      <alignment horizontal="center" vertical="top"/>
    </xf>
    <xf numFmtId="4" fontId="33" fillId="0" borderId="0" xfId="0" applyNumberFormat="1" applyFont="1" applyFill="1" applyAlignment="1">
      <alignment vertical="top"/>
    </xf>
    <xf numFmtId="164" fontId="32" fillId="0" borderId="0" xfId="0" applyNumberFormat="1" applyFont="1" applyFill="1" applyAlignment="1">
      <alignment horizontal="center" vertical="top"/>
    </xf>
    <xf numFmtId="164" fontId="32" fillId="0" borderId="0" xfId="0" applyNumberFormat="1" applyFont="1" applyFill="1" applyAlignment="1">
      <alignment vertical="top"/>
    </xf>
    <xf numFmtId="2" fontId="32" fillId="0" borderId="0" xfId="0" applyNumberFormat="1" applyFont="1" applyFill="1" applyAlignment="1">
      <alignment horizontal="center" vertical="top"/>
    </xf>
    <xf numFmtId="0" fontId="35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wrapText="1"/>
    </xf>
    <xf numFmtId="2" fontId="32" fillId="0" borderId="0" xfId="0" applyNumberFormat="1" applyFont="1" applyFill="1"/>
    <xf numFmtId="2" fontId="35" fillId="0" borderId="0" xfId="0" applyNumberFormat="1" applyFont="1" applyFill="1"/>
    <xf numFmtId="2" fontId="32" fillId="0" borderId="0" xfId="0" applyNumberFormat="1" applyFont="1" applyFill="1" applyAlignment="1">
      <alignment vertical="top"/>
    </xf>
    <xf numFmtId="2" fontId="34" fillId="0" borderId="1" xfId="0" applyNumberFormat="1" applyFont="1" applyFill="1" applyBorder="1"/>
    <xf numFmtId="2" fontId="32" fillId="0" borderId="1" xfId="0" applyNumberFormat="1" applyFont="1" applyFill="1" applyBorder="1"/>
    <xf numFmtId="0" fontId="32" fillId="0" borderId="0" xfId="0" applyFont="1" applyFill="1" applyAlignment="1">
      <alignment horizontal="center"/>
    </xf>
    <xf numFmtId="0" fontId="32" fillId="0" borderId="0" xfId="0" applyFont="1" applyFill="1" applyAlignment="1"/>
    <xf numFmtId="4" fontId="35" fillId="0" borderId="0" xfId="0" applyNumberFormat="1" applyFont="1" applyFill="1" applyAlignment="1">
      <alignment horizontal="center"/>
    </xf>
    <xf numFmtId="0" fontId="35" fillId="0" borderId="0" xfId="0" applyFont="1" applyFill="1" applyAlignment="1"/>
    <xf numFmtId="4" fontId="32" fillId="0" borderId="1" xfId="0" applyNumberFormat="1" applyFont="1" applyFill="1" applyBorder="1" applyAlignment="1">
      <alignment horizontal="center" wrapText="1"/>
    </xf>
    <xf numFmtId="4" fontId="32" fillId="0" borderId="1" xfId="0" applyNumberFormat="1" applyFont="1" applyFill="1" applyBorder="1" applyAlignment="1">
      <alignment wrapText="1"/>
    </xf>
    <xf numFmtId="4" fontId="30" fillId="0" borderId="1" xfId="0" applyNumberFormat="1" applyFont="1" applyFill="1" applyBorder="1" applyAlignment="1">
      <alignment horizontal="center" shrinkToFit="1"/>
    </xf>
    <xf numFmtId="4" fontId="41" fillId="0" borderId="1" xfId="0" applyNumberFormat="1" applyFont="1" applyFill="1" applyBorder="1" applyAlignment="1">
      <alignment horizontal="center"/>
    </xf>
    <xf numFmtId="4" fontId="40" fillId="0" borderId="1" xfId="0" applyNumberFormat="1" applyFont="1" applyFill="1" applyBorder="1" applyAlignment="1">
      <alignment horizontal="center" shrinkToFit="1"/>
    </xf>
    <xf numFmtId="4" fontId="32" fillId="9" borderId="1" xfId="0" applyNumberFormat="1" applyFont="1" applyFill="1" applyBorder="1" applyAlignment="1">
      <alignment horizontal="center"/>
    </xf>
    <xf numFmtId="4" fontId="32" fillId="6" borderId="1" xfId="0" applyNumberFormat="1" applyFont="1" applyFill="1" applyBorder="1" applyAlignment="1">
      <alignment horizontal="center"/>
    </xf>
    <xf numFmtId="4" fontId="31" fillId="4" borderId="1" xfId="0" applyNumberFormat="1" applyFont="1" applyFill="1" applyBorder="1" applyAlignment="1">
      <alignment horizontal="center" shrinkToFit="1"/>
    </xf>
    <xf numFmtId="4" fontId="32" fillId="4" borderId="1" xfId="0" applyNumberFormat="1" applyFont="1" applyFill="1" applyBorder="1" applyAlignment="1">
      <alignment horizontal="center"/>
    </xf>
    <xf numFmtId="4" fontId="31" fillId="9" borderId="1" xfId="0" applyNumberFormat="1" applyFont="1" applyFill="1" applyBorder="1" applyAlignment="1">
      <alignment horizontal="center" shrinkToFit="1"/>
    </xf>
    <xf numFmtId="4" fontId="41" fillId="6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center" shrinkToFit="1"/>
    </xf>
    <xf numFmtId="4" fontId="41" fillId="9" borderId="1" xfId="0" applyNumberFormat="1" applyFont="1" applyFill="1" applyBorder="1" applyAlignment="1">
      <alignment horizontal="center"/>
    </xf>
    <xf numFmtId="4" fontId="31" fillId="6" borderId="1" xfId="0" applyNumberFormat="1" applyFont="1" applyFill="1" applyBorder="1" applyAlignment="1">
      <alignment horizontal="center" shrinkToFit="1"/>
    </xf>
    <xf numFmtId="4" fontId="44" fillId="0" borderId="1" xfId="0" applyNumberFormat="1" applyFont="1" applyFill="1" applyBorder="1" applyAlignment="1">
      <alignment horizontal="center" shrinkToFit="1"/>
    </xf>
    <xf numFmtId="4" fontId="44" fillId="0" borderId="1" xfId="0" applyNumberFormat="1" applyFont="1" applyFill="1" applyBorder="1" applyAlignment="1">
      <alignment horizontal="center"/>
    </xf>
    <xf numFmtId="4" fontId="40" fillId="0" borderId="1" xfId="0" quotePrefix="1" applyNumberFormat="1" applyFont="1" applyFill="1" applyBorder="1" applyAlignment="1">
      <alignment horizontal="center" shrinkToFit="1"/>
    </xf>
    <xf numFmtId="4" fontId="33" fillId="0" borderId="1" xfId="0" applyNumberFormat="1" applyFont="1" applyFill="1" applyBorder="1" applyAlignment="1">
      <alignment horizontal="center"/>
    </xf>
    <xf numFmtId="4" fontId="30" fillId="0" borderId="0" xfId="0" applyNumberFormat="1" applyFont="1" applyFill="1" applyBorder="1" applyAlignment="1">
      <alignment horizontal="center" shrinkToFit="1"/>
    </xf>
    <xf numFmtId="4" fontId="34" fillId="0" borderId="1" xfId="0" applyNumberFormat="1" applyFont="1" applyFill="1" applyBorder="1" applyAlignment="1"/>
    <xf numFmtId="4" fontId="33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Border="1" applyAlignment="1"/>
    <xf numFmtId="4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/>
    <xf numFmtId="4" fontId="32" fillId="0" borderId="0" xfId="0" applyNumberFormat="1" applyFont="1" applyFill="1" applyAlignment="1">
      <alignment horizontal="center"/>
    </xf>
    <xf numFmtId="4" fontId="41" fillId="0" borderId="0" xfId="0" applyNumberFormat="1" applyFont="1" applyFill="1" applyAlignment="1">
      <alignment horizontal="center"/>
    </xf>
    <xf numFmtId="4" fontId="46" fillId="0" borderId="0" xfId="0" applyNumberFormat="1" applyFont="1" applyFill="1" applyAlignment="1">
      <alignment horizontal="center"/>
    </xf>
    <xf numFmtId="4" fontId="33" fillId="0" borderId="0" xfId="0" applyNumberFormat="1" applyFont="1" applyFill="1" applyAlignment="1">
      <alignment horizontal="center"/>
    </xf>
    <xf numFmtId="164" fontId="32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wrapText="1"/>
    </xf>
    <xf numFmtId="0" fontId="31" fillId="0" borderId="1" xfId="0" applyFont="1" applyFill="1" applyBorder="1" applyAlignment="1">
      <alignment horizontal="center" wrapText="1"/>
    </xf>
    <xf numFmtId="164" fontId="32" fillId="0" borderId="1" xfId="0" applyNumberFormat="1" applyFont="1" applyFill="1" applyBorder="1" applyAlignment="1">
      <alignment horizontal="center" wrapText="1"/>
    </xf>
    <xf numFmtId="49" fontId="30" fillId="0" borderId="1" xfId="0" applyNumberFormat="1" applyFont="1" applyFill="1" applyBorder="1" applyAlignment="1">
      <alignment horizontal="center" shrinkToFit="1"/>
    </xf>
    <xf numFmtId="4" fontId="30" fillId="0" borderId="8" xfId="2" applyNumberFormat="1" applyFont="1" applyFill="1" applyAlignment="1" applyProtection="1">
      <alignment horizontal="center" shrinkToFit="1"/>
    </xf>
    <xf numFmtId="49" fontId="31" fillId="0" borderId="1" xfId="0" applyNumberFormat="1" applyFont="1" applyFill="1" applyBorder="1" applyAlignment="1">
      <alignment horizontal="center" shrinkToFit="1"/>
    </xf>
    <xf numFmtId="4" fontId="31" fillId="0" borderId="8" xfId="2" applyNumberFormat="1" applyFont="1" applyFill="1" applyAlignment="1" applyProtection="1">
      <alignment horizontal="center" shrinkToFit="1"/>
    </xf>
    <xf numFmtId="49" fontId="40" fillId="0" borderId="1" xfId="0" applyNumberFormat="1" applyFont="1" applyFill="1" applyBorder="1" applyAlignment="1">
      <alignment horizontal="center" shrinkToFit="1"/>
    </xf>
    <xf numFmtId="4" fontId="40" fillId="0" borderId="8" xfId="2" applyNumberFormat="1" applyFont="1" applyFill="1" applyAlignment="1" applyProtection="1">
      <alignment horizontal="center" shrinkToFit="1"/>
    </xf>
    <xf numFmtId="4" fontId="31" fillId="0" borderId="11" xfId="2" applyNumberFormat="1" applyFont="1" applyFill="1" applyBorder="1" applyAlignment="1" applyProtection="1">
      <alignment horizontal="center" shrinkToFit="1"/>
    </xf>
    <xf numFmtId="49" fontId="32" fillId="0" borderId="1" xfId="0" applyNumberFormat="1" applyFont="1" applyFill="1" applyBorder="1" applyAlignment="1">
      <alignment horizontal="center" shrinkToFit="1"/>
    </xf>
    <xf numFmtId="49" fontId="31" fillId="4" borderId="1" xfId="0" applyNumberFormat="1" applyFont="1" applyFill="1" applyBorder="1" applyAlignment="1">
      <alignment horizontal="center" shrinkToFit="1"/>
    </xf>
    <xf numFmtId="49" fontId="40" fillId="4" borderId="1" xfId="0" applyNumberFormat="1" applyFont="1" applyFill="1" applyBorder="1" applyAlignment="1">
      <alignment horizontal="center" shrinkToFit="1"/>
    </xf>
    <xf numFmtId="49" fontId="40" fillId="0" borderId="6" xfId="0" applyNumberFormat="1" applyFont="1" applyFill="1" applyBorder="1" applyAlignment="1">
      <alignment horizontal="center" shrinkToFit="1"/>
    </xf>
    <xf numFmtId="49" fontId="31" fillId="0" borderId="6" xfId="0" applyNumberFormat="1" applyFont="1" applyFill="1" applyBorder="1" applyAlignment="1">
      <alignment horizontal="center" shrinkToFit="1"/>
    </xf>
    <xf numFmtId="2" fontId="32" fillId="0" borderId="1" xfId="0" applyNumberFormat="1" applyFont="1" applyFill="1" applyBorder="1" applyAlignment="1">
      <alignment horizontal="center"/>
    </xf>
    <xf numFmtId="4" fontId="31" fillId="0" borderId="12" xfId="2" applyNumberFormat="1" applyFont="1" applyFill="1" applyBorder="1" applyAlignment="1" applyProtection="1">
      <alignment horizontal="center" shrinkToFit="1"/>
    </xf>
    <xf numFmtId="49" fontId="44" fillId="0" borderId="1" xfId="0" applyNumberFormat="1" applyFont="1" applyFill="1" applyBorder="1" applyAlignment="1">
      <alignment horizontal="center" shrinkToFit="1"/>
    </xf>
    <xf numFmtId="0" fontId="32" fillId="0" borderId="1" xfId="0" applyFont="1" applyFill="1" applyBorder="1" applyAlignment="1">
      <alignment horizontal="center"/>
    </xf>
    <xf numFmtId="4" fontId="31" fillId="4" borderId="8" xfId="2" applyNumberFormat="1" applyFont="1" applyFill="1" applyAlignment="1" applyProtection="1">
      <alignment horizontal="center" shrinkToFit="1"/>
    </xf>
    <xf numFmtId="49" fontId="32" fillId="0" borderId="1" xfId="0" applyNumberFormat="1" applyFont="1" applyFill="1" applyBorder="1" applyAlignment="1">
      <alignment horizontal="center"/>
    </xf>
    <xf numFmtId="49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49" fontId="32" fillId="0" borderId="0" xfId="0" applyNumberFormat="1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23" fillId="0" borderId="1" xfId="0" applyFont="1" applyFill="1" applyBorder="1" applyAlignment="1">
      <alignment horizontal="left" vertical="top" wrapText="1"/>
    </xf>
    <xf numFmtId="4" fontId="23" fillId="0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 wrapText="1"/>
    </xf>
    <xf numFmtId="2" fontId="32" fillId="0" borderId="1" xfId="0" applyNumberFormat="1" applyFont="1" applyFill="1" applyBorder="1" applyAlignment="1">
      <alignment wrapText="1"/>
    </xf>
    <xf numFmtId="0" fontId="32" fillId="0" borderId="1" xfId="0" applyFont="1" applyFill="1" applyBorder="1" applyAlignment="1">
      <alignment vertical="center" wrapText="1"/>
    </xf>
    <xf numFmtId="4" fontId="35" fillId="0" borderId="1" xfId="0" applyNumberFormat="1" applyFont="1" applyFill="1" applyBorder="1"/>
    <xf numFmtId="2" fontId="35" fillId="0" borderId="1" xfId="0" applyNumberFormat="1" applyFont="1" applyFill="1" applyBorder="1"/>
    <xf numFmtId="0" fontId="31" fillId="0" borderId="0" xfId="0" applyFont="1" applyFill="1" applyAlignment="1">
      <alignment vertical="top"/>
    </xf>
    <xf numFmtId="0" fontId="31" fillId="0" borderId="0" xfId="0" applyFont="1" applyFill="1" applyAlignment="1">
      <alignment vertical="top" wrapText="1"/>
    </xf>
    <xf numFmtId="0" fontId="31" fillId="4" borderId="1" xfId="0" applyFont="1" applyFill="1" applyBorder="1" applyAlignment="1">
      <alignment vertical="top" wrapText="1"/>
    </xf>
    <xf numFmtId="4" fontId="35" fillId="4" borderId="1" xfId="0" applyNumberFormat="1" applyFont="1" applyFill="1" applyBorder="1"/>
    <xf numFmtId="2" fontId="35" fillId="4" borderId="1" xfId="0" applyNumberFormat="1" applyFont="1" applyFill="1" applyBorder="1"/>
    <xf numFmtId="4" fontId="33" fillId="0" borderId="0" xfId="0" applyNumberFormat="1" applyFont="1" applyFill="1" applyBorder="1" applyAlignment="1">
      <alignment vertical="top"/>
    </xf>
    <xf numFmtId="4" fontId="34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5" fillId="0" borderId="1" xfId="0" applyFont="1" applyFill="1" applyBorder="1" applyAlignment="1"/>
    <xf numFmtId="0" fontId="35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wrapText="1"/>
    </xf>
    <xf numFmtId="0" fontId="6" fillId="0" borderId="1" xfId="0" applyFont="1" applyFill="1" applyBorder="1" applyAlignment="1">
      <alignment horizontal="justify" vertical="distributed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justify"/>
    </xf>
    <xf numFmtId="0" fontId="6" fillId="0" borderId="0" xfId="0" applyFont="1" applyFill="1" applyAlignment="1">
      <alignment horizontal="center" wrapText="1"/>
    </xf>
    <xf numFmtId="49" fontId="32" fillId="0" borderId="0" xfId="0" applyNumberFormat="1" applyFont="1" applyFill="1" applyBorder="1" applyAlignment="1">
      <alignment horizontal="center" wrapText="1"/>
    </xf>
    <xf numFmtId="4" fontId="25" fillId="0" borderId="0" xfId="0" applyNumberFormat="1" applyFont="1" applyFill="1" applyAlignment="1">
      <alignment horizontal="center"/>
    </xf>
    <xf numFmtId="4" fontId="9" fillId="0" borderId="8" xfId="0" applyNumberFormat="1" applyFont="1" applyFill="1" applyBorder="1" applyAlignment="1">
      <alignment horizontal="right" vertical="center" wrapText="1"/>
    </xf>
    <xf numFmtId="4" fontId="47" fillId="0" borderId="8" xfId="0" applyNumberFormat="1" applyFont="1" applyFill="1" applyBorder="1" applyAlignment="1">
      <alignment horizontal="right" vertical="center" wrapText="1"/>
    </xf>
    <xf numFmtId="4" fontId="9" fillId="0" borderId="12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justify" vertical="top" wrapText="1"/>
    </xf>
    <xf numFmtId="4" fontId="9" fillId="0" borderId="8" xfId="4" applyNumberFormat="1" applyFont="1" applyFill="1" applyBorder="1" applyAlignment="1">
      <alignment horizontal="right" vertical="center" wrapText="1"/>
    </xf>
    <xf numFmtId="4" fontId="9" fillId="0" borderId="8" xfId="4" applyNumberFormat="1" applyFont="1" applyFill="1" applyBorder="1" applyAlignment="1">
      <alignment horizontal="right" vertical="center" wrapText="1"/>
    </xf>
    <xf numFmtId="4" fontId="9" fillId="0" borderId="8" xfId="4" applyNumberFormat="1" applyFont="1" applyFill="1" applyBorder="1" applyAlignment="1">
      <alignment horizontal="right" vertical="center" wrapText="1"/>
    </xf>
    <xf numFmtId="4" fontId="47" fillId="0" borderId="1" xfId="0" applyNumberFormat="1" applyFont="1" applyFill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shrinkToFit="1"/>
    </xf>
    <xf numFmtId="49" fontId="9" fillId="0" borderId="1" xfId="0" applyNumberFormat="1" applyFont="1" applyFill="1" applyBorder="1" applyAlignment="1">
      <alignment horizontal="center" shrinkToFit="1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6" fillId="0" borderId="0" xfId="0" applyFont="1" applyFill="1" applyAlignment="1">
      <alignment horizontal="right"/>
    </xf>
    <xf numFmtId="0" fontId="32" fillId="10" borderId="0" xfId="0" applyFont="1" applyFill="1" applyAlignment="1"/>
    <xf numFmtId="0" fontId="35" fillId="10" borderId="0" xfId="0" applyFont="1" applyFill="1" applyAlignment="1"/>
    <xf numFmtId="4" fontId="32" fillId="10" borderId="1" xfId="0" applyNumberFormat="1" applyFont="1" applyFill="1" applyBorder="1" applyAlignment="1">
      <alignment wrapText="1"/>
    </xf>
    <xf numFmtId="4" fontId="30" fillId="10" borderId="1" xfId="0" applyNumberFormat="1" applyFont="1" applyFill="1" applyBorder="1" applyAlignment="1">
      <alignment horizontal="center" shrinkToFit="1"/>
    </xf>
    <xf numFmtId="4" fontId="31" fillId="10" borderId="1" xfId="0" applyNumberFormat="1" applyFont="1" applyFill="1" applyBorder="1" applyAlignment="1">
      <alignment horizontal="center" shrinkToFit="1"/>
    </xf>
    <xf numFmtId="4" fontId="32" fillId="10" borderId="1" xfId="0" applyNumberFormat="1" applyFont="1" applyFill="1" applyBorder="1" applyAlignment="1">
      <alignment horizontal="center"/>
    </xf>
    <xf numFmtId="4" fontId="41" fillId="10" borderId="1" xfId="0" applyNumberFormat="1" applyFont="1" applyFill="1" applyBorder="1" applyAlignment="1">
      <alignment horizontal="center"/>
    </xf>
    <xf numFmtId="4" fontId="40" fillId="10" borderId="1" xfId="0" applyNumberFormat="1" applyFont="1" applyFill="1" applyBorder="1" applyAlignment="1">
      <alignment horizontal="center" shrinkToFit="1"/>
    </xf>
    <xf numFmtId="4" fontId="41" fillId="10" borderId="1" xfId="0" applyNumberFormat="1" applyFont="1" applyFill="1" applyBorder="1" applyAlignment="1">
      <alignment horizontal="center" shrinkToFit="1"/>
    </xf>
    <xf numFmtId="4" fontId="44" fillId="10" borderId="1" xfId="0" applyNumberFormat="1" applyFont="1" applyFill="1" applyBorder="1" applyAlignment="1">
      <alignment horizontal="center" shrinkToFit="1"/>
    </xf>
    <xf numFmtId="4" fontId="44" fillId="10" borderId="1" xfId="0" applyNumberFormat="1" applyFont="1" applyFill="1" applyBorder="1" applyAlignment="1">
      <alignment horizontal="center"/>
    </xf>
    <xf numFmtId="4" fontId="40" fillId="10" borderId="1" xfId="0" quotePrefix="1" applyNumberFormat="1" applyFont="1" applyFill="1" applyBorder="1" applyAlignment="1">
      <alignment horizontal="center" shrinkToFit="1"/>
    </xf>
    <xf numFmtId="4" fontId="33" fillId="10" borderId="1" xfId="0" applyNumberFormat="1" applyFont="1" applyFill="1" applyBorder="1" applyAlignment="1">
      <alignment horizontal="center"/>
    </xf>
    <xf numFmtId="4" fontId="34" fillId="10" borderId="1" xfId="0" applyNumberFormat="1" applyFont="1" applyFill="1" applyBorder="1" applyAlignment="1">
      <alignment horizontal="center"/>
    </xf>
    <xf numFmtId="4" fontId="33" fillId="10" borderId="0" xfId="0" applyNumberFormat="1" applyFont="1" applyFill="1" applyBorder="1" applyAlignment="1">
      <alignment horizontal="center"/>
    </xf>
    <xf numFmtId="0" fontId="32" fillId="10" borderId="0" xfId="0" applyFont="1" applyFill="1" applyBorder="1" applyAlignment="1"/>
    <xf numFmtId="4" fontId="33" fillId="10" borderId="0" xfId="0" applyNumberFormat="1" applyFont="1" applyFill="1" applyBorder="1" applyAlignment="1"/>
    <xf numFmtId="4" fontId="32" fillId="0" borderId="1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4" fontId="7" fillId="0" borderId="0" xfId="0" applyNumberFormat="1" applyFont="1" applyFill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shrinkToFit="1"/>
    </xf>
    <xf numFmtId="4" fontId="9" fillId="0" borderId="1" xfId="0" applyNumberFormat="1" applyFont="1" applyFill="1" applyBorder="1" applyAlignment="1">
      <alignment horizontal="center" vertical="center" shrinkToFit="1"/>
    </xf>
    <xf numFmtId="4" fontId="6" fillId="0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shrinkToFit="1"/>
    </xf>
    <xf numFmtId="4" fontId="17" fillId="0" borderId="1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 shrinkToFit="1"/>
    </xf>
    <xf numFmtId="4" fontId="17" fillId="0" borderId="1" xfId="0" applyNumberFormat="1" applyFont="1" applyFill="1" applyBorder="1" applyAlignment="1">
      <alignment horizontal="center" vertical="center" shrinkToFit="1"/>
    </xf>
    <xf numFmtId="4" fontId="9" fillId="0" borderId="8" xfId="0" applyNumberFormat="1" applyFont="1" applyFill="1" applyBorder="1" applyAlignment="1">
      <alignment horizontal="center" vertical="center" wrapText="1"/>
    </xf>
    <xf numFmtId="4" fontId="14" fillId="0" borderId="1" xfId="0" quotePrefix="1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 vertical="center"/>
    </xf>
    <xf numFmtId="4" fontId="21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Fill="1" applyAlignment="1">
      <alignment horizontal="center" vertical="center"/>
    </xf>
    <xf numFmtId="4" fontId="6" fillId="4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horizontal="center" vertical="center"/>
    </xf>
    <xf numFmtId="4" fontId="0" fillId="0" borderId="0" xfId="0" applyNumberFormat="1" applyFill="1"/>
    <xf numFmtId="0" fontId="6" fillId="0" borderId="0" xfId="0" applyFont="1" applyFill="1" applyAlignment="1">
      <alignment horizontal="right"/>
    </xf>
    <xf numFmtId="0" fontId="10" fillId="0" borderId="0" xfId="0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 vertical="top" shrinkToFit="1"/>
    </xf>
    <xf numFmtId="0" fontId="7" fillId="0" borderId="1" xfId="0" applyFont="1" applyFill="1" applyBorder="1" applyAlignment="1">
      <alignment horizontal="center" vertical="top"/>
    </xf>
    <xf numFmtId="165" fontId="15" fillId="0" borderId="1" xfId="0" applyNumberFormat="1" applyFont="1" applyFill="1" applyBorder="1"/>
    <xf numFmtId="4" fontId="21" fillId="4" borderId="1" xfId="0" applyNumberFormat="1" applyFont="1" applyFill="1" applyBorder="1" applyAlignment="1">
      <alignment horizontal="right" vertical="top" shrinkToFit="1"/>
    </xf>
    <xf numFmtId="0" fontId="9" fillId="0" borderId="0" xfId="0" applyFont="1" applyFill="1" applyAlignment="1">
      <alignment vertical="top" wrapText="1"/>
    </xf>
    <xf numFmtId="49" fontId="9" fillId="0" borderId="6" xfId="0" applyNumberFormat="1" applyFont="1" applyFill="1" applyBorder="1" applyAlignment="1">
      <alignment horizontal="center" shrinkToFit="1"/>
    </xf>
    <xf numFmtId="0" fontId="33" fillId="0" borderId="1" xfId="0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top" wrapText="1"/>
    </xf>
    <xf numFmtId="0" fontId="35" fillId="0" borderId="0" xfId="0" applyFont="1" applyAlignment="1">
      <alignment vertical="top"/>
    </xf>
    <xf numFmtId="0" fontId="41" fillId="0" borderId="1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center"/>
    </xf>
    <xf numFmtId="0" fontId="34" fillId="0" borderId="1" xfId="0" applyFont="1" applyBorder="1" applyAlignment="1">
      <alignment wrapText="1"/>
    </xf>
    <xf numFmtId="0" fontId="33" fillId="0" borderId="1" xfId="0" applyFont="1" applyFill="1" applyBorder="1" applyAlignment="1">
      <alignment horizontal="left" vertical="top" wrapText="1"/>
    </xf>
    <xf numFmtId="0" fontId="50" fillId="0" borderId="0" xfId="0" applyFont="1" applyAlignment="1">
      <alignment vertical="top"/>
    </xf>
    <xf numFmtId="4" fontId="23" fillId="0" borderId="1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horizontal="left" vertical="top" wrapText="1"/>
    </xf>
    <xf numFmtId="4" fontId="9" fillId="0" borderId="11" xfId="4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left" vertical="top" wrapText="1"/>
    </xf>
    <xf numFmtId="4" fontId="10" fillId="0" borderId="8" xfId="0" applyNumberFormat="1" applyFont="1" applyFill="1" applyBorder="1" applyAlignment="1">
      <alignment horizontal="right" vertical="center" wrapText="1"/>
    </xf>
    <xf numFmtId="0" fontId="13" fillId="0" borderId="0" xfId="0" applyFont="1" applyFill="1" applyAlignment="1">
      <alignment vertical="top" wrapText="1"/>
    </xf>
    <xf numFmtId="4" fontId="13" fillId="0" borderId="8" xfId="0" applyNumberFormat="1" applyFont="1" applyFill="1" applyBorder="1" applyAlignment="1">
      <alignment horizontal="right" vertical="top" wrapText="1"/>
    </xf>
    <xf numFmtId="4" fontId="18" fillId="0" borderId="1" xfId="0" applyNumberFormat="1" applyFont="1" applyFill="1" applyBorder="1"/>
    <xf numFmtId="0" fontId="4" fillId="0" borderId="4" xfId="0" applyFont="1" applyFill="1" applyBorder="1" applyAlignment="1">
      <alignment horizontal="left" vertical="top" wrapText="1"/>
    </xf>
    <xf numFmtId="4" fontId="6" fillId="4" borderId="1" xfId="0" applyNumberFormat="1" applyFont="1" applyFill="1" applyBorder="1" applyAlignment="1">
      <alignment horizontal="right" vertical="top"/>
    </xf>
    <xf numFmtId="0" fontId="6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4" fontId="6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10" fillId="0" borderId="2" xfId="0" applyFont="1" applyFill="1" applyBorder="1" applyAlignment="1">
      <alignment horizontal="right"/>
    </xf>
    <xf numFmtId="4" fontId="25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left" wrapText="1"/>
    </xf>
    <xf numFmtId="0" fontId="7" fillId="0" borderId="0" xfId="0" applyFont="1" applyFill="1" applyAlignment="1"/>
    <xf numFmtId="0" fontId="7" fillId="0" borderId="0" xfId="0" applyFont="1" applyFill="1" applyBorder="1" applyAlignment="1"/>
    <xf numFmtId="0" fontId="35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wrapText="1"/>
    </xf>
  </cellXfs>
  <cellStyles count="5">
    <cellStyle name="xl38" xfId="2"/>
    <cellStyle name="xl39" xfId="1"/>
    <cellStyle name="xl83" xfId="3"/>
    <cellStyle name="Обычный" xfId="0" builtinId="0"/>
    <cellStyle name="Обычный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1514474</xdr:colOff>
      <xdr:row>1</xdr:row>
      <xdr:rowOff>381000</xdr:rowOff>
    </xdr:from>
    <xdr:to>
      <xdr:col>2</xdr:col>
      <xdr:colOff>2533649</xdr:colOff>
      <xdr:row>1</xdr:row>
      <xdr:rowOff>781050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28799" y="1143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r" rtl="1">
            <a:defRPr sz="1000"/>
          </a:pPr>
          <a:r>
            <a:rPr lang="ru-RU" sz="12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rPr>
            <a:t>  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91;&#1087;&#1088;&#1072;&#1074;&#1083;&#1077;&#1085;&#1080;&#1077;/&#1054;&#1089;&#1090;&#1072;&#1087;&#1077;&#1085;&#1082;&#1086;/&#1056;&#1077;&#1096;&#1077;&#1085;&#1080;&#1103;%20&#1044;&#1091;&#1084;&#1099;/2020/&#1056;&#1077;&#1096;&#1077;&#1085;&#1080;&#1077;%20539%20&#1086;&#1090;%2017.12.2019/&#1055;&#1088;&#1086;&#1077;&#1082;&#1090;%20&#1088;&#1077;&#1096;&#1077;&#1085;&#1080;&#1103;/&#1055;&#1088;&#1080;&#1083;&#1086;&#1078;&#1077;&#1085;&#1080;&#1103;%201,2,6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0;&#1083;&#1086;&#1078;&#1077;&#1085;&#1080;&#1077;%20&#1082;%20&#1088;&#1077;&#1096;&#1077;&#1085;&#1080;&#1102;%201,2,6-16_&#1087;&#1086;&#1090;&#1088;&#1077;&#1073;&#1085;&#1086;&#1089;&#1090;&#1100;%201_&#1074;&#1072;&#1088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"/>
      <sheetName val="прил 2"/>
      <sheetName val="прил 6"/>
      <sheetName val="прил 7 "/>
      <sheetName val="прил 8 "/>
      <sheetName val="прил 9   "/>
      <sheetName val="прил 10 "/>
      <sheetName val="прил 11"/>
      <sheetName val="прил 12"/>
      <sheetName val="прил 13"/>
      <sheetName val="прил 14"/>
      <sheetName val="прил 15"/>
      <sheetName val="прил 16"/>
      <sheetName val="прил 17"/>
      <sheetName val="прил 18"/>
    </sheetNames>
    <sheetDataSet>
      <sheetData sheetId="0"/>
      <sheetData sheetId="1"/>
      <sheetData sheetId="2"/>
      <sheetData sheetId="3"/>
      <sheetData sheetId="4">
        <row r="9">
          <cell r="C9">
            <v>251618500</v>
          </cell>
        </row>
      </sheetData>
      <sheetData sheetId="5"/>
      <sheetData sheetId="6"/>
      <sheetData sheetId="7"/>
      <sheetData sheetId="8">
        <row r="468">
          <cell r="F468">
            <v>615194524.40999997</v>
          </cell>
        </row>
        <row r="478">
          <cell r="G478">
            <v>72206241.75999999</v>
          </cell>
        </row>
      </sheetData>
      <sheetData sheetId="9"/>
      <sheetData sheetId="10">
        <row r="438">
          <cell r="E438">
            <v>615194524.40999997</v>
          </cell>
        </row>
      </sheetData>
      <sheetData sheetId="11"/>
      <sheetData sheetId="12">
        <row r="60">
          <cell r="F60">
            <v>615194524.41000009</v>
          </cell>
        </row>
      </sheetData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"/>
      <sheetName val="прил 2 "/>
      <sheetName val="прил 6"/>
      <sheetName val="прил 7"/>
      <sheetName val="прил 7  динамика"/>
      <sheetName val="прил 8"/>
      <sheetName val="прил 9 "/>
      <sheetName val="прил 10 "/>
      <sheetName val="прил 11 "/>
      <sheetName val="потребность"/>
      <sheetName val="прил 12"/>
      <sheetName val="прил 13 "/>
      <sheetName val="прил 14 "/>
      <sheetName val="прил 15"/>
      <sheetName val="прил 16 "/>
      <sheetName val="потребность 2023"/>
      <sheetName val="прил 7 динамика2023"/>
    </sheetNames>
    <sheetDataSet>
      <sheetData sheetId="0"/>
      <sheetData sheetId="1"/>
      <sheetData sheetId="2"/>
      <sheetData sheetId="3">
        <row r="14">
          <cell r="C14">
            <v>422970631.79000002</v>
          </cell>
        </row>
        <row r="43">
          <cell r="C43" t="e">
            <v>#REF!</v>
          </cell>
        </row>
        <row r="73">
          <cell r="C73" t="e">
            <v>#REF!</v>
          </cell>
        </row>
      </sheetData>
      <sheetData sheetId="4"/>
      <sheetData sheetId="5"/>
      <sheetData sheetId="6"/>
      <sheetData sheetId="7"/>
      <sheetData sheetId="8"/>
      <sheetData sheetId="9">
        <row r="20">
          <cell r="I20">
            <v>6985405.0300000003</v>
          </cell>
        </row>
        <row r="47">
          <cell r="I47">
            <v>21569336</v>
          </cell>
        </row>
        <row r="65">
          <cell r="L65">
            <v>27868850</v>
          </cell>
        </row>
        <row r="78">
          <cell r="I78">
            <v>11000000</v>
          </cell>
        </row>
        <row r="80">
          <cell r="I80">
            <v>9000000</v>
          </cell>
        </row>
        <row r="99">
          <cell r="I99">
            <v>1292340.5</v>
          </cell>
        </row>
        <row r="113">
          <cell r="I113">
            <v>34985140.490000002</v>
          </cell>
        </row>
        <row r="166">
          <cell r="I166">
            <v>243000</v>
          </cell>
        </row>
        <row r="172">
          <cell r="I172">
            <v>406747.04000000004</v>
          </cell>
        </row>
        <row r="201">
          <cell r="L201">
            <v>36241150</v>
          </cell>
        </row>
        <row r="207">
          <cell r="I207">
            <v>310000</v>
          </cell>
        </row>
        <row r="222">
          <cell r="I222">
            <v>213600</v>
          </cell>
        </row>
        <row r="244">
          <cell r="L244">
            <v>4910000</v>
          </cell>
        </row>
        <row r="248">
          <cell r="L248">
            <v>10000000</v>
          </cell>
        </row>
        <row r="251">
          <cell r="L251">
            <v>4000000</v>
          </cell>
        </row>
        <row r="254">
          <cell r="L254">
            <v>10778000</v>
          </cell>
        </row>
        <row r="287">
          <cell r="L287">
            <v>1500000</v>
          </cell>
        </row>
        <row r="293">
          <cell r="L293">
            <v>5676000</v>
          </cell>
        </row>
        <row r="313">
          <cell r="L313">
            <v>8479463.8399999999</v>
          </cell>
        </row>
        <row r="348">
          <cell r="I348">
            <v>18193102.579999998</v>
          </cell>
        </row>
        <row r="362">
          <cell r="I362">
            <v>9329030.4600000009</v>
          </cell>
        </row>
        <row r="366">
          <cell r="L366">
            <v>24239342.940000001</v>
          </cell>
        </row>
        <row r="407">
          <cell r="I407">
            <v>100000</v>
          </cell>
        </row>
        <row r="432">
          <cell r="L432">
            <v>831000</v>
          </cell>
        </row>
        <row r="441">
          <cell r="I441">
            <v>703249</v>
          </cell>
        </row>
        <row r="456">
          <cell r="I456">
            <v>2500000</v>
          </cell>
        </row>
        <row r="463">
          <cell r="I463">
            <v>2517857.96</v>
          </cell>
        </row>
        <row r="466">
          <cell r="I466">
            <v>2517432.33</v>
          </cell>
        </row>
        <row r="504">
          <cell r="I504">
            <v>46802848</v>
          </cell>
        </row>
        <row r="520">
          <cell r="I520">
            <v>100000</v>
          </cell>
        </row>
        <row r="521">
          <cell r="L521">
            <v>2400000</v>
          </cell>
        </row>
        <row r="543">
          <cell r="I543">
            <v>97603413</v>
          </cell>
        </row>
        <row r="559">
          <cell r="I559">
            <v>100000</v>
          </cell>
        </row>
        <row r="580">
          <cell r="I580">
            <v>24996964</v>
          </cell>
        </row>
        <row r="621">
          <cell r="I621">
            <v>5089242</v>
          </cell>
        </row>
        <row r="623">
          <cell r="I623">
            <v>100000</v>
          </cell>
        </row>
        <row r="630">
          <cell r="I630">
            <v>2843521</v>
          </cell>
        </row>
        <row r="659">
          <cell r="I659">
            <v>0</v>
          </cell>
        </row>
        <row r="672">
          <cell r="I672">
            <v>1140000</v>
          </cell>
        </row>
        <row r="675">
          <cell r="I675">
            <v>200000</v>
          </cell>
        </row>
        <row r="677">
          <cell r="I677">
            <v>80000</v>
          </cell>
        </row>
      </sheetData>
      <sheetData sheetId="10">
        <row r="20">
          <cell r="F20">
            <v>7264821.2300000004</v>
          </cell>
        </row>
        <row r="22">
          <cell r="F22">
            <v>250200</v>
          </cell>
        </row>
        <row r="30">
          <cell r="F30">
            <v>58240</v>
          </cell>
        </row>
        <row r="35">
          <cell r="F35">
            <v>477216</v>
          </cell>
        </row>
        <row r="42">
          <cell r="F42">
            <v>2846266</v>
          </cell>
        </row>
        <row r="47">
          <cell r="F47">
            <v>22432109.440000001</v>
          </cell>
        </row>
        <row r="49">
          <cell r="F49">
            <v>92000</v>
          </cell>
        </row>
        <row r="60">
          <cell r="F60">
            <v>825175</v>
          </cell>
        </row>
        <row r="71">
          <cell r="F71">
            <v>745385</v>
          </cell>
        </row>
        <row r="74">
          <cell r="F74">
            <v>50000</v>
          </cell>
        </row>
        <row r="78">
          <cell r="F78">
            <v>11334046.030000001</v>
          </cell>
        </row>
        <row r="80">
          <cell r="F80">
            <v>10000000</v>
          </cell>
        </row>
        <row r="82">
          <cell r="F82">
            <v>801450</v>
          </cell>
        </row>
        <row r="86">
          <cell r="F86">
            <v>500000</v>
          </cell>
        </row>
        <row r="89">
          <cell r="F89">
            <v>1600000</v>
          </cell>
        </row>
        <row r="94">
          <cell r="F94">
            <v>50000</v>
          </cell>
          <cell r="G94">
            <v>50000</v>
          </cell>
        </row>
        <row r="99">
          <cell r="F99">
            <v>1500000</v>
          </cell>
        </row>
        <row r="102">
          <cell r="F102">
            <v>44157.5</v>
          </cell>
        </row>
        <row r="107">
          <cell r="F107">
            <v>1460000</v>
          </cell>
        </row>
        <row r="109">
          <cell r="F109">
            <v>140000</v>
          </cell>
          <cell r="G109">
            <v>140000</v>
          </cell>
        </row>
        <row r="113">
          <cell r="F113">
            <v>36358471</v>
          </cell>
        </row>
        <row r="115">
          <cell r="F115">
            <v>20000</v>
          </cell>
          <cell r="G115">
            <v>20000</v>
          </cell>
        </row>
        <row r="118">
          <cell r="F118">
            <v>0</v>
          </cell>
          <cell r="G118">
            <v>0</v>
          </cell>
        </row>
        <row r="119">
          <cell r="F119">
            <v>150000</v>
          </cell>
        </row>
        <row r="127">
          <cell r="G127">
            <v>200000</v>
          </cell>
        </row>
        <row r="131">
          <cell r="F131">
            <v>1427603</v>
          </cell>
        </row>
        <row r="133">
          <cell r="F133">
            <v>15000</v>
          </cell>
        </row>
        <row r="136">
          <cell r="F136">
            <v>353579</v>
          </cell>
        </row>
        <row r="139">
          <cell r="F139">
            <v>2159817</v>
          </cell>
        </row>
        <row r="141">
          <cell r="F141">
            <v>15000</v>
          </cell>
        </row>
        <row r="144">
          <cell r="F144">
            <v>816546</v>
          </cell>
        </row>
        <row r="146">
          <cell r="F146">
            <v>45000</v>
          </cell>
        </row>
        <row r="149">
          <cell r="F149">
            <v>1864324</v>
          </cell>
        </row>
        <row r="151">
          <cell r="F151">
            <v>157600</v>
          </cell>
        </row>
        <row r="154">
          <cell r="F154">
            <v>654000</v>
          </cell>
        </row>
        <row r="156">
          <cell r="F156">
            <v>60000</v>
          </cell>
        </row>
        <row r="163">
          <cell r="F163">
            <v>1430240</v>
          </cell>
        </row>
        <row r="166">
          <cell r="F166">
            <v>270000</v>
          </cell>
        </row>
        <row r="172">
          <cell r="F172">
            <v>200000</v>
          </cell>
        </row>
        <row r="177">
          <cell r="F177">
            <v>200000</v>
          </cell>
        </row>
        <row r="184">
          <cell r="F184">
            <v>324127.09000000003</v>
          </cell>
        </row>
        <row r="190">
          <cell r="F190">
            <v>3387.08</v>
          </cell>
        </row>
        <row r="195">
          <cell r="F195">
            <v>100000</v>
          </cell>
        </row>
        <row r="201">
          <cell r="F201">
            <v>13057000</v>
          </cell>
        </row>
        <row r="207">
          <cell r="F207">
            <v>100000</v>
          </cell>
        </row>
        <row r="213">
          <cell r="F213">
            <v>100000</v>
          </cell>
        </row>
        <row r="218">
          <cell r="F218">
            <v>300000</v>
          </cell>
        </row>
        <row r="222">
          <cell r="F222">
            <v>130000</v>
          </cell>
        </row>
        <row r="229">
          <cell r="F229">
            <v>2500000</v>
          </cell>
        </row>
        <row r="240">
          <cell r="F240">
            <v>2110000</v>
          </cell>
        </row>
        <row r="242">
          <cell r="F242">
            <v>0</v>
          </cell>
          <cell r="G242">
            <v>0</v>
          </cell>
        </row>
        <row r="244">
          <cell r="F244">
            <v>5000000</v>
          </cell>
        </row>
        <row r="247">
          <cell r="F247">
            <v>5000000</v>
          </cell>
        </row>
        <row r="250">
          <cell r="F250">
            <v>2500000</v>
          </cell>
        </row>
        <row r="253">
          <cell r="F253">
            <v>521657.94</v>
          </cell>
        </row>
        <row r="256">
          <cell r="F256">
            <v>200000</v>
          </cell>
        </row>
        <row r="272">
          <cell r="F272">
            <v>400000</v>
          </cell>
        </row>
        <row r="278">
          <cell r="F278">
            <v>761631</v>
          </cell>
        </row>
        <row r="281">
          <cell r="F281">
            <v>500000</v>
          </cell>
        </row>
        <row r="286">
          <cell r="F286">
            <v>2738369</v>
          </cell>
        </row>
        <row r="289">
          <cell r="F289">
            <v>3700000</v>
          </cell>
        </row>
        <row r="292">
          <cell r="F292">
            <v>2500000</v>
          </cell>
        </row>
        <row r="298">
          <cell r="F298">
            <v>6616389.0700000003</v>
          </cell>
        </row>
        <row r="306">
          <cell r="F306">
            <v>12956956.59</v>
          </cell>
        </row>
        <row r="309">
          <cell r="F309">
            <v>400730.61</v>
          </cell>
        </row>
        <row r="331">
          <cell r="F331">
            <v>440000</v>
          </cell>
        </row>
        <row r="335">
          <cell r="F335">
            <v>30000</v>
          </cell>
        </row>
        <row r="340">
          <cell r="F340">
            <v>45000</v>
          </cell>
        </row>
        <row r="347">
          <cell r="F347">
            <v>18953228.359999999</v>
          </cell>
        </row>
        <row r="361">
          <cell r="F361">
            <v>9805789.5800000001</v>
          </cell>
        </row>
        <row r="365">
          <cell r="F365">
            <v>25737149.199999999</v>
          </cell>
        </row>
        <row r="476">
          <cell r="F476">
            <v>2618572.2799999998</v>
          </cell>
        </row>
        <row r="479">
          <cell r="F479">
            <v>2618129.36</v>
          </cell>
        </row>
        <row r="481">
          <cell r="F481">
            <v>246000</v>
          </cell>
        </row>
        <row r="483">
          <cell r="F483">
            <v>5500</v>
          </cell>
        </row>
        <row r="486">
          <cell r="F486">
            <v>180000</v>
          </cell>
        </row>
        <row r="497">
          <cell r="F497">
            <v>33280</v>
          </cell>
        </row>
        <row r="501">
          <cell r="F501">
            <v>104000</v>
          </cell>
        </row>
        <row r="678">
          <cell r="F678">
            <v>1220000</v>
          </cell>
        </row>
        <row r="681">
          <cell r="F681">
            <v>210000</v>
          </cell>
        </row>
        <row r="683">
          <cell r="F683">
            <v>80000</v>
          </cell>
        </row>
        <row r="685">
          <cell r="F685">
            <v>426818000</v>
          </cell>
        </row>
        <row r="686">
          <cell r="F686">
            <v>482120951.43599993</v>
          </cell>
        </row>
        <row r="687">
          <cell r="F687">
            <v>10670450</v>
          </cell>
        </row>
      </sheetData>
      <sheetData sheetId="11"/>
      <sheetData sheetId="12"/>
      <sheetData sheetId="13"/>
      <sheetData sheetId="14"/>
      <sheetData sheetId="15"/>
      <sheetData sheetId="16">
        <row r="58">
          <cell r="C58">
            <v>37531191.450000003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908"/>
  <sheetViews>
    <sheetView view="pageBreakPreview" zoomScale="106" zoomScaleNormal="100" zoomScaleSheetLayoutView="106" workbookViewId="0">
      <selection activeCell="A8" sqref="A8"/>
    </sheetView>
  </sheetViews>
  <sheetFormatPr defaultRowHeight="18.350000000000001" x14ac:dyDescent="0.3"/>
  <cols>
    <col min="1" max="1" width="30.875" style="7" customWidth="1"/>
    <col min="2" max="2" width="48.625" style="7" customWidth="1"/>
    <col min="3" max="3" width="21.375" style="7" customWidth="1"/>
    <col min="4" max="256" width="9.125" style="5"/>
    <col min="257" max="257" width="26.875" style="5" customWidth="1"/>
    <col min="258" max="258" width="40.375" style="5" customWidth="1"/>
    <col min="259" max="259" width="13.375" style="5" customWidth="1"/>
    <col min="260" max="512" width="9.125" style="5"/>
    <col min="513" max="513" width="26.875" style="5" customWidth="1"/>
    <col min="514" max="514" width="40.375" style="5" customWidth="1"/>
    <col min="515" max="515" width="13.375" style="5" customWidth="1"/>
    <col min="516" max="768" width="9.125" style="5"/>
    <col min="769" max="769" width="26.875" style="5" customWidth="1"/>
    <col min="770" max="770" width="40.375" style="5" customWidth="1"/>
    <col min="771" max="771" width="13.375" style="5" customWidth="1"/>
    <col min="772" max="1024" width="9.125" style="5"/>
    <col min="1025" max="1025" width="26.875" style="5" customWidth="1"/>
    <col min="1026" max="1026" width="40.375" style="5" customWidth="1"/>
    <col min="1027" max="1027" width="13.375" style="5" customWidth="1"/>
    <col min="1028" max="1280" width="9.125" style="5"/>
    <col min="1281" max="1281" width="26.875" style="5" customWidth="1"/>
    <col min="1282" max="1282" width="40.375" style="5" customWidth="1"/>
    <col min="1283" max="1283" width="13.375" style="5" customWidth="1"/>
    <col min="1284" max="1536" width="9.125" style="5"/>
    <col min="1537" max="1537" width="26.875" style="5" customWidth="1"/>
    <col min="1538" max="1538" width="40.375" style="5" customWidth="1"/>
    <col min="1539" max="1539" width="13.375" style="5" customWidth="1"/>
    <col min="1540" max="1792" width="9.125" style="5"/>
    <col min="1793" max="1793" width="26.875" style="5" customWidth="1"/>
    <col min="1794" max="1794" width="40.375" style="5" customWidth="1"/>
    <col min="1795" max="1795" width="13.375" style="5" customWidth="1"/>
    <col min="1796" max="2048" width="9.125" style="5"/>
    <col min="2049" max="2049" width="26.875" style="5" customWidth="1"/>
    <col min="2050" max="2050" width="40.375" style="5" customWidth="1"/>
    <col min="2051" max="2051" width="13.375" style="5" customWidth="1"/>
    <col min="2052" max="2304" width="9.125" style="5"/>
    <col min="2305" max="2305" width="26.875" style="5" customWidth="1"/>
    <col min="2306" max="2306" width="40.375" style="5" customWidth="1"/>
    <col min="2307" max="2307" width="13.375" style="5" customWidth="1"/>
    <col min="2308" max="2560" width="9.125" style="5"/>
    <col min="2561" max="2561" width="26.875" style="5" customWidth="1"/>
    <col min="2562" max="2562" width="40.375" style="5" customWidth="1"/>
    <col min="2563" max="2563" width="13.375" style="5" customWidth="1"/>
    <col min="2564" max="2816" width="9.125" style="5"/>
    <col min="2817" max="2817" width="26.875" style="5" customWidth="1"/>
    <col min="2818" max="2818" width="40.375" style="5" customWidth="1"/>
    <col min="2819" max="2819" width="13.375" style="5" customWidth="1"/>
    <col min="2820" max="3072" width="9.125" style="5"/>
    <col min="3073" max="3073" width="26.875" style="5" customWidth="1"/>
    <col min="3074" max="3074" width="40.375" style="5" customWidth="1"/>
    <col min="3075" max="3075" width="13.375" style="5" customWidth="1"/>
    <col min="3076" max="3328" width="9.125" style="5"/>
    <col min="3329" max="3329" width="26.875" style="5" customWidth="1"/>
    <col min="3330" max="3330" width="40.375" style="5" customWidth="1"/>
    <col min="3331" max="3331" width="13.375" style="5" customWidth="1"/>
    <col min="3332" max="3584" width="9.125" style="5"/>
    <col min="3585" max="3585" width="26.875" style="5" customWidth="1"/>
    <col min="3586" max="3586" width="40.375" style="5" customWidth="1"/>
    <col min="3587" max="3587" width="13.375" style="5" customWidth="1"/>
    <col min="3588" max="3840" width="9.125" style="5"/>
    <col min="3841" max="3841" width="26.875" style="5" customWidth="1"/>
    <col min="3842" max="3842" width="40.375" style="5" customWidth="1"/>
    <col min="3843" max="3843" width="13.375" style="5" customWidth="1"/>
    <col min="3844" max="4096" width="9.125" style="5"/>
    <col min="4097" max="4097" width="26.875" style="5" customWidth="1"/>
    <col min="4098" max="4098" width="40.375" style="5" customWidth="1"/>
    <col min="4099" max="4099" width="13.375" style="5" customWidth="1"/>
    <col min="4100" max="4352" width="9.125" style="5"/>
    <col min="4353" max="4353" width="26.875" style="5" customWidth="1"/>
    <col min="4354" max="4354" width="40.375" style="5" customWidth="1"/>
    <col min="4355" max="4355" width="13.375" style="5" customWidth="1"/>
    <col min="4356" max="4608" width="9.125" style="5"/>
    <col min="4609" max="4609" width="26.875" style="5" customWidth="1"/>
    <col min="4610" max="4610" width="40.375" style="5" customWidth="1"/>
    <col min="4611" max="4611" width="13.375" style="5" customWidth="1"/>
    <col min="4612" max="4864" width="9.125" style="5"/>
    <col min="4865" max="4865" width="26.875" style="5" customWidth="1"/>
    <col min="4866" max="4866" width="40.375" style="5" customWidth="1"/>
    <col min="4867" max="4867" width="13.375" style="5" customWidth="1"/>
    <col min="4868" max="5120" width="9.125" style="5"/>
    <col min="5121" max="5121" width="26.875" style="5" customWidth="1"/>
    <col min="5122" max="5122" width="40.375" style="5" customWidth="1"/>
    <col min="5123" max="5123" width="13.375" style="5" customWidth="1"/>
    <col min="5124" max="5376" width="9.125" style="5"/>
    <col min="5377" max="5377" width="26.875" style="5" customWidth="1"/>
    <col min="5378" max="5378" width="40.375" style="5" customWidth="1"/>
    <col min="5379" max="5379" width="13.375" style="5" customWidth="1"/>
    <col min="5380" max="5632" width="9.125" style="5"/>
    <col min="5633" max="5633" width="26.875" style="5" customWidth="1"/>
    <col min="5634" max="5634" width="40.375" style="5" customWidth="1"/>
    <col min="5635" max="5635" width="13.375" style="5" customWidth="1"/>
    <col min="5636" max="5888" width="9.125" style="5"/>
    <col min="5889" max="5889" width="26.875" style="5" customWidth="1"/>
    <col min="5890" max="5890" width="40.375" style="5" customWidth="1"/>
    <col min="5891" max="5891" width="13.375" style="5" customWidth="1"/>
    <col min="5892" max="6144" width="9.125" style="5"/>
    <col min="6145" max="6145" width="26.875" style="5" customWidth="1"/>
    <col min="6146" max="6146" width="40.375" style="5" customWidth="1"/>
    <col min="6147" max="6147" width="13.375" style="5" customWidth="1"/>
    <col min="6148" max="6400" width="9.125" style="5"/>
    <col min="6401" max="6401" width="26.875" style="5" customWidth="1"/>
    <col min="6402" max="6402" width="40.375" style="5" customWidth="1"/>
    <col min="6403" max="6403" width="13.375" style="5" customWidth="1"/>
    <col min="6404" max="6656" width="9.125" style="5"/>
    <col min="6657" max="6657" width="26.875" style="5" customWidth="1"/>
    <col min="6658" max="6658" width="40.375" style="5" customWidth="1"/>
    <col min="6659" max="6659" width="13.375" style="5" customWidth="1"/>
    <col min="6660" max="6912" width="9.125" style="5"/>
    <col min="6913" max="6913" width="26.875" style="5" customWidth="1"/>
    <col min="6914" max="6914" width="40.375" style="5" customWidth="1"/>
    <col min="6915" max="6915" width="13.375" style="5" customWidth="1"/>
    <col min="6916" max="7168" width="9.125" style="5"/>
    <col min="7169" max="7169" width="26.875" style="5" customWidth="1"/>
    <col min="7170" max="7170" width="40.375" style="5" customWidth="1"/>
    <col min="7171" max="7171" width="13.375" style="5" customWidth="1"/>
    <col min="7172" max="7424" width="9.125" style="5"/>
    <col min="7425" max="7425" width="26.875" style="5" customWidth="1"/>
    <col min="7426" max="7426" width="40.375" style="5" customWidth="1"/>
    <col min="7427" max="7427" width="13.375" style="5" customWidth="1"/>
    <col min="7428" max="7680" width="9.125" style="5"/>
    <col min="7681" max="7681" width="26.875" style="5" customWidth="1"/>
    <col min="7682" max="7682" width="40.375" style="5" customWidth="1"/>
    <col min="7683" max="7683" width="13.375" style="5" customWidth="1"/>
    <col min="7684" max="7936" width="9.125" style="5"/>
    <col min="7937" max="7937" width="26.875" style="5" customWidth="1"/>
    <col min="7938" max="7938" width="40.375" style="5" customWidth="1"/>
    <col min="7939" max="7939" width="13.375" style="5" customWidth="1"/>
    <col min="7940" max="8192" width="9.125" style="5"/>
    <col min="8193" max="8193" width="26.875" style="5" customWidth="1"/>
    <col min="8194" max="8194" width="40.375" style="5" customWidth="1"/>
    <col min="8195" max="8195" width="13.375" style="5" customWidth="1"/>
    <col min="8196" max="8448" width="9.125" style="5"/>
    <col min="8449" max="8449" width="26.875" style="5" customWidth="1"/>
    <col min="8450" max="8450" width="40.375" style="5" customWidth="1"/>
    <col min="8451" max="8451" width="13.375" style="5" customWidth="1"/>
    <col min="8452" max="8704" width="9.125" style="5"/>
    <col min="8705" max="8705" width="26.875" style="5" customWidth="1"/>
    <col min="8706" max="8706" width="40.375" style="5" customWidth="1"/>
    <col min="8707" max="8707" width="13.375" style="5" customWidth="1"/>
    <col min="8708" max="8960" width="9.125" style="5"/>
    <col min="8961" max="8961" width="26.875" style="5" customWidth="1"/>
    <col min="8962" max="8962" width="40.375" style="5" customWidth="1"/>
    <col min="8963" max="8963" width="13.375" style="5" customWidth="1"/>
    <col min="8964" max="9216" width="9.125" style="5"/>
    <col min="9217" max="9217" width="26.875" style="5" customWidth="1"/>
    <col min="9218" max="9218" width="40.375" style="5" customWidth="1"/>
    <col min="9219" max="9219" width="13.375" style="5" customWidth="1"/>
    <col min="9220" max="9472" width="9.125" style="5"/>
    <col min="9473" max="9473" width="26.875" style="5" customWidth="1"/>
    <col min="9474" max="9474" width="40.375" style="5" customWidth="1"/>
    <col min="9475" max="9475" width="13.375" style="5" customWidth="1"/>
    <col min="9476" max="9728" width="9.125" style="5"/>
    <col min="9729" max="9729" width="26.875" style="5" customWidth="1"/>
    <col min="9730" max="9730" width="40.375" style="5" customWidth="1"/>
    <col min="9731" max="9731" width="13.375" style="5" customWidth="1"/>
    <col min="9732" max="9984" width="9.125" style="5"/>
    <col min="9985" max="9985" width="26.875" style="5" customWidth="1"/>
    <col min="9986" max="9986" width="40.375" style="5" customWidth="1"/>
    <col min="9987" max="9987" width="13.375" style="5" customWidth="1"/>
    <col min="9988" max="10240" width="9.125" style="5"/>
    <col min="10241" max="10241" width="26.875" style="5" customWidth="1"/>
    <col min="10242" max="10242" width="40.375" style="5" customWidth="1"/>
    <col min="10243" max="10243" width="13.375" style="5" customWidth="1"/>
    <col min="10244" max="10496" width="9.125" style="5"/>
    <col min="10497" max="10497" width="26.875" style="5" customWidth="1"/>
    <col min="10498" max="10498" width="40.375" style="5" customWidth="1"/>
    <col min="10499" max="10499" width="13.375" style="5" customWidth="1"/>
    <col min="10500" max="10752" width="9.125" style="5"/>
    <col min="10753" max="10753" width="26.875" style="5" customWidth="1"/>
    <col min="10754" max="10754" width="40.375" style="5" customWidth="1"/>
    <col min="10755" max="10755" width="13.375" style="5" customWidth="1"/>
    <col min="10756" max="11008" width="9.125" style="5"/>
    <col min="11009" max="11009" width="26.875" style="5" customWidth="1"/>
    <col min="11010" max="11010" width="40.375" style="5" customWidth="1"/>
    <col min="11011" max="11011" width="13.375" style="5" customWidth="1"/>
    <col min="11012" max="11264" width="9.125" style="5"/>
    <col min="11265" max="11265" width="26.875" style="5" customWidth="1"/>
    <col min="11266" max="11266" width="40.375" style="5" customWidth="1"/>
    <col min="11267" max="11267" width="13.375" style="5" customWidth="1"/>
    <col min="11268" max="11520" width="9.125" style="5"/>
    <col min="11521" max="11521" width="26.875" style="5" customWidth="1"/>
    <col min="11522" max="11522" width="40.375" style="5" customWidth="1"/>
    <col min="11523" max="11523" width="13.375" style="5" customWidth="1"/>
    <col min="11524" max="11776" width="9.125" style="5"/>
    <col min="11777" max="11777" width="26.875" style="5" customWidth="1"/>
    <col min="11778" max="11778" width="40.375" style="5" customWidth="1"/>
    <col min="11779" max="11779" width="13.375" style="5" customWidth="1"/>
    <col min="11780" max="12032" width="9.125" style="5"/>
    <col min="12033" max="12033" width="26.875" style="5" customWidth="1"/>
    <col min="12034" max="12034" width="40.375" style="5" customWidth="1"/>
    <col min="12035" max="12035" width="13.375" style="5" customWidth="1"/>
    <col min="12036" max="12288" width="9.125" style="5"/>
    <col min="12289" max="12289" width="26.875" style="5" customWidth="1"/>
    <col min="12290" max="12290" width="40.375" style="5" customWidth="1"/>
    <col min="12291" max="12291" width="13.375" style="5" customWidth="1"/>
    <col min="12292" max="12544" width="9.125" style="5"/>
    <col min="12545" max="12545" width="26.875" style="5" customWidth="1"/>
    <col min="12546" max="12546" width="40.375" style="5" customWidth="1"/>
    <col min="12547" max="12547" width="13.375" style="5" customWidth="1"/>
    <col min="12548" max="12800" width="9.125" style="5"/>
    <col min="12801" max="12801" width="26.875" style="5" customWidth="1"/>
    <col min="12802" max="12802" width="40.375" style="5" customWidth="1"/>
    <col min="12803" max="12803" width="13.375" style="5" customWidth="1"/>
    <col min="12804" max="13056" width="9.125" style="5"/>
    <col min="13057" max="13057" width="26.875" style="5" customWidth="1"/>
    <col min="13058" max="13058" width="40.375" style="5" customWidth="1"/>
    <col min="13059" max="13059" width="13.375" style="5" customWidth="1"/>
    <col min="13060" max="13312" width="9.125" style="5"/>
    <col min="13313" max="13313" width="26.875" style="5" customWidth="1"/>
    <col min="13314" max="13314" width="40.375" style="5" customWidth="1"/>
    <col min="13315" max="13315" width="13.375" style="5" customWidth="1"/>
    <col min="13316" max="13568" width="9.125" style="5"/>
    <col min="13569" max="13569" width="26.875" style="5" customWidth="1"/>
    <col min="13570" max="13570" width="40.375" style="5" customWidth="1"/>
    <col min="13571" max="13571" width="13.375" style="5" customWidth="1"/>
    <col min="13572" max="13824" width="9.125" style="5"/>
    <col min="13825" max="13825" width="26.875" style="5" customWidth="1"/>
    <col min="13826" max="13826" width="40.375" style="5" customWidth="1"/>
    <col min="13827" max="13827" width="13.375" style="5" customWidth="1"/>
    <col min="13828" max="14080" width="9.125" style="5"/>
    <col min="14081" max="14081" width="26.875" style="5" customWidth="1"/>
    <col min="14082" max="14082" width="40.375" style="5" customWidth="1"/>
    <col min="14083" max="14083" width="13.375" style="5" customWidth="1"/>
    <col min="14084" max="14336" width="9.125" style="5"/>
    <col min="14337" max="14337" width="26.875" style="5" customWidth="1"/>
    <col min="14338" max="14338" width="40.375" style="5" customWidth="1"/>
    <col min="14339" max="14339" width="13.375" style="5" customWidth="1"/>
    <col min="14340" max="14592" width="9.125" style="5"/>
    <col min="14593" max="14593" width="26.875" style="5" customWidth="1"/>
    <col min="14594" max="14594" width="40.375" style="5" customWidth="1"/>
    <col min="14595" max="14595" width="13.375" style="5" customWidth="1"/>
    <col min="14596" max="14848" width="9.125" style="5"/>
    <col min="14849" max="14849" width="26.875" style="5" customWidth="1"/>
    <col min="14850" max="14850" width="40.375" style="5" customWidth="1"/>
    <col min="14851" max="14851" width="13.375" style="5" customWidth="1"/>
    <col min="14852" max="15104" width="9.125" style="5"/>
    <col min="15105" max="15105" width="26.875" style="5" customWidth="1"/>
    <col min="15106" max="15106" width="40.375" style="5" customWidth="1"/>
    <col min="15107" max="15107" width="13.375" style="5" customWidth="1"/>
    <col min="15108" max="15360" width="9.125" style="5"/>
    <col min="15361" max="15361" width="26.875" style="5" customWidth="1"/>
    <col min="15362" max="15362" width="40.375" style="5" customWidth="1"/>
    <col min="15363" max="15363" width="13.375" style="5" customWidth="1"/>
    <col min="15364" max="15616" width="9.125" style="5"/>
    <col min="15617" max="15617" width="26.875" style="5" customWidth="1"/>
    <col min="15618" max="15618" width="40.375" style="5" customWidth="1"/>
    <col min="15619" max="15619" width="13.375" style="5" customWidth="1"/>
    <col min="15620" max="15872" width="9.125" style="5"/>
    <col min="15873" max="15873" width="26.875" style="5" customWidth="1"/>
    <col min="15874" max="15874" width="40.375" style="5" customWidth="1"/>
    <col min="15875" max="15875" width="13.375" style="5" customWidth="1"/>
    <col min="15876" max="16128" width="9.125" style="5"/>
    <col min="16129" max="16129" width="26.875" style="5" customWidth="1"/>
    <col min="16130" max="16130" width="40.375" style="5" customWidth="1"/>
    <col min="16131" max="16131" width="13.375" style="5" customWidth="1"/>
    <col min="16132" max="16384" width="9.125" style="5"/>
  </cols>
  <sheetData>
    <row r="1" spans="1:3" x14ac:dyDescent="0.3">
      <c r="C1" s="44" t="s">
        <v>236</v>
      </c>
    </row>
    <row r="2" spans="1:3" x14ac:dyDescent="0.3">
      <c r="C2" s="44" t="s">
        <v>929</v>
      </c>
    </row>
    <row r="3" spans="1:3" x14ac:dyDescent="0.3">
      <c r="C3" s="44" t="s">
        <v>653</v>
      </c>
    </row>
    <row r="4" spans="1:3" x14ac:dyDescent="0.3">
      <c r="C4" s="44" t="s">
        <v>1068</v>
      </c>
    </row>
    <row r="5" spans="1:3" x14ac:dyDescent="0.3">
      <c r="C5" s="44"/>
    </row>
    <row r="6" spans="1:3" s="6" customFormat="1" x14ac:dyDescent="0.25">
      <c r="A6" s="667" t="s">
        <v>157</v>
      </c>
      <c r="B6" s="667"/>
      <c r="C6" s="667"/>
    </row>
    <row r="7" spans="1:3" ht="37.549999999999997" customHeight="1" x14ac:dyDescent="0.25">
      <c r="A7" s="666" t="s">
        <v>1069</v>
      </c>
      <c r="B7" s="666"/>
      <c r="C7" s="666"/>
    </row>
    <row r="8" spans="1:3" x14ac:dyDescent="0.25">
      <c r="A8" s="8"/>
      <c r="B8" s="8"/>
      <c r="C8" s="8"/>
    </row>
    <row r="9" spans="1:3" x14ac:dyDescent="0.3">
      <c r="A9" s="44" t="s">
        <v>158</v>
      </c>
      <c r="B9" s="62"/>
      <c r="C9" s="9"/>
    </row>
    <row r="10" spans="1:3" x14ac:dyDescent="0.3">
      <c r="A10" s="44"/>
      <c r="C10" s="44" t="s">
        <v>408</v>
      </c>
    </row>
    <row r="11" spans="1:3" ht="55.05" x14ac:dyDescent="0.25">
      <c r="A11" s="64" t="s">
        <v>159</v>
      </c>
      <c r="B11" s="64" t="s">
        <v>160</v>
      </c>
      <c r="C11" s="64" t="s">
        <v>239</v>
      </c>
    </row>
    <row r="12" spans="1:3" ht="36.700000000000003" x14ac:dyDescent="0.3">
      <c r="A12" s="10" t="s">
        <v>161</v>
      </c>
      <c r="B12" s="11" t="s">
        <v>162</v>
      </c>
      <c r="C12" s="48">
        <f>C13+C14</f>
        <v>0</v>
      </c>
    </row>
    <row r="13" spans="1:3" ht="55.05" x14ac:dyDescent="0.3">
      <c r="A13" s="10" t="s">
        <v>663</v>
      </c>
      <c r="B13" s="11" t="s">
        <v>713</v>
      </c>
      <c r="C13" s="48">
        <f>'прил 7 '!C68</f>
        <v>976194103.9000001</v>
      </c>
    </row>
    <row r="14" spans="1:3" ht="55.05" x14ac:dyDescent="0.3">
      <c r="A14" s="10" t="s">
        <v>664</v>
      </c>
      <c r="B14" s="11" t="s">
        <v>714</v>
      </c>
      <c r="C14" s="48">
        <f>-'прил 11 '!F715</f>
        <v>-976194103.9000001</v>
      </c>
    </row>
    <row r="15" spans="1:3" x14ac:dyDescent="0.3">
      <c r="A15" s="10"/>
      <c r="B15" s="12" t="s">
        <v>163</v>
      </c>
      <c r="C15" s="52">
        <f>C12</f>
        <v>0</v>
      </c>
    </row>
    <row r="16" spans="1:3" x14ac:dyDescent="0.3">
      <c r="A16" s="13"/>
      <c r="B16" s="13"/>
      <c r="C16" s="13"/>
    </row>
    <row r="17" spans="1:3" x14ac:dyDescent="0.3">
      <c r="A17" s="13"/>
      <c r="B17" s="13"/>
      <c r="C17" s="13"/>
    </row>
    <row r="18" spans="1:3" x14ac:dyDescent="0.3">
      <c r="A18" s="13"/>
      <c r="B18" s="13"/>
      <c r="C18" s="13"/>
    </row>
    <row r="19" spans="1:3" x14ac:dyDescent="0.3">
      <c r="A19" s="13"/>
      <c r="B19" s="13"/>
      <c r="C19" s="13"/>
    </row>
    <row r="20" spans="1:3" x14ac:dyDescent="0.3">
      <c r="A20" s="13"/>
      <c r="B20" s="13"/>
      <c r="C20" s="13"/>
    </row>
    <row r="21" spans="1:3" x14ac:dyDescent="0.3">
      <c r="A21" s="13"/>
      <c r="B21" s="13"/>
      <c r="C21" s="13"/>
    </row>
    <row r="22" spans="1:3" x14ac:dyDescent="0.3">
      <c r="A22" s="13"/>
      <c r="B22" s="13"/>
      <c r="C22" s="13"/>
    </row>
    <row r="23" spans="1:3" x14ac:dyDescent="0.3">
      <c r="A23" s="13"/>
      <c r="B23" s="13"/>
      <c r="C23" s="13"/>
    </row>
    <row r="24" spans="1:3" x14ac:dyDescent="0.3">
      <c r="A24" s="13"/>
      <c r="B24" s="13"/>
      <c r="C24" s="13"/>
    </row>
    <row r="25" spans="1:3" x14ac:dyDescent="0.3">
      <c r="A25" s="13"/>
      <c r="B25" s="13"/>
      <c r="C25" s="13"/>
    </row>
    <row r="26" spans="1:3" x14ac:dyDescent="0.3">
      <c r="A26" s="13"/>
      <c r="B26" s="13"/>
      <c r="C26" s="13"/>
    </row>
    <row r="27" spans="1:3" x14ac:dyDescent="0.3">
      <c r="A27" s="13"/>
      <c r="B27" s="13"/>
      <c r="C27" s="13"/>
    </row>
    <row r="28" spans="1:3" x14ac:dyDescent="0.3">
      <c r="A28" s="13"/>
      <c r="B28" s="13"/>
      <c r="C28" s="13"/>
    </row>
    <row r="29" spans="1:3" x14ac:dyDescent="0.3">
      <c r="A29" s="13"/>
      <c r="B29" s="13"/>
      <c r="C29" s="13"/>
    </row>
    <row r="30" spans="1:3" x14ac:dyDescent="0.3">
      <c r="A30" s="13"/>
      <c r="B30" s="13"/>
      <c r="C30" s="13"/>
    </row>
    <row r="31" spans="1:3" x14ac:dyDescent="0.3">
      <c r="A31" s="13"/>
      <c r="B31" s="13"/>
      <c r="C31" s="13"/>
    </row>
    <row r="32" spans="1:3" x14ac:dyDescent="0.3">
      <c r="A32" s="13"/>
      <c r="B32" s="13"/>
      <c r="C32" s="13"/>
    </row>
    <row r="33" spans="1:3" x14ac:dyDescent="0.3">
      <c r="A33" s="13"/>
      <c r="B33" s="13"/>
      <c r="C33" s="13"/>
    </row>
    <row r="34" spans="1:3" x14ac:dyDescent="0.3">
      <c r="A34" s="13"/>
      <c r="B34" s="13"/>
      <c r="C34" s="13"/>
    </row>
    <row r="35" spans="1:3" x14ac:dyDescent="0.3">
      <c r="A35" s="13"/>
      <c r="B35" s="13"/>
      <c r="C35" s="13"/>
    </row>
    <row r="36" spans="1:3" x14ac:dyDescent="0.3">
      <c r="A36" s="13"/>
      <c r="B36" s="13"/>
      <c r="C36" s="13"/>
    </row>
    <row r="37" spans="1:3" x14ac:dyDescent="0.3">
      <c r="A37" s="13"/>
      <c r="B37" s="13"/>
      <c r="C37" s="13"/>
    </row>
    <row r="38" spans="1:3" x14ac:dyDescent="0.3">
      <c r="A38" s="13"/>
      <c r="B38" s="13"/>
      <c r="C38" s="13"/>
    </row>
    <row r="39" spans="1:3" x14ac:dyDescent="0.3">
      <c r="A39" s="13"/>
      <c r="B39" s="13"/>
      <c r="C39" s="13"/>
    </row>
    <row r="40" spans="1:3" x14ac:dyDescent="0.3">
      <c r="A40" s="13"/>
      <c r="B40" s="13"/>
      <c r="C40" s="13"/>
    </row>
    <row r="41" spans="1:3" x14ac:dyDescent="0.3">
      <c r="A41" s="13"/>
      <c r="B41" s="13"/>
      <c r="C41" s="13"/>
    </row>
    <row r="42" spans="1:3" x14ac:dyDescent="0.3">
      <c r="A42" s="13"/>
      <c r="B42" s="13"/>
      <c r="C42" s="13"/>
    </row>
    <row r="43" spans="1:3" x14ac:dyDescent="0.3">
      <c r="A43" s="13"/>
      <c r="B43" s="13"/>
      <c r="C43" s="13"/>
    </row>
    <row r="44" spans="1:3" x14ac:dyDescent="0.3">
      <c r="A44" s="13"/>
      <c r="B44" s="13"/>
      <c r="C44" s="13"/>
    </row>
    <row r="45" spans="1:3" x14ac:dyDescent="0.3">
      <c r="A45" s="13"/>
      <c r="B45" s="13"/>
      <c r="C45" s="13"/>
    </row>
    <row r="46" spans="1:3" x14ac:dyDescent="0.3">
      <c r="A46" s="13"/>
      <c r="B46" s="13"/>
      <c r="C46" s="13"/>
    </row>
    <row r="47" spans="1:3" x14ac:dyDescent="0.3">
      <c r="A47" s="13"/>
      <c r="B47" s="13"/>
      <c r="C47" s="13"/>
    </row>
    <row r="48" spans="1:3" x14ac:dyDescent="0.3">
      <c r="A48" s="13"/>
      <c r="B48" s="13"/>
      <c r="C48" s="13"/>
    </row>
    <row r="49" spans="1:3" x14ac:dyDescent="0.3">
      <c r="A49" s="13"/>
      <c r="B49" s="13"/>
      <c r="C49" s="13"/>
    </row>
    <row r="50" spans="1:3" x14ac:dyDescent="0.3">
      <c r="A50" s="13"/>
      <c r="B50" s="13"/>
      <c r="C50" s="13"/>
    </row>
    <row r="51" spans="1:3" x14ac:dyDescent="0.3">
      <c r="A51" s="13"/>
      <c r="B51" s="13"/>
      <c r="C51" s="13"/>
    </row>
    <row r="52" spans="1:3" x14ac:dyDescent="0.3">
      <c r="A52" s="13"/>
      <c r="B52" s="13"/>
      <c r="C52" s="13"/>
    </row>
    <row r="53" spans="1:3" x14ac:dyDescent="0.3">
      <c r="A53" s="13"/>
      <c r="B53" s="13"/>
      <c r="C53" s="13"/>
    </row>
    <row r="54" spans="1:3" x14ac:dyDescent="0.3">
      <c r="A54" s="13"/>
      <c r="B54" s="13"/>
      <c r="C54" s="13"/>
    </row>
    <row r="55" spans="1:3" x14ac:dyDescent="0.3">
      <c r="A55" s="13"/>
      <c r="B55" s="13"/>
      <c r="C55" s="13"/>
    </row>
    <row r="56" spans="1:3" x14ac:dyDescent="0.3">
      <c r="A56" s="13"/>
      <c r="B56" s="13"/>
      <c r="C56" s="13"/>
    </row>
    <row r="57" spans="1:3" x14ac:dyDescent="0.3">
      <c r="A57" s="13"/>
      <c r="B57" s="13"/>
      <c r="C57" s="13"/>
    </row>
    <row r="58" spans="1:3" x14ac:dyDescent="0.3">
      <c r="A58" s="13"/>
      <c r="B58" s="13"/>
      <c r="C58" s="13"/>
    </row>
    <row r="59" spans="1:3" x14ac:dyDescent="0.3">
      <c r="A59" s="13"/>
      <c r="B59" s="13"/>
      <c r="C59" s="13"/>
    </row>
    <row r="60" spans="1:3" x14ac:dyDescent="0.3">
      <c r="A60" s="13"/>
      <c r="B60" s="13"/>
      <c r="C60" s="13"/>
    </row>
    <row r="61" spans="1:3" x14ac:dyDescent="0.3">
      <c r="A61" s="13"/>
      <c r="B61" s="13"/>
      <c r="C61" s="13"/>
    </row>
    <row r="62" spans="1:3" x14ac:dyDescent="0.3">
      <c r="A62" s="13"/>
      <c r="B62" s="13"/>
      <c r="C62" s="13"/>
    </row>
    <row r="63" spans="1:3" x14ac:dyDescent="0.3">
      <c r="A63" s="13"/>
      <c r="B63" s="13"/>
      <c r="C63" s="13"/>
    </row>
    <row r="64" spans="1:3" x14ac:dyDescent="0.3">
      <c r="A64" s="13"/>
      <c r="B64" s="13"/>
      <c r="C64" s="13"/>
    </row>
    <row r="65" spans="1:3" x14ac:dyDescent="0.3">
      <c r="A65" s="13"/>
      <c r="B65" s="13"/>
      <c r="C65" s="13"/>
    </row>
    <row r="66" spans="1:3" x14ac:dyDescent="0.3">
      <c r="A66" s="13"/>
      <c r="B66" s="13"/>
      <c r="C66" s="13"/>
    </row>
    <row r="67" spans="1:3" x14ac:dyDescent="0.3">
      <c r="A67" s="13"/>
      <c r="B67" s="13"/>
      <c r="C67" s="13"/>
    </row>
    <row r="68" spans="1:3" x14ac:dyDescent="0.3">
      <c r="A68" s="13"/>
      <c r="B68" s="13"/>
      <c r="C68" s="13"/>
    </row>
    <row r="69" spans="1:3" x14ac:dyDescent="0.3">
      <c r="A69" s="13"/>
      <c r="B69" s="13"/>
      <c r="C69" s="13"/>
    </row>
    <row r="70" spans="1:3" x14ac:dyDescent="0.3">
      <c r="A70" s="13"/>
      <c r="B70" s="13"/>
      <c r="C70" s="13"/>
    </row>
    <row r="71" spans="1:3" x14ac:dyDescent="0.3">
      <c r="A71" s="13"/>
      <c r="B71" s="13"/>
      <c r="C71" s="13"/>
    </row>
    <row r="72" spans="1:3" x14ac:dyDescent="0.3">
      <c r="A72" s="13"/>
      <c r="B72" s="13"/>
      <c r="C72" s="13"/>
    </row>
    <row r="73" spans="1:3" x14ac:dyDescent="0.3">
      <c r="A73" s="13"/>
      <c r="B73" s="13"/>
      <c r="C73" s="13"/>
    </row>
    <row r="74" spans="1:3" x14ac:dyDescent="0.3">
      <c r="A74" s="13"/>
      <c r="B74" s="13"/>
      <c r="C74" s="13"/>
    </row>
    <row r="75" spans="1:3" x14ac:dyDescent="0.3">
      <c r="A75" s="13"/>
      <c r="B75" s="13"/>
      <c r="C75" s="13"/>
    </row>
    <row r="76" spans="1:3" x14ac:dyDescent="0.3">
      <c r="A76" s="13"/>
      <c r="B76" s="13"/>
      <c r="C76" s="13"/>
    </row>
    <row r="77" spans="1:3" x14ac:dyDescent="0.3">
      <c r="A77" s="13"/>
      <c r="B77" s="13"/>
      <c r="C77" s="13"/>
    </row>
    <row r="78" spans="1:3" x14ac:dyDescent="0.3">
      <c r="A78" s="13"/>
      <c r="B78" s="13"/>
      <c r="C78" s="13"/>
    </row>
    <row r="79" spans="1:3" x14ac:dyDescent="0.3">
      <c r="A79" s="13"/>
      <c r="B79" s="13"/>
      <c r="C79" s="13"/>
    </row>
    <row r="80" spans="1:3" x14ac:dyDescent="0.3">
      <c r="A80" s="13"/>
      <c r="B80" s="13"/>
      <c r="C80" s="13"/>
    </row>
    <row r="81" spans="1:3" x14ac:dyDescent="0.3">
      <c r="A81" s="13"/>
      <c r="B81" s="13"/>
      <c r="C81" s="13"/>
    </row>
    <row r="82" spans="1:3" x14ac:dyDescent="0.3">
      <c r="A82" s="13"/>
      <c r="B82" s="13"/>
      <c r="C82" s="13"/>
    </row>
    <row r="83" spans="1:3" x14ac:dyDescent="0.3">
      <c r="A83" s="13"/>
      <c r="B83" s="13"/>
      <c r="C83" s="13"/>
    </row>
    <row r="84" spans="1:3" x14ac:dyDescent="0.3">
      <c r="A84" s="13"/>
      <c r="B84" s="13"/>
      <c r="C84" s="13"/>
    </row>
    <row r="85" spans="1:3" x14ac:dyDescent="0.3">
      <c r="A85" s="13"/>
      <c r="B85" s="13"/>
      <c r="C85" s="13"/>
    </row>
    <row r="86" spans="1:3" x14ac:dyDescent="0.3">
      <c r="A86" s="13"/>
      <c r="B86" s="13"/>
      <c r="C86" s="13"/>
    </row>
    <row r="87" spans="1:3" x14ac:dyDescent="0.3">
      <c r="A87" s="13"/>
      <c r="B87" s="13"/>
      <c r="C87" s="13"/>
    </row>
    <row r="88" spans="1:3" x14ac:dyDescent="0.3">
      <c r="A88" s="13"/>
      <c r="B88" s="13"/>
      <c r="C88" s="13"/>
    </row>
    <row r="89" spans="1:3" x14ac:dyDescent="0.3">
      <c r="A89" s="13"/>
      <c r="B89" s="13"/>
      <c r="C89" s="13"/>
    </row>
    <row r="90" spans="1:3" x14ac:dyDescent="0.3">
      <c r="A90" s="13"/>
      <c r="B90" s="13"/>
      <c r="C90" s="13"/>
    </row>
    <row r="91" spans="1:3" x14ac:dyDescent="0.3">
      <c r="A91" s="13"/>
      <c r="B91" s="13"/>
      <c r="C91" s="13"/>
    </row>
    <row r="92" spans="1:3" x14ac:dyDescent="0.3">
      <c r="A92" s="13"/>
      <c r="B92" s="13"/>
      <c r="C92" s="13"/>
    </row>
    <row r="93" spans="1:3" x14ac:dyDescent="0.3">
      <c r="A93" s="13"/>
      <c r="B93" s="13"/>
      <c r="C93" s="13"/>
    </row>
    <row r="94" spans="1:3" x14ac:dyDescent="0.3">
      <c r="A94" s="13"/>
      <c r="B94" s="13"/>
      <c r="C94" s="13"/>
    </row>
    <row r="95" spans="1:3" x14ac:dyDescent="0.3">
      <c r="A95" s="13"/>
      <c r="B95" s="13"/>
      <c r="C95" s="13"/>
    </row>
    <row r="96" spans="1:3" x14ac:dyDescent="0.3">
      <c r="A96" s="13"/>
      <c r="B96" s="13"/>
      <c r="C96" s="13"/>
    </row>
    <row r="97" spans="1:3" x14ac:dyDescent="0.3">
      <c r="A97" s="13"/>
      <c r="B97" s="13"/>
      <c r="C97" s="13"/>
    </row>
    <row r="98" spans="1:3" x14ac:dyDescent="0.3">
      <c r="A98" s="13"/>
      <c r="B98" s="13"/>
      <c r="C98" s="13"/>
    </row>
    <row r="99" spans="1:3" x14ac:dyDescent="0.3">
      <c r="A99" s="13"/>
      <c r="B99" s="13"/>
      <c r="C99" s="13"/>
    </row>
    <row r="100" spans="1:3" x14ac:dyDescent="0.3">
      <c r="A100" s="13"/>
      <c r="B100" s="13"/>
      <c r="C100" s="13"/>
    </row>
    <row r="101" spans="1:3" x14ac:dyDescent="0.3">
      <c r="A101" s="13"/>
      <c r="B101" s="13"/>
      <c r="C101" s="13"/>
    </row>
    <row r="102" spans="1:3" x14ac:dyDescent="0.3">
      <c r="A102" s="13"/>
      <c r="B102" s="13"/>
      <c r="C102" s="13"/>
    </row>
    <row r="103" spans="1:3" x14ac:dyDescent="0.3">
      <c r="A103" s="13"/>
      <c r="B103" s="13"/>
      <c r="C103" s="13"/>
    </row>
    <row r="104" spans="1:3" x14ac:dyDescent="0.3">
      <c r="A104" s="13"/>
      <c r="B104" s="13"/>
      <c r="C104" s="13"/>
    </row>
    <row r="105" spans="1:3" x14ac:dyDescent="0.3">
      <c r="A105" s="13"/>
      <c r="B105" s="13"/>
      <c r="C105" s="13"/>
    </row>
    <row r="106" spans="1:3" x14ac:dyDescent="0.3">
      <c r="A106" s="13"/>
      <c r="B106" s="13"/>
      <c r="C106" s="13"/>
    </row>
    <row r="107" spans="1:3" x14ac:dyDescent="0.3">
      <c r="A107" s="13"/>
      <c r="B107" s="13"/>
      <c r="C107" s="13"/>
    </row>
    <row r="108" spans="1:3" x14ac:dyDescent="0.3">
      <c r="A108" s="13"/>
      <c r="B108" s="13"/>
      <c r="C108" s="13"/>
    </row>
    <row r="109" spans="1:3" x14ac:dyDescent="0.3">
      <c r="A109" s="13"/>
      <c r="B109" s="13"/>
      <c r="C109" s="13"/>
    </row>
    <row r="110" spans="1:3" x14ac:dyDescent="0.3">
      <c r="A110" s="13"/>
      <c r="B110" s="13"/>
      <c r="C110" s="13"/>
    </row>
    <row r="111" spans="1:3" x14ac:dyDescent="0.3">
      <c r="A111" s="13"/>
      <c r="B111" s="13"/>
      <c r="C111" s="13"/>
    </row>
    <row r="112" spans="1:3" x14ac:dyDescent="0.3">
      <c r="A112" s="13"/>
      <c r="B112" s="13"/>
      <c r="C112" s="13"/>
    </row>
    <row r="113" spans="1:3" x14ac:dyDescent="0.3">
      <c r="A113" s="13"/>
      <c r="B113" s="13"/>
      <c r="C113" s="13"/>
    </row>
    <row r="114" spans="1:3" x14ac:dyDescent="0.3">
      <c r="A114" s="13"/>
      <c r="B114" s="13"/>
      <c r="C114" s="13"/>
    </row>
    <row r="115" spans="1:3" x14ac:dyDescent="0.3">
      <c r="A115" s="13"/>
      <c r="B115" s="13"/>
      <c r="C115" s="13"/>
    </row>
    <row r="116" spans="1:3" x14ac:dyDescent="0.3">
      <c r="A116" s="13"/>
      <c r="B116" s="13"/>
      <c r="C116" s="13"/>
    </row>
    <row r="117" spans="1:3" x14ac:dyDescent="0.3">
      <c r="A117" s="13"/>
      <c r="B117" s="13"/>
      <c r="C117" s="13"/>
    </row>
    <row r="118" spans="1:3" x14ac:dyDescent="0.3">
      <c r="A118" s="13"/>
      <c r="B118" s="13"/>
      <c r="C118" s="13"/>
    </row>
    <row r="119" spans="1:3" x14ac:dyDescent="0.3">
      <c r="A119" s="13"/>
      <c r="B119" s="13"/>
      <c r="C119" s="13"/>
    </row>
    <row r="120" spans="1:3" x14ac:dyDescent="0.3">
      <c r="A120" s="13"/>
      <c r="B120" s="13"/>
      <c r="C120" s="13"/>
    </row>
    <row r="121" spans="1:3" x14ac:dyDescent="0.3">
      <c r="A121" s="13"/>
      <c r="B121" s="13"/>
      <c r="C121" s="13"/>
    </row>
    <row r="122" spans="1:3" x14ac:dyDescent="0.3">
      <c r="A122" s="13"/>
      <c r="B122" s="13"/>
      <c r="C122" s="13"/>
    </row>
    <row r="123" spans="1:3" x14ac:dyDescent="0.3">
      <c r="A123" s="13"/>
      <c r="B123" s="13"/>
      <c r="C123" s="13"/>
    </row>
    <row r="124" spans="1:3" x14ac:dyDescent="0.3">
      <c r="A124" s="13"/>
      <c r="B124" s="13"/>
      <c r="C124" s="13"/>
    </row>
    <row r="125" spans="1:3" x14ac:dyDescent="0.3">
      <c r="A125" s="13"/>
      <c r="B125" s="13"/>
      <c r="C125" s="13"/>
    </row>
    <row r="126" spans="1:3" x14ac:dyDescent="0.3">
      <c r="A126" s="13"/>
      <c r="B126" s="13"/>
      <c r="C126" s="13"/>
    </row>
    <row r="127" spans="1:3" x14ac:dyDescent="0.3">
      <c r="A127" s="13"/>
      <c r="B127" s="13"/>
      <c r="C127" s="13"/>
    </row>
    <row r="128" spans="1:3" x14ac:dyDescent="0.3">
      <c r="A128" s="13"/>
      <c r="B128" s="13"/>
      <c r="C128" s="13"/>
    </row>
    <row r="129" spans="1:3" x14ac:dyDescent="0.3">
      <c r="A129" s="13"/>
      <c r="B129" s="13"/>
      <c r="C129" s="13"/>
    </row>
    <row r="130" spans="1:3" x14ac:dyDescent="0.3">
      <c r="A130" s="13"/>
      <c r="B130" s="13"/>
      <c r="C130" s="13"/>
    </row>
    <row r="131" spans="1:3" x14ac:dyDescent="0.3">
      <c r="A131" s="13"/>
      <c r="B131" s="13"/>
      <c r="C131" s="13"/>
    </row>
    <row r="132" spans="1:3" x14ac:dyDescent="0.3">
      <c r="A132" s="13"/>
      <c r="B132" s="13"/>
      <c r="C132" s="13"/>
    </row>
    <row r="133" spans="1:3" x14ac:dyDescent="0.3">
      <c r="A133" s="13"/>
      <c r="B133" s="13"/>
      <c r="C133" s="13"/>
    </row>
    <row r="134" spans="1:3" x14ac:dyDescent="0.3">
      <c r="A134" s="13"/>
      <c r="B134" s="13"/>
      <c r="C134" s="13"/>
    </row>
    <row r="135" spans="1:3" x14ac:dyDescent="0.3">
      <c r="A135" s="13"/>
      <c r="B135" s="13"/>
      <c r="C135" s="13"/>
    </row>
    <row r="136" spans="1:3" x14ac:dyDescent="0.3">
      <c r="A136" s="13"/>
      <c r="B136" s="13"/>
      <c r="C136" s="13"/>
    </row>
    <row r="137" spans="1:3" x14ac:dyDescent="0.3">
      <c r="A137" s="13"/>
      <c r="B137" s="13"/>
      <c r="C137" s="13"/>
    </row>
    <row r="138" spans="1:3" x14ac:dyDescent="0.3">
      <c r="A138" s="13"/>
      <c r="B138" s="13"/>
      <c r="C138" s="13"/>
    </row>
    <row r="139" spans="1:3" x14ac:dyDescent="0.3">
      <c r="A139" s="13"/>
      <c r="B139" s="13"/>
      <c r="C139" s="13"/>
    </row>
    <row r="140" spans="1:3" x14ac:dyDescent="0.3">
      <c r="A140" s="13"/>
      <c r="B140" s="13"/>
      <c r="C140" s="13"/>
    </row>
    <row r="141" spans="1:3" x14ac:dyDescent="0.3">
      <c r="A141" s="13"/>
      <c r="B141" s="13"/>
      <c r="C141" s="13"/>
    </row>
    <row r="142" spans="1:3" x14ac:dyDescent="0.3">
      <c r="A142" s="13"/>
      <c r="B142" s="13"/>
      <c r="C142" s="13"/>
    </row>
    <row r="143" spans="1:3" x14ac:dyDescent="0.3">
      <c r="A143" s="13"/>
      <c r="B143" s="13"/>
      <c r="C143" s="13"/>
    </row>
    <row r="144" spans="1:3" x14ac:dyDescent="0.3">
      <c r="A144" s="13"/>
      <c r="B144" s="13"/>
      <c r="C144" s="13"/>
    </row>
    <row r="145" spans="1:3" x14ac:dyDescent="0.3">
      <c r="A145" s="13"/>
      <c r="B145" s="13"/>
      <c r="C145" s="13"/>
    </row>
    <row r="146" spans="1:3" x14ac:dyDescent="0.3">
      <c r="A146" s="13"/>
      <c r="B146" s="13"/>
      <c r="C146" s="13"/>
    </row>
    <row r="147" spans="1:3" x14ac:dyDescent="0.3">
      <c r="A147" s="13"/>
      <c r="B147" s="13"/>
      <c r="C147" s="13"/>
    </row>
    <row r="148" spans="1:3" x14ac:dyDescent="0.3">
      <c r="A148" s="13"/>
      <c r="B148" s="13"/>
      <c r="C148" s="13"/>
    </row>
    <row r="149" spans="1:3" x14ac:dyDescent="0.3">
      <c r="A149" s="13"/>
      <c r="B149" s="13"/>
      <c r="C149" s="13"/>
    </row>
    <row r="150" spans="1:3" x14ac:dyDescent="0.3">
      <c r="A150" s="13"/>
      <c r="B150" s="13"/>
      <c r="C150" s="13"/>
    </row>
    <row r="151" spans="1:3" x14ac:dyDescent="0.3">
      <c r="A151" s="13"/>
      <c r="B151" s="13"/>
      <c r="C151" s="13"/>
    </row>
    <row r="152" spans="1:3" x14ac:dyDescent="0.3">
      <c r="A152" s="13"/>
      <c r="B152" s="13"/>
      <c r="C152" s="13"/>
    </row>
    <row r="153" spans="1:3" x14ac:dyDescent="0.3">
      <c r="A153" s="13"/>
      <c r="B153" s="13"/>
      <c r="C153" s="13"/>
    </row>
    <row r="154" spans="1:3" x14ac:dyDescent="0.3">
      <c r="A154" s="13"/>
      <c r="B154" s="13"/>
      <c r="C154" s="13"/>
    </row>
    <row r="155" spans="1:3" x14ac:dyDescent="0.3">
      <c r="A155" s="13"/>
      <c r="B155" s="13"/>
      <c r="C155" s="13"/>
    </row>
    <row r="156" spans="1:3" x14ac:dyDescent="0.3">
      <c r="A156" s="13"/>
      <c r="B156" s="13"/>
      <c r="C156" s="13"/>
    </row>
    <row r="157" spans="1:3" x14ac:dyDescent="0.3">
      <c r="A157" s="13"/>
      <c r="B157" s="13"/>
      <c r="C157" s="13"/>
    </row>
    <row r="158" spans="1:3" x14ac:dyDescent="0.3">
      <c r="A158" s="13"/>
      <c r="B158" s="13"/>
      <c r="C158" s="13"/>
    </row>
    <row r="159" spans="1:3" x14ac:dyDescent="0.3">
      <c r="A159" s="13"/>
      <c r="B159" s="13"/>
      <c r="C159" s="13"/>
    </row>
    <row r="160" spans="1:3" x14ac:dyDescent="0.3">
      <c r="A160" s="13"/>
      <c r="B160" s="13"/>
      <c r="C160" s="13"/>
    </row>
    <row r="161" spans="1:3" x14ac:dyDescent="0.3">
      <c r="A161" s="13"/>
      <c r="B161" s="13"/>
      <c r="C161" s="13"/>
    </row>
    <row r="162" spans="1:3" x14ac:dyDescent="0.3">
      <c r="A162" s="13"/>
      <c r="B162" s="13"/>
      <c r="C162" s="13"/>
    </row>
    <row r="163" spans="1:3" x14ac:dyDescent="0.3">
      <c r="A163" s="13"/>
      <c r="B163" s="13"/>
      <c r="C163" s="13"/>
    </row>
    <row r="164" spans="1:3" x14ac:dyDescent="0.3">
      <c r="A164" s="13"/>
      <c r="B164" s="13"/>
      <c r="C164" s="13"/>
    </row>
    <row r="165" spans="1:3" x14ac:dyDescent="0.3">
      <c r="A165" s="13"/>
      <c r="B165" s="13"/>
      <c r="C165" s="13"/>
    </row>
    <row r="166" spans="1:3" x14ac:dyDescent="0.3">
      <c r="A166" s="13"/>
      <c r="B166" s="13"/>
      <c r="C166" s="13"/>
    </row>
    <row r="167" spans="1:3" x14ac:dyDescent="0.3">
      <c r="A167" s="13"/>
      <c r="B167" s="13"/>
      <c r="C167" s="13"/>
    </row>
    <row r="168" spans="1:3" x14ac:dyDescent="0.3">
      <c r="A168" s="13"/>
      <c r="B168" s="13"/>
      <c r="C168" s="13"/>
    </row>
    <row r="169" spans="1:3" x14ac:dyDescent="0.3">
      <c r="A169" s="13"/>
      <c r="B169" s="13"/>
      <c r="C169" s="13"/>
    </row>
    <row r="170" spans="1:3" x14ac:dyDescent="0.3">
      <c r="A170" s="13"/>
      <c r="B170" s="13"/>
      <c r="C170" s="13"/>
    </row>
    <row r="171" spans="1:3" x14ac:dyDescent="0.3">
      <c r="A171" s="13"/>
      <c r="B171" s="13"/>
      <c r="C171" s="13"/>
    </row>
    <row r="172" spans="1:3" x14ac:dyDescent="0.3">
      <c r="A172" s="13"/>
      <c r="B172" s="13"/>
      <c r="C172" s="13"/>
    </row>
    <row r="173" spans="1:3" x14ac:dyDescent="0.3">
      <c r="A173" s="13"/>
      <c r="B173" s="13"/>
      <c r="C173" s="13"/>
    </row>
    <row r="174" spans="1:3" x14ac:dyDescent="0.3">
      <c r="A174" s="13"/>
      <c r="B174" s="13"/>
      <c r="C174" s="13"/>
    </row>
    <row r="175" spans="1:3" x14ac:dyDescent="0.3">
      <c r="A175" s="13"/>
      <c r="B175" s="13"/>
      <c r="C175" s="13"/>
    </row>
    <row r="176" spans="1:3" x14ac:dyDescent="0.3">
      <c r="A176" s="13"/>
      <c r="B176" s="13"/>
      <c r="C176" s="13"/>
    </row>
    <row r="177" spans="1:3" x14ac:dyDescent="0.3">
      <c r="A177" s="13"/>
      <c r="B177" s="13"/>
      <c r="C177" s="13"/>
    </row>
    <row r="178" spans="1:3" x14ac:dyDescent="0.3">
      <c r="A178" s="13"/>
      <c r="B178" s="13"/>
      <c r="C178" s="13"/>
    </row>
    <row r="179" spans="1:3" x14ac:dyDescent="0.3">
      <c r="A179" s="13"/>
      <c r="B179" s="13"/>
      <c r="C179" s="13"/>
    </row>
    <row r="180" spans="1:3" x14ac:dyDescent="0.3">
      <c r="A180" s="13"/>
      <c r="B180" s="13"/>
      <c r="C180" s="13"/>
    </row>
    <row r="181" spans="1:3" x14ac:dyDescent="0.3">
      <c r="A181" s="13"/>
      <c r="B181" s="13"/>
      <c r="C181" s="13"/>
    </row>
    <row r="182" spans="1:3" x14ac:dyDescent="0.3">
      <c r="A182" s="13"/>
      <c r="B182" s="13"/>
      <c r="C182" s="13"/>
    </row>
    <row r="183" spans="1:3" x14ac:dyDescent="0.3">
      <c r="A183" s="13"/>
      <c r="B183" s="13"/>
      <c r="C183" s="13"/>
    </row>
    <row r="184" spans="1:3" x14ac:dyDescent="0.3">
      <c r="A184" s="13"/>
      <c r="B184" s="13"/>
      <c r="C184" s="13"/>
    </row>
    <row r="185" spans="1:3" x14ac:dyDescent="0.3">
      <c r="A185" s="13"/>
      <c r="B185" s="13"/>
      <c r="C185" s="13"/>
    </row>
    <row r="186" spans="1:3" x14ac:dyDescent="0.3">
      <c r="A186" s="13"/>
      <c r="B186" s="13"/>
      <c r="C186" s="13"/>
    </row>
    <row r="187" spans="1:3" x14ac:dyDescent="0.3">
      <c r="A187" s="13"/>
      <c r="B187" s="13"/>
      <c r="C187" s="13"/>
    </row>
    <row r="188" spans="1:3" x14ac:dyDescent="0.3">
      <c r="A188" s="13"/>
      <c r="B188" s="13"/>
      <c r="C188" s="13"/>
    </row>
    <row r="189" spans="1:3" x14ac:dyDescent="0.3">
      <c r="A189" s="13"/>
      <c r="B189" s="13"/>
      <c r="C189" s="13"/>
    </row>
    <row r="190" spans="1:3" x14ac:dyDescent="0.3">
      <c r="A190" s="13"/>
      <c r="B190" s="13"/>
      <c r="C190" s="13"/>
    </row>
    <row r="191" spans="1:3" x14ac:dyDescent="0.3">
      <c r="A191" s="13"/>
      <c r="B191" s="13"/>
      <c r="C191" s="13"/>
    </row>
    <row r="192" spans="1:3" x14ac:dyDescent="0.3">
      <c r="A192" s="13"/>
      <c r="B192" s="13"/>
      <c r="C192" s="13"/>
    </row>
    <row r="193" spans="1:3" x14ac:dyDescent="0.3">
      <c r="A193" s="13"/>
      <c r="B193" s="13"/>
      <c r="C193" s="13"/>
    </row>
    <row r="194" spans="1:3" x14ac:dyDescent="0.3">
      <c r="A194" s="13"/>
      <c r="B194" s="13"/>
      <c r="C194" s="13"/>
    </row>
    <row r="195" spans="1:3" x14ac:dyDescent="0.3">
      <c r="A195" s="13"/>
      <c r="B195" s="13"/>
      <c r="C195" s="13"/>
    </row>
    <row r="196" spans="1:3" x14ac:dyDescent="0.3">
      <c r="A196" s="13"/>
      <c r="B196" s="13"/>
      <c r="C196" s="13"/>
    </row>
    <row r="197" spans="1:3" x14ac:dyDescent="0.3">
      <c r="A197" s="13"/>
      <c r="B197" s="13"/>
      <c r="C197" s="13"/>
    </row>
    <row r="198" spans="1:3" x14ac:dyDescent="0.3">
      <c r="A198" s="13"/>
      <c r="B198" s="13"/>
      <c r="C198" s="13"/>
    </row>
    <row r="199" spans="1:3" x14ac:dyDescent="0.3">
      <c r="A199" s="13"/>
      <c r="B199" s="13"/>
      <c r="C199" s="13"/>
    </row>
    <row r="200" spans="1:3" x14ac:dyDescent="0.3">
      <c r="A200" s="13"/>
      <c r="B200" s="13"/>
      <c r="C200" s="13"/>
    </row>
    <row r="201" spans="1:3" x14ac:dyDescent="0.3">
      <c r="A201" s="13"/>
      <c r="B201" s="13"/>
      <c r="C201" s="13"/>
    </row>
    <row r="202" spans="1:3" x14ac:dyDescent="0.3">
      <c r="A202" s="13"/>
      <c r="B202" s="13"/>
      <c r="C202" s="13"/>
    </row>
    <row r="203" spans="1:3" x14ac:dyDescent="0.3">
      <c r="A203" s="13"/>
      <c r="B203" s="13"/>
      <c r="C203" s="13"/>
    </row>
    <row r="204" spans="1:3" x14ac:dyDescent="0.3">
      <c r="A204" s="13"/>
      <c r="B204" s="13"/>
      <c r="C204" s="13"/>
    </row>
    <row r="205" spans="1:3" x14ac:dyDescent="0.3">
      <c r="A205" s="13"/>
      <c r="B205" s="13"/>
      <c r="C205" s="13"/>
    </row>
    <row r="206" spans="1:3" x14ac:dyDescent="0.3">
      <c r="A206" s="13"/>
      <c r="B206" s="13"/>
      <c r="C206" s="13"/>
    </row>
    <row r="207" spans="1:3" x14ac:dyDescent="0.3">
      <c r="A207" s="13"/>
      <c r="B207" s="13"/>
      <c r="C207" s="13"/>
    </row>
    <row r="208" spans="1:3" x14ac:dyDescent="0.3">
      <c r="A208" s="13"/>
      <c r="B208" s="13"/>
      <c r="C208" s="13"/>
    </row>
    <row r="209" spans="1:3" x14ac:dyDescent="0.3">
      <c r="A209" s="13"/>
      <c r="B209" s="13"/>
      <c r="C209" s="13"/>
    </row>
    <row r="210" spans="1:3" x14ac:dyDescent="0.3">
      <c r="A210" s="13"/>
      <c r="B210" s="13"/>
      <c r="C210" s="13"/>
    </row>
    <row r="211" spans="1:3" x14ac:dyDescent="0.3">
      <c r="A211" s="13"/>
      <c r="B211" s="13"/>
      <c r="C211" s="13"/>
    </row>
    <row r="212" spans="1:3" x14ac:dyDescent="0.3">
      <c r="A212" s="13"/>
      <c r="B212" s="13"/>
      <c r="C212" s="13"/>
    </row>
    <row r="213" spans="1:3" x14ac:dyDescent="0.3">
      <c r="A213" s="13"/>
      <c r="B213" s="13"/>
      <c r="C213" s="13"/>
    </row>
    <row r="214" spans="1:3" x14ac:dyDescent="0.3">
      <c r="A214" s="13"/>
      <c r="B214" s="13"/>
      <c r="C214" s="13"/>
    </row>
    <row r="215" spans="1:3" x14ac:dyDescent="0.3">
      <c r="A215" s="13"/>
      <c r="B215" s="13"/>
      <c r="C215" s="13"/>
    </row>
    <row r="216" spans="1:3" x14ac:dyDescent="0.3">
      <c r="A216" s="13"/>
      <c r="B216" s="13"/>
      <c r="C216" s="13"/>
    </row>
    <row r="217" spans="1:3" x14ac:dyDescent="0.3">
      <c r="A217" s="13"/>
      <c r="B217" s="13"/>
      <c r="C217" s="13"/>
    </row>
    <row r="218" spans="1:3" x14ac:dyDescent="0.3">
      <c r="A218" s="13"/>
      <c r="B218" s="13"/>
      <c r="C218" s="13"/>
    </row>
    <row r="219" spans="1:3" x14ac:dyDescent="0.3">
      <c r="A219" s="13"/>
      <c r="B219" s="13"/>
      <c r="C219" s="13"/>
    </row>
    <row r="220" spans="1:3" x14ac:dyDescent="0.3">
      <c r="A220" s="13"/>
      <c r="B220" s="13"/>
      <c r="C220" s="13"/>
    </row>
    <row r="221" spans="1:3" x14ac:dyDescent="0.3">
      <c r="A221" s="13"/>
      <c r="B221" s="13"/>
      <c r="C221" s="13"/>
    </row>
    <row r="222" spans="1:3" x14ac:dyDescent="0.3">
      <c r="A222" s="13"/>
      <c r="B222" s="13"/>
      <c r="C222" s="13"/>
    </row>
    <row r="223" spans="1:3" x14ac:dyDescent="0.3">
      <c r="A223" s="13"/>
      <c r="B223" s="13"/>
      <c r="C223" s="13"/>
    </row>
    <row r="224" spans="1:3" x14ac:dyDescent="0.3">
      <c r="A224" s="13"/>
      <c r="B224" s="13"/>
      <c r="C224" s="13"/>
    </row>
    <row r="225" spans="1:3" x14ac:dyDescent="0.3">
      <c r="A225" s="13"/>
      <c r="B225" s="13"/>
      <c r="C225" s="13"/>
    </row>
    <row r="226" spans="1:3" x14ac:dyDescent="0.3">
      <c r="A226" s="13"/>
      <c r="B226" s="13"/>
      <c r="C226" s="13"/>
    </row>
    <row r="227" spans="1:3" x14ac:dyDescent="0.3">
      <c r="A227" s="13"/>
      <c r="B227" s="13"/>
      <c r="C227" s="13"/>
    </row>
    <row r="228" spans="1:3" x14ac:dyDescent="0.3">
      <c r="A228" s="13"/>
      <c r="B228" s="13"/>
      <c r="C228" s="13"/>
    </row>
    <row r="229" spans="1:3" x14ac:dyDescent="0.3">
      <c r="A229" s="13"/>
      <c r="B229" s="13"/>
      <c r="C229" s="13"/>
    </row>
    <row r="230" spans="1:3" x14ac:dyDescent="0.3">
      <c r="A230" s="13"/>
      <c r="B230" s="13"/>
      <c r="C230" s="13"/>
    </row>
    <row r="231" spans="1:3" x14ac:dyDescent="0.3">
      <c r="A231" s="13"/>
      <c r="B231" s="13"/>
      <c r="C231" s="13"/>
    </row>
    <row r="232" spans="1:3" x14ac:dyDescent="0.3">
      <c r="A232" s="13"/>
      <c r="B232" s="13"/>
      <c r="C232" s="13"/>
    </row>
    <row r="233" spans="1:3" x14ac:dyDescent="0.3">
      <c r="A233" s="13"/>
      <c r="B233" s="13"/>
      <c r="C233" s="13"/>
    </row>
    <row r="234" spans="1:3" x14ac:dyDescent="0.3">
      <c r="A234" s="13"/>
      <c r="B234" s="13"/>
      <c r="C234" s="13"/>
    </row>
    <row r="235" spans="1:3" x14ac:dyDescent="0.3">
      <c r="A235" s="13"/>
      <c r="B235" s="13"/>
      <c r="C235" s="13"/>
    </row>
    <row r="236" spans="1:3" x14ac:dyDescent="0.3">
      <c r="A236" s="13"/>
      <c r="B236" s="13"/>
      <c r="C236" s="13"/>
    </row>
    <row r="237" spans="1:3" x14ac:dyDescent="0.3">
      <c r="A237" s="13"/>
      <c r="B237" s="13"/>
      <c r="C237" s="13"/>
    </row>
    <row r="238" spans="1:3" x14ac:dyDescent="0.3">
      <c r="A238" s="13"/>
      <c r="B238" s="13"/>
      <c r="C238" s="13"/>
    </row>
    <row r="239" spans="1:3" x14ac:dyDescent="0.3">
      <c r="A239" s="13"/>
      <c r="B239" s="13"/>
      <c r="C239" s="13"/>
    </row>
    <row r="240" spans="1:3" x14ac:dyDescent="0.3">
      <c r="A240" s="13"/>
      <c r="B240" s="13"/>
      <c r="C240" s="13"/>
    </row>
    <row r="241" spans="1:3" x14ac:dyDescent="0.3">
      <c r="A241" s="13"/>
      <c r="B241" s="13"/>
      <c r="C241" s="13"/>
    </row>
    <row r="242" spans="1:3" x14ac:dyDescent="0.3">
      <c r="A242" s="13"/>
      <c r="B242" s="13"/>
      <c r="C242" s="13"/>
    </row>
    <row r="243" spans="1:3" x14ac:dyDescent="0.3">
      <c r="A243" s="13"/>
      <c r="B243" s="13"/>
      <c r="C243" s="13"/>
    </row>
    <row r="244" spans="1:3" x14ac:dyDescent="0.3">
      <c r="A244" s="13"/>
      <c r="B244" s="13"/>
      <c r="C244" s="13"/>
    </row>
    <row r="245" spans="1:3" x14ac:dyDescent="0.3">
      <c r="A245" s="13"/>
      <c r="B245" s="13"/>
      <c r="C245" s="13"/>
    </row>
    <row r="246" spans="1:3" x14ac:dyDescent="0.3">
      <c r="A246" s="13"/>
      <c r="B246" s="13"/>
      <c r="C246" s="13"/>
    </row>
    <row r="247" spans="1:3" x14ac:dyDescent="0.3">
      <c r="A247" s="13"/>
      <c r="B247" s="13"/>
      <c r="C247" s="13"/>
    </row>
    <row r="248" spans="1:3" x14ac:dyDescent="0.3">
      <c r="A248" s="13"/>
      <c r="B248" s="13"/>
      <c r="C248" s="13"/>
    </row>
    <row r="249" spans="1:3" x14ac:dyDescent="0.3">
      <c r="A249" s="13"/>
      <c r="B249" s="13"/>
      <c r="C249" s="13"/>
    </row>
    <row r="250" spans="1:3" x14ac:dyDescent="0.3">
      <c r="A250" s="13"/>
      <c r="B250" s="13"/>
      <c r="C250" s="13"/>
    </row>
    <row r="251" spans="1:3" x14ac:dyDescent="0.3">
      <c r="A251" s="13"/>
      <c r="B251" s="13"/>
      <c r="C251" s="13"/>
    </row>
    <row r="252" spans="1:3" x14ac:dyDescent="0.3">
      <c r="A252" s="13"/>
      <c r="B252" s="13"/>
      <c r="C252" s="13"/>
    </row>
    <row r="253" spans="1:3" x14ac:dyDescent="0.3">
      <c r="A253" s="13"/>
      <c r="B253" s="13"/>
      <c r="C253" s="13"/>
    </row>
    <row r="254" spans="1:3" x14ac:dyDescent="0.3">
      <c r="A254" s="13"/>
      <c r="B254" s="13"/>
      <c r="C254" s="13"/>
    </row>
    <row r="255" spans="1:3" x14ac:dyDescent="0.3">
      <c r="A255" s="13"/>
      <c r="B255" s="13"/>
      <c r="C255" s="13"/>
    </row>
    <row r="256" spans="1:3" x14ac:dyDescent="0.3">
      <c r="A256" s="13"/>
      <c r="B256" s="13"/>
      <c r="C256" s="13"/>
    </row>
    <row r="257" spans="1:3" x14ac:dyDescent="0.3">
      <c r="A257" s="13"/>
      <c r="B257" s="13"/>
      <c r="C257" s="13"/>
    </row>
    <row r="258" spans="1:3" x14ac:dyDescent="0.3">
      <c r="A258" s="13"/>
      <c r="B258" s="13"/>
      <c r="C258" s="13"/>
    </row>
    <row r="259" spans="1:3" x14ac:dyDescent="0.3">
      <c r="A259" s="13"/>
      <c r="B259" s="13"/>
      <c r="C259" s="13"/>
    </row>
    <row r="260" spans="1:3" x14ac:dyDescent="0.3">
      <c r="A260" s="13"/>
      <c r="B260" s="13"/>
      <c r="C260" s="13"/>
    </row>
    <row r="261" spans="1:3" x14ac:dyDescent="0.3">
      <c r="A261" s="13"/>
      <c r="B261" s="13"/>
      <c r="C261" s="13"/>
    </row>
    <row r="262" spans="1:3" x14ac:dyDescent="0.3">
      <c r="A262" s="13"/>
      <c r="B262" s="13"/>
      <c r="C262" s="13"/>
    </row>
    <row r="263" spans="1:3" x14ac:dyDescent="0.3">
      <c r="A263" s="13"/>
      <c r="B263" s="13"/>
      <c r="C263" s="13"/>
    </row>
    <row r="264" spans="1:3" x14ac:dyDescent="0.3">
      <c r="A264" s="13"/>
      <c r="B264" s="13"/>
      <c r="C264" s="13"/>
    </row>
    <row r="265" spans="1:3" x14ac:dyDescent="0.3">
      <c r="A265" s="13"/>
      <c r="B265" s="13"/>
      <c r="C265" s="13"/>
    </row>
    <row r="266" spans="1:3" x14ac:dyDescent="0.3">
      <c r="A266" s="13"/>
      <c r="B266" s="13"/>
      <c r="C266" s="13"/>
    </row>
    <row r="267" spans="1:3" x14ac:dyDescent="0.3">
      <c r="A267" s="13"/>
      <c r="B267" s="13"/>
      <c r="C267" s="13"/>
    </row>
    <row r="268" spans="1:3" x14ac:dyDescent="0.3">
      <c r="A268" s="13"/>
      <c r="B268" s="13"/>
      <c r="C268" s="13"/>
    </row>
    <row r="269" spans="1:3" x14ac:dyDescent="0.3">
      <c r="A269" s="13"/>
      <c r="B269" s="13"/>
      <c r="C269" s="13"/>
    </row>
    <row r="270" spans="1:3" x14ac:dyDescent="0.3">
      <c r="A270" s="13"/>
      <c r="B270" s="13"/>
      <c r="C270" s="13"/>
    </row>
    <row r="271" spans="1:3" x14ac:dyDescent="0.3">
      <c r="A271" s="13"/>
      <c r="B271" s="13"/>
      <c r="C271" s="13"/>
    </row>
    <row r="272" spans="1:3" x14ac:dyDescent="0.3">
      <c r="A272" s="13"/>
      <c r="B272" s="13"/>
      <c r="C272" s="13"/>
    </row>
    <row r="273" spans="1:3" x14ac:dyDescent="0.3">
      <c r="A273" s="13"/>
      <c r="B273" s="13"/>
      <c r="C273" s="13"/>
    </row>
    <row r="274" spans="1:3" x14ac:dyDescent="0.3">
      <c r="A274" s="13"/>
      <c r="B274" s="13"/>
      <c r="C274" s="13"/>
    </row>
    <row r="275" spans="1:3" x14ac:dyDescent="0.3">
      <c r="A275" s="13"/>
      <c r="B275" s="13"/>
      <c r="C275" s="13"/>
    </row>
    <row r="276" spans="1:3" x14ac:dyDescent="0.3">
      <c r="A276" s="13"/>
      <c r="B276" s="13"/>
      <c r="C276" s="13"/>
    </row>
    <row r="277" spans="1:3" x14ac:dyDescent="0.3">
      <c r="A277" s="13"/>
      <c r="B277" s="13"/>
      <c r="C277" s="13"/>
    </row>
    <row r="278" spans="1:3" x14ac:dyDescent="0.3">
      <c r="A278" s="13"/>
      <c r="B278" s="13"/>
      <c r="C278" s="13"/>
    </row>
    <row r="279" spans="1:3" x14ac:dyDescent="0.3">
      <c r="A279" s="13"/>
      <c r="B279" s="13"/>
      <c r="C279" s="13"/>
    </row>
    <row r="280" spans="1:3" x14ac:dyDescent="0.3">
      <c r="A280" s="13"/>
      <c r="B280" s="13"/>
      <c r="C280" s="13"/>
    </row>
    <row r="281" spans="1:3" x14ac:dyDescent="0.3">
      <c r="A281" s="13"/>
      <c r="B281" s="13"/>
      <c r="C281" s="13"/>
    </row>
    <row r="282" spans="1:3" x14ac:dyDescent="0.3">
      <c r="A282" s="13"/>
      <c r="B282" s="13"/>
      <c r="C282" s="13"/>
    </row>
    <row r="283" spans="1:3" x14ac:dyDescent="0.3">
      <c r="A283" s="13"/>
      <c r="B283" s="13"/>
      <c r="C283" s="13"/>
    </row>
    <row r="284" spans="1:3" x14ac:dyDescent="0.3">
      <c r="A284" s="13"/>
      <c r="B284" s="13"/>
      <c r="C284" s="13"/>
    </row>
    <row r="285" spans="1:3" x14ac:dyDescent="0.3">
      <c r="A285" s="13"/>
      <c r="B285" s="13"/>
      <c r="C285" s="13"/>
    </row>
    <row r="286" spans="1:3" x14ac:dyDescent="0.3">
      <c r="A286" s="13"/>
      <c r="B286" s="13"/>
      <c r="C286" s="13"/>
    </row>
    <row r="287" spans="1:3" x14ac:dyDescent="0.3">
      <c r="A287" s="13"/>
      <c r="B287" s="13"/>
      <c r="C287" s="13"/>
    </row>
    <row r="288" spans="1:3" x14ac:dyDescent="0.3">
      <c r="A288" s="13"/>
      <c r="B288" s="13"/>
      <c r="C288" s="13"/>
    </row>
    <row r="289" spans="1:3" x14ac:dyDescent="0.3">
      <c r="A289" s="13"/>
      <c r="B289" s="13"/>
      <c r="C289" s="13"/>
    </row>
    <row r="290" spans="1:3" x14ac:dyDescent="0.3">
      <c r="A290" s="13"/>
      <c r="B290" s="13"/>
      <c r="C290" s="13"/>
    </row>
    <row r="291" spans="1:3" x14ac:dyDescent="0.3">
      <c r="A291" s="13"/>
      <c r="B291" s="13"/>
      <c r="C291" s="13"/>
    </row>
    <row r="292" spans="1:3" x14ac:dyDescent="0.3">
      <c r="A292" s="13"/>
      <c r="B292" s="13"/>
      <c r="C292" s="13"/>
    </row>
    <row r="293" spans="1:3" x14ac:dyDescent="0.3">
      <c r="A293" s="13"/>
      <c r="B293" s="13"/>
      <c r="C293" s="13"/>
    </row>
    <row r="294" spans="1:3" x14ac:dyDescent="0.3">
      <c r="A294" s="13"/>
      <c r="B294" s="13"/>
      <c r="C294" s="13"/>
    </row>
    <row r="295" spans="1:3" x14ac:dyDescent="0.3">
      <c r="A295" s="13"/>
      <c r="B295" s="13"/>
      <c r="C295" s="13"/>
    </row>
    <row r="296" spans="1:3" x14ac:dyDescent="0.3">
      <c r="A296" s="13"/>
      <c r="B296" s="13"/>
      <c r="C296" s="13"/>
    </row>
    <row r="297" spans="1:3" x14ac:dyDescent="0.3">
      <c r="A297" s="13"/>
      <c r="B297" s="13"/>
      <c r="C297" s="13"/>
    </row>
    <row r="298" spans="1:3" x14ac:dyDescent="0.3">
      <c r="A298" s="13"/>
      <c r="B298" s="13"/>
      <c r="C298" s="13"/>
    </row>
    <row r="299" spans="1:3" x14ac:dyDescent="0.3">
      <c r="A299" s="13"/>
      <c r="B299" s="13"/>
      <c r="C299" s="13"/>
    </row>
    <row r="300" spans="1:3" x14ac:dyDescent="0.3">
      <c r="A300" s="13"/>
      <c r="B300" s="13"/>
      <c r="C300" s="13"/>
    </row>
    <row r="301" spans="1:3" x14ac:dyDescent="0.3">
      <c r="A301" s="13"/>
      <c r="B301" s="13"/>
      <c r="C301" s="13"/>
    </row>
    <row r="302" spans="1:3" x14ac:dyDescent="0.3">
      <c r="A302" s="13"/>
      <c r="B302" s="13"/>
      <c r="C302" s="13"/>
    </row>
    <row r="303" spans="1:3" x14ac:dyDescent="0.3">
      <c r="A303" s="13"/>
      <c r="B303" s="13"/>
      <c r="C303" s="13"/>
    </row>
    <row r="304" spans="1:3" x14ac:dyDescent="0.3">
      <c r="A304" s="13"/>
      <c r="B304" s="13"/>
      <c r="C304" s="13"/>
    </row>
    <row r="305" spans="1:3" x14ac:dyDescent="0.3">
      <c r="A305" s="13"/>
      <c r="B305" s="13"/>
      <c r="C305" s="13"/>
    </row>
    <row r="306" spans="1:3" x14ac:dyDescent="0.3">
      <c r="A306" s="13"/>
      <c r="B306" s="13"/>
      <c r="C306" s="13"/>
    </row>
    <row r="307" spans="1:3" x14ac:dyDescent="0.3">
      <c r="A307" s="13"/>
      <c r="B307" s="13"/>
      <c r="C307" s="13"/>
    </row>
    <row r="308" spans="1:3" x14ac:dyDescent="0.3">
      <c r="A308" s="13"/>
      <c r="B308" s="13"/>
      <c r="C308" s="13"/>
    </row>
    <row r="309" spans="1:3" x14ac:dyDescent="0.3">
      <c r="A309" s="13"/>
      <c r="B309" s="13"/>
      <c r="C309" s="13"/>
    </row>
    <row r="310" spans="1:3" x14ac:dyDescent="0.3">
      <c r="A310" s="13"/>
      <c r="B310" s="13"/>
      <c r="C310" s="13"/>
    </row>
    <row r="311" spans="1:3" x14ac:dyDescent="0.3">
      <c r="A311" s="13"/>
      <c r="B311" s="13"/>
      <c r="C311" s="13"/>
    </row>
    <row r="312" spans="1:3" x14ac:dyDescent="0.3">
      <c r="A312" s="13"/>
      <c r="B312" s="13"/>
      <c r="C312" s="13"/>
    </row>
    <row r="313" spans="1:3" x14ac:dyDescent="0.3">
      <c r="A313" s="13"/>
      <c r="B313" s="13"/>
      <c r="C313" s="13"/>
    </row>
    <row r="314" spans="1:3" x14ac:dyDescent="0.3">
      <c r="A314" s="13"/>
      <c r="B314" s="13"/>
      <c r="C314" s="13"/>
    </row>
    <row r="315" spans="1:3" x14ac:dyDescent="0.3">
      <c r="A315" s="13"/>
      <c r="B315" s="13"/>
      <c r="C315" s="13"/>
    </row>
    <row r="316" spans="1:3" x14ac:dyDescent="0.3">
      <c r="A316" s="13"/>
      <c r="B316" s="13"/>
      <c r="C316" s="13"/>
    </row>
    <row r="317" spans="1:3" x14ac:dyDescent="0.3">
      <c r="A317" s="13"/>
      <c r="B317" s="13"/>
      <c r="C317" s="13"/>
    </row>
    <row r="318" spans="1:3" x14ac:dyDescent="0.3">
      <c r="A318" s="13"/>
      <c r="B318" s="13"/>
      <c r="C318" s="13"/>
    </row>
    <row r="319" spans="1:3" x14ac:dyDescent="0.3">
      <c r="A319" s="13"/>
      <c r="B319" s="13"/>
      <c r="C319" s="13"/>
    </row>
    <row r="320" spans="1:3" x14ac:dyDescent="0.3">
      <c r="A320" s="13"/>
      <c r="B320" s="13"/>
      <c r="C320" s="13"/>
    </row>
    <row r="321" spans="1:3" x14ac:dyDescent="0.3">
      <c r="A321" s="13"/>
      <c r="B321" s="13"/>
      <c r="C321" s="13"/>
    </row>
    <row r="322" spans="1:3" x14ac:dyDescent="0.3">
      <c r="A322" s="13"/>
      <c r="B322" s="13"/>
      <c r="C322" s="13"/>
    </row>
    <row r="323" spans="1:3" x14ac:dyDescent="0.3">
      <c r="A323" s="13"/>
      <c r="B323" s="13"/>
      <c r="C323" s="13"/>
    </row>
    <row r="324" spans="1:3" x14ac:dyDescent="0.3">
      <c r="A324" s="13"/>
      <c r="B324" s="13"/>
      <c r="C324" s="13"/>
    </row>
    <row r="325" spans="1:3" x14ac:dyDescent="0.3">
      <c r="A325" s="13"/>
      <c r="B325" s="13"/>
      <c r="C325" s="13"/>
    </row>
    <row r="326" spans="1:3" x14ac:dyDescent="0.3">
      <c r="A326" s="13"/>
      <c r="B326" s="13"/>
      <c r="C326" s="13"/>
    </row>
    <row r="327" spans="1:3" x14ac:dyDescent="0.3">
      <c r="A327" s="13"/>
      <c r="B327" s="13"/>
      <c r="C327" s="13"/>
    </row>
    <row r="328" spans="1:3" x14ac:dyDescent="0.3">
      <c r="A328" s="13"/>
      <c r="B328" s="13"/>
      <c r="C328" s="13"/>
    </row>
    <row r="329" spans="1:3" x14ac:dyDescent="0.3">
      <c r="A329" s="13"/>
      <c r="B329" s="13"/>
      <c r="C329" s="13"/>
    </row>
    <row r="330" spans="1:3" x14ac:dyDescent="0.3">
      <c r="A330" s="13"/>
      <c r="B330" s="13"/>
      <c r="C330" s="13"/>
    </row>
    <row r="331" spans="1:3" x14ac:dyDescent="0.3">
      <c r="A331" s="13"/>
      <c r="B331" s="13"/>
      <c r="C331" s="13"/>
    </row>
    <row r="332" spans="1:3" x14ac:dyDescent="0.3">
      <c r="A332" s="13"/>
      <c r="B332" s="13"/>
      <c r="C332" s="13"/>
    </row>
    <row r="333" spans="1:3" x14ac:dyDescent="0.3">
      <c r="A333" s="13"/>
      <c r="B333" s="13"/>
      <c r="C333" s="13"/>
    </row>
    <row r="334" spans="1:3" x14ac:dyDescent="0.3">
      <c r="A334" s="13"/>
      <c r="B334" s="13"/>
      <c r="C334" s="13"/>
    </row>
    <row r="335" spans="1:3" x14ac:dyDescent="0.3">
      <c r="A335" s="13"/>
      <c r="B335" s="13"/>
      <c r="C335" s="13"/>
    </row>
    <row r="336" spans="1:3" x14ac:dyDescent="0.3">
      <c r="A336" s="13"/>
      <c r="B336" s="13"/>
      <c r="C336" s="13"/>
    </row>
    <row r="337" spans="1:3" x14ac:dyDescent="0.3">
      <c r="A337" s="13"/>
      <c r="B337" s="13"/>
      <c r="C337" s="13"/>
    </row>
    <row r="338" spans="1:3" x14ac:dyDescent="0.3">
      <c r="A338" s="13"/>
      <c r="B338" s="13"/>
      <c r="C338" s="13"/>
    </row>
    <row r="339" spans="1:3" x14ac:dyDescent="0.3">
      <c r="A339" s="13"/>
      <c r="B339" s="13"/>
      <c r="C339" s="13"/>
    </row>
    <row r="340" spans="1:3" x14ac:dyDescent="0.3">
      <c r="A340" s="13"/>
      <c r="B340" s="13"/>
      <c r="C340" s="13"/>
    </row>
    <row r="341" spans="1:3" x14ac:dyDescent="0.3">
      <c r="A341" s="13"/>
      <c r="B341" s="13"/>
      <c r="C341" s="13"/>
    </row>
    <row r="342" spans="1:3" x14ac:dyDescent="0.3">
      <c r="A342" s="13"/>
      <c r="B342" s="13"/>
      <c r="C342" s="13"/>
    </row>
    <row r="343" spans="1:3" x14ac:dyDescent="0.3">
      <c r="A343" s="13"/>
      <c r="B343" s="13"/>
      <c r="C343" s="13"/>
    </row>
    <row r="344" spans="1:3" x14ac:dyDescent="0.3">
      <c r="A344" s="13"/>
      <c r="B344" s="13"/>
      <c r="C344" s="13"/>
    </row>
    <row r="345" spans="1:3" x14ac:dyDescent="0.3">
      <c r="A345" s="13"/>
      <c r="B345" s="13"/>
      <c r="C345" s="13"/>
    </row>
    <row r="346" spans="1:3" x14ac:dyDescent="0.3">
      <c r="A346" s="13"/>
      <c r="B346" s="13"/>
      <c r="C346" s="13"/>
    </row>
    <row r="347" spans="1:3" x14ac:dyDescent="0.3">
      <c r="A347" s="13"/>
      <c r="B347" s="13"/>
      <c r="C347" s="13"/>
    </row>
    <row r="348" spans="1:3" x14ac:dyDescent="0.3">
      <c r="A348" s="13"/>
      <c r="B348" s="13"/>
      <c r="C348" s="13"/>
    </row>
    <row r="349" spans="1:3" x14ac:dyDescent="0.3">
      <c r="A349" s="13"/>
      <c r="B349" s="13"/>
      <c r="C349" s="13"/>
    </row>
    <row r="350" spans="1:3" x14ac:dyDescent="0.3">
      <c r="A350" s="13"/>
      <c r="B350" s="13"/>
      <c r="C350" s="13"/>
    </row>
    <row r="351" spans="1:3" x14ac:dyDescent="0.3">
      <c r="A351" s="13"/>
      <c r="B351" s="13"/>
      <c r="C351" s="13"/>
    </row>
    <row r="352" spans="1:3" x14ac:dyDescent="0.3">
      <c r="A352" s="13"/>
      <c r="B352" s="13"/>
      <c r="C352" s="13"/>
    </row>
    <row r="353" spans="1:3" x14ac:dyDescent="0.3">
      <c r="A353" s="13"/>
      <c r="B353" s="13"/>
      <c r="C353" s="13"/>
    </row>
    <row r="354" spans="1:3" x14ac:dyDescent="0.3">
      <c r="A354" s="13"/>
      <c r="B354" s="13"/>
      <c r="C354" s="13"/>
    </row>
    <row r="355" spans="1:3" x14ac:dyDescent="0.3">
      <c r="A355" s="13"/>
      <c r="B355" s="13"/>
      <c r="C355" s="13"/>
    </row>
    <row r="356" spans="1:3" x14ac:dyDescent="0.3">
      <c r="A356" s="13"/>
      <c r="B356" s="13"/>
      <c r="C356" s="13"/>
    </row>
    <row r="357" spans="1:3" x14ac:dyDescent="0.3">
      <c r="A357" s="13"/>
      <c r="B357" s="13"/>
      <c r="C357" s="13"/>
    </row>
    <row r="358" spans="1:3" x14ac:dyDescent="0.3">
      <c r="A358" s="13"/>
      <c r="B358" s="13"/>
      <c r="C358" s="13"/>
    </row>
    <row r="359" spans="1:3" x14ac:dyDescent="0.3">
      <c r="A359" s="13"/>
      <c r="B359" s="13"/>
      <c r="C359" s="13"/>
    </row>
    <row r="360" spans="1:3" x14ac:dyDescent="0.3">
      <c r="A360" s="13"/>
      <c r="B360" s="13"/>
      <c r="C360" s="13"/>
    </row>
    <row r="361" spans="1:3" x14ac:dyDescent="0.3">
      <c r="A361" s="13"/>
      <c r="B361" s="13"/>
      <c r="C361" s="13"/>
    </row>
    <row r="362" spans="1:3" x14ac:dyDescent="0.3">
      <c r="A362" s="13"/>
      <c r="B362" s="13"/>
      <c r="C362" s="13"/>
    </row>
    <row r="363" spans="1:3" x14ac:dyDescent="0.3">
      <c r="A363" s="13"/>
      <c r="B363" s="13"/>
      <c r="C363" s="13"/>
    </row>
    <row r="364" spans="1:3" x14ac:dyDescent="0.3">
      <c r="A364" s="13"/>
      <c r="B364" s="13"/>
      <c r="C364" s="13"/>
    </row>
    <row r="365" spans="1:3" x14ac:dyDescent="0.3">
      <c r="A365" s="13"/>
      <c r="B365" s="13"/>
      <c r="C365" s="13"/>
    </row>
    <row r="366" spans="1:3" x14ac:dyDescent="0.3">
      <c r="A366" s="13"/>
      <c r="B366" s="13"/>
      <c r="C366" s="13"/>
    </row>
    <row r="367" spans="1:3" x14ac:dyDescent="0.3">
      <c r="A367" s="13"/>
      <c r="B367" s="13"/>
      <c r="C367" s="13"/>
    </row>
    <row r="368" spans="1:3" x14ac:dyDescent="0.3">
      <c r="A368" s="13"/>
      <c r="B368" s="13"/>
      <c r="C368" s="13"/>
    </row>
    <row r="369" spans="1:3" x14ac:dyDescent="0.3">
      <c r="A369" s="13"/>
      <c r="B369" s="13"/>
      <c r="C369" s="13"/>
    </row>
    <row r="370" spans="1:3" x14ac:dyDescent="0.3">
      <c r="A370" s="13"/>
      <c r="B370" s="13"/>
      <c r="C370" s="13"/>
    </row>
    <row r="371" spans="1:3" x14ac:dyDescent="0.3">
      <c r="A371" s="13"/>
      <c r="B371" s="13"/>
      <c r="C371" s="13"/>
    </row>
    <row r="372" spans="1:3" x14ac:dyDescent="0.3">
      <c r="A372" s="13"/>
      <c r="B372" s="13"/>
      <c r="C372" s="13"/>
    </row>
    <row r="373" spans="1:3" x14ac:dyDescent="0.3">
      <c r="A373" s="13"/>
      <c r="B373" s="13"/>
      <c r="C373" s="13"/>
    </row>
    <row r="374" spans="1:3" x14ac:dyDescent="0.3">
      <c r="A374" s="13"/>
      <c r="B374" s="13"/>
      <c r="C374" s="13"/>
    </row>
    <row r="375" spans="1:3" x14ac:dyDescent="0.3">
      <c r="A375" s="13"/>
      <c r="B375" s="13"/>
      <c r="C375" s="13"/>
    </row>
    <row r="376" spans="1:3" x14ac:dyDescent="0.3">
      <c r="A376" s="13"/>
      <c r="B376" s="13"/>
      <c r="C376" s="13"/>
    </row>
    <row r="377" spans="1:3" x14ac:dyDescent="0.3">
      <c r="A377" s="13"/>
      <c r="B377" s="13"/>
      <c r="C377" s="13"/>
    </row>
    <row r="378" spans="1:3" x14ac:dyDescent="0.3">
      <c r="A378" s="13"/>
      <c r="B378" s="13"/>
      <c r="C378" s="13"/>
    </row>
    <row r="379" spans="1:3" x14ac:dyDescent="0.3">
      <c r="A379" s="13"/>
      <c r="B379" s="13"/>
      <c r="C379" s="13"/>
    </row>
    <row r="380" spans="1:3" x14ac:dyDescent="0.3">
      <c r="A380" s="13"/>
      <c r="B380" s="13"/>
      <c r="C380" s="13"/>
    </row>
    <row r="381" spans="1:3" x14ac:dyDescent="0.3">
      <c r="A381" s="13"/>
      <c r="B381" s="13"/>
      <c r="C381" s="13"/>
    </row>
    <row r="382" spans="1:3" x14ac:dyDescent="0.3">
      <c r="A382" s="13"/>
      <c r="B382" s="13"/>
      <c r="C382" s="13"/>
    </row>
    <row r="383" spans="1:3" x14ac:dyDescent="0.3">
      <c r="A383" s="13"/>
      <c r="B383" s="13"/>
      <c r="C383" s="13"/>
    </row>
    <row r="384" spans="1:3" x14ac:dyDescent="0.3">
      <c r="A384" s="13"/>
      <c r="B384" s="13"/>
      <c r="C384" s="13"/>
    </row>
    <row r="385" spans="1:3" x14ac:dyDescent="0.3">
      <c r="A385" s="13"/>
      <c r="B385" s="13"/>
      <c r="C385" s="13"/>
    </row>
    <row r="386" spans="1:3" x14ac:dyDescent="0.3">
      <c r="A386" s="13"/>
      <c r="B386" s="13"/>
      <c r="C386" s="13"/>
    </row>
    <row r="387" spans="1:3" x14ac:dyDescent="0.3">
      <c r="A387" s="13"/>
      <c r="B387" s="13"/>
      <c r="C387" s="13"/>
    </row>
    <row r="388" spans="1:3" x14ac:dyDescent="0.3">
      <c r="A388" s="13"/>
      <c r="B388" s="13"/>
      <c r="C388" s="13"/>
    </row>
    <row r="389" spans="1:3" x14ac:dyDescent="0.3">
      <c r="A389" s="13"/>
      <c r="B389" s="13"/>
      <c r="C389" s="13"/>
    </row>
    <row r="390" spans="1:3" x14ac:dyDescent="0.3">
      <c r="A390" s="13"/>
      <c r="B390" s="13"/>
      <c r="C390" s="13"/>
    </row>
    <row r="391" spans="1:3" x14ac:dyDescent="0.3">
      <c r="A391" s="13"/>
      <c r="B391" s="13"/>
      <c r="C391" s="13"/>
    </row>
    <row r="392" spans="1:3" x14ac:dyDescent="0.3">
      <c r="A392" s="13"/>
      <c r="B392" s="13"/>
      <c r="C392" s="13"/>
    </row>
    <row r="393" spans="1:3" x14ac:dyDescent="0.3">
      <c r="A393" s="13"/>
      <c r="B393" s="13"/>
      <c r="C393" s="13"/>
    </row>
    <row r="394" spans="1:3" x14ac:dyDescent="0.3">
      <c r="A394" s="13"/>
      <c r="B394" s="13"/>
      <c r="C394" s="13"/>
    </row>
    <row r="395" spans="1:3" x14ac:dyDescent="0.3">
      <c r="A395" s="13"/>
      <c r="B395" s="13"/>
      <c r="C395" s="13"/>
    </row>
    <row r="396" spans="1:3" x14ac:dyDescent="0.3">
      <c r="A396" s="13"/>
      <c r="B396" s="13"/>
      <c r="C396" s="13"/>
    </row>
    <row r="397" spans="1:3" x14ac:dyDescent="0.3">
      <c r="A397" s="13"/>
      <c r="B397" s="13"/>
      <c r="C397" s="13"/>
    </row>
    <row r="398" spans="1:3" x14ac:dyDescent="0.3">
      <c r="A398" s="13"/>
      <c r="B398" s="13"/>
      <c r="C398" s="13"/>
    </row>
    <row r="399" spans="1:3" x14ac:dyDescent="0.3">
      <c r="A399" s="13"/>
      <c r="B399" s="13"/>
      <c r="C399" s="13"/>
    </row>
    <row r="400" spans="1:3" x14ac:dyDescent="0.3">
      <c r="A400" s="13"/>
      <c r="B400" s="13"/>
      <c r="C400" s="13"/>
    </row>
    <row r="401" spans="1:3" x14ac:dyDescent="0.3">
      <c r="A401" s="13"/>
      <c r="B401" s="13"/>
      <c r="C401" s="13"/>
    </row>
    <row r="402" spans="1:3" x14ac:dyDescent="0.3">
      <c r="A402" s="13"/>
      <c r="B402" s="13"/>
      <c r="C402" s="13"/>
    </row>
    <row r="403" spans="1:3" x14ac:dyDescent="0.3">
      <c r="A403" s="13"/>
      <c r="B403" s="13"/>
      <c r="C403" s="13"/>
    </row>
    <row r="404" spans="1:3" x14ac:dyDescent="0.3">
      <c r="A404" s="13"/>
      <c r="B404" s="13"/>
      <c r="C404" s="13"/>
    </row>
    <row r="405" spans="1:3" x14ac:dyDescent="0.3">
      <c r="A405" s="13"/>
      <c r="B405" s="13"/>
      <c r="C405" s="13"/>
    </row>
    <row r="406" spans="1:3" x14ac:dyDescent="0.3">
      <c r="A406" s="13"/>
      <c r="B406" s="13"/>
      <c r="C406" s="13"/>
    </row>
    <row r="407" spans="1:3" x14ac:dyDescent="0.3">
      <c r="A407" s="13"/>
      <c r="B407" s="13"/>
      <c r="C407" s="13"/>
    </row>
    <row r="408" spans="1:3" x14ac:dyDescent="0.3">
      <c r="A408" s="13"/>
      <c r="B408" s="13"/>
      <c r="C408" s="13"/>
    </row>
    <row r="409" spans="1:3" x14ac:dyDescent="0.3">
      <c r="A409" s="13"/>
      <c r="B409" s="13"/>
      <c r="C409" s="13"/>
    </row>
    <row r="410" spans="1:3" x14ac:dyDescent="0.3">
      <c r="A410" s="13"/>
      <c r="B410" s="13"/>
      <c r="C410" s="13"/>
    </row>
    <row r="411" spans="1:3" x14ac:dyDescent="0.3">
      <c r="A411" s="13"/>
      <c r="B411" s="13"/>
      <c r="C411" s="13"/>
    </row>
    <row r="412" spans="1:3" x14ac:dyDescent="0.3">
      <c r="A412" s="13"/>
      <c r="B412" s="13"/>
      <c r="C412" s="13"/>
    </row>
    <row r="413" spans="1:3" x14ac:dyDescent="0.3">
      <c r="A413" s="13"/>
      <c r="B413" s="13"/>
      <c r="C413" s="13"/>
    </row>
    <row r="414" spans="1:3" x14ac:dyDescent="0.3">
      <c r="A414" s="13"/>
      <c r="B414" s="13"/>
      <c r="C414" s="13"/>
    </row>
    <row r="415" spans="1:3" x14ac:dyDescent="0.3">
      <c r="A415" s="13"/>
      <c r="B415" s="13"/>
      <c r="C415" s="13"/>
    </row>
    <row r="416" spans="1:3" x14ac:dyDescent="0.3">
      <c r="A416" s="13"/>
      <c r="B416" s="13"/>
      <c r="C416" s="13"/>
    </row>
    <row r="417" spans="1:3" x14ac:dyDescent="0.3">
      <c r="A417" s="13"/>
      <c r="B417" s="13"/>
      <c r="C417" s="13"/>
    </row>
    <row r="418" spans="1:3" x14ac:dyDescent="0.3">
      <c r="A418" s="13"/>
      <c r="B418" s="13"/>
      <c r="C418" s="13"/>
    </row>
    <row r="419" spans="1:3" x14ac:dyDescent="0.3">
      <c r="A419" s="13"/>
      <c r="B419" s="13"/>
      <c r="C419" s="13"/>
    </row>
    <row r="420" spans="1:3" x14ac:dyDescent="0.3">
      <c r="A420" s="13"/>
      <c r="B420" s="13"/>
      <c r="C420" s="13"/>
    </row>
    <row r="421" spans="1:3" x14ac:dyDescent="0.3">
      <c r="A421" s="13"/>
      <c r="B421" s="13"/>
      <c r="C421" s="13"/>
    </row>
    <row r="422" spans="1:3" x14ac:dyDescent="0.3">
      <c r="A422" s="13"/>
      <c r="B422" s="13"/>
      <c r="C422" s="13"/>
    </row>
    <row r="423" spans="1:3" x14ac:dyDescent="0.3">
      <c r="A423" s="13"/>
      <c r="B423" s="13"/>
      <c r="C423" s="13"/>
    </row>
    <row r="424" spans="1:3" x14ac:dyDescent="0.3">
      <c r="A424" s="13"/>
      <c r="B424" s="13"/>
      <c r="C424" s="13"/>
    </row>
    <row r="425" spans="1:3" x14ac:dyDescent="0.3">
      <c r="A425" s="13"/>
      <c r="B425" s="13"/>
      <c r="C425" s="13"/>
    </row>
    <row r="426" spans="1:3" x14ac:dyDescent="0.3">
      <c r="A426" s="13"/>
      <c r="B426" s="13"/>
      <c r="C426" s="13"/>
    </row>
    <row r="427" spans="1:3" x14ac:dyDescent="0.3">
      <c r="A427" s="13"/>
      <c r="B427" s="13"/>
      <c r="C427" s="13"/>
    </row>
    <row r="428" spans="1:3" x14ac:dyDescent="0.3">
      <c r="A428" s="13"/>
      <c r="B428" s="13"/>
      <c r="C428" s="13"/>
    </row>
    <row r="429" spans="1:3" x14ac:dyDescent="0.3">
      <c r="A429" s="13"/>
      <c r="B429" s="13"/>
      <c r="C429" s="13"/>
    </row>
    <row r="430" spans="1:3" x14ac:dyDescent="0.3">
      <c r="A430" s="13"/>
      <c r="B430" s="13"/>
      <c r="C430" s="13"/>
    </row>
    <row r="431" spans="1:3" x14ac:dyDescent="0.3">
      <c r="A431" s="13"/>
      <c r="B431" s="13"/>
      <c r="C431" s="13"/>
    </row>
    <row r="432" spans="1:3" x14ac:dyDescent="0.3">
      <c r="A432" s="13"/>
      <c r="B432" s="13"/>
      <c r="C432" s="13"/>
    </row>
    <row r="433" spans="1:3" x14ac:dyDescent="0.3">
      <c r="A433" s="13"/>
      <c r="B433" s="13"/>
      <c r="C433" s="13"/>
    </row>
    <row r="434" spans="1:3" x14ac:dyDescent="0.3">
      <c r="A434" s="13"/>
      <c r="B434" s="13"/>
      <c r="C434" s="13"/>
    </row>
    <row r="435" spans="1:3" x14ac:dyDescent="0.3">
      <c r="A435" s="13"/>
      <c r="B435" s="13"/>
      <c r="C435" s="13"/>
    </row>
    <row r="436" spans="1:3" x14ac:dyDescent="0.3">
      <c r="A436" s="13"/>
      <c r="B436" s="13"/>
      <c r="C436" s="13"/>
    </row>
    <row r="437" spans="1:3" x14ac:dyDescent="0.3">
      <c r="A437" s="13"/>
      <c r="B437" s="13"/>
      <c r="C437" s="13"/>
    </row>
    <row r="438" spans="1:3" x14ac:dyDescent="0.3">
      <c r="A438" s="13"/>
      <c r="B438" s="13"/>
      <c r="C438" s="13"/>
    </row>
    <row r="439" spans="1:3" x14ac:dyDescent="0.3">
      <c r="A439" s="13"/>
      <c r="B439" s="13"/>
      <c r="C439" s="13"/>
    </row>
    <row r="440" spans="1:3" x14ac:dyDescent="0.3">
      <c r="A440" s="13"/>
      <c r="B440" s="13"/>
      <c r="C440" s="13"/>
    </row>
    <row r="441" spans="1:3" x14ac:dyDescent="0.3">
      <c r="A441" s="13"/>
      <c r="B441" s="13"/>
      <c r="C441" s="13"/>
    </row>
    <row r="442" spans="1:3" x14ac:dyDescent="0.3">
      <c r="A442" s="13"/>
      <c r="B442" s="13"/>
      <c r="C442" s="13"/>
    </row>
    <row r="443" spans="1:3" x14ac:dyDescent="0.3">
      <c r="A443" s="13"/>
      <c r="B443" s="13"/>
      <c r="C443" s="13"/>
    </row>
    <row r="444" spans="1:3" x14ac:dyDescent="0.3">
      <c r="A444" s="13"/>
      <c r="B444" s="13"/>
      <c r="C444" s="13"/>
    </row>
    <row r="445" spans="1:3" x14ac:dyDescent="0.3">
      <c r="A445" s="13"/>
      <c r="B445" s="13"/>
      <c r="C445" s="13"/>
    </row>
    <row r="446" spans="1:3" x14ac:dyDescent="0.3">
      <c r="A446" s="13"/>
      <c r="B446" s="13"/>
      <c r="C446" s="13"/>
    </row>
    <row r="447" spans="1:3" x14ac:dyDescent="0.3">
      <c r="A447" s="13"/>
      <c r="B447" s="13"/>
      <c r="C447" s="13"/>
    </row>
    <row r="448" spans="1:3" x14ac:dyDescent="0.3">
      <c r="A448" s="13"/>
      <c r="B448" s="13"/>
      <c r="C448" s="13"/>
    </row>
    <row r="449" spans="1:3" x14ac:dyDescent="0.3">
      <c r="A449" s="13"/>
      <c r="B449" s="13"/>
      <c r="C449" s="13"/>
    </row>
    <row r="450" spans="1:3" x14ac:dyDescent="0.3">
      <c r="A450" s="13"/>
      <c r="B450" s="13"/>
      <c r="C450" s="13"/>
    </row>
    <row r="451" spans="1:3" x14ac:dyDescent="0.3">
      <c r="A451" s="13"/>
      <c r="B451" s="13"/>
      <c r="C451" s="13"/>
    </row>
    <row r="452" spans="1:3" x14ac:dyDescent="0.3">
      <c r="A452" s="13"/>
      <c r="B452" s="13"/>
      <c r="C452" s="13"/>
    </row>
    <row r="453" spans="1:3" x14ac:dyDescent="0.3">
      <c r="A453" s="13"/>
      <c r="B453" s="13"/>
      <c r="C453" s="13"/>
    </row>
    <row r="454" spans="1:3" x14ac:dyDescent="0.3">
      <c r="A454" s="13"/>
      <c r="B454" s="13"/>
      <c r="C454" s="13"/>
    </row>
    <row r="455" spans="1:3" x14ac:dyDescent="0.3">
      <c r="A455" s="13"/>
      <c r="B455" s="13"/>
      <c r="C455" s="13"/>
    </row>
    <row r="456" spans="1:3" x14ac:dyDescent="0.3">
      <c r="A456" s="13"/>
      <c r="B456" s="13"/>
      <c r="C456" s="13"/>
    </row>
    <row r="457" spans="1:3" x14ac:dyDescent="0.3">
      <c r="A457" s="13"/>
      <c r="B457" s="13"/>
      <c r="C457" s="13"/>
    </row>
    <row r="458" spans="1:3" x14ac:dyDescent="0.3">
      <c r="A458" s="13"/>
      <c r="B458" s="13"/>
      <c r="C458" s="13"/>
    </row>
    <row r="459" spans="1:3" x14ac:dyDescent="0.3">
      <c r="A459" s="13"/>
      <c r="B459" s="13"/>
      <c r="C459" s="13"/>
    </row>
    <row r="460" spans="1:3" x14ac:dyDescent="0.3">
      <c r="A460" s="13"/>
      <c r="B460" s="13"/>
      <c r="C460" s="13"/>
    </row>
    <row r="461" spans="1:3" x14ac:dyDescent="0.3">
      <c r="A461" s="13"/>
      <c r="B461" s="13"/>
      <c r="C461" s="13"/>
    </row>
    <row r="462" spans="1:3" x14ac:dyDescent="0.3">
      <c r="A462" s="13"/>
      <c r="B462" s="13"/>
      <c r="C462" s="13"/>
    </row>
    <row r="463" spans="1:3" x14ac:dyDescent="0.3">
      <c r="A463" s="13"/>
      <c r="B463" s="13"/>
      <c r="C463" s="13"/>
    </row>
    <row r="464" spans="1:3" x14ac:dyDescent="0.3">
      <c r="A464" s="13"/>
      <c r="B464" s="13"/>
      <c r="C464" s="13"/>
    </row>
    <row r="465" spans="1:3" x14ac:dyDescent="0.3">
      <c r="A465" s="13"/>
      <c r="B465" s="13"/>
      <c r="C465" s="13"/>
    </row>
    <row r="466" spans="1:3" x14ac:dyDescent="0.3">
      <c r="A466" s="13"/>
      <c r="B466" s="13"/>
      <c r="C466" s="13"/>
    </row>
    <row r="467" spans="1:3" x14ac:dyDescent="0.3">
      <c r="A467" s="13"/>
      <c r="B467" s="13"/>
      <c r="C467" s="13"/>
    </row>
    <row r="468" spans="1:3" x14ac:dyDescent="0.3">
      <c r="A468" s="13"/>
      <c r="B468" s="13"/>
      <c r="C468" s="13"/>
    </row>
    <row r="469" spans="1:3" x14ac:dyDescent="0.3">
      <c r="A469" s="13"/>
      <c r="B469" s="13"/>
      <c r="C469" s="13"/>
    </row>
    <row r="470" spans="1:3" x14ac:dyDescent="0.3">
      <c r="A470" s="13"/>
      <c r="B470" s="13"/>
      <c r="C470" s="13"/>
    </row>
    <row r="471" spans="1:3" x14ac:dyDescent="0.3">
      <c r="A471" s="13"/>
      <c r="B471" s="13"/>
      <c r="C471" s="13"/>
    </row>
    <row r="472" spans="1:3" x14ac:dyDescent="0.3">
      <c r="A472" s="13"/>
      <c r="B472" s="13"/>
      <c r="C472" s="13"/>
    </row>
    <row r="473" spans="1:3" x14ac:dyDescent="0.3">
      <c r="A473" s="13"/>
      <c r="B473" s="13"/>
      <c r="C473" s="13"/>
    </row>
    <row r="474" spans="1:3" x14ac:dyDescent="0.3">
      <c r="A474" s="13"/>
      <c r="B474" s="13"/>
      <c r="C474" s="13"/>
    </row>
    <row r="475" spans="1:3" x14ac:dyDescent="0.3">
      <c r="A475" s="13"/>
      <c r="B475" s="13"/>
      <c r="C475" s="13"/>
    </row>
    <row r="476" spans="1:3" x14ac:dyDescent="0.3">
      <c r="A476" s="13"/>
      <c r="B476" s="13"/>
      <c r="C476" s="13"/>
    </row>
    <row r="477" spans="1:3" x14ac:dyDescent="0.3">
      <c r="A477" s="13"/>
      <c r="B477" s="13"/>
      <c r="C477" s="13"/>
    </row>
    <row r="478" spans="1:3" x14ac:dyDescent="0.3">
      <c r="A478" s="13"/>
      <c r="B478" s="13"/>
      <c r="C478" s="13"/>
    </row>
    <row r="479" spans="1:3" x14ac:dyDescent="0.3">
      <c r="A479" s="13"/>
      <c r="B479" s="13"/>
      <c r="C479" s="13"/>
    </row>
    <row r="480" spans="1:3" x14ac:dyDescent="0.3">
      <c r="A480" s="13"/>
      <c r="B480" s="13"/>
      <c r="C480" s="13"/>
    </row>
    <row r="481" spans="1:3" x14ac:dyDescent="0.3">
      <c r="A481" s="13"/>
      <c r="B481" s="13"/>
      <c r="C481" s="13"/>
    </row>
    <row r="482" spans="1:3" x14ac:dyDescent="0.3">
      <c r="A482" s="13"/>
      <c r="B482" s="13"/>
      <c r="C482" s="13"/>
    </row>
    <row r="483" spans="1:3" x14ac:dyDescent="0.3">
      <c r="A483" s="13"/>
      <c r="B483" s="13"/>
      <c r="C483" s="13"/>
    </row>
    <row r="484" spans="1:3" x14ac:dyDescent="0.3">
      <c r="A484" s="13"/>
      <c r="B484" s="13"/>
      <c r="C484" s="13"/>
    </row>
    <row r="485" spans="1:3" x14ac:dyDescent="0.3">
      <c r="A485" s="13"/>
      <c r="B485" s="13"/>
      <c r="C485" s="13"/>
    </row>
    <row r="486" spans="1:3" x14ac:dyDescent="0.3">
      <c r="A486" s="13"/>
      <c r="B486" s="13"/>
      <c r="C486" s="13"/>
    </row>
    <row r="487" spans="1:3" x14ac:dyDescent="0.3">
      <c r="A487" s="13"/>
      <c r="B487" s="13"/>
      <c r="C487" s="13"/>
    </row>
    <row r="488" spans="1:3" x14ac:dyDescent="0.3">
      <c r="A488" s="13"/>
      <c r="B488" s="13"/>
      <c r="C488" s="13"/>
    </row>
    <row r="489" spans="1:3" x14ac:dyDescent="0.3">
      <c r="A489" s="13"/>
      <c r="B489" s="13"/>
      <c r="C489" s="13"/>
    </row>
    <row r="490" spans="1:3" x14ac:dyDescent="0.3">
      <c r="A490" s="13"/>
      <c r="B490" s="13"/>
      <c r="C490" s="13"/>
    </row>
    <row r="491" spans="1:3" x14ac:dyDescent="0.3">
      <c r="A491" s="13"/>
      <c r="B491" s="13"/>
      <c r="C491" s="13"/>
    </row>
    <row r="492" spans="1:3" x14ac:dyDescent="0.3">
      <c r="A492" s="13"/>
      <c r="B492" s="13"/>
      <c r="C492" s="13"/>
    </row>
    <row r="493" spans="1:3" x14ac:dyDescent="0.3">
      <c r="A493" s="13"/>
      <c r="B493" s="13"/>
      <c r="C493" s="13"/>
    </row>
    <row r="494" spans="1:3" x14ac:dyDescent="0.3">
      <c r="A494" s="13"/>
      <c r="B494" s="13"/>
      <c r="C494" s="13"/>
    </row>
    <row r="495" spans="1:3" x14ac:dyDescent="0.3">
      <c r="A495" s="13"/>
      <c r="B495" s="13"/>
      <c r="C495" s="13"/>
    </row>
    <row r="496" spans="1:3" x14ac:dyDescent="0.3">
      <c r="A496" s="13"/>
      <c r="B496" s="13"/>
      <c r="C496" s="13"/>
    </row>
    <row r="497" spans="1:3" x14ac:dyDescent="0.3">
      <c r="A497" s="13"/>
      <c r="B497" s="13"/>
      <c r="C497" s="13"/>
    </row>
    <row r="498" spans="1:3" x14ac:dyDescent="0.3">
      <c r="A498" s="13"/>
      <c r="B498" s="13"/>
      <c r="C498" s="13"/>
    </row>
    <row r="499" spans="1:3" x14ac:dyDescent="0.3">
      <c r="A499" s="13"/>
      <c r="B499" s="13"/>
      <c r="C499" s="13"/>
    </row>
    <row r="500" spans="1:3" x14ac:dyDescent="0.3">
      <c r="A500" s="13"/>
      <c r="B500" s="13"/>
      <c r="C500" s="13"/>
    </row>
    <row r="501" spans="1:3" x14ac:dyDescent="0.3">
      <c r="A501" s="13"/>
      <c r="B501" s="13"/>
      <c r="C501" s="13"/>
    </row>
    <row r="502" spans="1:3" x14ac:dyDescent="0.3">
      <c r="A502" s="13"/>
      <c r="B502" s="13"/>
      <c r="C502" s="13"/>
    </row>
    <row r="503" spans="1:3" x14ac:dyDescent="0.3">
      <c r="A503" s="13"/>
      <c r="B503" s="13"/>
      <c r="C503" s="13"/>
    </row>
    <row r="504" spans="1:3" x14ac:dyDescent="0.3">
      <c r="A504" s="13"/>
      <c r="B504" s="13"/>
      <c r="C504" s="13"/>
    </row>
    <row r="505" spans="1:3" x14ac:dyDescent="0.3">
      <c r="A505" s="13"/>
      <c r="B505" s="13"/>
      <c r="C505" s="13"/>
    </row>
    <row r="506" spans="1:3" x14ac:dyDescent="0.3">
      <c r="A506" s="13"/>
      <c r="B506" s="13"/>
      <c r="C506" s="13"/>
    </row>
    <row r="507" spans="1:3" x14ac:dyDescent="0.3">
      <c r="A507" s="13"/>
      <c r="B507" s="13"/>
      <c r="C507" s="13"/>
    </row>
    <row r="508" spans="1:3" x14ac:dyDescent="0.3">
      <c r="A508" s="13"/>
      <c r="B508" s="13"/>
      <c r="C508" s="13"/>
    </row>
    <row r="509" spans="1:3" x14ac:dyDescent="0.3">
      <c r="A509" s="13"/>
      <c r="B509" s="13"/>
      <c r="C509" s="13"/>
    </row>
    <row r="510" spans="1:3" x14ac:dyDescent="0.3">
      <c r="A510" s="13"/>
      <c r="B510" s="13"/>
      <c r="C510" s="13"/>
    </row>
    <row r="511" spans="1:3" x14ac:dyDescent="0.3">
      <c r="A511" s="13"/>
      <c r="B511" s="13"/>
      <c r="C511" s="13"/>
    </row>
    <row r="512" spans="1:3" x14ac:dyDescent="0.3">
      <c r="A512" s="13"/>
      <c r="B512" s="13"/>
      <c r="C512" s="13"/>
    </row>
    <row r="513" spans="1:3" x14ac:dyDescent="0.3">
      <c r="A513" s="13"/>
      <c r="B513" s="13"/>
      <c r="C513" s="13"/>
    </row>
    <row r="514" spans="1:3" x14ac:dyDescent="0.3">
      <c r="A514" s="13"/>
      <c r="B514" s="13"/>
      <c r="C514" s="13"/>
    </row>
    <row r="515" spans="1:3" x14ac:dyDescent="0.3">
      <c r="A515" s="13"/>
      <c r="B515" s="13"/>
      <c r="C515" s="13"/>
    </row>
    <row r="516" spans="1:3" x14ac:dyDescent="0.3">
      <c r="A516" s="13"/>
      <c r="B516" s="13"/>
      <c r="C516" s="13"/>
    </row>
    <row r="517" spans="1:3" x14ac:dyDescent="0.3">
      <c r="A517" s="13"/>
      <c r="B517" s="13"/>
      <c r="C517" s="13"/>
    </row>
    <row r="518" spans="1:3" x14ac:dyDescent="0.3">
      <c r="A518" s="13"/>
      <c r="B518" s="13"/>
      <c r="C518" s="13"/>
    </row>
    <row r="519" spans="1:3" x14ac:dyDescent="0.3">
      <c r="A519" s="13"/>
      <c r="B519" s="13"/>
      <c r="C519" s="13"/>
    </row>
    <row r="520" spans="1:3" x14ac:dyDescent="0.3">
      <c r="A520" s="13"/>
      <c r="B520" s="13"/>
      <c r="C520" s="13"/>
    </row>
    <row r="521" spans="1:3" x14ac:dyDescent="0.3">
      <c r="A521" s="13"/>
      <c r="B521" s="13"/>
      <c r="C521" s="13"/>
    </row>
    <row r="522" spans="1:3" x14ac:dyDescent="0.3">
      <c r="A522" s="13"/>
      <c r="B522" s="13"/>
      <c r="C522" s="13"/>
    </row>
    <row r="523" spans="1:3" x14ac:dyDescent="0.3">
      <c r="A523" s="13"/>
      <c r="B523" s="13"/>
      <c r="C523" s="13"/>
    </row>
    <row r="524" spans="1:3" x14ac:dyDescent="0.3">
      <c r="A524" s="13"/>
      <c r="B524" s="13"/>
      <c r="C524" s="13"/>
    </row>
    <row r="525" spans="1:3" x14ac:dyDescent="0.3">
      <c r="A525" s="13"/>
      <c r="B525" s="13"/>
      <c r="C525" s="13"/>
    </row>
    <row r="526" spans="1:3" x14ac:dyDescent="0.3">
      <c r="A526" s="13"/>
      <c r="B526" s="13"/>
      <c r="C526" s="13"/>
    </row>
    <row r="527" spans="1:3" x14ac:dyDescent="0.3">
      <c r="A527" s="13"/>
      <c r="B527" s="13"/>
      <c r="C527" s="13"/>
    </row>
    <row r="528" spans="1:3" x14ac:dyDescent="0.3">
      <c r="A528" s="13"/>
      <c r="B528" s="13"/>
      <c r="C528" s="13"/>
    </row>
    <row r="529" spans="1:3" x14ac:dyDescent="0.3">
      <c r="A529" s="13"/>
      <c r="B529" s="13"/>
      <c r="C529" s="13"/>
    </row>
    <row r="530" spans="1:3" x14ac:dyDescent="0.3">
      <c r="A530" s="13"/>
      <c r="B530" s="13"/>
      <c r="C530" s="13"/>
    </row>
    <row r="531" spans="1:3" x14ac:dyDescent="0.3">
      <c r="A531" s="13"/>
      <c r="B531" s="13"/>
      <c r="C531" s="13"/>
    </row>
    <row r="532" spans="1:3" x14ac:dyDescent="0.3">
      <c r="A532" s="13"/>
      <c r="B532" s="13"/>
      <c r="C532" s="13"/>
    </row>
    <row r="533" spans="1:3" x14ac:dyDescent="0.3">
      <c r="A533" s="13"/>
      <c r="B533" s="13"/>
      <c r="C533" s="13"/>
    </row>
    <row r="534" spans="1:3" x14ac:dyDescent="0.3">
      <c r="A534" s="13"/>
      <c r="B534" s="13"/>
      <c r="C534" s="13"/>
    </row>
    <row r="535" spans="1:3" x14ac:dyDescent="0.3">
      <c r="A535" s="13"/>
      <c r="B535" s="13"/>
      <c r="C535" s="13"/>
    </row>
    <row r="536" spans="1:3" x14ac:dyDescent="0.3">
      <c r="A536" s="13"/>
      <c r="B536" s="13"/>
      <c r="C536" s="13"/>
    </row>
    <row r="537" spans="1:3" x14ac:dyDescent="0.3">
      <c r="A537" s="13"/>
      <c r="B537" s="13"/>
      <c r="C537" s="13"/>
    </row>
    <row r="538" spans="1:3" x14ac:dyDescent="0.3">
      <c r="A538" s="13"/>
      <c r="B538" s="13"/>
      <c r="C538" s="13"/>
    </row>
    <row r="539" spans="1:3" x14ac:dyDescent="0.3">
      <c r="A539" s="13"/>
      <c r="B539" s="13"/>
      <c r="C539" s="13"/>
    </row>
    <row r="540" spans="1:3" x14ac:dyDescent="0.3">
      <c r="A540" s="13"/>
      <c r="B540" s="13"/>
      <c r="C540" s="13"/>
    </row>
    <row r="541" spans="1:3" x14ac:dyDescent="0.3">
      <c r="A541" s="13"/>
      <c r="B541" s="13"/>
      <c r="C541" s="13"/>
    </row>
    <row r="542" spans="1:3" x14ac:dyDescent="0.3">
      <c r="A542" s="13"/>
      <c r="B542" s="13"/>
      <c r="C542" s="13"/>
    </row>
    <row r="543" spans="1:3" x14ac:dyDescent="0.3">
      <c r="A543" s="13"/>
      <c r="B543" s="13"/>
      <c r="C543" s="13"/>
    </row>
    <row r="544" spans="1:3" x14ac:dyDescent="0.3">
      <c r="A544" s="13"/>
      <c r="B544" s="13"/>
      <c r="C544" s="13"/>
    </row>
    <row r="545" spans="1:3" x14ac:dyDescent="0.3">
      <c r="A545" s="13"/>
      <c r="B545" s="13"/>
      <c r="C545" s="13"/>
    </row>
    <row r="546" spans="1:3" x14ac:dyDescent="0.3">
      <c r="A546" s="13"/>
      <c r="B546" s="13"/>
      <c r="C546" s="13"/>
    </row>
    <row r="547" spans="1:3" x14ac:dyDescent="0.3">
      <c r="A547" s="13"/>
      <c r="B547" s="13"/>
      <c r="C547" s="13"/>
    </row>
    <row r="548" spans="1:3" x14ac:dyDescent="0.3">
      <c r="A548" s="13"/>
      <c r="B548" s="13"/>
      <c r="C548" s="13"/>
    </row>
    <row r="549" spans="1:3" x14ac:dyDescent="0.3">
      <c r="A549" s="13"/>
      <c r="B549" s="13"/>
      <c r="C549" s="13"/>
    </row>
    <row r="550" spans="1:3" x14ac:dyDescent="0.3">
      <c r="A550" s="13"/>
      <c r="B550" s="13"/>
      <c r="C550" s="13"/>
    </row>
    <row r="551" spans="1:3" x14ac:dyDescent="0.3">
      <c r="A551" s="13"/>
      <c r="B551" s="13"/>
      <c r="C551" s="13"/>
    </row>
    <row r="552" spans="1:3" x14ac:dyDescent="0.3">
      <c r="A552" s="13"/>
      <c r="B552" s="13"/>
      <c r="C552" s="13"/>
    </row>
    <row r="553" spans="1:3" x14ac:dyDescent="0.3">
      <c r="A553" s="13"/>
      <c r="B553" s="13"/>
      <c r="C553" s="13"/>
    </row>
    <row r="554" spans="1:3" x14ac:dyDescent="0.3">
      <c r="A554" s="13"/>
      <c r="B554" s="13"/>
      <c r="C554" s="13"/>
    </row>
    <row r="555" spans="1:3" x14ac:dyDescent="0.3">
      <c r="A555" s="13"/>
      <c r="B555" s="13"/>
      <c r="C555" s="13"/>
    </row>
    <row r="556" spans="1:3" x14ac:dyDescent="0.3">
      <c r="A556" s="13"/>
      <c r="B556" s="13"/>
      <c r="C556" s="13"/>
    </row>
    <row r="557" spans="1:3" x14ac:dyDescent="0.3">
      <c r="A557" s="13"/>
      <c r="B557" s="13"/>
      <c r="C557" s="13"/>
    </row>
    <row r="558" spans="1:3" x14ac:dyDescent="0.3">
      <c r="A558" s="13"/>
      <c r="B558" s="13"/>
      <c r="C558" s="13"/>
    </row>
    <row r="559" spans="1:3" x14ac:dyDescent="0.3">
      <c r="A559" s="13"/>
      <c r="B559" s="13"/>
      <c r="C559" s="13"/>
    </row>
    <row r="560" spans="1:3" x14ac:dyDescent="0.3">
      <c r="A560" s="13"/>
      <c r="B560" s="13"/>
      <c r="C560" s="13"/>
    </row>
    <row r="561" spans="1:3" x14ac:dyDescent="0.3">
      <c r="A561" s="13"/>
      <c r="B561" s="13"/>
      <c r="C561" s="13"/>
    </row>
    <row r="562" spans="1:3" x14ac:dyDescent="0.3">
      <c r="A562" s="13"/>
      <c r="B562" s="13"/>
      <c r="C562" s="13"/>
    </row>
    <row r="563" spans="1:3" x14ac:dyDescent="0.3">
      <c r="A563" s="13"/>
      <c r="B563" s="13"/>
      <c r="C563" s="13"/>
    </row>
    <row r="564" spans="1:3" x14ac:dyDescent="0.3">
      <c r="A564" s="13"/>
      <c r="B564" s="13"/>
      <c r="C564" s="13"/>
    </row>
    <row r="565" spans="1:3" x14ac:dyDescent="0.3">
      <c r="A565" s="13"/>
      <c r="B565" s="13"/>
      <c r="C565" s="13"/>
    </row>
    <row r="566" spans="1:3" x14ac:dyDescent="0.3">
      <c r="A566" s="13"/>
      <c r="B566" s="13"/>
      <c r="C566" s="13"/>
    </row>
    <row r="567" spans="1:3" x14ac:dyDescent="0.3">
      <c r="A567" s="13"/>
      <c r="B567" s="13"/>
      <c r="C567" s="13"/>
    </row>
    <row r="568" spans="1:3" x14ac:dyDescent="0.3">
      <c r="A568" s="13"/>
      <c r="B568" s="13"/>
      <c r="C568" s="13"/>
    </row>
    <row r="569" spans="1:3" x14ac:dyDescent="0.3">
      <c r="A569" s="13"/>
      <c r="B569" s="13"/>
      <c r="C569" s="13"/>
    </row>
    <row r="570" spans="1:3" x14ac:dyDescent="0.3">
      <c r="A570" s="13"/>
      <c r="B570" s="13"/>
      <c r="C570" s="13"/>
    </row>
    <row r="571" spans="1:3" x14ac:dyDescent="0.3">
      <c r="A571" s="13"/>
      <c r="B571" s="13"/>
      <c r="C571" s="13"/>
    </row>
    <row r="572" spans="1:3" x14ac:dyDescent="0.3">
      <c r="A572" s="13"/>
      <c r="B572" s="13"/>
      <c r="C572" s="13"/>
    </row>
    <row r="573" spans="1:3" x14ac:dyDescent="0.3">
      <c r="A573" s="13"/>
      <c r="B573" s="13"/>
      <c r="C573" s="13"/>
    </row>
    <row r="574" spans="1:3" x14ac:dyDescent="0.3">
      <c r="A574" s="13"/>
      <c r="B574" s="13"/>
      <c r="C574" s="13"/>
    </row>
    <row r="575" spans="1:3" x14ac:dyDescent="0.3">
      <c r="A575" s="13"/>
      <c r="B575" s="13"/>
      <c r="C575" s="13"/>
    </row>
    <row r="576" spans="1:3" x14ac:dyDescent="0.3">
      <c r="A576" s="13"/>
      <c r="B576" s="13"/>
      <c r="C576" s="13"/>
    </row>
    <row r="577" spans="1:3" x14ac:dyDescent="0.3">
      <c r="A577" s="13"/>
      <c r="B577" s="13"/>
      <c r="C577" s="13"/>
    </row>
    <row r="578" spans="1:3" x14ac:dyDescent="0.3">
      <c r="A578" s="13"/>
      <c r="B578" s="13"/>
      <c r="C578" s="13"/>
    </row>
    <row r="579" spans="1:3" x14ac:dyDescent="0.3">
      <c r="A579" s="13"/>
      <c r="B579" s="13"/>
      <c r="C579" s="13"/>
    </row>
    <row r="580" spans="1:3" x14ac:dyDescent="0.3">
      <c r="A580" s="13"/>
      <c r="B580" s="13"/>
      <c r="C580" s="13"/>
    </row>
    <row r="581" spans="1:3" x14ac:dyDescent="0.3">
      <c r="A581" s="13"/>
      <c r="B581" s="13"/>
      <c r="C581" s="13"/>
    </row>
    <row r="582" spans="1:3" x14ac:dyDescent="0.3">
      <c r="A582" s="13"/>
      <c r="B582" s="13"/>
      <c r="C582" s="13"/>
    </row>
    <row r="583" spans="1:3" x14ac:dyDescent="0.3">
      <c r="A583" s="13"/>
      <c r="B583" s="13"/>
      <c r="C583" s="13"/>
    </row>
    <row r="584" spans="1:3" x14ac:dyDescent="0.3">
      <c r="A584" s="13"/>
      <c r="B584" s="13"/>
      <c r="C584" s="13"/>
    </row>
    <row r="585" spans="1:3" x14ac:dyDescent="0.3">
      <c r="A585" s="13"/>
      <c r="B585" s="13"/>
      <c r="C585" s="13"/>
    </row>
    <row r="586" spans="1:3" x14ac:dyDescent="0.3">
      <c r="A586" s="13"/>
      <c r="B586" s="13"/>
      <c r="C586" s="13"/>
    </row>
    <row r="587" spans="1:3" x14ac:dyDescent="0.3">
      <c r="A587" s="13"/>
      <c r="B587" s="13"/>
      <c r="C587" s="13"/>
    </row>
    <row r="588" spans="1:3" x14ac:dyDescent="0.3">
      <c r="A588" s="13"/>
      <c r="B588" s="13"/>
      <c r="C588" s="13"/>
    </row>
    <row r="589" spans="1:3" x14ac:dyDescent="0.3">
      <c r="A589" s="13"/>
      <c r="B589" s="13"/>
      <c r="C589" s="13"/>
    </row>
    <row r="590" spans="1:3" x14ac:dyDescent="0.3">
      <c r="A590" s="13"/>
      <c r="B590" s="13"/>
      <c r="C590" s="13"/>
    </row>
    <row r="591" spans="1:3" x14ac:dyDescent="0.3">
      <c r="A591" s="13"/>
      <c r="B591" s="13"/>
      <c r="C591" s="13"/>
    </row>
    <row r="592" spans="1:3" x14ac:dyDescent="0.3">
      <c r="A592" s="13"/>
      <c r="B592" s="13"/>
      <c r="C592" s="13"/>
    </row>
    <row r="593" spans="1:3" x14ac:dyDescent="0.3">
      <c r="A593" s="13"/>
      <c r="B593" s="13"/>
      <c r="C593" s="13"/>
    </row>
    <row r="594" spans="1:3" x14ac:dyDescent="0.3">
      <c r="A594" s="13"/>
      <c r="B594" s="13"/>
      <c r="C594" s="13"/>
    </row>
    <row r="595" spans="1:3" x14ac:dyDescent="0.3">
      <c r="A595" s="13"/>
      <c r="B595" s="13"/>
      <c r="C595" s="13"/>
    </row>
    <row r="596" spans="1:3" x14ac:dyDescent="0.3">
      <c r="A596" s="13"/>
      <c r="B596" s="13"/>
      <c r="C596" s="13"/>
    </row>
    <row r="597" spans="1:3" x14ac:dyDescent="0.3">
      <c r="A597" s="13"/>
      <c r="B597" s="13"/>
      <c r="C597" s="13"/>
    </row>
    <row r="598" spans="1:3" x14ac:dyDescent="0.3">
      <c r="A598" s="13"/>
      <c r="B598" s="13"/>
      <c r="C598" s="13"/>
    </row>
    <row r="599" spans="1:3" x14ac:dyDescent="0.3">
      <c r="A599" s="13"/>
      <c r="B599" s="13"/>
      <c r="C599" s="13"/>
    </row>
    <row r="600" spans="1:3" x14ac:dyDescent="0.3">
      <c r="A600" s="13"/>
      <c r="B600" s="13"/>
      <c r="C600" s="13"/>
    </row>
    <row r="601" spans="1:3" x14ac:dyDescent="0.3">
      <c r="A601" s="13"/>
      <c r="B601" s="13"/>
      <c r="C601" s="13"/>
    </row>
    <row r="602" spans="1:3" x14ac:dyDescent="0.3">
      <c r="A602" s="13"/>
      <c r="B602" s="13"/>
      <c r="C602" s="13"/>
    </row>
    <row r="603" spans="1:3" x14ac:dyDescent="0.3">
      <c r="A603" s="13"/>
      <c r="B603" s="13"/>
      <c r="C603" s="13"/>
    </row>
    <row r="604" spans="1:3" x14ac:dyDescent="0.3">
      <c r="A604" s="13"/>
      <c r="B604" s="13"/>
      <c r="C604" s="13"/>
    </row>
    <row r="605" spans="1:3" x14ac:dyDescent="0.3">
      <c r="A605" s="13"/>
      <c r="B605" s="13"/>
      <c r="C605" s="13"/>
    </row>
    <row r="606" spans="1:3" x14ac:dyDescent="0.3">
      <c r="A606" s="13"/>
      <c r="B606" s="13"/>
      <c r="C606" s="13"/>
    </row>
    <row r="607" spans="1:3" x14ac:dyDescent="0.3">
      <c r="A607" s="13"/>
      <c r="B607" s="13"/>
      <c r="C607" s="13"/>
    </row>
    <row r="608" spans="1:3" x14ac:dyDescent="0.3">
      <c r="A608" s="13"/>
      <c r="B608" s="13"/>
      <c r="C608" s="13"/>
    </row>
    <row r="609" spans="1:3" x14ac:dyDescent="0.3">
      <c r="A609" s="13"/>
      <c r="B609" s="13"/>
      <c r="C609" s="13"/>
    </row>
    <row r="610" spans="1:3" x14ac:dyDescent="0.3">
      <c r="A610" s="13"/>
      <c r="B610" s="13"/>
      <c r="C610" s="13"/>
    </row>
    <row r="611" spans="1:3" x14ac:dyDescent="0.3">
      <c r="A611" s="13"/>
      <c r="B611" s="13"/>
      <c r="C611" s="13"/>
    </row>
    <row r="612" spans="1:3" x14ac:dyDescent="0.3">
      <c r="A612" s="13"/>
      <c r="B612" s="13"/>
      <c r="C612" s="13"/>
    </row>
    <row r="613" spans="1:3" x14ac:dyDescent="0.3">
      <c r="A613" s="13"/>
      <c r="B613" s="13"/>
      <c r="C613" s="13"/>
    </row>
    <row r="614" spans="1:3" x14ac:dyDescent="0.3">
      <c r="A614" s="13"/>
      <c r="B614" s="13"/>
      <c r="C614" s="13"/>
    </row>
    <row r="615" spans="1:3" x14ac:dyDescent="0.3">
      <c r="A615" s="13"/>
      <c r="B615" s="13"/>
      <c r="C615" s="13"/>
    </row>
    <row r="616" spans="1:3" x14ac:dyDescent="0.3">
      <c r="A616" s="13"/>
      <c r="B616" s="13"/>
      <c r="C616" s="13"/>
    </row>
    <row r="617" spans="1:3" x14ac:dyDescent="0.3">
      <c r="A617" s="13"/>
      <c r="B617" s="13"/>
      <c r="C617" s="13"/>
    </row>
    <row r="618" spans="1:3" x14ac:dyDescent="0.3">
      <c r="A618" s="13"/>
      <c r="B618" s="13"/>
      <c r="C618" s="13"/>
    </row>
    <row r="619" spans="1:3" x14ac:dyDescent="0.3">
      <c r="A619" s="13"/>
      <c r="B619" s="13"/>
      <c r="C619" s="13"/>
    </row>
    <row r="620" spans="1:3" x14ac:dyDescent="0.3">
      <c r="A620" s="13"/>
      <c r="B620" s="13"/>
      <c r="C620" s="13"/>
    </row>
    <row r="621" spans="1:3" x14ac:dyDescent="0.3">
      <c r="A621" s="13"/>
      <c r="B621" s="13"/>
      <c r="C621" s="13"/>
    </row>
    <row r="622" spans="1:3" x14ac:dyDescent="0.3">
      <c r="A622" s="13"/>
      <c r="B622" s="13"/>
      <c r="C622" s="13"/>
    </row>
    <row r="623" spans="1:3" x14ac:dyDescent="0.3">
      <c r="A623" s="13"/>
      <c r="B623" s="13"/>
      <c r="C623" s="13"/>
    </row>
    <row r="624" spans="1:3" x14ac:dyDescent="0.3">
      <c r="A624" s="13"/>
      <c r="B624" s="13"/>
      <c r="C624" s="13"/>
    </row>
    <row r="625" spans="1:3" x14ac:dyDescent="0.3">
      <c r="A625" s="13"/>
      <c r="B625" s="13"/>
      <c r="C625" s="13"/>
    </row>
    <row r="626" spans="1:3" x14ac:dyDescent="0.3">
      <c r="A626" s="13"/>
      <c r="B626" s="13"/>
      <c r="C626" s="13"/>
    </row>
    <row r="627" spans="1:3" x14ac:dyDescent="0.3">
      <c r="A627" s="13"/>
      <c r="B627" s="13"/>
      <c r="C627" s="13"/>
    </row>
    <row r="628" spans="1:3" x14ac:dyDescent="0.3">
      <c r="A628" s="13"/>
      <c r="B628" s="13"/>
      <c r="C628" s="13"/>
    </row>
    <row r="629" spans="1:3" x14ac:dyDescent="0.3">
      <c r="A629" s="13"/>
      <c r="B629" s="13"/>
      <c r="C629" s="13"/>
    </row>
    <row r="630" spans="1:3" x14ac:dyDescent="0.3">
      <c r="A630" s="13"/>
      <c r="B630" s="13"/>
      <c r="C630" s="13"/>
    </row>
    <row r="631" spans="1:3" x14ac:dyDescent="0.3">
      <c r="A631" s="13"/>
      <c r="B631" s="13"/>
      <c r="C631" s="13"/>
    </row>
    <row r="632" spans="1:3" x14ac:dyDescent="0.3">
      <c r="A632" s="13"/>
      <c r="B632" s="13"/>
      <c r="C632" s="13"/>
    </row>
    <row r="633" spans="1:3" x14ac:dyDescent="0.3">
      <c r="A633" s="13"/>
      <c r="B633" s="13"/>
      <c r="C633" s="13"/>
    </row>
    <row r="634" spans="1:3" x14ac:dyDescent="0.3">
      <c r="A634" s="13"/>
      <c r="B634" s="13"/>
      <c r="C634" s="13"/>
    </row>
    <row r="635" spans="1:3" x14ac:dyDescent="0.3">
      <c r="A635" s="13"/>
      <c r="B635" s="13"/>
      <c r="C635" s="13"/>
    </row>
    <row r="636" spans="1:3" x14ac:dyDescent="0.3">
      <c r="A636" s="13"/>
      <c r="B636" s="13"/>
      <c r="C636" s="13"/>
    </row>
    <row r="637" spans="1:3" x14ac:dyDescent="0.3">
      <c r="A637" s="13"/>
      <c r="B637" s="13"/>
      <c r="C637" s="13"/>
    </row>
    <row r="638" spans="1:3" x14ac:dyDescent="0.3">
      <c r="A638" s="13"/>
      <c r="B638" s="13"/>
      <c r="C638" s="13"/>
    </row>
    <row r="639" spans="1:3" x14ac:dyDescent="0.3">
      <c r="A639" s="13"/>
      <c r="B639" s="13"/>
      <c r="C639" s="13"/>
    </row>
    <row r="640" spans="1:3" x14ac:dyDescent="0.3">
      <c r="A640" s="13"/>
      <c r="B640" s="13"/>
      <c r="C640" s="13"/>
    </row>
    <row r="641" spans="1:3" x14ac:dyDescent="0.3">
      <c r="A641" s="13"/>
      <c r="B641" s="13"/>
      <c r="C641" s="13"/>
    </row>
    <row r="642" spans="1:3" x14ac:dyDescent="0.3">
      <c r="A642" s="13"/>
      <c r="B642" s="13"/>
      <c r="C642" s="13"/>
    </row>
    <row r="643" spans="1:3" x14ac:dyDescent="0.3">
      <c r="A643" s="13"/>
      <c r="B643" s="13"/>
      <c r="C643" s="13"/>
    </row>
    <row r="644" spans="1:3" x14ac:dyDescent="0.3">
      <c r="A644" s="13"/>
      <c r="B644" s="13"/>
      <c r="C644" s="13"/>
    </row>
    <row r="645" spans="1:3" x14ac:dyDescent="0.3">
      <c r="A645" s="13"/>
      <c r="B645" s="13"/>
      <c r="C645" s="13"/>
    </row>
    <row r="646" spans="1:3" x14ac:dyDescent="0.3">
      <c r="A646" s="13"/>
      <c r="B646" s="13"/>
      <c r="C646" s="13"/>
    </row>
    <row r="647" spans="1:3" x14ac:dyDescent="0.3">
      <c r="A647" s="13"/>
      <c r="B647" s="13"/>
      <c r="C647" s="13"/>
    </row>
    <row r="648" spans="1:3" x14ac:dyDescent="0.3">
      <c r="A648" s="13"/>
      <c r="B648" s="13"/>
      <c r="C648" s="13"/>
    </row>
    <row r="649" spans="1:3" x14ac:dyDescent="0.3">
      <c r="A649" s="13"/>
      <c r="B649" s="13"/>
      <c r="C649" s="13"/>
    </row>
    <row r="650" spans="1:3" x14ac:dyDescent="0.3">
      <c r="A650" s="13"/>
      <c r="B650" s="13"/>
      <c r="C650" s="13"/>
    </row>
    <row r="651" spans="1:3" x14ac:dyDescent="0.3">
      <c r="A651" s="13"/>
      <c r="B651" s="13"/>
      <c r="C651" s="13"/>
    </row>
    <row r="652" spans="1:3" x14ac:dyDescent="0.3">
      <c r="A652" s="13"/>
      <c r="B652" s="13"/>
      <c r="C652" s="13"/>
    </row>
    <row r="653" spans="1:3" x14ac:dyDescent="0.3">
      <c r="A653" s="13"/>
      <c r="B653" s="13"/>
      <c r="C653" s="13"/>
    </row>
    <row r="654" spans="1:3" x14ac:dyDescent="0.3">
      <c r="A654" s="13"/>
      <c r="B654" s="13"/>
      <c r="C654" s="13"/>
    </row>
    <row r="655" spans="1:3" x14ac:dyDescent="0.3">
      <c r="A655" s="13"/>
      <c r="B655" s="13"/>
      <c r="C655" s="13"/>
    </row>
    <row r="656" spans="1:3" x14ac:dyDescent="0.3">
      <c r="A656" s="13"/>
      <c r="B656" s="13"/>
      <c r="C656" s="13"/>
    </row>
    <row r="657" spans="1:3" x14ac:dyDescent="0.3">
      <c r="A657" s="13"/>
      <c r="B657" s="13"/>
      <c r="C657" s="13"/>
    </row>
    <row r="658" spans="1:3" x14ac:dyDescent="0.3">
      <c r="A658" s="13"/>
      <c r="B658" s="13"/>
      <c r="C658" s="13"/>
    </row>
    <row r="659" spans="1:3" x14ac:dyDescent="0.3">
      <c r="A659" s="13"/>
      <c r="B659" s="13"/>
      <c r="C659" s="13"/>
    </row>
    <row r="660" spans="1:3" x14ac:dyDescent="0.3">
      <c r="A660" s="13"/>
      <c r="B660" s="13"/>
      <c r="C660" s="13"/>
    </row>
    <row r="661" spans="1:3" x14ac:dyDescent="0.3">
      <c r="A661" s="13"/>
      <c r="B661" s="13"/>
      <c r="C661" s="13"/>
    </row>
    <row r="662" spans="1:3" x14ac:dyDescent="0.3">
      <c r="A662" s="13"/>
      <c r="B662" s="13"/>
      <c r="C662" s="13"/>
    </row>
    <row r="663" spans="1:3" x14ac:dyDescent="0.3">
      <c r="A663" s="13"/>
      <c r="B663" s="13"/>
      <c r="C663" s="13"/>
    </row>
    <row r="664" spans="1:3" x14ac:dyDescent="0.3">
      <c r="A664" s="13"/>
      <c r="B664" s="13"/>
      <c r="C664" s="13"/>
    </row>
    <row r="665" spans="1:3" x14ac:dyDescent="0.3">
      <c r="A665" s="13"/>
      <c r="B665" s="13"/>
      <c r="C665" s="13"/>
    </row>
    <row r="666" spans="1:3" x14ac:dyDescent="0.3">
      <c r="A666" s="13"/>
      <c r="B666" s="13"/>
      <c r="C666" s="13"/>
    </row>
    <row r="667" spans="1:3" x14ac:dyDescent="0.3">
      <c r="A667" s="13"/>
      <c r="B667" s="13"/>
      <c r="C667" s="13"/>
    </row>
    <row r="668" spans="1:3" x14ac:dyDescent="0.3">
      <c r="A668" s="13"/>
      <c r="B668" s="13"/>
      <c r="C668" s="13"/>
    </row>
    <row r="669" spans="1:3" x14ac:dyDescent="0.3">
      <c r="A669" s="13"/>
      <c r="B669" s="13"/>
      <c r="C669" s="13"/>
    </row>
    <row r="670" spans="1:3" x14ac:dyDescent="0.3">
      <c r="A670" s="13"/>
      <c r="B670" s="13"/>
      <c r="C670" s="13"/>
    </row>
    <row r="671" spans="1:3" x14ac:dyDescent="0.3">
      <c r="A671" s="13"/>
      <c r="B671" s="13"/>
      <c r="C671" s="13"/>
    </row>
    <row r="672" spans="1:3" x14ac:dyDescent="0.3">
      <c r="A672" s="13"/>
      <c r="B672" s="13"/>
      <c r="C672" s="13"/>
    </row>
    <row r="673" spans="1:3" x14ac:dyDescent="0.3">
      <c r="A673" s="13"/>
      <c r="B673" s="13"/>
      <c r="C673" s="13"/>
    </row>
    <row r="674" spans="1:3" x14ac:dyDescent="0.3">
      <c r="A674" s="13"/>
      <c r="B674" s="13"/>
      <c r="C674" s="13"/>
    </row>
    <row r="675" spans="1:3" x14ac:dyDescent="0.3">
      <c r="A675" s="13"/>
      <c r="B675" s="13"/>
      <c r="C675" s="13"/>
    </row>
    <row r="676" spans="1:3" x14ac:dyDescent="0.3">
      <c r="A676" s="13"/>
      <c r="B676" s="13"/>
      <c r="C676" s="13"/>
    </row>
    <row r="677" spans="1:3" x14ac:dyDescent="0.3">
      <c r="A677" s="13"/>
      <c r="B677" s="13"/>
      <c r="C677" s="13"/>
    </row>
    <row r="678" spans="1:3" x14ac:dyDescent="0.3">
      <c r="A678" s="13"/>
      <c r="B678" s="13"/>
      <c r="C678" s="13"/>
    </row>
    <row r="679" spans="1:3" x14ac:dyDescent="0.3">
      <c r="A679" s="13"/>
      <c r="B679" s="13"/>
      <c r="C679" s="13"/>
    </row>
    <row r="680" spans="1:3" x14ac:dyDescent="0.3">
      <c r="A680" s="13"/>
      <c r="B680" s="13"/>
      <c r="C680" s="13"/>
    </row>
    <row r="681" spans="1:3" x14ac:dyDescent="0.3">
      <c r="A681" s="13"/>
      <c r="B681" s="13"/>
      <c r="C681" s="13"/>
    </row>
    <row r="682" spans="1:3" x14ac:dyDescent="0.3">
      <c r="A682" s="13"/>
      <c r="B682" s="13"/>
      <c r="C682" s="13"/>
    </row>
    <row r="683" spans="1:3" x14ac:dyDescent="0.3">
      <c r="A683" s="13"/>
      <c r="B683" s="13"/>
      <c r="C683" s="13"/>
    </row>
    <row r="684" spans="1:3" x14ac:dyDescent="0.3">
      <c r="A684" s="13"/>
      <c r="B684" s="13"/>
      <c r="C684" s="13"/>
    </row>
    <row r="685" spans="1:3" x14ac:dyDescent="0.3">
      <c r="A685" s="13"/>
      <c r="B685" s="13"/>
      <c r="C685" s="13"/>
    </row>
    <row r="686" spans="1:3" x14ac:dyDescent="0.3">
      <c r="A686" s="13"/>
      <c r="B686" s="13"/>
      <c r="C686" s="13"/>
    </row>
    <row r="687" spans="1:3" x14ac:dyDescent="0.3">
      <c r="A687" s="13"/>
      <c r="B687" s="13"/>
      <c r="C687" s="13"/>
    </row>
    <row r="688" spans="1:3" x14ac:dyDescent="0.3">
      <c r="A688" s="13"/>
      <c r="B688" s="13"/>
      <c r="C688" s="13"/>
    </row>
    <row r="689" spans="1:3" x14ac:dyDescent="0.3">
      <c r="A689" s="13"/>
      <c r="B689" s="13"/>
      <c r="C689" s="13"/>
    </row>
    <row r="690" spans="1:3" x14ac:dyDescent="0.3">
      <c r="A690" s="13"/>
      <c r="B690" s="13"/>
      <c r="C690" s="13"/>
    </row>
    <row r="691" spans="1:3" x14ac:dyDescent="0.3">
      <c r="A691" s="13"/>
      <c r="B691" s="13"/>
      <c r="C691" s="13"/>
    </row>
    <row r="692" spans="1:3" x14ac:dyDescent="0.3">
      <c r="A692" s="13"/>
      <c r="B692" s="13"/>
      <c r="C692" s="13"/>
    </row>
    <row r="693" spans="1:3" x14ac:dyDescent="0.3">
      <c r="A693" s="13"/>
      <c r="B693" s="13"/>
      <c r="C693" s="13"/>
    </row>
    <row r="694" spans="1:3" x14ac:dyDescent="0.3">
      <c r="A694" s="13"/>
      <c r="B694" s="13"/>
      <c r="C694" s="13"/>
    </row>
    <row r="695" spans="1:3" x14ac:dyDescent="0.3">
      <c r="A695" s="13"/>
      <c r="B695" s="13"/>
      <c r="C695" s="13"/>
    </row>
    <row r="696" spans="1:3" x14ac:dyDescent="0.3">
      <c r="A696" s="13"/>
      <c r="B696" s="13"/>
      <c r="C696" s="13"/>
    </row>
    <row r="697" spans="1:3" x14ac:dyDescent="0.3">
      <c r="A697" s="13"/>
      <c r="B697" s="13"/>
      <c r="C697" s="13"/>
    </row>
    <row r="698" spans="1:3" x14ac:dyDescent="0.3">
      <c r="A698" s="13"/>
      <c r="B698" s="13"/>
      <c r="C698" s="13"/>
    </row>
    <row r="699" spans="1:3" x14ac:dyDescent="0.3">
      <c r="A699" s="13"/>
      <c r="B699" s="13"/>
      <c r="C699" s="13"/>
    </row>
    <row r="700" spans="1:3" x14ac:dyDescent="0.3">
      <c r="A700" s="13"/>
      <c r="B700" s="13"/>
      <c r="C700" s="13"/>
    </row>
    <row r="701" spans="1:3" x14ac:dyDescent="0.3">
      <c r="A701" s="13"/>
      <c r="B701" s="13"/>
      <c r="C701" s="13"/>
    </row>
    <row r="702" spans="1:3" x14ac:dyDescent="0.3">
      <c r="A702" s="13"/>
      <c r="B702" s="13"/>
      <c r="C702" s="13"/>
    </row>
    <row r="703" spans="1:3" x14ac:dyDescent="0.3">
      <c r="A703" s="13"/>
      <c r="B703" s="13"/>
      <c r="C703" s="13"/>
    </row>
    <row r="704" spans="1:3" x14ac:dyDescent="0.3">
      <c r="A704" s="13"/>
      <c r="B704" s="13"/>
      <c r="C704" s="13"/>
    </row>
    <row r="705" spans="1:3" x14ac:dyDescent="0.3">
      <c r="A705" s="13"/>
      <c r="B705" s="13"/>
      <c r="C705" s="13"/>
    </row>
    <row r="706" spans="1:3" x14ac:dyDescent="0.3">
      <c r="A706" s="13"/>
      <c r="B706" s="13"/>
      <c r="C706" s="13"/>
    </row>
    <row r="707" spans="1:3" x14ac:dyDescent="0.3">
      <c r="A707" s="13"/>
      <c r="B707" s="13"/>
      <c r="C707" s="13"/>
    </row>
    <row r="708" spans="1:3" x14ac:dyDescent="0.3">
      <c r="A708" s="13"/>
      <c r="B708" s="13"/>
      <c r="C708" s="13"/>
    </row>
    <row r="709" spans="1:3" x14ac:dyDescent="0.3">
      <c r="A709" s="13"/>
      <c r="B709" s="13"/>
      <c r="C709" s="13"/>
    </row>
    <row r="710" spans="1:3" x14ac:dyDescent="0.3">
      <c r="A710" s="13"/>
      <c r="B710" s="13"/>
      <c r="C710" s="13"/>
    </row>
    <row r="711" spans="1:3" x14ac:dyDescent="0.3">
      <c r="A711" s="13"/>
      <c r="B711" s="13"/>
      <c r="C711" s="13"/>
    </row>
    <row r="712" spans="1:3" x14ac:dyDescent="0.3">
      <c r="A712" s="13"/>
      <c r="B712" s="13"/>
      <c r="C712" s="13"/>
    </row>
    <row r="713" spans="1:3" x14ac:dyDescent="0.3">
      <c r="A713" s="13"/>
      <c r="B713" s="13"/>
      <c r="C713" s="13"/>
    </row>
    <row r="714" spans="1:3" x14ac:dyDescent="0.3">
      <c r="A714" s="13"/>
      <c r="B714" s="13"/>
      <c r="C714" s="13"/>
    </row>
    <row r="715" spans="1:3" x14ac:dyDescent="0.3">
      <c r="A715" s="13"/>
      <c r="B715" s="13"/>
      <c r="C715" s="13"/>
    </row>
    <row r="716" spans="1:3" x14ac:dyDescent="0.3">
      <c r="A716" s="13"/>
      <c r="B716" s="13"/>
      <c r="C716" s="13"/>
    </row>
    <row r="717" spans="1:3" x14ac:dyDescent="0.3">
      <c r="A717" s="13"/>
      <c r="B717" s="13"/>
      <c r="C717" s="13"/>
    </row>
    <row r="718" spans="1:3" x14ac:dyDescent="0.3">
      <c r="A718" s="13"/>
      <c r="B718" s="13"/>
      <c r="C718" s="13"/>
    </row>
    <row r="719" spans="1:3" x14ac:dyDescent="0.3">
      <c r="A719" s="13"/>
      <c r="B719" s="13"/>
      <c r="C719" s="13"/>
    </row>
    <row r="720" spans="1:3" x14ac:dyDescent="0.3">
      <c r="A720" s="13"/>
      <c r="B720" s="13"/>
      <c r="C720" s="13"/>
    </row>
    <row r="721" spans="1:3" x14ac:dyDescent="0.3">
      <c r="A721" s="13"/>
      <c r="B721" s="13"/>
      <c r="C721" s="13"/>
    </row>
    <row r="722" spans="1:3" x14ac:dyDescent="0.3">
      <c r="A722" s="13"/>
      <c r="B722" s="13"/>
      <c r="C722" s="13"/>
    </row>
    <row r="723" spans="1:3" x14ac:dyDescent="0.3">
      <c r="A723" s="13"/>
      <c r="B723" s="13"/>
      <c r="C723" s="13"/>
    </row>
    <row r="724" spans="1:3" x14ac:dyDescent="0.3">
      <c r="A724" s="13"/>
      <c r="B724" s="13"/>
      <c r="C724" s="13"/>
    </row>
    <row r="725" spans="1:3" x14ac:dyDescent="0.3">
      <c r="A725" s="13"/>
      <c r="B725" s="13"/>
      <c r="C725" s="13"/>
    </row>
    <row r="726" spans="1:3" x14ac:dyDescent="0.3">
      <c r="A726" s="13"/>
      <c r="B726" s="13"/>
      <c r="C726" s="13"/>
    </row>
    <row r="727" spans="1:3" x14ac:dyDescent="0.3">
      <c r="A727" s="13"/>
      <c r="B727" s="13"/>
      <c r="C727" s="13"/>
    </row>
    <row r="728" spans="1:3" x14ac:dyDescent="0.3">
      <c r="A728" s="13"/>
      <c r="B728" s="13"/>
      <c r="C728" s="13"/>
    </row>
    <row r="729" spans="1:3" x14ac:dyDescent="0.3">
      <c r="A729" s="13"/>
      <c r="B729" s="13"/>
      <c r="C729" s="13"/>
    </row>
    <row r="730" spans="1:3" x14ac:dyDescent="0.3">
      <c r="A730" s="13"/>
      <c r="B730" s="13"/>
      <c r="C730" s="13"/>
    </row>
    <row r="731" spans="1:3" x14ac:dyDescent="0.3">
      <c r="A731" s="13"/>
      <c r="B731" s="13"/>
      <c r="C731" s="13"/>
    </row>
    <row r="732" spans="1:3" x14ac:dyDescent="0.3">
      <c r="A732" s="13"/>
      <c r="B732" s="13"/>
      <c r="C732" s="13"/>
    </row>
    <row r="733" spans="1:3" x14ac:dyDescent="0.3">
      <c r="A733" s="13"/>
      <c r="B733" s="13"/>
      <c r="C733" s="13"/>
    </row>
    <row r="734" spans="1:3" x14ac:dyDescent="0.3">
      <c r="A734" s="13"/>
      <c r="B734" s="13"/>
      <c r="C734" s="13"/>
    </row>
    <row r="735" spans="1:3" x14ac:dyDescent="0.3">
      <c r="A735" s="13"/>
      <c r="B735" s="13"/>
      <c r="C735" s="13"/>
    </row>
    <row r="736" spans="1:3" x14ac:dyDescent="0.3">
      <c r="A736" s="13"/>
      <c r="B736" s="13"/>
      <c r="C736" s="13"/>
    </row>
    <row r="737" spans="1:3" x14ac:dyDescent="0.3">
      <c r="A737" s="13"/>
      <c r="B737" s="13"/>
      <c r="C737" s="13"/>
    </row>
    <row r="738" spans="1:3" x14ac:dyDescent="0.3">
      <c r="A738" s="13"/>
      <c r="B738" s="13"/>
      <c r="C738" s="13"/>
    </row>
    <row r="739" spans="1:3" x14ac:dyDescent="0.3">
      <c r="A739" s="13"/>
      <c r="B739" s="13"/>
      <c r="C739" s="13"/>
    </row>
    <row r="740" spans="1:3" x14ac:dyDescent="0.3">
      <c r="A740" s="13"/>
      <c r="B740" s="13"/>
      <c r="C740" s="13"/>
    </row>
    <row r="741" spans="1:3" x14ac:dyDescent="0.3">
      <c r="A741" s="13"/>
      <c r="B741" s="13"/>
      <c r="C741" s="13"/>
    </row>
    <row r="742" spans="1:3" x14ac:dyDescent="0.3">
      <c r="A742" s="13"/>
      <c r="B742" s="13"/>
      <c r="C742" s="13"/>
    </row>
    <row r="743" spans="1:3" x14ac:dyDescent="0.3">
      <c r="A743" s="13"/>
      <c r="B743" s="13"/>
      <c r="C743" s="13"/>
    </row>
    <row r="744" spans="1:3" x14ac:dyDescent="0.3">
      <c r="A744" s="13"/>
      <c r="B744" s="13"/>
      <c r="C744" s="13"/>
    </row>
    <row r="745" spans="1:3" x14ac:dyDescent="0.3">
      <c r="A745" s="13"/>
      <c r="B745" s="13"/>
      <c r="C745" s="13"/>
    </row>
    <row r="746" spans="1:3" x14ac:dyDescent="0.3">
      <c r="A746" s="13"/>
      <c r="B746" s="13"/>
      <c r="C746" s="13"/>
    </row>
    <row r="747" spans="1:3" x14ac:dyDescent="0.3">
      <c r="A747" s="13"/>
      <c r="B747" s="13"/>
      <c r="C747" s="13"/>
    </row>
    <row r="748" spans="1:3" x14ac:dyDescent="0.3">
      <c r="A748" s="13"/>
      <c r="B748" s="13"/>
      <c r="C748" s="13"/>
    </row>
    <row r="749" spans="1:3" x14ac:dyDescent="0.3">
      <c r="A749" s="13"/>
      <c r="B749" s="13"/>
      <c r="C749" s="13"/>
    </row>
    <row r="750" spans="1:3" x14ac:dyDescent="0.3">
      <c r="A750" s="13"/>
      <c r="B750" s="13"/>
      <c r="C750" s="13"/>
    </row>
    <row r="751" spans="1:3" x14ac:dyDescent="0.3">
      <c r="A751" s="13"/>
      <c r="B751" s="13"/>
      <c r="C751" s="13"/>
    </row>
    <row r="752" spans="1:3" x14ac:dyDescent="0.3">
      <c r="A752" s="13"/>
      <c r="B752" s="13"/>
      <c r="C752" s="13"/>
    </row>
    <row r="753" spans="1:3" x14ac:dyDescent="0.3">
      <c r="A753" s="13"/>
      <c r="B753" s="13"/>
      <c r="C753" s="13"/>
    </row>
    <row r="754" spans="1:3" x14ac:dyDescent="0.3">
      <c r="A754" s="13"/>
      <c r="B754" s="13"/>
      <c r="C754" s="13"/>
    </row>
    <row r="755" spans="1:3" x14ac:dyDescent="0.3">
      <c r="A755" s="13"/>
      <c r="B755" s="13"/>
      <c r="C755" s="13"/>
    </row>
    <row r="756" spans="1:3" x14ac:dyDescent="0.3">
      <c r="A756" s="13"/>
      <c r="B756" s="13"/>
      <c r="C756" s="13"/>
    </row>
    <row r="757" spans="1:3" x14ac:dyDescent="0.3">
      <c r="A757" s="13"/>
      <c r="B757" s="13"/>
      <c r="C757" s="13"/>
    </row>
    <row r="758" spans="1:3" x14ac:dyDescent="0.3">
      <c r="A758" s="13"/>
      <c r="B758" s="13"/>
      <c r="C758" s="13"/>
    </row>
    <row r="759" spans="1:3" x14ac:dyDescent="0.3">
      <c r="A759" s="13"/>
      <c r="B759" s="13"/>
      <c r="C759" s="13"/>
    </row>
    <row r="760" spans="1:3" x14ac:dyDescent="0.3">
      <c r="A760" s="13"/>
      <c r="B760" s="13"/>
      <c r="C760" s="13"/>
    </row>
    <row r="761" spans="1:3" x14ac:dyDescent="0.3">
      <c r="A761" s="13"/>
      <c r="B761" s="13"/>
      <c r="C761" s="13"/>
    </row>
    <row r="762" spans="1:3" x14ac:dyDescent="0.3">
      <c r="A762" s="13"/>
      <c r="B762" s="13"/>
      <c r="C762" s="13"/>
    </row>
    <row r="763" spans="1:3" x14ac:dyDescent="0.3">
      <c r="A763" s="13"/>
      <c r="B763" s="13"/>
      <c r="C763" s="13"/>
    </row>
    <row r="764" spans="1:3" x14ac:dyDescent="0.3">
      <c r="A764" s="13"/>
      <c r="B764" s="13"/>
      <c r="C764" s="13"/>
    </row>
    <row r="765" spans="1:3" x14ac:dyDescent="0.3">
      <c r="A765" s="13"/>
      <c r="B765" s="13"/>
      <c r="C765" s="13"/>
    </row>
    <row r="766" spans="1:3" x14ac:dyDescent="0.3">
      <c r="A766" s="13"/>
      <c r="B766" s="13"/>
      <c r="C766" s="13"/>
    </row>
    <row r="767" spans="1:3" x14ac:dyDescent="0.3">
      <c r="A767" s="13"/>
      <c r="B767" s="13"/>
      <c r="C767" s="13"/>
    </row>
    <row r="768" spans="1:3" x14ac:dyDescent="0.3">
      <c r="A768" s="13"/>
      <c r="B768" s="13"/>
      <c r="C768" s="13"/>
    </row>
    <row r="769" spans="1:3" x14ac:dyDescent="0.3">
      <c r="A769" s="13"/>
      <c r="B769" s="13"/>
      <c r="C769" s="13"/>
    </row>
    <row r="770" spans="1:3" x14ac:dyDescent="0.3">
      <c r="A770" s="13"/>
      <c r="B770" s="13"/>
      <c r="C770" s="13"/>
    </row>
    <row r="771" spans="1:3" x14ac:dyDescent="0.3">
      <c r="A771" s="13"/>
      <c r="B771" s="13"/>
      <c r="C771" s="13"/>
    </row>
    <row r="772" spans="1:3" x14ac:dyDescent="0.3">
      <c r="A772" s="13"/>
      <c r="B772" s="13"/>
      <c r="C772" s="13"/>
    </row>
    <row r="773" spans="1:3" x14ac:dyDescent="0.3">
      <c r="A773" s="13"/>
      <c r="B773" s="13"/>
      <c r="C773" s="13"/>
    </row>
    <row r="774" spans="1:3" x14ac:dyDescent="0.3">
      <c r="A774" s="13"/>
      <c r="B774" s="13"/>
      <c r="C774" s="13"/>
    </row>
    <row r="775" spans="1:3" x14ac:dyDescent="0.3">
      <c r="A775" s="13"/>
      <c r="B775" s="13"/>
      <c r="C775" s="13"/>
    </row>
    <row r="776" spans="1:3" x14ac:dyDescent="0.3">
      <c r="A776" s="13"/>
      <c r="B776" s="13"/>
      <c r="C776" s="13"/>
    </row>
    <row r="777" spans="1:3" x14ac:dyDescent="0.3">
      <c r="A777" s="13"/>
      <c r="B777" s="13"/>
      <c r="C777" s="13"/>
    </row>
    <row r="778" spans="1:3" x14ac:dyDescent="0.3">
      <c r="A778" s="13"/>
      <c r="B778" s="13"/>
      <c r="C778" s="13"/>
    </row>
    <row r="779" spans="1:3" x14ac:dyDescent="0.3">
      <c r="A779" s="13"/>
      <c r="B779" s="13"/>
      <c r="C779" s="13"/>
    </row>
    <row r="780" spans="1:3" x14ac:dyDescent="0.3">
      <c r="A780" s="13"/>
      <c r="B780" s="13"/>
      <c r="C780" s="13"/>
    </row>
    <row r="781" spans="1:3" x14ac:dyDescent="0.3">
      <c r="A781" s="13"/>
      <c r="B781" s="13"/>
      <c r="C781" s="13"/>
    </row>
    <row r="782" spans="1:3" x14ac:dyDescent="0.3">
      <c r="A782" s="13"/>
      <c r="B782" s="13"/>
      <c r="C782" s="13"/>
    </row>
    <row r="783" spans="1:3" x14ac:dyDescent="0.3">
      <c r="A783" s="13"/>
      <c r="B783" s="13"/>
      <c r="C783" s="13"/>
    </row>
    <row r="784" spans="1:3" x14ac:dyDescent="0.3">
      <c r="A784" s="13"/>
      <c r="B784" s="13"/>
      <c r="C784" s="13"/>
    </row>
    <row r="785" spans="1:3" x14ac:dyDescent="0.3">
      <c r="A785" s="13"/>
      <c r="B785" s="13"/>
      <c r="C785" s="13"/>
    </row>
    <row r="786" spans="1:3" x14ac:dyDescent="0.3">
      <c r="A786" s="13"/>
      <c r="B786" s="13"/>
      <c r="C786" s="13"/>
    </row>
    <row r="787" spans="1:3" x14ac:dyDescent="0.3">
      <c r="A787" s="13"/>
      <c r="B787" s="13"/>
      <c r="C787" s="13"/>
    </row>
    <row r="788" spans="1:3" x14ac:dyDescent="0.3">
      <c r="A788" s="13"/>
      <c r="B788" s="13"/>
      <c r="C788" s="13"/>
    </row>
    <row r="789" spans="1:3" x14ac:dyDescent="0.3">
      <c r="A789" s="13"/>
      <c r="B789" s="13"/>
      <c r="C789" s="13"/>
    </row>
    <row r="790" spans="1:3" x14ac:dyDescent="0.3">
      <c r="A790" s="13"/>
      <c r="B790" s="13"/>
      <c r="C790" s="13"/>
    </row>
    <row r="791" spans="1:3" x14ac:dyDescent="0.3">
      <c r="A791" s="13"/>
      <c r="B791" s="13"/>
      <c r="C791" s="13"/>
    </row>
    <row r="792" spans="1:3" x14ac:dyDescent="0.3">
      <c r="A792" s="13"/>
      <c r="B792" s="13"/>
      <c r="C792" s="13"/>
    </row>
    <row r="793" spans="1:3" x14ac:dyDescent="0.3">
      <c r="A793" s="13"/>
      <c r="B793" s="13"/>
      <c r="C793" s="13"/>
    </row>
    <row r="794" spans="1:3" x14ac:dyDescent="0.3">
      <c r="A794" s="13"/>
      <c r="B794" s="13"/>
      <c r="C794" s="13"/>
    </row>
    <row r="795" spans="1:3" x14ac:dyDescent="0.3">
      <c r="A795" s="13"/>
      <c r="B795" s="13"/>
      <c r="C795" s="13"/>
    </row>
    <row r="796" spans="1:3" x14ac:dyDescent="0.3">
      <c r="A796" s="13"/>
      <c r="B796" s="13"/>
      <c r="C796" s="13"/>
    </row>
    <row r="797" spans="1:3" x14ac:dyDescent="0.3">
      <c r="A797" s="13"/>
      <c r="B797" s="13"/>
      <c r="C797" s="13"/>
    </row>
    <row r="798" spans="1:3" x14ac:dyDescent="0.3">
      <c r="A798" s="13"/>
      <c r="B798" s="13"/>
      <c r="C798" s="13"/>
    </row>
    <row r="799" spans="1:3" x14ac:dyDescent="0.3">
      <c r="A799" s="13"/>
      <c r="B799" s="13"/>
      <c r="C799" s="13"/>
    </row>
    <row r="800" spans="1:3" x14ac:dyDescent="0.3">
      <c r="A800" s="13"/>
      <c r="B800" s="13"/>
      <c r="C800" s="13"/>
    </row>
    <row r="801" spans="1:3" x14ac:dyDescent="0.3">
      <c r="A801" s="13"/>
      <c r="B801" s="13"/>
      <c r="C801" s="13"/>
    </row>
    <row r="802" spans="1:3" x14ac:dyDescent="0.3">
      <c r="A802" s="13"/>
      <c r="B802" s="13"/>
      <c r="C802" s="13"/>
    </row>
    <row r="803" spans="1:3" x14ac:dyDescent="0.3">
      <c r="A803" s="13"/>
      <c r="B803" s="13"/>
      <c r="C803" s="13"/>
    </row>
    <row r="804" spans="1:3" x14ac:dyDescent="0.3">
      <c r="A804" s="13"/>
      <c r="B804" s="13"/>
      <c r="C804" s="13"/>
    </row>
    <row r="805" spans="1:3" x14ac:dyDescent="0.3">
      <c r="A805" s="13"/>
      <c r="B805" s="13"/>
      <c r="C805" s="13"/>
    </row>
    <row r="806" spans="1:3" x14ac:dyDescent="0.3">
      <c r="A806" s="13"/>
      <c r="B806" s="13"/>
      <c r="C806" s="13"/>
    </row>
    <row r="807" spans="1:3" x14ac:dyDescent="0.3">
      <c r="A807" s="13"/>
      <c r="B807" s="13"/>
      <c r="C807" s="13"/>
    </row>
    <row r="808" spans="1:3" x14ac:dyDescent="0.3">
      <c r="A808" s="13"/>
      <c r="B808" s="13"/>
      <c r="C808" s="13"/>
    </row>
    <row r="809" spans="1:3" x14ac:dyDescent="0.3">
      <c r="A809" s="13"/>
      <c r="B809" s="13"/>
      <c r="C809" s="13"/>
    </row>
    <row r="810" spans="1:3" x14ac:dyDescent="0.3">
      <c r="A810" s="13"/>
      <c r="B810" s="13"/>
      <c r="C810" s="13"/>
    </row>
    <row r="811" spans="1:3" x14ac:dyDescent="0.3">
      <c r="A811" s="13"/>
      <c r="B811" s="13"/>
      <c r="C811" s="13"/>
    </row>
    <row r="812" spans="1:3" x14ac:dyDescent="0.3">
      <c r="A812" s="13"/>
      <c r="B812" s="13"/>
      <c r="C812" s="13"/>
    </row>
    <row r="813" spans="1:3" x14ac:dyDescent="0.3">
      <c r="A813" s="13"/>
      <c r="B813" s="13"/>
      <c r="C813" s="13"/>
    </row>
    <row r="814" spans="1:3" x14ac:dyDescent="0.3">
      <c r="A814" s="13"/>
      <c r="B814" s="13"/>
      <c r="C814" s="13"/>
    </row>
    <row r="815" spans="1:3" x14ac:dyDescent="0.3">
      <c r="A815" s="13"/>
      <c r="B815" s="13"/>
      <c r="C815" s="13"/>
    </row>
    <row r="816" spans="1:3" x14ac:dyDescent="0.3">
      <c r="A816" s="13"/>
      <c r="B816" s="13"/>
      <c r="C816" s="13"/>
    </row>
    <row r="817" spans="1:3" x14ac:dyDescent="0.3">
      <c r="A817" s="13"/>
      <c r="B817" s="13"/>
      <c r="C817" s="13"/>
    </row>
    <row r="818" spans="1:3" x14ac:dyDescent="0.3">
      <c r="A818" s="13"/>
      <c r="B818" s="13"/>
      <c r="C818" s="13"/>
    </row>
    <row r="819" spans="1:3" x14ac:dyDescent="0.3">
      <c r="A819" s="13"/>
      <c r="B819" s="13"/>
      <c r="C819" s="13"/>
    </row>
    <row r="820" spans="1:3" x14ac:dyDescent="0.3">
      <c r="A820" s="13"/>
      <c r="B820" s="13"/>
      <c r="C820" s="13"/>
    </row>
    <row r="821" spans="1:3" x14ac:dyDescent="0.3">
      <c r="A821" s="13"/>
      <c r="B821" s="13"/>
      <c r="C821" s="13"/>
    </row>
    <row r="822" spans="1:3" x14ac:dyDescent="0.3">
      <c r="A822" s="13"/>
      <c r="B822" s="13"/>
      <c r="C822" s="13"/>
    </row>
    <row r="823" spans="1:3" x14ac:dyDescent="0.3">
      <c r="A823" s="13"/>
      <c r="B823" s="13"/>
      <c r="C823" s="13"/>
    </row>
    <row r="824" spans="1:3" x14ac:dyDescent="0.3">
      <c r="A824" s="13"/>
      <c r="B824" s="13"/>
      <c r="C824" s="13"/>
    </row>
    <row r="825" spans="1:3" x14ac:dyDescent="0.3">
      <c r="A825" s="13"/>
      <c r="B825" s="13"/>
      <c r="C825" s="13"/>
    </row>
    <row r="826" spans="1:3" x14ac:dyDescent="0.3">
      <c r="A826" s="13"/>
      <c r="B826" s="13"/>
      <c r="C826" s="13"/>
    </row>
    <row r="827" spans="1:3" x14ac:dyDescent="0.3">
      <c r="A827" s="13"/>
      <c r="B827" s="13"/>
      <c r="C827" s="13"/>
    </row>
    <row r="828" spans="1:3" x14ac:dyDescent="0.3">
      <c r="A828" s="13"/>
      <c r="B828" s="13"/>
      <c r="C828" s="13"/>
    </row>
    <row r="829" spans="1:3" x14ac:dyDescent="0.3">
      <c r="A829" s="13"/>
      <c r="B829" s="13"/>
      <c r="C829" s="13"/>
    </row>
    <row r="830" spans="1:3" x14ac:dyDescent="0.3">
      <c r="A830" s="13"/>
      <c r="B830" s="13"/>
      <c r="C830" s="13"/>
    </row>
    <row r="831" spans="1:3" x14ac:dyDescent="0.3">
      <c r="A831" s="13"/>
      <c r="B831" s="13"/>
      <c r="C831" s="13"/>
    </row>
    <row r="832" spans="1:3" x14ac:dyDescent="0.3">
      <c r="A832" s="13"/>
      <c r="B832" s="13"/>
      <c r="C832" s="13"/>
    </row>
    <row r="833" spans="1:3" x14ac:dyDescent="0.3">
      <c r="A833" s="13"/>
      <c r="B833" s="13"/>
      <c r="C833" s="13"/>
    </row>
    <row r="834" spans="1:3" x14ac:dyDescent="0.3">
      <c r="A834" s="13"/>
      <c r="B834" s="13"/>
      <c r="C834" s="13"/>
    </row>
    <row r="835" spans="1:3" x14ac:dyDescent="0.3">
      <c r="A835" s="13"/>
      <c r="B835" s="13"/>
      <c r="C835" s="13"/>
    </row>
    <row r="836" spans="1:3" x14ac:dyDescent="0.3">
      <c r="A836" s="13"/>
      <c r="B836" s="13"/>
      <c r="C836" s="13"/>
    </row>
    <row r="837" spans="1:3" x14ac:dyDescent="0.3">
      <c r="A837" s="13"/>
      <c r="B837" s="13"/>
      <c r="C837" s="13"/>
    </row>
    <row r="838" spans="1:3" x14ac:dyDescent="0.3">
      <c r="A838" s="13"/>
      <c r="B838" s="13"/>
      <c r="C838" s="13"/>
    </row>
    <row r="839" spans="1:3" x14ac:dyDescent="0.3">
      <c r="A839" s="13"/>
      <c r="B839" s="13"/>
      <c r="C839" s="13"/>
    </row>
    <row r="840" spans="1:3" x14ac:dyDescent="0.3">
      <c r="A840" s="13"/>
      <c r="B840" s="13"/>
      <c r="C840" s="13"/>
    </row>
    <row r="841" spans="1:3" x14ac:dyDescent="0.3">
      <c r="A841" s="13"/>
      <c r="B841" s="13"/>
      <c r="C841" s="13"/>
    </row>
    <row r="842" spans="1:3" x14ac:dyDescent="0.3">
      <c r="A842" s="13"/>
      <c r="B842" s="13"/>
      <c r="C842" s="13"/>
    </row>
    <row r="843" spans="1:3" x14ac:dyDescent="0.3">
      <c r="A843" s="13"/>
      <c r="B843" s="13"/>
      <c r="C843" s="13"/>
    </row>
    <row r="844" spans="1:3" x14ac:dyDescent="0.3">
      <c r="A844" s="13"/>
      <c r="B844" s="13"/>
      <c r="C844" s="13"/>
    </row>
    <row r="845" spans="1:3" x14ac:dyDescent="0.3">
      <c r="A845" s="13"/>
      <c r="B845" s="13"/>
      <c r="C845" s="13"/>
    </row>
    <row r="846" spans="1:3" x14ac:dyDescent="0.3">
      <c r="A846" s="13"/>
      <c r="B846" s="13"/>
      <c r="C846" s="13"/>
    </row>
    <row r="847" spans="1:3" x14ac:dyDescent="0.3">
      <c r="A847" s="13"/>
      <c r="B847" s="13"/>
      <c r="C847" s="13"/>
    </row>
    <row r="848" spans="1:3" x14ac:dyDescent="0.3">
      <c r="A848" s="13"/>
      <c r="B848" s="13"/>
      <c r="C848" s="13"/>
    </row>
    <row r="849" spans="1:3" x14ac:dyDescent="0.3">
      <c r="A849" s="13"/>
      <c r="B849" s="13"/>
      <c r="C849" s="13"/>
    </row>
    <row r="850" spans="1:3" x14ac:dyDescent="0.3">
      <c r="A850" s="13"/>
      <c r="B850" s="13"/>
      <c r="C850" s="13"/>
    </row>
    <row r="851" spans="1:3" x14ac:dyDescent="0.3">
      <c r="A851" s="13"/>
      <c r="B851" s="13"/>
      <c r="C851" s="13"/>
    </row>
    <row r="852" spans="1:3" x14ac:dyDescent="0.3">
      <c r="A852" s="13"/>
      <c r="B852" s="13"/>
      <c r="C852" s="13"/>
    </row>
    <row r="853" spans="1:3" x14ac:dyDescent="0.3">
      <c r="A853" s="13"/>
      <c r="B853" s="13"/>
      <c r="C853" s="13"/>
    </row>
    <row r="854" spans="1:3" x14ac:dyDescent="0.3">
      <c r="A854" s="13"/>
      <c r="B854" s="13"/>
      <c r="C854" s="13"/>
    </row>
    <row r="855" spans="1:3" x14ac:dyDescent="0.3">
      <c r="A855" s="13"/>
      <c r="B855" s="13"/>
      <c r="C855" s="13"/>
    </row>
    <row r="856" spans="1:3" x14ac:dyDescent="0.3">
      <c r="A856" s="13"/>
      <c r="B856" s="13"/>
      <c r="C856" s="13"/>
    </row>
    <row r="857" spans="1:3" x14ac:dyDescent="0.3">
      <c r="A857" s="13"/>
      <c r="B857" s="13"/>
      <c r="C857" s="13"/>
    </row>
    <row r="858" spans="1:3" x14ac:dyDescent="0.3">
      <c r="A858" s="13"/>
      <c r="B858" s="13"/>
      <c r="C858" s="13"/>
    </row>
    <row r="859" spans="1:3" x14ac:dyDescent="0.3">
      <c r="A859" s="13"/>
      <c r="B859" s="13"/>
      <c r="C859" s="13"/>
    </row>
    <row r="860" spans="1:3" x14ac:dyDescent="0.3">
      <c r="A860" s="13"/>
      <c r="B860" s="13"/>
      <c r="C860" s="13"/>
    </row>
    <row r="861" spans="1:3" x14ac:dyDescent="0.3">
      <c r="A861" s="13"/>
      <c r="B861" s="13"/>
      <c r="C861" s="13"/>
    </row>
    <row r="862" spans="1:3" x14ac:dyDescent="0.3">
      <c r="A862" s="13"/>
      <c r="B862" s="13"/>
      <c r="C862" s="13"/>
    </row>
    <row r="863" spans="1:3" x14ac:dyDescent="0.3">
      <c r="A863" s="13"/>
      <c r="B863" s="13"/>
      <c r="C863" s="13"/>
    </row>
    <row r="864" spans="1:3" x14ac:dyDescent="0.3">
      <c r="A864" s="13"/>
      <c r="B864" s="13"/>
      <c r="C864" s="13"/>
    </row>
    <row r="865" spans="1:3" x14ac:dyDescent="0.3">
      <c r="A865" s="13"/>
      <c r="B865" s="13"/>
      <c r="C865" s="13"/>
    </row>
    <row r="866" spans="1:3" x14ac:dyDescent="0.3">
      <c r="A866" s="13"/>
      <c r="B866" s="13"/>
      <c r="C866" s="13"/>
    </row>
    <row r="867" spans="1:3" x14ac:dyDescent="0.3">
      <c r="A867" s="13"/>
      <c r="B867" s="13"/>
      <c r="C867" s="13"/>
    </row>
    <row r="868" spans="1:3" x14ac:dyDescent="0.3">
      <c r="A868" s="13"/>
      <c r="B868" s="13"/>
      <c r="C868" s="13"/>
    </row>
    <row r="869" spans="1:3" x14ac:dyDescent="0.3">
      <c r="A869" s="13"/>
      <c r="B869" s="13"/>
      <c r="C869" s="13"/>
    </row>
    <row r="870" spans="1:3" x14ac:dyDescent="0.3">
      <c r="A870" s="13"/>
      <c r="B870" s="13"/>
      <c r="C870" s="13"/>
    </row>
    <row r="871" spans="1:3" x14ac:dyDescent="0.3">
      <c r="A871" s="13"/>
      <c r="B871" s="13"/>
      <c r="C871" s="13"/>
    </row>
    <row r="872" spans="1:3" x14ac:dyDescent="0.3">
      <c r="A872" s="13"/>
      <c r="B872" s="13"/>
      <c r="C872" s="13"/>
    </row>
    <row r="873" spans="1:3" x14ac:dyDescent="0.3">
      <c r="A873" s="13"/>
      <c r="B873" s="13"/>
      <c r="C873" s="13"/>
    </row>
    <row r="874" spans="1:3" x14ac:dyDescent="0.3">
      <c r="A874" s="13"/>
      <c r="B874" s="13"/>
      <c r="C874" s="13"/>
    </row>
    <row r="875" spans="1:3" x14ac:dyDescent="0.3">
      <c r="A875" s="13"/>
      <c r="B875" s="13"/>
      <c r="C875" s="13"/>
    </row>
    <row r="876" spans="1:3" x14ac:dyDescent="0.3">
      <c r="A876" s="13"/>
      <c r="B876" s="13"/>
      <c r="C876" s="13"/>
    </row>
    <row r="877" spans="1:3" x14ac:dyDescent="0.3">
      <c r="A877" s="13"/>
      <c r="B877" s="13"/>
      <c r="C877" s="13"/>
    </row>
    <row r="878" spans="1:3" x14ac:dyDescent="0.3">
      <c r="A878" s="13"/>
      <c r="B878" s="13"/>
      <c r="C878" s="13"/>
    </row>
    <row r="879" spans="1:3" x14ac:dyDescent="0.3">
      <c r="A879" s="13"/>
      <c r="B879" s="13"/>
      <c r="C879" s="13"/>
    </row>
    <row r="880" spans="1:3" x14ac:dyDescent="0.3">
      <c r="A880" s="13"/>
      <c r="B880" s="13"/>
      <c r="C880" s="13"/>
    </row>
    <row r="881" spans="1:3" x14ac:dyDescent="0.3">
      <c r="A881" s="13"/>
      <c r="B881" s="13"/>
      <c r="C881" s="13"/>
    </row>
    <row r="882" spans="1:3" x14ac:dyDescent="0.3">
      <c r="A882" s="13"/>
      <c r="B882" s="13"/>
      <c r="C882" s="13"/>
    </row>
    <row r="883" spans="1:3" x14ac:dyDescent="0.3">
      <c r="A883" s="13"/>
      <c r="B883" s="13"/>
      <c r="C883" s="13"/>
    </row>
    <row r="884" spans="1:3" x14ac:dyDescent="0.3">
      <c r="A884" s="13"/>
      <c r="B884" s="13"/>
      <c r="C884" s="13"/>
    </row>
    <row r="885" spans="1:3" x14ac:dyDescent="0.3">
      <c r="A885" s="13"/>
      <c r="B885" s="13"/>
      <c r="C885" s="13"/>
    </row>
    <row r="886" spans="1:3" x14ac:dyDescent="0.3">
      <c r="A886" s="13"/>
      <c r="B886" s="13"/>
      <c r="C886" s="13"/>
    </row>
    <row r="887" spans="1:3" x14ac:dyDescent="0.3">
      <c r="A887" s="13"/>
      <c r="B887" s="13"/>
      <c r="C887" s="13"/>
    </row>
    <row r="888" spans="1:3" x14ac:dyDescent="0.3">
      <c r="A888" s="13"/>
      <c r="B888" s="13"/>
      <c r="C888" s="13"/>
    </row>
    <row r="889" spans="1:3" x14ac:dyDescent="0.3">
      <c r="A889" s="13"/>
      <c r="B889" s="13"/>
      <c r="C889" s="13"/>
    </row>
    <row r="890" spans="1:3" x14ac:dyDescent="0.3">
      <c r="A890" s="13"/>
      <c r="B890" s="13"/>
      <c r="C890" s="13"/>
    </row>
    <row r="891" spans="1:3" x14ac:dyDescent="0.3">
      <c r="A891" s="13"/>
      <c r="B891" s="13"/>
      <c r="C891" s="13"/>
    </row>
    <row r="892" spans="1:3" x14ac:dyDescent="0.3">
      <c r="A892" s="13"/>
      <c r="B892" s="13"/>
      <c r="C892" s="13"/>
    </row>
    <row r="893" spans="1:3" x14ac:dyDescent="0.3">
      <c r="A893" s="13"/>
      <c r="B893" s="13"/>
      <c r="C893" s="13"/>
    </row>
    <row r="894" spans="1:3" x14ac:dyDescent="0.3">
      <c r="A894" s="13"/>
      <c r="B894" s="13"/>
      <c r="C894" s="13"/>
    </row>
    <row r="895" spans="1:3" x14ac:dyDescent="0.3">
      <c r="A895" s="13"/>
      <c r="B895" s="13"/>
      <c r="C895" s="13"/>
    </row>
    <row r="896" spans="1:3" x14ac:dyDescent="0.3">
      <c r="A896" s="13"/>
      <c r="B896" s="13"/>
      <c r="C896" s="13"/>
    </row>
    <row r="897" spans="1:3" x14ac:dyDescent="0.3">
      <c r="A897" s="13"/>
      <c r="B897" s="13"/>
      <c r="C897" s="13"/>
    </row>
    <row r="898" spans="1:3" x14ac:dyDescent="0.3">
      <c r="A898" s="13"/>
      <c r="B898" s="13"/>
      <c r="C898" s="13"/>
    </row>
    <row r="899" spans="1:3" x14ac:dyDescent="0.3">
      <c r="A899" s="13"/>
      <c r="B899" s="13"/>
      <c r="C899" s="13"/>
    </row>
    <row r="900" spans="1:3" x14ac:dyDescent="0.3">
      <c r="A900" s="13"/>
      <c r="B900" s="13"/>
      <c r="C900" s="13"/>
    </row>
    <row r="901" spans="1:3" x14ac:dyDescent="0.3">
      <c r="A901" s="13"/>
      <c r="B901" s="13"/>
      <c r="C901" s="13"/>
    </row>
    <row r="902" spans="1:3" x14ac:dyDescent="0.3">
      <c r="A902" s="13"/>
      <c r="B902" s="13"/>
      <c r="C902" s="13"/>
    </row>
    <row r="903" spans="1:3" x14ac:dyDescent="0.3">
      <c r="A903" s="13"/>
      <c r="B903" s="13"/>
      <c r="C903" s="13"/>
    </row>
    <row r="904" spans="1:3" x14ac:dyDescent="0.3">
      <c r="A904" s="13"/>
      <c r="B904" s="13"/>
      <c r="C904" s="13"/>
    </row>
    <row r="905" spans="1:3" x14ac:dyDescent="0.3">
      <c r="A905" s="13"/>
      <c r="B905" s="13"/>
      <c r="C905" s="13"/>
    </row>
    <row r="906" spans="1:3" x14ac:dyDescent="0.3">
      <c r="A906" s="13"/>
      <c r="B906" s="13"/>
      <c r="C906" s="13"/>
    </row>
    <row r="907" spans="1:3" x14ac:dyDescent="0.3">
      <c r="A907" s="13"/>
      <c r="B907" s="13"/>
      <c r="C907" s="13"/>
    </row>
    <row r="908" spans="1:3" x14ac:dyDescent="0.3">
      <c r="A908" s="13"/>
      <c r="B908" s="13"/>
      <c r="C908" s="13"/>
    </row>
  </sheetData>
  <mergeCells count="2">
    <mergeCell ref="A7:C7"/>
    <mergeCell ref="A6:C6"/>
  </mergeCells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46"/>
  <sheetViews>
    <sheetView zoomScaleNormal="100" zoomScaleSheetLayoutView="87" workbookViewId="0">
      <selection activeCell="A8" sqref="A8:D8"/>
    </sheetView>
  </sheetViews>
  <sheetFormatPr defaultColWidth="9" defaultRowHeight="19.05" x14ac:dyDescent="0.35"/>
  <cols>
    <col min="1" max="1" width="76.375" style="189" customWidth="1"/>
    <col min="2" max="2" width="21.375" style="189" customWidth="1"/>
    <col min="3" max="3" width="25.25" style="253" customWidth="1"/>
    <col min="4" max="4" width="13.625" style="245" customWidth="1"/>
    <col min="5" max="16384" width="9" style="245"/>
  </cols>
  <sheetData>
    <row r="1" spans="1:4" ht="18.350000000000001" x14ac:dyDescent="0.3">
      <c r="A1" s="582"/>
      <c r="C1" s="234" t="s">
        <v>436</v>
      </c>
    </row>
    <row r="2" spans="1:4" ht="18.350000000000001" x14ac:dyDescent="0.3">
      <c r="C2" s="234" t="s">
        <v>928</v>
      </c>
    </row>
    <row r="3" spans="1:4" ht="18.350000000000001" x14ac:dyDescent="0.3">
      <c r="C3" s="234" t="s">
        <v>653</v>
      </c>
    </row>
    <row r="4" spans="1:4" ht="18.350000000000001" x14ac:dyDescent="0.3">
      <c r="C4" s="234" t="s">
        <v>1077</v>
      </c>
    </row>
    <row r="5" spans="1:4" ht="18.350000000000001" x14ac:dyDescent="0.3">
      <c r="C5" s="234"/>
    </row>
    <row r="6" spans="1:4" ht="18.350000000000001" x14ac:dyDescent="0.3">
      <c r="C6" s="234"/>
    </row>
    <row r="7" spans="1:4" ht="18.350000000000001" x14ac:dyDescent="0.3">
      <c r="A7" s="676" t="s">
        <v>241</v>
      </c>
      <c r="B7" s="676"/>
      <c r="C7" s="676"/>
      <c r="D7" s="676"/>
    </row>
    <row r="8" spans="1:4" ht="18.350000000000001" x14ac:dyDescent="0.3">
      <c r="A8" s="677" t="s">
        <v>1033</v>
      </c>
      <c r="B8" s="677"/>
      <c r="C8" s="677"/>
      <c r="D8" s="677"/>
    </row>
    <row r="9" spans="1:4" ht="18.350000000000001" x14ac:dyDescent="0.3">
      <c r="A9" s="235"/>
      <c r="C9" s="191" t="s">
        <v>408</v>
      </c>
    </row>
    <row r="10" spans="1:4" ht="36.700000000000003" x14ac:dyDescent="0.25">
      <c r="A10" s="64" t="s">
        <v>437</v>
      </c>
      <c r="B10" s="64" t="s">
        <v>747</v>
      </c>
      <c r="C10" s="64" t="s">
        <v>1034</v>
      </c>
    </row>
    <row r="11" spans="1:4" ht="34" x14ac:dyDescent="0.3">
      <c r="A11" s="653" t="s">
        <v>1099</v>
      </c>
      <c r="B11" s="407">
        <f>B12</f>
        <v>243734664</v>
      </c>
      <c r="C11" s="407">
        <f>C12</f>
        <v>223721298</v>
      </c>
      <c r="D11" s="637">
        <f>C11-B11</f>
        <v>-20013366</v>
      </c>
    </row>
    <row r="12" spans="1:4" ht="36.700000000000003" x14ac:dyDescent="0.25">
      <c r="A12" s="580" t="s">
        <v>1032</v>
      </c>
      <c r="B12" s="581">
        <v>243734664</v>
      </c>
      <c r="C12" s="581">
        <v>223721298</v>
      </c>
      <c r="D12" s="637">
        <f t="shared" ref="D12:D26" si="0">C12-B12</f>
        <v>-20013366</v>
      </c>
    </row>
    <row r="13" spans="1:4" ht="46.2" customHeight="1" x14ac:dyDescent="0.25">
      <c r="A13" s="654" t="s">
        <v>1098</v>
      </c>
      <c r="B13" s="407">
        <f>B14+B15+B16+B17+B18+B19</f>
        <v>33185257</v>
      </c>
      <c r="C13" s="407">
        <f>C14+C15+C16+C17+C18+C19</f>
        <v>34960291.009999998</v>
      </c>
      <c r="D13" s="637"/>
    </row>
    <row r="14" spans="1:4" ht="95.1" customHeight="1" x14ac:dyDescent="0.25">
      <c r="A14" s="100" t="s">
        <v>1040</v>
      </c>
      <c r="B14" s="587">
        <v>8786836.7400000002</v>
      </c>
      <c r="C14" s="587">
        <v>8786836.7400000002</v>
      </c>
      <c r="D14" s="637"/>
    </row>
    <row r="15" spans="1:4" ht="46.2" customHeight="1" x14ac:dyDescent="0.25">
      <c r="A15" s="100" t="s">
        <v>667</v>
      </c>
      <c r="B15" s="588">
        <f>615449.7</f>
        <v>615449.69999999995</v>
      </c>
      <c r="C15" s="588">
        <f>586049.38</f>
        <v>586049.38</v>
      </c>
      <c r="D15" s="637"/>
    </row>
    <row r="16" spans="1:4" ht="74.05" customHeight="1" x14ac:dyDescent="0.3">
      <c r="A16" s="100" t="s">
        <v>671</v>
      </c>
      <c r="B16" s="101">
        <v>2869484.71</v>
      </c>
      <c r="C16" s="101">
        <v>2872483.88</v>
      </c>
      <c r="D16" s="637">
        <f t="shared" si="0"/>
        <v>2999.1699999999255</v>
      </c>
    </row>
    <row r="17" spans="1:4" ht="41.45" customHeight="1" x14ac:dyDescent="0.25">
      <c r="A17" s="11" t="s">
        <v>618</v>
      </c>
      <c r="B17" s="590">
        <v>7566254.9699999997</v>
      </c>
      <c r="C17" s="590">
        <v>7566254.9699999997</v>
      </c>
      <c r="D17" s="637"/>
    </row>
    <row r="18" spans="1:4" ht="74.05" customHeight="1" x14ac:dyDescent="0.3">
      <c r="A18" s="100" t="s">
        <v>1092</v>
      </c>
      <c r="B18" s="101">
        <v>0</v>
      </c>
      <c r="C18" s="101">
        <v>1800874.42</v>
      </c>
      <c r="D18" s="637"/>
    </row>
    <row r="19" spans="1:4" ht="29.25" customHeight="1" x14ac:dyDescent="0.3">
      <c r="A19" s="655" t="s">
        <v>1097</v>
      </c>
      <c r="B19" s="656">
        <f>B20+B21+B22</f>
        <v>13347230.880000001</v>
      </c>
      <c r="C19" s="656">
        <f>C20+C21+C22</f>
        <v>13347791.619999999</v>
      </c>
      <c r="D19" s="637"/>
    </row>
    <row r="20" spans="1:4" ht="36.700000000000003" x14ac:dyDescent="0.3">
      <c r="A20" s="100" t="s">
        <v>1120</v>
      </c>
      <c r="B20" s="101">
        <v>168005</v>
      </c>
      <c r="C20" s="101">
        <v>168005</v>
      </c>
      <c r="D20" s="637">
        <f t="shared" si="0"/>
        <v>0</v>
      </c>
    </row>
    <row r="21" spans="1:4" ht="44.5" customHeight="1" x14ac:dyDescent="0.25">
      <c r="A21" s="100" t="s">
        <v>1121</v>
      </c>
      <c r="B21" s="586">
        <v>264168.55</v>
      </c>
      <c r="C21" s="586">
        <v>264729.28999999998</v>
      </c>
      <c r="D21" s="637">
        <f t="shared" si="0"/>
        <v>560.73999999999069</v>
      </c>
    </row>
    <row r="22" spans="1:4" ht="70" customHeight="1" x14ac:dyDescent="0.25">
      <c r="A22" s="657" t="s">
        <v>1122</v>
      </c>
      <c r="B22" s="658">
        <v>12915057.33</v>
      </c>
      <c r="C22" s="658">
        <v>12915057.33</v>
      </c>
      <c r="D22" s="637">
        <f t="shared" si="0"/>
        <v>0</v>
      </c>
    </row>
    <row r="23" spans="1:4" ht="40.1" customHeight="1" x14ac:dyDescent="0.3">
      <c r="A23" s="654" t="s">
        <v>1107</v>
      </c>
      <c r="B23" s="663">
        <f>B24+B25+B26+B27+B28+B30+B31+B32+B29</f>
        <v>493028861.85999995</v>
      </c>
      <c r="C23" s="663">
        <f>C24+C25+C26+C27+C28+C30+C31+C32+C29</f>
        <v>517808565.77999997</v>
      </c>
      <c r="D23" s="637"/>
    </row>
    <row r="24" spans="1:4" ht="63.85" customHeight="1" x14ac:dyDescent="0.25">
      <c r="A24" s="659" t="s">
        <v>567</v>
      </c>
      <c r="B24" s="588">
        <v>1490622</v>
      </c>
      <c r="C24" s="588">
        <v>1490622</v>
      </c>
      <c r="D24" s="637">
        <f t="shared" si="0"/>
        <v>0</v>
      </c>
    </row>
    <row r="25" spans="1:4" ht="51.65" customHeight="1" x14ac:dyDescent="0.25">
      <c r="A25" s="100" t="s">
        <v>762</v>
      </c>
      <c r="B25" s="586">
        <v>353579</v>
      </c>
      <c r="C25" s="586">
        <v>353579</v>
      </c>
      <c r="D25" s="637">
        <f t="shared" si="0"/>
        <v>0</v>
      </c>
    </row>
    <row r="26" spans="1:4" ht="57.25" customHeight="1" x14ac:dyDescent="0.25">
      <c r="A26" s="100" t="s">
        <v>576</v>
      </c>
      <c r="B26" s="586">
        <v>1741840</v>
      </c>
      <c r="C26" s="586">
        <v>1803920</v>
      </c>
      <c r="D26" s="637">
        <f t="shared" si="0"/>
        <v>62080</v>
      </c>
    </row>
    <row r="27" spans="1:4" ht="118.2" customHeight="1" x14ac:dyDescent="0.25">
      <c r="A27" s="100" t="s">
        <v>470</v>
      </c>
      <c r="B27" s="586">
        <v>13236200</v>
      </c>
      <c r="C27" s="586">
        <v>13236200</v>
      </c>
      <c r="D27" s="637">
        <f>C33-B33</f>
        <v>17296042</v>
      </c>
    </row>
    <row r="28" spans="1:4" ht="97.15" customHeight="1" x14ac:dyDescent="0.25">
      <c r="A28" s="102" t="s">
        <v>578</v>
      </c>
      <c r="B28" s="586">
        <v>11023</v>
      </c>
      <c r="C28" s="586">
        <v>11023</v>
      </c>
      <c r="D28" s="637">
        <f>C34-B34</f>
        <v>37081</v>
      </c>
    </row>
    <row r="29" spans="1:4" ht="68.599999999999994" customHeight="1" x14ac:dyDescent="0.25">
      <c r="A29" s="100" t="s">
        <v>999</v>
      </c>
      <c r="B29" s="586">
        <v>21307950</v>
      </c>
      <c r="C29" s="586">
        <v>21307950</v>
      </c>
      <c r="D29" s="637">
        <f>C27-B27</f>
        <v>0</v>
      </c>
    </row>
    <row r="30" spans="1:4" ht="57.75" customHeight="1" x14ac:dyDescent="0.25">
      <c r="A30" s="100" t="s">
        <v>657</v>
      </c>
      <c r="B30" s="586">
        <v>3943108</v>
      </c>
      <c r="C30" s="586">
        <v>4099837</v>
      </c>
      <c r="D30" s="637">
        <f>C35-B35</f>
        <v>5752375</v>
      </c>
    </row>
    <row r="31" spans="1:4" ht="29.25" customHeight="1" x14ac:dyDescent="0.3">
      <c r="A31" s="103" t="s">
        <v>573</v>
      </c>
      <c r="B31" s="586">
        <v>2391123</v>
      </c>
      <c r="C31" s="586">
        <v>2486767</v>
      </c>
      <c r="D31" s="637">
        <f>C36-B36</f>
        <v>0</v>
      </c>
    </row>
    <row r="32" spans="1:4" ht="63.85" customHeight="1" x14ac:dyDescent="0.25">
      <c r="A32" s="661" t="s">
        <v>1123</v>
      </c>
      <c r="B32" s="662">
        <f>B33+B34+B35+B36+B37+B38+B39+B40+B41+B42+B43</f>
        <v>448553416.85999995</v>
      </c>
      <c r="C32" s="662">
        <f>C33+C34+C35+C36+C37+C38+C39+C40+C41+C42+C43</f>
        <v>473018667.77999997</v>
      </c>
      <c r="D32" s="637"/>
    </row>
    <row r="33" spans="1:6" ht="79.5" customHeight="1" x14ac:dyDescent="0.25">
      <c r="A33" s="100" t="s">
        <v>568</v>
      </c>
      <c r="B33" s="586">
        <v>274599363</v>
      </c>
      <c r="C33" s="586">
        <v>291895405</v>
      </c>
      <c r="D33" s="637">
        <f>C28-B28</f>
        <v>0</v>
      </c>
    </row>
    <row r="34" spans="1:6" ht="57.25" customHeight="1" x14ac:dyDescent="0.25">
      <c r="A34" s="100" t="s">
        <v>569</v>
      </c>
      <c r="B34" s="586">
        <v>992018</v>
      </c>
      <c r="C34" s="586">
        <v>1029099</v>
      </c>
      <c r="D34" s="637">
        <f t="shared" ref="D34:D39" si="1">C37-B37</f>
        <v>0</v>
      </c>
    </row>
    <row r="35" spans="1:6" ht="57.25" customHeight="1" x14ac:dyDescent="0.25">
      <c r="A35" s="100" t="s">
        <v>577</v>
      </c>
      <c r="B35" s="586">
        <v>95578740</v>
      </c>
      <c r="C35" s="586">
        <v>101331115</v>
      </c>
      <c r="D35" s="637">
        <f t="shared" si="1"/>
        <v>0</v>
      </c>
    </row>
    <row r="36" spans="1:6" ht="62.5" customHeight="1" x14ac:dyDescent="0.25">
      <c r="A36" s="100" t="s">
        <v>383</v>
      </c>
      <c r="B36" s="586">
        <v>324127.09000000003</v>
      </c>
      <c r="C36" s="586">
        <v>324127.09000000003</v>
      </c>
      <c r="D36" s="637">
        <f t="shared" si="1"/>
        <v>0</v>
      </c>
    </row>
    <row r="37" spans="1:6" ht="38.25" customHeight="1" x14ac:dyDescent="0.25">
      <c r="A37" s="102" t="s">
        <v>405</v>
      </c>
      <c r="B37" s="591">
        <v>1310000</v>
      </c>
      <c r="C37" s="591">
        <v>1310000</v>
      </c>
      <c r="D37" s="637">
        <f t="shared" si="1"/>
        <v>78678</v>
      </c>
    </row>
    <row r="38" spans="1:6" ht="70.5" customHeight="1" x14ac:dyDescent="0.25">
      <c r="A38" s="100" t="s">
        <v>571</v>
      </c>
      <c r="B38" s="586">
        <v>1847300</v>
      </c>
      <c r="C38" s="586">
        <v>1847300</v>
      </c>
      <c r="D38" s="637">
        <f t="shared" si="1"/>
        <v>1301074.9200000018</v>
      </c>
    </row>
    <row r="39" spans="1:6" ht="56.25" customHeight="1" x14ac:dyDescent="0.25">
      <c r="A39" s="102" t="s">
        <v>1045</v>
      </c>
      <c r="B39" s="586">
        <v>3387.08</v>
      </c>
      <c r="C39" s="586">
        <v>3387.08</v>
      </c>
      <c r="D39" s="637">
        <f t="shared" si="1"/>
        <v>0</v>
      </c>
    </row>
    <row r="40" spans="1:6" ht="42.15" customHeight="1" x14ac:dyDescent="0.25">
      <c r="A40" s="102" t="s">
        <v>406</v>
      </c>
      <c r="B40" s="586">
        <v>2124542</v>
      </c>
      <c r="C40" s="586">
        <v>2203220</v>
      </c>
      <c r="D40" s="637">
        <f>C30-B30</f>
        <v>156729</v>
      </c>
    </row>
    <row r="41" spans="1:6" ht="83.55" customHeight="1" x14ac:dyDescent="0.25">
      <c r="A41" s="102" t="s">
        <v>431</v>
      </c>
      <c r="B41" s="586">
        <v>37279299.5</v>
      </c>
      <c r="C41" s="586">
        <v>38580374.420000002</v>
      </c>
      <c r="D41" s="637">
        <f>C29-B29</f>
        <v>0</v>
      </c>
    </row>
    <row r="42" spans="1:6" ht="101.25" customHeight="1" x14ac:dyDescent="0.25">
      <c r="A42" s="100" t="s">
        <v>655</v>
      </c>
      <c r="B42" s="586">
        <v>7109400</v>
      </c>
      <c r="C42" s="586">
        <v>7109400</v>
      </c>
      <c r="D42" s="637">
        <f>C43-B43</f>
        <v>0</v>
      </c>
      <c r="F42" s="245" t="s">
        <v>51</v>
      </c>
    </row>
    <row r="43" spans="1:6" ht="102.6" customHeight="1" x14ac:dyDescent="0.25">
      <c r="A43" s="100" t="s">
        <v>1047</v>
      </c>
      <c r="B43" s="592">
        <v>27385240.190000001</v>
      </c>
      <c r="C43" s="592">
        <v>27385240.190000001</v>
      </c>
      <c r="D43" s="637">
        <f>C31-B31</f>
        <v>95644</v>
      </c>
    </row>
    <row r="44" spans="1:6" ht="59.3" customHeight="1" x14ac:dyDescent="0.25">
      <c r="A44" s="664" t="s">
        <v>574</v>
      </c>
      <c r="B44" s="660">
        <v>23400000</v>
      </c>
      <c r="C44" s="660">
        <v>23400000</v>
      </c>
      <c r="D44" s="637">
        <f>C44-B44</f>
        <v>0</v>
      </c>
    </row>
    <row r="45" spans="1:6" ht="18.350000000000001" x14ac:dyDescent="0.3">
      <c r="A45" s="252" t="s">
        <v>125</v>
      </c>
      <c r="B45" s="51">
        <f>B11+B13+B23+B44</f>
        <v>793348782.8599999</v>
      </c>
      <c r="C45" s="51">
        <f>C11+C13+C23+C44</f>
        <v>799890154.78999996</v>
      </c>
      <c r="D45" s="637">
        <f>C45-B45</f>
        <v>6541371.9300000668</v>
      </c>
    </row>
    <row r="46" spans="1:6" ht="18.350000000000001" x14ac:dyDescent="0.3">
      <c r="B46" s="198">
        <f>B45-B11</f>
        <v>549614118.8599999</v>
      </c>
      <c r="C46" s="198">
        <f>C45-C11</f>
        <v>576168856.78999996</v>
      </c>
    </row>
  </sheetData>
  <mergeCells count="2">
    <mergeCell ref="A7:D7"/>
    <mergeCell ref="A8:D8"/>
  </mergeCells>
  <pageMargins left="0.51181102362204722" right="0.51181102362204722" top="0.35433070866141736" bottom="0.35433070866141736" header="0.31496062992125984" footer="0.31496062992125984"/>
  <pageSetup paperSize="9" scale="5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758"/>
  <sheetViews>
    <sheetView topLeftCell="A578" zoomScaleNormal="100" zoomScaleSheetLayoutView="90" workbookViewId="0">
      <selection activeCell="A594" sqref="A594"/>
    </sheetView>
  </sheetViews>
  <sheetFormatPr defaultRowHeight="18.350000000000001" outlineLevelRow="7" x14ac:dyDescent="0.3"/>
  <cols>
    <col min="1" max="1" width="78.375" style="162" customWidth="1"/>
    <col min="2" max="2" width="6.375" style="7" customWidth="1"/>
    <col min="3" max="3" width="6.625" style="7" customWidth="1"/>
    <col min="4" max="4" width="15.875" style="7" customWidth="1"/>
    <col min="5" max="5" width="6.875" style="7" customWidth="1"/>
    <col min="6" max="6" width="21.125" style="181" customWidth="1"/>
    <col min="7" max="7" width="17.375" style="163" customWidth="1"/>
    <col min="8" max="8" width="9.125" style="163"/>
    <col min="9" max="238" width="9.125" style="5"/>
    <col min="239" max="239" width="75.875" style="5" customWidth="1"/>
    <col min="240" max="241" width="7.625" style="5" customWidth="1"/>
    <col min="242" max="242" width="9.625" style="5" customWidth="1"/>
    <col min="243" max="243" width="7.625" style="5" customWidth="1"/>
    <col min="244" max="247" width="0" style="5" hidden="1" customWidth="1"/>
    <col min="248" max="248" width="14.375" style="5" customWidth="1"/>
    <col min="249" max="254" width="0" style="5" hidden="1" customWidth="1"/>
    <col min="255" max="255" width="10.125" style="5" bestFit="1" customWidth="1"/>
    <col min="256" max="494" width="9.125" style="5"/>
    <col min="495" max="495" width="75.875" style="5" customWidth="1"/>
    <col min="496" max="497" width="7.625" style="5" customWidth="1"/>
    <col min="498" max="498" width="9.625" style="5" customWidth="1"/>
    <col min="499" max="499" width="7.625" style="5" customWidth="1"/>
    <col min="500" max="503" width="0" style="5" hidden="1" customWidth="1"/>
    <col min="504" max="504" width="14.375" style="5" customWidth="1"/>
    <col min="505" max="510" width="0" style="5" hidden="1" customWidth="1"/>
    <col min="511" max="511" width="10.125" style="5" bestFit="1" customWidth="1"/>
    <col min="512" max="750" width="9.125" style="5"/>
    <col min="751" max="751" width="75.875" style="5" customWidth="1"/>
    <col min="752" max="753" width="7.625" style="5" customWidth="1"/>
    <col min="754" max="754" width="9.625" style="5" customWidth="1"/>
    <col min="755" max="755" width="7.625" style="5" customWidth="1"/>
    <col min="756" max="759" width="0" style="5" hidden="1" customWidth="1"/>
    <col min="760" max="760" width="14.375" style="5" customWidth="1"/>
    <col min="761" max="766" width="0" style="5" hidden="1" customWidth="1"/>
    <col min="767" max="767" width="10.125" style="5" bestFit="1" customWidth="1"/>
    <col min="768" max="1006" width="9.125" style="5"/>
    <col min="1007" max="1007" width="75.875" style="5" customWidth="1"/>
    <col min="1008" max="1009" width="7.625" style="5" customWidth="1"/>
    <col min="1010" max="1010" width="9.625" style="5" customWidth="1"/>
    <col min="1011" max="1011" width="7.625" style="5" customWidth="1"/>
    <col min="1012" max="1015" width="0" style="5" hidden="1" customWidth="1"/>
    <col min="1016" max="1016" width="14.375" style="5" customWidth="1"/>
    <col min="1017" max="1022" width="0" style="5" hidden="1" customWidth="1"/>
    <col min="1023" max="1023" width="10.125" style="5" bestFit="1" customWidth="1"/>
    <col min="1024" max="1262" width="9.125" style="5"/>
    <col min="1263" max="1263" width="75.875" style="5" customWidth="1"/>
    <col min="1264" max="1265" width="7.625" style="5" customWidth="1"/>
    <col min="1266" max="1266" width="9.625" style="5" customWidth="1"/>
    <col min="1267" max="1267" width="7.625" style="5" customWidth="1"/>
    <col min="1268" max="1271" width="0" style="5" hidden="1" customWidth="1"/>
    <col min="1272" max="1272" width="14.375" style="5" customWidth="1"/>
    <col min="1273" max="1278" width="0" style="5" hidden="1" customWidth="1"/>
    <col min="1279" max="1279" width="10.125" style="5" bestFit="1" customWidth="1"/>
    <col min="1280" max="1518" width="9.125" style="5"/>
    <col min="1519" max="1519" width="75.875" style="5" customWidth="1"/>
    <col min="1520" max="1521" width="7.625" style="5" customWidth="1"/>
    <col min="1522" max="1522" width="9.625" style="5" customWidth="1"/>
    <col min="1523" max="1523" width="7.625" style="5" customWidth="1"/>
    <col min="1524" max="1527" width="0" style="5" hidden="1" customWidth="1"/>
    <col min="1528" max="1528" width="14.375" style="5" customWidth="1"/>
    <col min="1529" max="1534" width="0" style="5" hidden="1" customWidth="1"/>
    <col min="1535" max="1535" width="10.125" style="5" bestFit="1" customWidth="1"/>
    <col min="1536" max="1774" width="9.125" style="5"/>
    <col min="1775" max="1775" width="75.875" style="5" customWidth="1"/>
    <col min="1776" max="1777" width="7.625" style="5" customWidth="1"/>
    <col min="1778" max="1778" width="9.625" style="5" customWidth="1"/>
    <col min="1779" max="1779" width="7.625" style="5" customWidth="1"/>
    <col min="1780" max="1783" width="0" style="5" hidden="1" customWidth="1"/>
    <col min="1784" max="1784" width="14.375" style="5" customWidth="1"/>
    <col min="1785" max="1790" width="0" style="5" hidden="1" customWidth="1"/>
    <col min="1791" max="1791" width="10.125" style="5" bestFit="1" customWidth="1"/>
    <col min="1792" max="2030" width="9.125" style="5"/>
    <col min="2031" max="2031" width="75.875" style="5" customWidth="1"/>
    <col min="2032" max="2033" width="7.625" style="5" customWidth="1"/>
    <col min="2034" max="2034" width="9.625" style="5" customWidth="1"/>
    <col min="2035" max="2035" width="7.625" style="5" customWidth="1"/>
    <col min="2036" max="2039" width="0" style="5" hidden="1" customWidth="1"/>
    <col min="2040" max="2040" width="14.375" style="5" customWidth="1"/>
    <col min="2041" max="2046" width="0" style="5" hidden="1" customWidth="1"/>
    <col min="2047" max="2047" width="10.125" style="5" bestFit="1" customWidth="1"/>
    <col min="2048" max="2286" width="9.125" style="5"/>
    <col min="2287" max="2287" width="75.875" style="5" customWidth="1"/>
    <col min="2288" max="2289" width="7.625" style="5" customWidth="1"/>
    <col min="2290" max="2290" width="9.625" style="5" customWidth="1"/>
    <col min="2291" max="2291" width="7.625" style="5" customWidth="1"/>
    <col min="2292" max="2295" width="0" style="5" hidden="1" customWidth="1"/>
    <col min="2296" max="2296" width="14.375" style="5" customWidth="1"/>
    <col min="2297" max="2302" width="0" style="5" hidden="1" customWidth="1"/>
    <col min="2303" max="2303" width="10.125" style="5" bestFit="1" customWidth="1"/>
    <col min="2304" max="2542" width="9.125" style="5"/>
    <col min="2543" max="2543" width="75.875" style="5" customWidth="1"/>
    <col min="2544" max="2545" width="7.625" style="5" customWidth="1"/>
    <col min="2546" max="2546" width="9.625" style="5" customWidth="1"/>
    <col min="2547" max="2547" width="7.625" style="5" customWidth="1"/>
    <col min="2548" max="2551" width="0" style="5" hidden="1" customWidth="1"/>
    <col min="2552" max="2552" width="14.375" style="5" customWidth="1"/>
    <col min="2553" max="2558" width="0" style="5" hidden="1" customWidth="1"/>
    <col min="2559" max="2559" width="10.125" style="5" bestFit="1" customWidth="1"/>
    <col min="2560" max="2798" width="9.125" style="5"/>
    <col min="2799" max="2799" width="75.875" style="5" customWidth="1"/>
    <col min="2800" max="2801" width="7.625" style="5" customWidth="1"/>
    <col min="2802" max="2802" width="9.625" style="5" customWidth="1"/>
    <col min="2803" max="2803" width="7.625" style="5" customWidth="1"/>
    <col min="2804" max="2807" width="0" style="5" hidden="1" customWidth="1"/>
    <col min="2808" max="2808" width="14.375" style="5" customWidth="1"/>
    <col min="2809" max="2814" width="0" style="5" hidden="1" customWidth="1"/>
    <col min="2815" max="2815" width="10.125" style="5" bestFit="1" customWidth="1"/>
    <col min="2816" max="3054" width="9.125" style="5"/>
    <col min="3055" max="3055" width="75.875" style="5" customWidth="1"/>
    <col min="3056" max="3057" width="7.625" style="5" customWidth="1"/>
    <col min="3058" max="3058" width="9.625" style="5" customWidth="1"/>
    <col min="3059" max="3059" width="7.625" style="5" customWidth="1"/>
    <col min="3060" max="3063" width="0" style="5" hidden="1" customWidth="1"/>
    <col min="3064" max="3064" width="14.375" style="5" customWidth="1"/>
    <col min="3065" max="3070" width="0" style="5" hidden="1" customWidth="1"/>
    <col min="3071" max="3071" width="10.125" style="5" bestFit="1" customWidth="1"/>
    <col min="3072" max="3310" width="9.125" style="5"/>
    <col min="3311" max="3311" width="75.875" style="5" customWidth="1"/>
    <col min="3312" max="3313" width="7.625" style="5" customWidth="1"/>
    <col min="3314" max="3314" width="9.625" style="5" customWidth="1"/>
    <col min="3315" max="3315" width="7.625" style="5" customWidth="1"/>
    <col min="3316" max="3319" width="0" style="5" hidden="1" customWidth="1"/>
    <col min="3320" max="3320" width="14.375" style="5" customWidth="1"/>
    <col min="3321" max="3326" width="0" style="5" hidden="1" customWidth="1"/>
    <col min="3327" max="3327" width="10.125" style="5" bestFit="1" customWidth="1"/>
    <col min="3328" max="3566" width="9.125" style="5"/>
    <col min="3567" max="3567" width="75.875" style="5" customWidth="1"/>
    <col min="3568" max="3569" width="7.625" style="5" customWidth="1"/>
    <col min="3570" max="3570" width="9.625" style="5" customWidth="1"/>
    <col min="3571" max="3571" width="7.625" style="5" customWidth="1"/>
    <col min="3572" max="3575" width="0" style="5" hidden="1" customWidth="1"/>
    <col min="3576" max="3576" width="14.375" style="5" customWidth="1"/>
    <col min="3577" max="3582" width="0" style="5" hidden="1" customWidth="1"/>
    <col min="3583" max="3583" width="10.125" style="5" bestFit="1" customWidth="1"/>
    <col min="3584" max="3822" width="9.125" style="5"/>
    <col min="3823" max="3823" width="75.875" style="5" customWidth="1"/>
    <col min="3824" max="3825" width="7.625" style="5" customWidth="1"/>
    <col min="3826" max="3826" width="9.625" style="5" customWidth="1"/>
    <col min="3827" max="3827" width="7.625" style="5" customWidth="1"/>
    <col min="3828" max="3831" width="0" style="5" hidden="1" customWidth="1"/>
    <col min="3832" max="3832" width="14.375" style="5" customWidth="1"/>
    <col min="3833" max="3838" width="0" style="5" hidden="1" customWidth="1"/>
    <col min="3839" max="3839" width="10.125" style="5" bestFit="1" customWidth="1"/>
    <col min="3840" max="4078" width="9.125" style="5"/>
    <col min="4079" max="4079" width="75.875" style="5" customWidth="1"/>
    <col min="4080" max="4081" width="7.625" style="5" customWidth="1"/>
    <col min="4082" max="4082" width="9.625" style="5" customWidth="1"/>
    <col min="4083" max="4083" width="7.625" style="5" customWidth="1"/>
    <col min="4084" max="4087" width="0" style="5" hidden="1" customWidth="1"/>
    <col min="4088" max="4088" width="14.375" style="5" customWidth="1"/>
    <col min="4089" max="4094" width="0" style="5" hidden="1" customWidth="1"/>
    <col min="4095" max="4095" width="10.125" style="5" bestFit="1" customWidth="1"/>
    <col min="4096" max="4334" width="9.125" style="5"/>
    <col min="4335" max="4335" width="75.875" style="5" customWidth="1"/>
    <col min="4336" max="4337" width="7.625" style="5" customWidth="1"/>
    <col min="4338" max="4338" width="9.625" style="5" customWidth="1"/>
    <col min="4339" max="4339" width="7.625" style="5" customWidth="1"/>
    <col min="4340" max="4343" width="0" style="5" hidden="1" customWidth="1"/>
    <col min="4344" max="4344" width="14.375" style="5" customWidth="1"/>
    <col min="4345" max="4350" width="0" style="5" hidden="1" customWidth="1"/>
    <col min="4351" max="4351" width="10.125" style="5" bestFit="1" customWidth="1"/>
    <col min="4352" max="4590" width="9.125" style="5"/>
    <col min="4591" max="4591" width="75.875" style="5" customWidth="1"/>
    <col min="4592" max="4593" width="7.625" style="5" customWidth="1"/>
    <col min="4594" max="4594" width="9.625" style="5" customWidth="1"/>
    <col min="4595" max="4595" width="7.625" style="5" customWidth="1"/>
    <col min="4596" max="4599" width="0" style="5" hidden="1" customWidth="1"/>
    <col min="4600" max="4600" width="14.375" style="5" customWidth="1"/>
    <col min="4601" max="4606" width="0" style="5" hidden="1" customWidth="1"/>
    <col min="4607" max="4607" width="10.125" style="5" bestFit="1" customWidth="1"/>
    <col min="4608" max="4846" width="9.125" style="5"/>
    <col min="4847" max="4847" width="75.875" style="5" customWidth="1"/>
    <col min="4848" max="4849" width="7.625" style="5" customWidth="1"/>
    <col min="4850" max="4850" width="9.625" style="5" customWidth="1"/>
    <col min="4851" max="4851" width="7.625" style="5" customWidth="1"/>
    <col min="4852" max="4855" width="0" style="5" hidden="1" customWidth="1"/>
    <col min="4856" max="4856" width="14.375" style="5" customWidth="1"/>
    <col min="4857" max="4862" width="0" style="5" hidden="1" customWidth="1"/>
    <col min="4863" max="4863" width="10.125" style="5" bestFit="1" customWidth="1"/>
    <col min="4864" max="5102" width="9.125" style="5"/>
    <col min="5103" max="5103" width="75.875" style="5" customWidth="1"/>
    <col min="5104" max="5105" width="7.625" style="5" customWidth="1"/>
    <col min="5106" max="5106" width="9.625" style="5" customWidth="1"/>
    <col min="5107" max="5107" width="7.625" style="5" customWidth="1"/>
    <col min="5108" max="5111" width="0" style="5" hidden="1" customWidth="1"/>
    <col min="5112" max="5112" width="14.375" style="5" customWidth="1"/>
    <col min="5113" max="5118" width="0" style="5" hidden="1" customWidth="1"/>
    <col min="5119" max="5119" width="10.125" style="5" bestFit="1" customWidth="1"/>
    <col min="5120" max="5358" width="9.125" style="5"/>
    <col min="5359" max="5359" width="75.875" style="5" customWidth="1"/>
    <col min="5360" max="5361" width="7.625" style="5" customWidth="1"/>
    <col min="5362" max="5362" width="9.625" style="5" customWidth="1"/>
    <col min="5363" max="5363" width="7.625" style="5" customWidth="1"/>
    <col min="5364" max="5367" width="0" style="5" hidden="1" customWidth="1"/>
    <col min="5368" max="5368" width="14.375" style="5" customWidth="1"/>
    <col min="5369" max="5374" width="0" style="5" hidden="1" customWidth="1"/>
    <col min="5375" max="5375" width="10.125" style="5" bestFit="1" customWidth="1"/>
    <col min="5376" max="5614" width="9.125" style="5"/>
    <col min="5615" max="5615" width="75.875" style="5" customWidth="1"/>
    <col min="5616" max="5617" width="7.625" style="5" customWidth="1"/>
    <col min="5618" max="5618" width="9.625" style="5" customWidth="1"/>
    <col min="5619" max="5619" width="7.625" style="5" customWidth="1"/>
    <col min="5620" max="5623" width="0" style="5" hidden="1" customWidth="1"/>
    <col min="5624" max="5624" width="14.375" style="5" customWidth="1"/>
    <col min="5625" max="5630" width="0" style="5" hidden="1" customWidth="1"/>
    <col min="5631" max="5631" width="10.125" style="5" bestFit="1" customWidth="1"/>
    <col min="5632" max="5870" width="9.125" style="5"/>
    <col min="5871" max="5871" width="75.875" style="5" customWidth="1"/>
    <col min="5872" max="5873" width="7.625" style="5" customWidth="1"/>
    <col min="5874" max="5874" width="9.625" style="5" customWidth="1"/>
    <col min="5875" max="5875" width="7.625" style="5" customWidth="1"/>
    <col min="5876" max="5879" width="0" style="5" hidden="1" customWidth="1"/>
    <col min="5880" max="5880" width="14.375" style="5" customWidth="1"/>
    <col min="5881" max="5886" width="0" style="5" hidden="1" customWidth="1"/>
    <col min="5887" max="5887" width="10.125" style="5" bestFit="1" customWidth="1"/>
    <col min="5888" max="6126" width="9.125" style="5"/>
    <col min="6127" max="6127" width="75.875" style="5" customWidth="1"/>
    <col min="6128" max="6129" width="7.625" style="5" customWidth="1"/>
    <col min="6130" max="6130" width="9.625" style="5" customWidth="1"/>
    <col min="6131" max="6131" width="7.625" style="5" customWidth="1"/>
    <col min="6132" max="6135" width="0" style="5" hidden="1" customWidth="1"/>
    <col min="6136" max="6136" width="14.375" style="5" customWidth="1"/>
    <col min="6137" max="6142" width="0" style="5" hidden="1" customWidth="1"/>
    <col min="6143" max="6143" width="10.125" style="5" bestFit="1" customWidth="1"/>
    <col min="6144" max="6382" width="9.125" style="5"/>
    <col min="6383" max="6383" width="75.875" style="5" customWidth="1"/>
    <col min="6384" max="6385" width="7.625" style="5" customWidth="1"/>
    <col min="6386" max="6386" width="9.625" style="5" customWidth="1"/>
    <col min="6387" max="6387" width="7.625" style="5" customWidth="1"/>
    <col min="6388" max="6391" width="0" style="5" hidden="1" customWidth="1"/>
    <col min="6392" max="6392" width="14.375" style="5" customWidth="1"/>
    <col min="6393" max="6398" width="0" style="5" hidden="1" customWidth="1"/>
    <col min="6399" max="6399" width="10.125" style="5" bestFit="1" customWidth="1"/>
    <col min="6400" max="6638" width="9.125" style="5"/>
    <col min="6639" max="6639" width="75.875" style="5" customWidth="1"/>
    <col min="6640" max="6641" width="7.625" style="5" customWidth="1"/>
    <col min="6642" max="6642" width="9.625" style="5" customWidth="1"/>
    <col min="6643" max="6643" width="7.625" style="5" customWidth="1"/>
    <col min="6644" max="6647" width="0" style="5" hidden="1" customWidth="1"/>
    <col min="6648" max="6648" width="14.375" style="5" customWidth="1"/>
    <col min="6649" max="6654" width="0" style="5" hidden="1" customWidth="1"/>
    <col min="6655" max="6655" width="10.125" style="5" bestFit="1" customWidth="1"/>
    <col min="6656" max="6894" width="9.125" style="5"/>
    <col min="6895" max="6895" width="75.875" style="5" customWidth="1"/>
    <col min="6896" max="6897" width="7.625" style="5" customWidth="1"/>
    <col min="6898" max="6898" width="9.625" style="5" customWidth="1"/>
    <col min="6899" max="6899" width="7.625" style="5" customWidth="1"/>
    <col min="6900" max="6903" width="0" style="5" hidden="1" customWidth="1"/>
    <col min="6904" max="6904" width="14.375" style="5" customWidth="1"/>
    <col min="6905" max="6910" width="0" style="5" hidden="1" customWidth="1"/>
    <col min="6911" max="6911" width="10.125" style="5" bestFit="1" customWidth="1"/>
    <col min="6912" max="7150" width="9.125" style="5"/>
    <col min="7151" max="7151" width="75.875" style="5" customWidth="1"/>
    <col min="7152" max="7153" width="7.625" style="5" customWidth="1"/>
    <col min="7154" max="7154" width="9.625" style="5" customWidth="1"/>
    <col min="7155" max="7155" width="7.625" style="5" customWidth="1"/>
    <col min="7156" max="7159" width="0" style="5" hidden="1" customWidth="1"/>
    <col min="7160" max="7160" width="14.375" style="5" customWidth="1"/>
    <col min="7161" max="7166" width="0" style="5" hidden="1" customWidth="1"/>
    <col min="7167" max="7167" width="10.125" style="5" bestFit="1" customWidth="1"/>
    <col min="7168" max="7406" width="9.125" style="5"/>
    <col min="7407" max="7407" width="75.875" style="5" customWidth="1"/>
    <col min="7408" max="7409" width="7.625" style="5" customWidth="1"/>
    <col min="7410" max="7410" width="9.625" style="5" customWidth="1"/>
    <col min="7411" max="7411" width="7.625" style="5" customWidth="1"/>
    <col min="7412" max="7415" width="0" style="5" hidden="1" customWidth="1"/>
    <col min="7416" max="7416" width="14.375" style="5" customWidth="1"/>
    <col min="7417" max="7422" width="0" style="5" hidden="1" customWidth="1"/>
    <col min="7423" max="7423" width="10.125" style="5" bestFit="1" customWidth="1"/>
    <col min="7424" max="7662" width="9.125" style="5"/>
    <col min="7663" max="7663" width="75.875" style="5" customWidth="1"/>
    <col min="7664" max="7665" width="7.625" style="5" customWidth="1"/>
    <col min="7666" max="7666" width="9.625" style="5" customWidth="1"/>
    <col min="7667" max="7667" width="7.625" style="5" customWidth="1"/>
    <col min="7668" max="7671" width="0" style="5" hidden="1" customWidth="1"/>
    <col min="7672" max="7672" width="14.375" style="5" customWidth="1"/>
    <col min="7673" max="7678" width="0" style="5" hidden="1" customWidth="1"/>
    <col min="7679" max="7679" width="10.125" style="5" bestFit="1" customWidth="1"/>
    <col min="7680" max="7918" width="9.125" style="5"/>
    <col min="7919" max="7919" width="75.875" style="5" customWidth="1"/>
    <col min="7920" max="7921" width="7.625" style="5" customWidth="1"/>
    <col min="7922" max="7922" width="9.625" style="5" customWidth="1"/>
    <col min="7923" max="7923" width="7.625" style="5" customWidth="1"/>
    <col min="7924" max="7927" width="0" style="5" hidden="1" customWidth="1"/>
    <col min="7928" max="7928" width="14.375" style="5" customWidth="1"/>
    <col min="7929" max="7934" width="0" style="5" hidden="1" customWidth="1"/>
    <col min="7935" max="7935" width="10.125" style="5" bestFit="1" customWidth="1"/>
    <col min="7936" max="8174" width="9.125" style="5"/>
    <col min="8175" max="8175" width="75.875" style="5" customWidth="1"/>
    <col min="8176" max="8177" width="7.625" style="5" customWidth="1"/>
    <col min="8178" max="8178" width="9.625" style="5" customWidth="1"/>
    <col min="8179" max="8179" width="7.625" style="5" customWidth="1"/>
    <col min="8180" max="8183" width="0" style="5" hidden="1" customWidth="1"/>
    <col min="8184" max="8184" width="14.375" style="5" customWidth="1"/>
    <col min="8185" max="8190" width="0" style="5" hidden="1" customWidth="1"/>
    <col min="8191" max="8191" width="10.125" style="5" bestFit="1" customWidth="1"/>
    <col min="8192" max="8430" width="9.125" style="5"/>
    <col min="8431" max="8431" width="75.875" style="5" customWidth="1"/>
    <col min="8432" max="8433" width="7.625" style="5" customWidth="1"/>
    <col min="8434" max="8434" width="9.625" style="5" customWidth="1"/>
    <col min="8435" max="8435" width="7.625" style="5" customWidth="1"/>
    <col min="8436" max="8439" width="0" style="5" hidden="1" customWidth="1"/>
    <col min="8440" max="8440" width="14.375" style="5" customWidth="1"/>
    <col min="8441" max="8446" width="0" style="5" hidden="1" customWidth="1"/>
    <col min="8447" max="8447" width="10.125" style="5" bestFit="1" customWidth="1"/>
    <col min="8448" max="8686" width="9.125" style="5"/>
    <col min="8687" max="8687" width="75.875" style="5" customWidth="1"/>
    <col min="8688" max="8689" width="7.625" style="5" customWidth="1"/>
    <col min="8690" max="8690" width="9.625" style="5" customWidth="1"/>
    <col min="8691" max="8691" width="7.625" style="5" customWidth="1"/>
    <col min="8692" max="8695" width="0" style="5" hidden="1" customWidth="1"/>
    <col min="8696" max="8696" width="14.375" style="5" customWidth="1"/>
    <col min="8697" max="8702" width="0" style="5" hidden="1" customWidth="1"/>
    <col min="8703" max="8703" width="10.125" style="5" bestFit="1" customWidth="1"/>
    <col min="8704" max="8942" width="9.125" style="5"/>
    <col min="8943" max="8943" width="75.875" style="5" customWidth="1"/>
    <col min="8944" max="8945" width="7.625" style="5" customWidth="1"/>
    <col min="8946" max="8946" width="9.625" style="5" customWidth="1"/>
    <col min="8947" max="8947" width="7.625" style="5" customWidth="1"/>
    <col min="8948" max="8951" width="0" style="5" hidden="1" customWidth="1"/>
    <col min="8952" max="8952" width="14.375" style="5" customWidth="1"/>
    <col min="8953" max="8958" width="0" style="5" hidden="1" customWidth="1"/>
    <col min="8959" max="8959" width="10.125" style="5" bestFit="1" customWidth="1"/>
    <col min="8960" max="9198" width="9.125" style="5"/>
    <col min="9199" max="9199" width="75.875" style="5" customWidth="1"/>
    <col min="9200" max="9201" width="7.625" style="5" customWidth="1"/>
    <col min="9202" max="9202" width="9.625" style="5" customWidth="1"/>
    <col min="9203" max="9203" width="7.625" style="5" customWidth="1"/>
    <col min="9204" max="9207" width="0" style="5" hidden="1" customWidth="1"/>
    <col min="9208" max="9208" width="14.375" style="5" customWidth="1"/>
    <col min="9209" max="9214" width="0" style="5" hidden="1" customWidth="1"/>
    <col min="9215" max="9215" width="10.125" style="5" bestFit="1" customWidth="1"/>
    <col min="9216" max="9454" width="9.125" style="5"/>
    <col min="9455" max="9455" width="75.875" style="5" customWidth="1"/>
    <col min="9456" max="9457" width="7.625" style="5" customWidth="1"/>
    <col min="9458" max="9458" width="9.625" style="5" customWidth="1"/>
    <col min="9459" max="9459" width="7.625" style="5" customWidth="1"/>
    <col min="9460" max="9463" width="0" style="5" hidden="1" customWidth="1"/>
    <col min="9464" max="9464" width="14.375" style="5" customWidth="1"/>
    <col min="9465" max="9470" width="0" style="5" hidden="1" customWidth="1"/>
    <col min="9471" max="9471" width="10.125" style="5" bestFit="1" customWidth="1"/>
    <col min="9472" max="9710" width="9.125" style="5"/>
    <col min="9711" max="9711" width="75.875" style="5" customWidth="1"/>
    <col min="9712" max="9713" width="7.625" style="5" customWidth="1"/>
    <col min="9714" max="9714" width="9.625" style="5" customWidth="1"/>
    <col min="9715" max="9715" width="7.625" style="5" customWidth="1"/>
    <col min="9716" max="9719" width="0" style="5" hidden="1" customWidth="1"/>
    <col min="9720" max="9720" width="14.375" style="5" customWidth="1"/>
    <col min="9721" max="9726" width="0" style="5" hidden="1" customWidth="1"/>
    <col min="9727" max="9727" width="10.125" style="5" bestFit="1" customWidth="1"/>
    <col min="9728" max="9966" width="9.125" style="5"/>
    <col min="9967" max="9967" width="75.875" style="5" customWidth="1"/>
    <col min="9968" max="9969" width="7.625" style="5" customWidth="1"/>
    <col min="9970" max="9970" width="9.625" style="5" customWidth="1"/>
    <col min="9971" max="9971" width="7.625" style="5" customWidth="1"/>
    <col min="9972" max="9975" width="0" style="5" hidden="1" customWidth="1"/>
    <col min="9976" max="9976" width="14.375" style="5" customWidth="1"/>
    <col min="9977" max="9982" width="0" style="5" hidden="1" customWidth="1"/>
    <col min="9983" max="9983" width="10.125" style="5" bestFit="1" customWidth="1"/>
    <col min="9984" max="10222" width="9.125" style="5"/>
    <col min="10223" max="10223" width="75.875" style="5" customWidth="1"/>
    <col min="10224" max="10225" width="7.625" style="5" customWidth="1"/>
    <col min="10226" max="10226" width="9.625" style="5" customWidth="1"/>
    <col min="10227" max="10227" width="7.625" style="5" customWidth="1"/>
    <col min="10228" max="10231" width="0" style="5" hidden="1" customWidth="1"/>
    <col min="10232" max="10232" width="14.375" style="5" customWidth="1"/>
    <col min="10233" max="10238" width="0" style="5" hidden="1" customWidth="1"/>
    <col min="10239" max="10239" width="10.125" style="5" bestFit="1" customWidth="1"/>
    <col min="10240" max="10478" width="9.125" style="5"/>
    <col min="10479" max="10479" width="75.875" style="5" customWidth="1"/>
    <col min="10480" max="10481" width="7.625" style="5" customWidth="1"/>
    <col min="10482" max="10482" width="9.625" style="5" customWidth="1"/>
    <col min="10483" max="10483" width="7.625" style="5" customWidth="1"/>
    <col min="10484" max="10487" width="0" style="5" hidden="1" customWidth="1"/>
    <col min="10488" max="10488" width="14.375" style="5" customWidth="1"/>
    <col min="10489" max="10494" width="0" style="5" hidden="1" customWidth="1"/>
    <col min="10495" max="10495" width="10.125" style="5" bestFit="1" customWidth="1"/>
    <col min="10496" max="10734" width="9.125" style="5"/>
    <col min="10735" max="10735" width="75.875" style="5" customWidth="1"/>
    <col min="10736" max="10737" width="7.625" style="5" customWidth="1"/>
    <col min="10738" max="10738" width="9.625" style="5" customWidth="1"/>
    <col min="10739" max="10739" width="7.625" style="5" customWidth="1"/>
    <col min="10740" max="10743" width="0" style="5" hidden="1" customWidth="1"/>
    <col min="10744" max="10744" width="14.375" style="5" customWidth="1"/>
    <col min="10745" max="10750" width="0" style="5" hidden="1" customWidth="1"/>
    <col min="10751" max="10751" width="10.125" style="5" bestFit="1" customWidth="1"/>
    <col min="10752" max="10990" width="9.125" style="5"/>
    <col min="10991" max="10991" width="75.875" style="5" customWidth="1"/>
    <col min="10992" max="10993" width="7.625" style="5" customWidth="1"/>
    <col min="10994" max="10994" width="9.625" style="5" customWidth="1"/>
    <col min="10995" max="10995" width="7.625" style="5" customWidth="1"/>
    <col min="10996" max="10999" width="0" style="5" hidden="1" customWidth="1"/>
    <col min="11000" max="11000" width="14.375" style="5" customWidth="1"/>
    <col min="11001" max="11006" width="0" style="5" hidden="1" customWidth="1"/>
    <col min="11007" max="11007" width="10.125" style="5" bestFit="1" customWidth="1"/>
    <col min="11008" max="11246" width="9.125" style="5"/>
    <col min="11247" max="11247" width="75.875" style="5" customWidth="1"/>
    <col min="11248" max="11249" width="7.625" style="5" customWidth="1"/>
    <col min="11250" max="11250" width="9.625" style="5" customWidth="1"/>
    <col min="11251" max="11251" width="7.625" style="5" customWidth="1"/>
    <col min="11252" max="11255" width="0" style="5" hidden="1" customWidth="1"/>
    <col min="11256" max="11256" width="14.375" style="5" customWidth="1"/>
    <col min="11257" max="11262" width="0" style="5" hidden="1" customWidth="1"/>
    <col min="11263" max="11263" width="10.125" style="5" bestFit="1" customWidth="1"/>
    <col min="11264" max="11502" width="9.125" style="5"/>
    <col min="11503" max="11503" width="75.875" style="5" customWidth="1"/>
    <col min="11504" max="11505" width="7.625" style="5" customWidth="1"/>
    <col min="11506" max="11506" width="9.625" style="5" customWidth="1"/>
    <col min="11507" max="11507" width="7.625" style="5" customWidth="1"/>
    <col min="11508" max="11511" width="0" style="5" hidden="1" customWidth="1"/>
    <col min="11512" max="11512" width="14.375" style="5" customWidth="1"/>
    <col min="11513" max="11518" width="0" style="5" hidden="1" customWidth="1"/>
    <col min="11519" max="11519" width="10.125" style="5" bestFit="1" customWidth="1"/>
    <col min="11520" max="11758" width="9.125" style="5"/>
    <col min="11759" max="11759" width="75.875" style="5" customWidth="1"/>
    <col min="11760" max="11761" width="7.625" style="5" customWidth="1"/>
    <col min="11762" max="11762" width="9.625" style="5" customWidth="1"/>
    <col min="11763" max="11763" width="7.625" style="5" customWidth="1"/>
    <col min="11764" max="11767" width="0" style="5" hidden="1" customWidth="1"/>
    <col min="11768" max="11768" width="14.375" style="5" customWidth="1"/>
    <col min="11769" max="11774" width="0" style="5" hidden="1" customWidth="1"/>
    <col min="11775" max="11775" width="10.125" style="5" bestFit="1" customWidth="1"/>
    <col min="11776" max="12014" width="9.125" style="5"/>
    <col min="12015" max="12015" width="75.875" style="5" customWidth="1"/>
    <col min="12016" max="12017" width="7.625" style="5" customWidth="1"/>
    <col min="12018" max="12018" width="9.625" style="5" customWidth="1"/>
    <col min="12019" max="12019" width="7.625" style="5" customWidth="1"/>
    <col min="12020" max="12023" width="0" style="5" hidden="1" customWidth="1"/>
    <col min="12024" max="12024" width="14.375" style="5" customWidth="1"/>
    <col min="12025" max="12030" width="0" style="5" hidden="1" customWidth="1"/>
    <col min="12031" max="12031" width="10.125" style="5" bestFit="1" customWidth="1"/>
    <col min="12032" max="12270" width="9.125" style="5"/>
    <col min="12271" max="12271" width="75.875" style="5" customWidth="1"/>
    <col min="12272" max="12273" width="7.625" style="5" customWidth="1"/>
    <col min="12274" max="12274" width="9.625" style="5" customWidth="1"/>
    <col min="12275" max="12275" width="7.625" style="5" customWidth="1"/>
    <col min="12276" max="12279" width="0" style="5" hidden="1" customWidth="1"/>
    <col min="12280" max="12280" width="14.375" style="5" customWidth="1"/>
    <col min="12281" max="12286" width="0" style="5" hidden="1" customWidth="1"/>
    <col min="12287" max="12287" width="10.125" style="5" bestFit="1" customWidth="1"/>
    <col min="12288" max="12526" width="9.125" style="5"/>
    <col min="12527" max="12527" width="75.875" style="5" customWidth="1"/>
    <col min="12528" max="12529" width="7.625" style="5" customWidth="1"/>
    <col min="12530" max="12530" width="9.625" style="5" customWidth="1"/>
    <col min="12531" max="12531" width="7.625" style="5" customWidth="1"/>
    <col min="12532" max="12535" width="0" style="5" hidden="1" customWidth="1"/>
    <col min="12536" max="12536" width="14.375" style="5" customWidth="1"/>
    <col min="12537" max="12542" width="0" style="5" hidden="1" customWidth="1"/>
    <col min="12543" max="12543" width="10.125" style="5" bestFit="1" customWidth="1"/>
    <col min="12544" max="12782" width="9.125" style="5"/>
    <col min="12783" max="12783" width="75.875" style="5" customWidth="1"/>
    <col min="12784" max="12785" width="7.625" style="5" customWidth="1"/>
    <col min="12786" max="12786" width="9.625" style="5" customWidth="1"/>
    <col min="12787" max="12787" width="7.625" style="5" customWidth="1"/>
    <col min="12788" max="12791" width="0" style="5" hidden="1" customWidth="1"/>
    <col min="12792" max="12792" width="14.375" style="5" customWidth="1"/>
    <col min="12793" max="12798" width="0" style="5" hidden="1" customWidth="1"/>
    <col min="12799" max="12799" width="10.125" style="5" bestFit="1" customWidth="1"/>
    <col min="12800" max="13038" width="9.125" style="5"/>
    <col min="13039" max="13039" width="75.875" style="5" customWidth="1"/>
    <col min="13040" max="13041" width="7.625" style="5" customWidth="1"/>
    <col min="13042" max="13042" width="9.625" style="5" customWidth="1"/>
    <col min="13043" max="13043" width="7.625" style="5" customWidth="1"/>
    <col min="13044" max="13047" width="0" style="5" hidden="1" customWidth="1"/>
    <col min="13048" max="13048" width="14.375" style="5" customWidth="1"/>
    <col min="13049" max="13054" width="0" style="5" hidden="1" customWidth="1"/>
    <col min="13055" max="13055" width="10.125" style="5" bestFit="1" customWidth="1"/>
    <col min="13056" max="13294" width="9.125" style="5"/>
    <col min="13295" max="13295" width="75.875" style="5" customWidth="1"/>
    <col min="13296" max="13297" width="7.625" style="5" customWidth="1"/>
    <col min="13298" max="13298" width="9.625" style="5" customWidth="1"/>
    <col min="13299" max="13299" width="7.625" style="5" customWidth="1"/>
    <col min="13300" max="13303" width="0" style="5" hidden="1" customWidth="1"/>
    <col min="13304" max="13304" width="14.375" style="5" customWidth="1"/>
    <col min="13305" max="13310" width="0" style="5" hidden="1" customWidth="1"/>
    <col min="13311" max="13311" width="10.125" style="5" bestFit="1" customWidth="1"/>
    <col min="13312" max="13550" width="9.125" style="5"/>
    <col min="13551" max="13551" width="75.875" style="5" customWidth="1"/>
    <col min="13552" max="13553" width="7.625" style="5" customWidth="1"/>
    <col min="13554" max="13554" width="9.625" style="5" customWidth="1"/>
    <col min="13555" max="13555" width="7.625" style="5" customWidth="1"/>
    <col min="13556" max="13559" width="0" style="5" hidden="1" customWidth="1"/>
    <col min="13560" max="13560" width="14.375" style="5" customWidth="1"/>
    <col min="13561" max="13566" width="0" style="5" hidden="1" customWidth="1"/>
    <col min="13567" max="13567" width="10.125" style="5" bestFit="1" customWidth="1"/>
    <col min="13568" max="13806" width="9.125" style="5"/>
    <col min="13807" max="13807" width="75.875" style="5" customWidth="1"/>
    <col min="13808" max="13809" width="7.625" style="5" customWidth="1"/>
    <col min="13810" max="13810" width="9.625" style="5" customWidth="1"/>
    <col min="13811" max="13811" width="7.625" style="5" customWidth="1"/>
    <col min="13812" max="13815" width="0" style="5" hidden="1" customWidth="1"/>
    <col min="13816" max="13816" width="14.375" style="5" customWidth="1"/>
    <col min="13817" max="13822" width="0" style="5" hidden="1" customWidth="1"/>
    <col min="13823" max="13823" width="10.125" style="5" bestFit="1" customWidth="1"/>
    <col min="13824" max="14062" width="9.125" style="5"/>
    <col min="14063" max="14063" width="75.875" style="5" customWidth="1"/>
    <col min="14064" max="14065" width="7.625" style="5" customWidth="1"/>
    <col min="14066" max="14066" width="9.625" style="5" customWidth="1"/>
    <col min="14067" max="14067" width="7.625" style="5" customWidth="1"/>
    <col min="14068" max="14071" width="0" style="5" hidden="1" customWidth="1"/>
    <col min="14072" max="14072" width="14.375" style="5" customWidth="1"/>
    <col min="14073" max="14078" width="0" style="5" hidden="1" customWidth="1"/>
    <col min="14079" max="14079" width="10.125" style="5" bestFit="1" customWidth="1"/>
    <col min="14080" max="14318" width="9.125" style="5"/>
    <col min="14319" max="14319" width="75.875" style="5" customWidth="1"/>
    <col min="14320" max="14321" width="7.625" style="5" customWidth="1"/>
    <col min="14322" max="14322" width="9.625" style="5" customWidth="1"/>
    <col min="14323" max="14323" width="7.625" style="5" customWidth="1"/>
    <col min="14324" max="14327" width="0" style="5" hidden="1" customWidth="1"/>
    <col min="14328" max="14328" width="14.375" style="5" customWidth="1"/>
    <col min="14329" max="14334" width="0" style="5" hidden="1" customWidth="1"/>
    <col min="14335" max="14335" width="10.125" style="5" bestFit="1" customWidth="1"/>
    <col min="14336" max="14574" width="9.125" style="5"/>
    <col min="14575" max="14575" width="75.875" style="5" customWidth="1"/>
    <col min="14576" max="14577" width="7.625" style="5" customWidth="1"/>
    <col min="14578" max="14578" width="9.625" style="5" customWidth="1"/>
    <col min="14579" max="14579" width="7.625" style="5" customWidth="1"/>
    <col min="14580" max="14583" width="0" style="5" hidden="1" customWidth="1"/>
    <col min="14584" max="14584" width="14.375" style="5" customWidth="1"/>
    <col min="14585" max="14590" width="0" style="5" hidden="1" customWidth="1"/>
    <col min="14591" max="14591" width="10.125" style="5" bestFit="1" customWidth="1"/>
    <col min="14592" max="14830" width="9.125" style="5"/>
    <col min="14831" max="14831" width="75.875" style="5" customWidth="1"/>
    <col min="14832" max="14833" width="7.625" style="5" customWidth="1"/>
    <col min="14834" max="14834" width="9.625" style="5" customWidth="1"/>
    <col min="14835" max="14835" width="7.625" style="5" customWidth="1"/>
    <col min="14836" max="14839" width="0" style="5" hidden="1" customWidth="1"/>
    <col min="14840" max="14840" width="14.375" style="5" customWidth="1"/>
    <col min="14841" max="14846" width="0" style="5" hidden="1" customWidth="1"/>
    <col min="14847" max="14847" width="10.125" style="5" bestFit="1" customWidth="1"/>
    <col min="14848" max="15086" width="9.125" style="5"/>
    <col min="15087" max="15087" width="75.875" style="5" customWidth="1"/>
    <col min="15088" max="15089" width="7.625" style="5" customWidth="1"/>
    <col min="15090" max="15090" width="9.625" style="5" customWidth="1"/>
    <col min="15091" max="15091" width="7.625" style="5" customWidth="1"/>
    <col min="15092" max="15095" width="0" style="5" hidden="1" customWidth="1"/>
    <col min="15096" max="15096" width="14.375" style="5" customWidth="1"/>
    <col min="15097" max="15102" width="0" style="5" hidden="1" customWidth="1"/>
    <col min="15103" max="15103" width="10.125" style="5" bestFit="1" customWidth="1"/>
    <col min="15104" max="15342" width="9.125" style="5"/>
    <col min="15343" max="15343" width="75.875" style="5" customWidth="1"/>
    <col min="15344" max="15345" width="7.625" style="5" customWidth="1"/>
    <col min="15346" max="15346" width="9.625" style="5" customWidth="1"/>
    <col min="15347" max="15347" width="7.625" style="5" customWidth="1"/>
    <col min="15348" max="15351" width="0" style="5" hidden="1" customWidth="1"/>
    <col min="15352" max="15352" width="14.375" style="5" customWidth="1"/>
    <col min="15353" max="15358" width="0" style="5" hidden="1" customWidth="1"/>
    <col min="15359" max="15359" width="10.125" style="5" bestFit="1" customWidth="1"/>
    <col min="15360" max="15598" width="9.125" style="5"/>
    <col min="15599" max="15599" width="75.875" style="5" customWidth="1"/>
    <col min="15600" max="15601" width="7.625" style="5" customWidth="1"/>
    <col min="15602" max="15602" width="9.625" style="5" customWidth="1"/>
    <col min="15603" max="15603" width="7.625" style="5" customWidth="1"/>
    <col min="15604" max="15607" width="0" style="5" hidden="1" customWidth="1"/>
    <col min="15608" max="15608" width="14.375" style="5" customWidth="1"/>
    <col min="15609" max="15614" width="0" style="5" hidden="1" customWidth="1"/>
    <col min="15615" max="15615" width="10.125" style="5" bestFit="1" customWidth="1"/>
    <col min="15616" max="15854" width="9.125" style="5"/>
    <col min="15855" max="15855" width="75.875" style="5" customWidth="1"/>
    <col min="15856" max="15857" width="7.625" style="5" customWidth="1"/>
    <col min="15858" max="15858" width="9.625" style="5" customWidth="1"/>
    <col min="15859" max="15859" width="7.625" style="5" customWidth="1"/>
    <col min="15860" max="15863" width="0" style="5" hidden="1" customWidth="1"/>
    <col min="15864" max="15864" width="14.375" style="5" customWidth="1"/>
    <col min="15865" max="15870" width="0" style="5" hidden="1" customWidth="1"/>
    <col min="15871" max="15871" width="10.125" style="5" bestFit="1" customWidth="1"/>
    <col min="15872" max="16110" width="9.125" style="5"/>
    <col min="16111" max="16111" width="75.875" style="5" customWidth="1"/>
    <col min="16112" max="16113" width="7.625" style="5" customWidth="1"/>
    <col min="16114" max="16114" width="9.625" style="5" customWidth="1"/>
    <col min="16115" max="16115" width="7.625" style="5" customWidth="1"/>
    <col min="16116" max="16119" width="0" style="5" hidden="1" customWidth="1"/>
    <col min="16120" max="16120" width="14.375" style="5" customWidth="1"/>
    <col min="16121" max="16126" width="0" style="5" hidden="1" customWidth="1"/>
    <col min="16127" max="16127" width="10.125" style="5" bestFit="1" customWidth="1"/>
    <col min="16128" max="16384" width="9.125" style="5"/>
  </cols>
  <sheetData>
    <row r="1" spans="1:8" x14ac:dyDescent="0.3">
      <c r="F1" s="288" t="s">
        <v>253</v>
      </c>
    </row>
    <row r="2" spans="1:8" x14ac:dyDescent="0.3">
      <c r="F2" s="288" t="s">
        <v>928</v>
      </c>
    </row>
    <row r="3" spans="1:8" x14ac:dyDescent="0.3">
      <c r="F3" s="288" t="s">
        <v>653</v>
      </c>
    </row>
    <row r="4" spans="1:8" x14ac:dyDescent="0.3">
      <c r="F4" s="288" t="s">
        <v>1072</v>
      </c>
    </row>
    <row r="5" spans="1:8" s="165" customFormat="1" x14ac:dyDescent="0.3">
      <c r="A5" s="678" t="s">
        <v>240</v>
      </c>
      <c r="B5" s="678"/>
      <c r="C5" s="678"/>
      <c r="D5" s="678"/>
      <c r="E5" s="678"/>
      <c r="F5" s="678"/>
      <c r="G5" s="164"/>
      <c r="H5" s="164"/>
    </row>
    <row r="6" spans="1:8" s="165" customFormat="1" x14ac:dyDescent="0.3">
      <c r="A6" s="677" t="s">
        <v>965</v>
      </c>
      <c r="B6" s="677"/>
      <c r="C6" s="677"/>
      <c r="D6" s="677"/>
      <c r="E6" s="677"/>
      <c r="F6" s="677"/>
      <c r="G6" s="164"/>
      <c r="H6" s="164"/>
    </row>
    <row r="7" spans="1:8" s="165" customFormat="1" x14ac:dyDescent="0.3">
      <c r="A7" s="677" t="s">
        <v>472</v>
      </c>
      <c r="B7" s="677"/>
      <c r="C7" s="677"/>
      <c r="D7" s="677"/>
      <c r="E7" s="677"/>
      <c r="F7" s="677"/>
      <c r="G7" s="164"/>
      <c r="H7" s="164"/>
    </row>
    <row r="8" spans="1:8" s="165" customFormat="1" x14ac:dyDescent="0.3">
      <c r="A8" s="166"/>
      <c r="B8" s="289"/>
      <c r="C8" s="289"/>
      <c r="D8" s="289"/>
      <c r="E8" s="289"/>
      <c r="F8" s="167" t="s">
        <v>408</v>
      </c>
      <c r="G8" s="164"/>
      <c r="H8" s="164"/>
    </row>
    <row r="9" spans="1:8" ht="36.700000000000003" x14ac:dyDescent="0.25">
      <c r="A9" s="168" t="s">
        <v>0</v>
      </c>
      <c r="B9" s="168" t="s">
        <v>1</v>
      </c>
      <c r="C9" s="168" t="s">
        <v>2</v>
      </c>
      <c r="D9" s="168" t="s">
        <v>3</v>
      </c>
      <c r="E9" s="168" t="s">
        <v>4</v>
      </c>
      <c r="F9" s="92" t="s">
        <v>790</v>
      </c>
    </row>
    <row r="10" spans="1:8" s="170" customFormat="1" ht="36.700000000000003" x14ac:dyDescent="0.25">
      <c r="A10" s="104" t="s">
        <v>493</v>
      </c>
      <c r="B10" s="105" t="s">
        <v>499</v>
      </c>
      <c r="C10" s="105" t="s">
        <v>5</v>
      </c>
      <c r="D10" s="105" t="s">
        <v>126</v>
      </c>
      <c r="E10" s="105" t="s">
        <v>6</v>
      </c>
      <c r="F10" s="128">
        <f>F11</f>
        <v>8202491</v>
      </c>
      <c r="G10" s="169"/>
      <c r="H10" s="169"/>
    </row>
    <row r="11" spans="1:8" outlineLevel="1" x14ac:dyDescent="0.25">
      <c r="A11" s="81" t="s">
        <v>7</v>
      </c>
      <c r="B11" s="80" t="s">
        <v>499</v>
      </c>
      <c r="C11" s="80" t="s">
        <v>8</v>
      </c>
      <c r="D11" s="80" t="s">
        <v>126</v>
      </c>
      <c r="E11" s="80" t="s">
        <v>6</v>
      </c>
      <c r="F11" s="82">
        <f>F12+F21</f>
        <v>8202491</v>
      </c>
    </row>
    <row r="12" spans="1:8" ht="39.25" customHeight="1" outlineLevel="2" x14ac:dyDescent="0.25">
      <c r="A12" s="81" t="s">
        <v>9</v>
      </c>
      <c r="B12" s="80" t="s">
        <v>499</v>
      </c>
      <c r="C12" s="80" t="s">
        <v>10</v>
      </c>
      <c r="D12" s="80" t="s">
        <v>126</v>
      </c>
      <c r="E12" s="80" t="s">
        <v>6</v>
      </c>
      <c r="F12" s="82">
        <f>F13</f>
        <v>7594704</v>
      </c>
    </row>
    <row r="13" spans="1:8" ht="36.700000000000003" outlineLevel="4" x14ac:dyDescent="0.25">
      <c r="A13" s="81" t="s">
        <v>132</v>
      </c>
      <c r="B13" s="80" t="s">
        <v>499</v>
      </c>
      <c r="C13" s="80" t="s">
        <v>10</v>
      </c>
      <c r="D13" s="80" t="s">
        <v>127</v>
      </c>
      <c r="E13" s="80" t="s">
        <v>6</v>
      </c>
      <c r="F13" s="82">
        <f>F14</f>
        <v>7594704</v>
      </c>
    </row>
    <row r="14" spans="1:8" ht="43.5" customHeight="1" outlineLevel="5" x14ac:dyDescent="0.25">
      <c r="A14" s="81" t="s">
        <v>494</v>
      </c>
      <c r="B14" s="80" t="s">
        <v>499</v>
      </c>
      <c r="C14" s="80" t="s">
        <v>10</v>
      </c>
      <c r="D14" s="80" t="s">
        <v>495</v>
      </c>
      <c r="E14" s="80" t="s">
        <v>6</v>
      </c>
      <c r="F14" s="82">
        <f>F15+F17+F19</f>
        <v>7594704</v>
      </c>
    </row>
    <row r="15" spans="1:8" ht="76.75" customHeight="1" outlineLevel="6" x14ac:dyDescent="0.25">
      <c r="A15" s="81" t="s">
        <v>11</v>
      </c>
      <c r="B15" s="80" t="s">
        <v>499</v>
      </c>
      <c r="C15" s="80" t="s">
        <v>10</v>
      </c>
      <c r="D15" s="80" t="s">
        <v>495</v>
      </c>
      <c r="E15" s="80" t="s">
        <v>12</v>
      </c>
      <c r="F15" s="82">
        <f>F16</f>
        <v>7311140</v>
      </c>
    </row>
    <row r="16" spans="1:8" ht="36.700000000000003" outlineLevel="7" x14ac:dyDescent="0.25">
      <c r="A16" s="81" t="s">
        <v>13</v>
      </c>
      <c r="B16" s="80" t="s">
        <v>499</v>
      </c>
      <c r="C16" s="80" t="s">
        <v>10</v>
      </c>
      <c r="D16" s="80" t="s">
        <v>495</v>
      </c>
      <c r="E16" s="80" t="s">
        <v>14</v>
      </c>
      <c r="F16" s="98">
        <f>'потребность 2023 (5)'!K13</f>
        <v>7311140</v>
      </c>
    </row>
    <row r="17" spans="1:8" ht="36.700000000000003" outlineLevel="6" x14ac:dyDescent="0.25">
      <c r="A17" s="81" t="s">
        <v>15</v>
      </c>
      <c r="B17" s="80" t="s">
        <v>499</v>
      </c>
      <c r="C17" s="80" t="s">
        <v>10</v>
      </c>
      <c r="D17" s="80" t="s">
        <v>495</v>
      </c>
      <c r="E17" s="80" t="s">
        <v>16</v>
      </c>
      <c r="F17" s="82">
        <f>F18</f>
        <v>282564</v>
      </c>
    </row>
    <row r="18" spans="1:8" ht="34.65" customHeight="1" outlineLevel="7" x14ac:dyDescent="0.25">
      <c r="A18" s="81" t="s">
        <v>17</v>
      </c>
      <c r="B18" s="80" t="s">
        <v>499</v>
      </c>
      <c r="C18" s="80" t="s">
        <v>10</v>
      </c>
      <c r="D18" s="80" t="s">
        <v>495</v>
      </c>
      <c r="E18" s="80" t="s">
        <v>18</v>
      </c>
      <c r="F18" s="98">
        <f>'потребность 2023 (5)'!K15</f>
        <v>282564</v>
      </c>
    </row>
    <row r="19" spans="1:8" outlineLevel="6" x14ac:dyDescent="0.25">
      <c r="A19" s="81" t="s">
        <v>19</v>
      </c>
      <c r="B19" s="80" t="s">
        <v>499</v>
      </c>
      <c r="C19" s="80" t="s">
        <v>10</v>
      </c>
      <c r="D19" s="80" t="s">
        <v>495</v>
      </c>
      <c r="E19" s="80" t="s">
        <v>20</v>
      </c>
      <c r="F19" s="82">
        <f>F20</f>
        <v>1000</v>
      </c>
    </row>
    <row r="20" spans="1:8" outlineLevel="7" x14ac:dyDescent="0.25">
      <c r="A20" s="81" t="s">
        <v>21</v>
      </c>
      <c r="B20" s="80" t="s">
        <v>499</v>
      </c>
      <c r="C20" s="80" t="s">
        <v>10</v>
      </c>
      <c r="D20" s="80" t="s">
        <v>495</v>
      </c>
      <c r="E20" s="80" t="s">
        <v>22</v>
      </c>
      <c r="F20" s="98">
        <f>'потребность 2023 (5)'!K17</f>
        <v>1000</v>
      </c>
    </row>
    <row r="21" spans="1:8" outlineLevel="2" x14ac:dyDescent="0.25">
      <c r="A21" s="81" t="s">
        <v>23</v>
      </c>
      <c r="B21" s="80" t="s">
        <v>499</v>
      </c>
      <c r="C21" s="80" t="s">
        <v>24</v>
      </c>
      <c r="D21" s="80" t="s">
        <v>126</v>
      </c>
      <c r="E21" s="80" t="s">
        <v>6</v>
      </c>
      <c r="F21" s="82">
        <f>F22+F27</f>
        <v>607787</v>
      </c>
    </row>
    <row r="22" spans="1:8" s="172" customFormat="1" ht="39.75" customHeight="1" outlineLevel="3" x14ac:dyDescent="0.25">
      <c r="A22" s="109" t="s">
        <v>830</v>
      </c>
      <c r="B22" s="110" t="s">
        <v>499</v>
      </c>
      <c r="C22" s="110" t="s">
        <v>24</v>
      </c>
      <c r="D22" s="110" t="s">
        <v>128</v>
      </c>
      <c r="E22" s="110" t="s">
        <v>6</v>
      </c>
      <c r="F22" s="85">
        <f>F23</f>
        <v>60571</v>
      </c>
      <c r="G22" s="171"/>
      <c r="H22" s="171"/>
    </row>
    <row r="23" spans="1:8" ht="39.25" customHeight="1" outlineLevel="4" x14ac:dyDescent="0.25">
      <c r="A23" s="81" t="s">
        <v>854</v>
      </c>
      <c r="B23" s="80" t="s">
        <v>499</v>
      </c>
      <c r="C23" s="80" t="s">
        <v>24</v>
      </c>
      <c r="D23" s="80" t="s">
        <v>315</v>
      </c>
      <c r="E23" s="80" t="s">
        <v>6</v>
      </c>
      <c r="F23" s="82">
        <f>F24</f>
        <v>60571</v>
      </c>
    </row>
    <row r="24" spans="1:8" outlineLevel="5" x14ac:dyDescent="0.25">
      <c r="A24" s="113" t="s">
        <v>321</v>
      </c>
      <c r="B24" s="80" t="s">
        <v>499</v>
      </c>
      <c r="C24" s="80" t="s">
        <v>24</v>
      </c>
      <c r="D24" s="80" t="s">
        <v>316</v>
      </c>
      <c r="E24" s="80" t="s">
        <v>6</v>
      </c>
      <c r="F24" s="82">
        <f>F25</f>
        <v>60571</v>
      </c>
    </row>
    <row r="25" spans="1:8" ht="36.700000000000003" outlineLevel="6" x14ac:dyDescent="0.25">
      <c r="A25" s="81" t="s">
        <v>15</v>
      </c>
      <c r="B25" s="80" t="s">
        <v>499</v>
      </c>
      <c r="C25" s="80" t="s">
        <v>24</v>
      </c>
      <c r="D25" s="80" t="s">
        <v>316</v>
      </c>
      <c r="E25" s="80" t="s">
        <v>16</v>
      </c>
      <c r="F25" s="82">
        <f>F26</f>
        <v>60571</v>
      </c>
    </row>
    <row r="26" spans="1:8" ht="19.55" customHeight="1" outlineLevel="7" x14ac:dyDescent="0.25">
      <c r="A26" s="81" t="s">
        <v>17</v>
      </c>
      <c r="B26" s="80" t="s">
        <v>499</v>
      </c>
      <c r="C26" s="80" t="s">
        <v>24</v>
      </c>
      <c r="D26" s="80" t="s">
        <v>316</v>
      </c>
      <c r="E26" s="80" t="s">
        <v>18</v>
      </c>
      <c r="F26" s="98">
        <f>'потребность 2023 (5)'!K23</f>
        <v>60571</v>
      </c>
    </row>
    <row r="27" spans="1:8" s="172" customFormat="1" ht="36.700000000000003" customHeight="1" outlineLevel="7" x14ac:dyDescent="0.25">
      <c r="A27" s="114" t="s">
        <v>829</v>
      </c>
      <c r="B27" s="110" t="s">
        <v>499</v>
      </c>
      <c r="C27" s="80" t="s">
        <v>24</v>
      </c>
      <c r="D27" s="110" t="s">
        <v>317</v>
      </c>
      <c r="E27" s="110" t="s">
        <v>6</v>
      </c>
      <c r="F27" s="122">
        <f>F28</f>
        <v>547216</v>
      </c>
      <c r="G27" s="171"/>
      <c r="H27" s="171"/>
    </row>
    <row r="28" spans="1:8" ht="36.700000000000003" outlineLevel="7" x14ac:dyDescent="0.25">
      <c r="A28" s="113" t="s">
        <v>249</v>
      </c>
      <c r="B28" s="80" t="s">
        <v>499</v>
      </c>
      <c r="C28" s="80" t="s">
        <v>24</v>
      </c>
      <c r="D28" s="80" t="s">
        <v>318</v>
      </c>
      <c r="E28" s="80" t="s">
        <v>6</v>
      </c>
      <c r="F28" s="98">
        <f>F29</f>
        <v>547216</v>
      </c>
    </row>
    <row r="29" spans="1:8" ht="39.75" customHeight="1" outlineLevel="5" x14ac:dyDescent="0.25">
      <c r="A29" s="81" t="s">
        <v>25</v>
      </c>
      <c r="B29" s="80" t="s">
        <v>499</v>
      </c>
      <c r="C29" s="80" t="s">
        <v>24</v>
      </c>
      <c r="D29" s="80" t="s">
        <v>329</v>
      </c>
      <c r="E29" s="80" t="s">
        <v>6</v>
      </c>
      <c r="F29" s="82">
        <f>F30</f>
        <v>547216</v>
      </c>
    </row>
    <row r="30" spans="1:8" ht="36.700000000000003" outlineLevel="6" x14ac:dyDescent="0.25">
      <c r="A30" s="81" t="s">
        <v>15</v>
      </c>
      <c r="B30" s="80" t="s">
        <v>499</v>
      </c>
      <c r="C30" s="80" t="s">
        <v>24</v>
      </c>
      <c r="D30" s="80" t="s">
        <v>329</v>
      </c>
      <c r="E30" s="80" t="s">
        <v>16</v>
      </c>
      <c r="F30" s="82">
        <f>F31</f>
        <v>547216</v>
      </c>
    </row>
    <row r="31" spans="1:8" ht="21.25" customHeight="1" outlineLevel="7" x14ac:dyDescent="0.25">
      <c r="A31" s="81" t="s">
        <v>17</v>
      </c>
      <c r="B31" s="80" t="s">
        <v>499</v>
      </c>
      <c r="C31" s="80" t="s">
        <v>24</v>
      </c>
      <c r="D31" s="80" t="s">
        <v>329</v>
      </c>
      <c r="E31" s="80" t="s">
        <v>18</v>
      </c>
      <c r="F31" s="82">
        <f>'потребность 2023 (5)'!K28</f>
        <v>547216</v>
      </c>
    </row>
    <row r="32" spans="1:8" s="170" customFormat="1" ht="36.700000000000003" x14ac:dyDescent="0.25">
      <c r="A32" s="104" t="s">
        <v>1078</v>
      </c>
      <c r="B32" s="105" t="s">
        <v>500</v>
      </c>
      <c r="C32" s="105" t="s">
        <v>5</v>
      </c>
      <c r="D32" s="105" t="s">
        <v>126</v>
      </c>
      <c r="E32" s="105" t="s">
        <v>6</v>
      </c>
      <c r="F32" s="128">
        <f>F33+F160+F170+F226+F331+F347+F364+F409+F474+F445+F181</f>
        <v>360024254.41000003</v>
      </c>
      <c r="G32" s="173"/>
      <c r="H32" s="173"/>
    </row>
    <row r="33" spans="1:8" s="172" customFormat="1" outlineLevel="1" x14ac:dyDescent="0.25">
      <c r="A33" s="109" t="s">
        <v>7</v>
      </c>
      <c r="B33" s="110" t="s">
        <v>500</v>
      </c>
      <c r="C33" s="110" t="s">
        <v>8</v>
      </c>
      <c r="D33" s="110" t="s">
        <v>126</v>
      </c>
      <c r="E33" s="110" t="s">
        <v>6</v>
      </c>
      <c r="F33" s="85">
        <f>F34+F39+F46+F52+F62+F57</f>
        <v>114949289</v>
      </c>
      <c r="G33" s="171"/>
      <c r="H33" s="171"/>
    </row>
    <row r="34" spans="1:8" ht="45.55" customHeight="1" outlineLevel="2" x14ac:dyDescent="0.25">
      <c r="A34" s="81" t="s">
        <v>28</v>
      </c>
      <c r="B34" s="80" t="s">
        <v>500</v>
      </c>
      <c r="C34" s="80" t="s">
        <v>29</v>
      </c>
      <c r="D34" s="80" t="s">
        <v>126</v>
      </c>
      <c r="E34" s="80" t="s">
        <v>6</v>
      </c>
      <c r="F34" s="82">
        <f>F35</f>
        <v>3046120</v>
      </c>
    </row>
    <row r="35" spans="1:8" ht="36.700000000000003" outlineLevel="3" x14ac:dyDescent="0.25">
      <c r="A35" s="81" t="s">
        <v>132</v>
      </c>
      <c r="B35" s="80" t="s">
        <v>500</v>
      </c>
      <c r="C35" s="80" t="s">
        <v>29</v>
      </c>
      <c r="D35" s="80" t="s">
        <v>127</v>
      </c>
      <c r="E35" s="80" t="s">
        <v>6</v>
      </c>
      <c r="F35" s="82">
        <f>F36</f>
        <v>3046120</v>
      </c>
    </row>
    <row r="36" spans="1:8" outlineLevel="5" x14ac:dyDescent="0.25">
      <c r="A36" s="81" t="s">
        <v>496</v>
      </c>
      <c r="B36" s="80" t="s">
        <v>500</v>
      </c>
      <c r="C36" s="80" t="s">
        <v>29</v>
      </c>
      <c r="D36" s="80" t="s">
        <v>497</v>
      </c>
      <c r="E36" s="80" t="s">
        <v>6</v>
      </c>
      <c r="F36" s="82">
        <f>F37</f>
        <v>3046120</v>
      </c>
    </row>
    <row r="37" spans="1:8" ht="73.400000000000006" outlineLevel="6" x14ac:dyDescent="0.25">
      <c r="A37" s="81" t="s">
        <v>11</v>
      </c>
      <c r="B37" s="80" t="s">
        <v>500</v>
      </c>
      <c r="C37" s="80" t="s">
        <v>29</v>
      </c>
      <c r="D37" s="80" t="s">
        <v>497</v>
      </c>
      <c r="E37" s="80" t="s">
        <v>12</v>
      </c>
      <c r="F37" s="82">
        <f>F38</f>
        <v>3046120</v>
      </c>
    </row>
    <row r="38" spans="1:8" ht="36.700000000000003" outlineLevel="7" x14ac:dyDescent="0.25">
      <c r="A38" s="81" t="s">
        <v>13</v>
      </c>
      <c r="B38" s="80" t="s">
        <v>500</v>
      </c>
      <c r="C38" s="80" t="s">
        <v>29</v>
      </c>
      <c r="D38" s="80" t="s">
        <v>497</v>
      </c>
      <c r="E38" s="80" t="s">
        <v>14</v>
      </c>
      <c r="F38" s="82">
        <f>'потребность 2023 (5)'!K35</f>
        <v>3046120</v>
      </c>
    </row>
    <row r="39" spans="1:8" ht="60.45" customHeight="1" outlineLevel="2" x14ac:dyDescent="0.25">
      <c r="A39" s="81" t="s">
        <v>30</v>
      </c>
      <c r="B39" s="80" t="s">
        <v>500</v>
      </c>
      <c r="C39" s="80" t="s">
        <v>31</v>
      </c>
      <c r="D39" s="80" t="s">
        <v>126</v>
      </c>
      <c r="E39" s="80" t="s">
        <v>6</v>
      </c>
      <c r="F39" s="82">
        <f>F40</f>
        <v>23294985</v>
      </c>
    </row>
    <row r="40" spans="1:8" ht="36.700000000000003" outlineLevel="3" x14ac:dyDescent="0.25">
      <c r="A40" s="81" t="s">
        <v>132</v>
      </c>
      <c r="B40" s="80" t="s">
        <v>500</v>
      </c>
      <c r="C40" s="80" t="s">
        <v>31</v>
      </c>
      <c r="D40" s="80" t="s">
        <v>127</v>
      </c>
      <c r="E40" s="80" t="s">
        <v>6</v>
      </c>
      <c r="F40" s="82">
        <f>F41</f>
        <v>23294985</v>
      </c>
    </row>
    <row r="41" spans="1:8" ht="46.55" customHeight="1" outlineLevel="5" x14ac:dyDescent="0.25">
      <c r="A41" s="81" t="s">
        <v>494</v>
      </c>
      <c r="B41" s="80" t="s">
        <v>500</v>
      </c>
      <c r="C41" s="80" t="s">
        <v>31</v>
      </c>
      <c r="D41" s="80" t="s">
        <v>495</v>
      </c>
      <c r="E41" s="80" t="s">
        <v>6</v>
      </c>
      <c r="F41" s="82">
        <f>F42+F44</f>
        <v>23294985</v>
      </c>
    </row>
    <row r="42" spans="1:8" ht="73.400000000000006" outlineLevel="6" x14ac:dyDescent="0.25">
      <c r="A42" s="81" t="s">
        <v>11</v>
      </c>
      <c r="B42" s="80" t="s">
        <v>500</v>
      </c>
      <c r="C42" s="80" t="s">
        <v>31</v>
      </c>
      <c r="D42" s="80" t="s">
        <v>495</v>
      </c>
      <c r="E42" s="80" t="s">
        <v>12</v>
      </c>
      <c r="F42" s="82">
        <f>F43</f>
        <v>23192985</v>
      </c>
    </row>
    <row r="43" spans="1:8" ht="36.700000000000003" outlineLevel="7" x14ac:dyDescent="0.25">
      <c r="A43" s="81" t="s">
        <v>13</v>
      </c>
      <c r="B43" s="80" t="s">
        <v>500</v>
      </c>
      <c r="C43" s="80" t="s">
        <v>31</v>
      </c>
      <c r="D43" s="80" t="s">
        <v>495</v>
      </c>
      <c r="E43" s="80" t="s">
        <v>14</v>
      </c>
      <c r="F43" s="131">
        <f>'потребность 2023 (5)'!K40</f>
        <v>23192985</v>
      </c>
    </row>
    <row r="44" spans="1:8" ht="36.700000000000003" outlineLevel="6" x14ac:dyDescent="0.25">
      <c r="A44" s="81" t="s">
        <v>15</v>
      </c>
      <c r="B44" s="80" t="s">
        <v>500</v>
      </c>
      <c r="C44" s="80" t="s">
        <v>31</v>
      </c>
      <c r="D44" s="80" t="s">
        <v>495</v>
      </c>
      <c r="E44" s="80" t="s">
        <v>16</v>
      </c>
      <c r="F44" s="82">
        <f>F45</f>
        <v>102000</v>
      </c>
    </row>
    <row r="45" spans="1:8" ht="21.25" customHeight="1" outlineLevel="7" x14ac:dyDescent="0.25">
      <c r="A45" s="81" t="s">
        <v>17</v>
      </c>
      <c r="B45" s="80" t="s">
        <v>500</v>
      </c>
      <c r="C45" s="80" t="s">
        <v>31</v>
      </c>
      <c r="D45" s="80" t="s">
        <v>495</v>
      </c>
      <c r="E45" s="80" t="s">
        <v>18</v>
      </c>
      <c r="F45" s="131">
        <f>'потребность 2023 (5)'!K42</f>
        <v>102000</v>
      </c>
    </row>
    <row r="46" spans="1:8" outlineLevel="7" x14ac:dyDescent="0.25">
      <c r="A46" s="81" t="s">
        <v>260</v>
      </c>
      <c r="B46" s="80" t="s">
        <v>500</v>
      </c>
      <c r="C46" s="80" t="s">
        <v>261</v>
      </c>
      <c r="D46" s="80" t="s">
        <v>126</v>
      </c>
      <c r="E46" s="80" t="s">
        <v>6</v>
      </c>
      <c r="F46" s="98">
        <f>F47</f>
        <v>12402</v>
      </c>
    </row>
    <row r="47" spans="1:8" ht="36.700000000000003" outlineLevel="7" x14ac:dyDescent="0.25">
      <c r="A47" s="81" t="s">
        <v>132</v>
      </c>
      <c r="B47" s="80" t="s">
        <v>500</v>
      </c>
      <c r="C47" s="80" t="s">
        <v>261</v>
      </c>
      <c r="D47" s="80" t="s">
        <v>127</v>
      </c>
      <c r="E47" s="80" t="s">
        <v>6</v>
      </c>
      <c r="F47" s="98">
        <f>F49</f>
        <v>12402</v>
      </c>
    </row>
    <row r="48" spans="1:8" outlineLevel="7" x14ac:dyDescent="0.25">
      <c r="A48" s="81" t="s">
        <v>277</v>
      </c>
      <c r="B48" s="80" t="s">
        <v>500</v>
      </c>
      <c r="C48" s="80" t="s">
        <v>261</v>
      </c>
      <c r="D48" s="80" t="s">
        <v>276</v>
      </c>
      <c r="E48" s="80" t="s">
        <v>6</v>
      </c>
      <c r="F48" s="98">
        <f>F49</f>
        <v>12402</v>
      </c>
    </row>
    <row r="49" spans="1:8" ht="95.3" customHeight="1" outlineLevel="7" x14ac:dyDescent="0.25">
      <c r="A49" s="81" t="s">
        <v>410</v>
      </c>
      <c r="B49" s="80" t="s">
        <v>500</v>
      </c>
      <c r="C49" s="80" t="s">
        <v>261</v>
      </c>
      <c r="D49" s="80" t="s">
        <v>285</v>
      </c>
      <c r="E49" s="80" t="s">
        <v>6</v>
      </c>
      <c r="F49" s="98">
        <f>F50</f>
        <v>12402</v>
      </c>
    </row>
    <row r="50" spans="1:8" ht="36.700000000000003" outlineLevel="7" x14ac:dyDescent="0.25">
      <c r="A50" s="81" t="s">
        <v>15</v>
      </c>
      <c r="B50" s="80" t="s">
        <v>500</v>
      </c>
      <c r="C50" s="80" t="s">
        <v>261</v>
      </c>
      <c r="D50" s="80" t="s">
        <v>285</v>
      </c>
      <c r="E50" s="80" t="s">
        <v>16</v>
      </c>
      <c r="F50" s="98">
        <f>F51</f>
        <v>12402</v>
      </c>
    </row>
    <row r="51" spans="1:8" ht="19.55" customHeight="1" outlineLevel="7" x14ac:dyDescent="0.25">
      <c r="A51" s="81" t="s">
        <v>17</v>
      </c>
      <c r="B51" s="80" t="s">
        <v>500</v>
      </c>
      <c r="C51" s="80" t="s">
        <v>261</v>
      </c>
      <c r="D51" s="80" t="s">
        <v>285</v>
      </c>
      <c r="E51" s="80" t="s">
        <v>18</v>
      </c>
      <c r="F51" s="82">
        <f>'потребность 2023 (5)'!K48</f>
        <v>12402</v>
      </c>
    </row>
    <row r="52" spans="1:8" ht="36.700000000000003" customHeight="1" outlineLevel="2" x14ac:dyDescent="0.25">
      <c r="A52" s="81" t="s">
        <v>9</v>
      </c>
      <c r="B52" s="80" t="s">
        <v>500</v>
      </c>
      <c r="C52" s="80" t="s">
        <v>10</v>
      </c>
      <c r="D52" s="80" t="s">
        <v>126</v>
      </c>
      <c r="E52" s="80" t="s">
        <v>6</v>
      </c>
      <c r="F52" s="82">
        <f>F53</f>
        <v>845370</v>
      </c>
    </row>
    <row r="53" spans="1:8" ht="36.700000000000003" outlineLevel="4" x14ac:dyDescent="0.25">
      <c r="A53" s="81" t="s">
        <v>132</v>
      </c>
      <c r="B53" s="80" t="s">
        <v>500</v>
      </c>
      <c r="C53" s="80" t="s">
        <v>10</v>
      </c>
      <c r="D53" s="80" t="s">
        <v>127</v>
      </c>
      <c r="E53" s="80" t="s">
        <v>6</v>
      </c>
      <c r="F53" s="82">
        <f>F54</f>
        <v>845370</v>
      </c>
    </row>
    <row r="54" spans="1:8" ht="36.700000000000003" outlineLevel="5" x14ac:dyDescent="0.25">
      <c r="A54" s="81" t="s">
        <v>498</v>
      </c>
      <c r="B54" s="80" t="s">
        <v>500</v>
      </c>
      <c r="C54" s="80" t="s">
        <v>10</v>
      </c>
      <c r="D54" s="80" t="s">
        <v>537</v>
      </c>
      <c r="E54" s="80" t="s">
        <v>6</v>
      </c>
      <c r="F54" s="82">
        <f>F55</f>
        <v>845370</v>
      </c>
    </row>
    <row r="55" spans="1:8" ht="73.400000000000006" outlineLevel="6" x14ac:dyDescent="0.25">
      <c r="A55" s="81" t="s">
        <v>11</v>
      </c>
      <c r="B55" s="80" t="s">
        <v>500</v>
      </c>
      <c r="C55" s="80" t="s">
        <v>10</v>
      </c>
      <c r="D55" s="80" t="s">
        <v>537</v>
      </c>
      <c r="E55" s="80" t="s">
        <v>12</v>
      </c>
      <c r="F55" s="82">
        <f>F56</f>
        <v>845370</v>
      </c>
    </row>
    <row r="56" spans="1:8" ht="36.700000000000003" outlineLevel="7" x14ac:dyDescent="0.25">
      <c r="A56" s="81" t="s">
        <v>13</v>
      </c>
      <c r="B56" s="80" t="s">
        <v>500</v>
      </c>
      <c r="C56" s="80" t="s">
        <v>10</v>
      </c>
      <c r="D56" s="80" t="s">
        <v>537</v>
      </c>
      <c r="E56" s="80" t="s">
        <v>14</v>
      </c>
      <c r="F56" s="82">
        <f>'потребность 2023 (5)'!K53</f>
        <v>845370</v>
      </c>
    </row>
    <row r="57" spans="1:8" outlineLevel="7" x14ac:dyDescent="0.25">
      <c r="A57" s="81" t="s">
        <v>698</v>
      </c>
      <c r="B57" s="80" t="s">
        <v>500</v>
      </c>
      <c r="C57" s="80" t="s">
        <v>695</v>
      </c>
      <c r="D57" s="80" t="s">
        <v>126</v>
      </c>
      <c r="E57" s="80" t="s">
        <v>6</v>
      </c>
      <c r="F57" s="82">
        <f>F58</f>
        <v>12000000</v>
      </c>
    </row>
    <row r="58" spans="1:8" ht="36.700000000000003" outlineLevel="7" x14ac:dyDescent="0.25">
      <c r="A58" s="81" t="s">
        <v>132</v>
      </c>
      <c r="B58" s="80" t="s">
        <v>500</v>
      </c>
      <c r="C58" s="80" t="s">
        <v>695</v>
      </c>
      <c r="D58" s="80" t="s">
        <v>127</v>
      </c>
      <c r="E58" s="80" t="s">
        <v>6</v>
      </c>
      <c r="F58" s="82">
        <f>F59</f>
        <v>12000000</v>
      </c>
    </row>
    <row r="59" spans="1:8" ht="36.700000000000003" outlineLevel="7" x14ac:dyDescent="0.25">
      <c r="A59" s="81" t="s">
        <v>526</v>
      </c>
      <c r="B59" s="80" t="s">
        <v>500</v>
      </c>
      <c r="C59" s="80" t="s">
        <v>695</v>
      </c>
      <c r="D59" s="80" t="s">
        <v>539</v>
      </c>
      <c r="E59" s="80" t="s">
        <v>6</v>
      </c>
      <c r="F59" s="82">
        <f>F60</f>
        <v>12000000</v>
      </c>
    </row>
    <row r="60" spans="1:8" outlineLevel="7" x14ac:dyDescent="0.25">
      <c r="A60" s="81" t="s">
        <v>19</v>
      </c>
      <c r="B60" s="80" t="s">
        <v>500</v>
      </c>
      <c r="C60" s="80" t="s">
        <v>695</v>
      </c>
      <c r="D60" s="80" t="s">
        <v>539</v>
      </c>
      <c r="E60" s="80" t="s">
        <v>20</v>
      </c>
      <c r="F60" s="82">
        <f>F61</f>
        <v>12000000</v>
      </c>
    </row>
    <row r="61" spans="1:8" outlineLevel="7" x14ac:dyDescent="0.25">
      <c r="A61" s="81" t="s">
        <v>696</v>
      </c>
      <c r="B61" s="80" t="s">
        <v>500</v>
      </c>
      <c r="C61" s="80" t="s">
        <v>695</v>
      </c>
      <c r="D61" s="80" t="s">
        <v>539</v>
      </c>
      <c r="E61" s="80" t="s">
        <v>694</v>
      </c>
      <c r="F61" s="82">
        <f>'потребность 2023 (5)'!K58</f>
        <v>12000000</v>
      </c>
    </row>
    <row r="62" spans="1:8" outlineLevel="2" x14ac:dyDescent="0.25">
      <c r="A62" s="81" t="s">
        <v>23</v>
      </c>
      <c r="B62" s="80" t="s">
        <v>500</v>
      </c>
      <c r="C62" s="80" t="s">
        <v>24</v>
      </c>
      <c r="D62" s="80" t="s">
        <v>126</v>
      </c>
      <c r="E62" s="80" t="s">
        <v>6</v>
      </c>
      <c r="F62" s="82">
        <f>F63+F88+F101+F93+F113+F108</f>
        <v>75750412</v>
      </c>
    </row>
    <row r="63" spans="1:8" s="172" customFormat="1" ht="37.549999999999997" customHeight="1" outlineLevel="3" x14ac:dyDescent="0.25">
      <c r="A63" s="109" t="s">
        <v>853</v>
      </c>
      <c r="B63" s="110" t="s">
        <v>500</v>
      </c>
      <c r="C63" s="110" t="s">
        <v>24</v>
      </c>
      <c r="D63" s="110" t="s">
        <v>128</v>
      </c>
      <c r="E63" s="110" t="s">
        <v>6</v>
      </c>
      <c r="F63" s="85">
        <f>F64+F71+F79</f>
        <v>24712813</v>
      </c>
      <c r="G63" s="171"/>
      <c r="H63" s="171"/>
    </row>
    <row r="64" spans="1:8" ht="39.25" customHeight="1" outlineLevel="7" x14ac:dyDescent="0.25">
      <c r="A64" s="81" t="s">
        <v>835</v>
      </c>
      <c r="B64" s="80" t="s">
        <v>500</v>
      </c>
      <c r="C64" s="80" t="s">
        <v>24</v>
      </c>
      <c r="D64" s="80" t="s">
        <v>315</v>
      </c>
      <c r="E64" s="80" t="s">
        <v>6</v>
      </c>
      <c r="F64" s="98">
        <f>F65+F68</f>
        <v>845385</v>
      </c>
    </row>
    <row r="65" spans="1:6" outlineLevel="7" x14ac:dyDescent="0.25">
      <c r="A65" s="81" t="s">
        <v>321</v>
      </c>
      <c r="B65" s="80" t="s">
        <v>500</v>
      </c>
      <c r="C65" s="80" t="s">
        <v>24</v>
      </c>
      <c r="D65" s="80" t="s">
        <v>316</v>
      </c>
      <c r="E65" s="80" t="s">
        <v>6</v>
      </c>
      <c r="F65" s="98">
        <f>F66</f>
        <v>745385</v>
      </c>
    </row>
    <row r="66" spans="1:6" ht="36.700000000000003" outlineLevel="7" x14ac:dyDescent="0.25">
      <c r="A66" s="81" t="s">
        <v>15</v>
      </c>
      <c r="B66" s="80" t="s">
        <v>500</v>
      </c>
      <c r="C66" s="80" t="s">
        <v>24</v>
      </c>
      <c r="D66" s="80" t="s">
        <v>316</v>
      </c>
      <c r="E66" s="80" t="s">
        <v>16</v>
      </c>
      <c r="F66" s="82">
        <f>F67</f>
        <v>745385</v>
      </c>
    </row>
    <row r="67" spans="1:6" ht="21.25" customHeight="1" outlineLevel="7" x14ac:dyDescent="0.25">
      <c r="A67" s="81" t="s">
        <v>17</v>
      </c>
      <c r="B67" s="80" t="s">
        <v>500</v>
      </c>
      <c r="C67" s="80" t="s">
        <v>24</v>
      </c>
      <c r="D67" s="80" t="s">
        <v>316</v>
      </c>
      <c r="E67" s="80" t="s">
        <v>18</v>
      </c>
      <c r="F67" s="98">
        <f>'потребность 2023 (5)'!K64</f>
        <v>745385</v>
      </c>
    </row>
    <row r="68" spans="1:6" outlineLevel="7" x14ac:dyDescent="0.25">
      <c r="A68" s="81" t="s">
        <v>322</v>
      </c>
      <c r="B68" s="80" t="s">
        <v>500</v>
      </c>
      <c r="C68" s="80" t="s">
        <v>24</v>
      </c>
      <c r="D68" s="80" t="s">
        <v>323</v>
      </c>
      <c r="E68" s="80" t="s">
        <v>6</v>
      </c>
      <c r="F68" s="98">
        <f>F69</f>
        <v>100000</v>
      </c>
    </row>
    <row r="69" spans="1:6" ht="36.700000000000003" outlineLevel="7" x14ac:dyDescent="0.25">
      <c r="A69" s="81" t="s">
        <v>15</v>
      </c>
      <c r="B69" s="80" t="s">
        <v>500</v>
      </c>
      <c r="C69" s="80" t="s">
        <v>24</v>
      </c>
      <c r="D69" s="80" t="s">
        <v>323</v>
      </c>
      <c r="E69" s="80" t="s">
        <v>16</v>
      </c>
      <c r="F69" s="82">
        <f>F70</f>
        <v>100000</v>
      </c>
    </row>
    <row r="70" spans="1:6" ht="19.55" customHeight="1" outlineLevel="7" x14ac:dyDescent="0.25">
      <c r="A70" s="81" t="s">
        <v>17</v>
      </c>
      <c r="B70" s="145" t="s">
        <v>500</v>
      </c>
      <c r="C70" s="145" t="s">
        <v>24</v>
      </c>
      <c r="D70" s="145" t="s">
        <v>323</v>
      </c>
      <c r="E70" s="145" t="s">
        <v>18</v>
      </c>
      <c r="F70" s="290">
        <f>'потребность 2023 (5)'!K67</f>
        <v>100000</v>
      </c>
    </row>
    <row r="71" spans="1:6" ht="19.55" customHeight="1" outlineLevel="7" x14ac:dyDescent="0.25">
      <c r="A71" s="81" t="s">
        <v>216</v>
      </c>
      <c r="B71" s="80" t="s">
        <v>500</v>
      </c>
      <c r="C71" s="80" t="s">
        <v>24</v>
      </c>
      <c r="D71" s="80" t="s">
        <v>231</v>
      </c>
      <c r="E71" s="80" t="s">
        <v>6</v>
      </c>
      <c r="F71" s="98">
        <f>F72</f>
        <v>22416328</v>
      </c>
    </row>
    <row r="72" spans="1:6" ht="36.700000000000003" outlineLevel="5" x14ac:dyDescent="0.25">
      <c r="A72" s="81" t="s">
        <v>33</v>
      </c>
      <c r="B72" s="80" t="s">
        <v>500</v>
      </c>
      <c r="C72" s="80" t="s">
        <v>24</v>
      </c>
      <c r="D72" s="80" t="s">
        <v>130</v>
      </c>
      <c r="E72" s="80" t="s">
        <v>6</v>
      </c>
      <c r="F72" s="82">
        <f>F73+F75+F77</f>
        <v>22416328</v>
      </c>
    </row>
    <row r="73" spans="1:6" ht="73.400000000000006" outlineLevel="6" x14ac:dyDescent="0.25">
      <c r="A73" s="81" t="s">
        <v>11</v>
      </c>
      <c r="B73" s="80" t="s">
        <v>500</v>
      </c>
      <c r="C73" s="80" t="s">
        <v>24</v>
      </c>
      <c r="D73" s="80" t="s">
        <v>130</v>
      </c>
      <c r="E73" s="80" t="s">
        <v>12</v>
      </c>
      <c r="F73" s="82">
        <f>F74</f>
        <v>11899000</v>
      </c>
    </row>
    <row r="74" spans="1:6" outlineLevel="7" x14ac:dyDescent="0.25">
      <c r="A74" s="81" t="s">
        <v>34</v>
      </c>
      <c r="B74" s="80" t="s">
        <v>500</v>
      </c>
      <c r="C74" s="80" t="s">
        <v>24</v>
      </c>
      <c r="D74" s="80" t="s">
        <v>130</v>
      </c>
      <c r="E74" s="80" t="s">
        <v>35</v>
      </c>
      <c r="F74" s="98">
        <f>'потребность 2023 (5)'!K71</f>
        <v>11899000</v>
      </c>
    </row>
    <row r="75" spans="1:6" ht="36.700000000000003" outlineLevel="6" x14ac:dyDescent="0.25">
      <c r="A75" s="81" t="s">
        <v>15</v>
      </c>
      <c r="B75" s="80" t="s">
        <v>500</v>
      </c>
      <c r="C75" s="80" t="s">
        <v>24</v>
      </c>
      <c r="D75" s="80" t="s">
        <v>130</v>
      </c>
      <c r="E75" s="80" t="s">
        <v>16</v>
      </c>
      <c r="F75" s="82">
        <f>F76</f>
        <v>9748820</v>
      </c>
    </row>
    <row r="76" spans="1:6" ht="21.25" customHeight="1" outlineLevel="7" x14ac:dyDescent="0.25">
      <c r="A76" s="81" t="s">
        <v>17</v>
      </c>
      <c r="B76" s="80" t="s">
        <v>500</v>
      </c>
      <c r="C76" s="80" t="s">
        <v>24</v>
      </c>
      <c r="D76" s="80" t="s">
        <v>130</v>
      </c>
      <c r="E76" s="80" t="s">
        <v>18</v>
      </c>
      <c r="F76" s="98">
        <f>'потребность 2023 (5)'!K73</f>
        <v>9748820</v>
      </c>
    </row>
    <row r="77" spans="1:6" outlineLevel="6" x14ac:dyDescent="0.25">
      <c r="A77" s="81" t="s">
        <v>19</v>
      </c>
      <c r="B77" s="80" t="s">
        <v>500</v>
      </c>
      <c r="C77" s="80" t="s">
        <v>24</v>
      </c>
      <c r="D77" s="80" t="s">
        <v>130</v>
      </c>
      <c r="E77" s="80" t="s">
        <v>20</v>
      </c>
      <c r="F77" s="82">
        <f>F78</f>
        <v>768508</v>
      </c>
    </row>
    <row r="78" spans="1:6" outlineLevel="7" x14ac:dyDescent="0.25">
      <c r="A78" s="81" t="s">
        <v>21</v>
      </c>
      <c r="B78" s="80" t="s">
        <v>500</v>
      </c>
      <c r="C78" s="80" t="s">
        <v>24</v>
      </c>
      <c r="D78" s="80" t="s">
        <v>130</v>
      </c>
      <c r="E78" s="80" t="s">
        <v>22</v>
      </c>
      <c r="F78" s="131">
        <f>'потребность 2023 (5)'!K75</f>
        <v>768508</v>
      </c>
    </row>
    <row r="79" spans="1:6" ht="17.5" customHeight="1" outlineLevel="7" x14ac:dyDescent="0.25">
      <c r="A79" s="81" t="s">
        <v>748</v>
      </c>
      <c r="B79" s="80" t="s">
        <v>500</v>
      </c>
      <c r="C79" s="80" t="s">
        <v>24</v>
      </c>
      <c r="D79" s="80" t="s">
        <v>692</v>
      </c>
      <c r="E79" s="80" t="s">
        <v>6</v>
      </c>
      <c r="F79" s="82">
        <f>F80+F83</f>
        <v>1451100</v>
      </c>
    </row>
    <row r="80" spans="1:6" ht="36.700000000000003" outlineLevel="7" x14ac:dyDescent="0.25">
      <c r="A80" s="25" t="s">
        <v>717</v>
      </c>
      <c r="B80" s="80" t="s">
        <v>500</v>
      </c>
      <c r="C80" s="80" t="s">
        <v>24</v>
      </c>
      <c r="D80" s="80" t="s">
        <v>691</v>
      </c>
      <c r="E80" s="80" t="s">
        <v>6</v>
      </c>
      <c r="F80" s="82">
        <f>F81</f>
        <v>0</v>
      </c>
    </row>
    <row r="81" spans="1:8" ht="36.700000000000003" outlineLevel="7" x14ac:dyDescent="0.25">
      <c r="A81" s="81" t="s">
        <v>15</v>
      </c>
      <c r="B81" s="80" t="s">
        <v>500</v>
      </c>
      <c r="C81" s="80" t="s">
        <v>24</v>
      </c>
      <c r="D81" s="80" t="s">
        <v>691</v>
      </c>
      <c r="E81" s="80" t="s">
        <v>16</v>
      </c>
      <c r="F81" s="82">
        <f>F82</f>
        <v>0</v>
      </c>
    </row>
    <row r="82" spans="1:8" ht="36.700000000000003" outlineLevel="7" x14ac:dyDescent="0.25">
      <c r="A82" s="81" t="s">
        <v>17</v>
      </c>
      <c r="B82" s="80" t="s">
        <v>500</v>
      </c>
      <c r="C82" s="80" t="s">
        <v>24</v>
      </c>
      <c r="D82" s="80" t="s">
        <v>691</v>
      </c>
      <c r="E82" s="80" t="s">
        <v>18</v>
      </c>
      <c r="F82" s="131">
        <v>0</v>
      </c>
    </row>
    <row r="83" spans="1:8" ht="36.700000000000003" outlineLevel="7" x14ac:dyDescent="0.25">
      <c r="A83" s="81" t="s">
        <v>690</v>
      </c>
      <c r="B83" s="80" t="s">
        <v>500</v>
      </c>
      <c r="C83" s="80" t="s">
        <v>24</v>
      </c>
      <c r="D83" s="80" t="s">
        <v>689</v>
      </c>
      <c r="E83" s="80" t="s">
        <v>6</v>
      </c>
      <c r="F83" s="82">
        <f>F86+F84</f>
        <v>1451100</v>
      </c>
    </row>
    <row r="84" spans="1:8" ht="73.400000000000006" outlineLevel="7" x14ac:dyDescent="0.25">
      <c r="A84" s="81" t="s">
        <v>11</v>
      </c>
      <c r="B84" s="80" t="s">
        <v>500</v>
      </c>
      <c r="C84" s="80" t="s">
        <v>24</v>
      </c>
      <c r="D84" s="80" t="s">
        <v>689</v>
      </c>
      <c r="E84" s="80" t="s">
        <v>12</v>
      </c>
      <c r="F84" s="82">
        <f>F85</f>
        <v>116000</v>
      </c>
    </row>
    <row r="85" spans="1:8" ht="36.700000000000003" outlineLevel="7" x14ac:dyDescent="0.25">
      <c r="A85" s="81" t="s">
        <v>13</v>
      </c>
      <c r="B85" s="80" t="s">
        <v>500</v>
      </c>
      <c r="C85" s="80" t="s">
        <v>24</v>
      </c>
      <c r="D85" s="80" t="s">
        <v>689</v>
      </c>
      <c r="E85" s="80" t="s">
        <v>14</v>
      </c>
      <c r="F85" s="82">
        <f>'потребность 2023 (5)'!K82</f>
        <v>116000</v>
      </c>
    </row>
    <row r="86" spans="1:8" ht="36.700000000000003" outlineLevel="7" x14ac:dyDescent="0.25">
      <c r="A86" s="81" t="s">
        <v>15</v>
      </c>
      <c r="B86" s="80" t="s">
        <v>500</v>
      </c>
      <c r="C86" s="80" t="s">
        <v>24</v>
      </c>
      <c r="D86" s="80" t="s">
        <v>689</v>
      </c>
      <c r="E86" s="80" t="s">
        <v>16</v>
      </c>
      <c r="F86" s="82">
        <f>F87</f>
        <v>1335100</v>
      </c>
    </row>
    <row r="87" spans="1:8" ht="36.700000000000003" outlineLevel="7" x14ac:dyDescent="0.25">
      <c r="A87" s="81" t="s">
        <v>17</v>
      </c>
      <c r="B87" s="80" t="s">
        <v>500</v>
      </c>
      <c r="C87" s="80" t="s">
        <v>24</v>
      </c>
      <c r="D87" s="80" t="s">
        <v>689</v>
      </c>
      <c r="E87" s="80" t="s">
        <v>18</v>
      </c>
      <c r="F87" s="131">
        <f>'потребность 2023 (5)'!K84</f>
        <v>1335100</v>
      </c>
    </row>
    <row r="88" spans="1:8" s="172" customFormat="1" ht="36.700000000000003" outlineLevel="7" x14ac:dyDescent="0.25">
      <c r="A88" s="109" t="s">
        <v>852</v>
      </c>
      <c r="B88" s="110" t="s">
        <v>500</v>
      </c>
      <c r="C88" s="110" t="s">
        <v>24</v>
      </c>
      <c r="D88" s="110" t="s">
        <v>131</v>
      </c>
      <c r="E88" s="110" t="s">
        <v>6</v>
      </c>
      <c r="F88" s="85">
        <f>F89</f>
        <v>50000</v>
      </c>
      <c r="G88" s="171"/>
      <c r="H88" s="171"/>
    </row>
    <row r="89" spans="1:8" outlineLevel="7" x14ac:dyDescent="0.25">
      <c r="A89" s="81" t="s">
        <v>324</v>
      </c>
      <c r="B89" s="80" t="s">
        <v>500</v>
      </c>
      <c r="C89" s="80" t="s">
        <v>24</v>
      </c>
      <c r="D89" s="80" t="s">
        <v>233</v>
      </c>
      <c r="E89" s="80" t="s">
        <v>6</v>
      </c>
      <c r="F89" s="82">
        <f>F90</f>
        <v>50000</v>
      </c>
    </row>
    <row r="90" spans="1:8" ht="36.700000000000003" outlineLevel="7" x14ac:dyDescent="0.25">
      <c r="A90" s="81" t="s">
        <v>325</v>
      </c>
      <c r="B90" s="80" t="s">
        <v>500</v>
      </c>
      <c r="C90" s="80" t="s">
        <v>24</v>
      </c>
      <c r="D90" s="80" t="s">
        <v>326</v>
      </c>
      <c r="E90" s="80" t="s">
        <v>6</v>
      </c>
      <c r="F90" s="82">
        <f>F91</f>
        <v>50000</v>
      </c>
    </row>
    <row r="91" spans="1:8" ht="36.700000000000003" outlineLevel="7" x14ac:dyDescent="0.25">
      <c r="A91" s="81" t="s">
        <v>15</v>
      </c>
      <c r="B91" s="80" t="s">
        <v>500</v>
      </c>
      <c r="C91" s="80" t="s">
        <v>24</v>
      </c>
      <c r="D91" s="80" t="s">
        <v>326</v>
      </c>
      <c r="E91" s="80" t="s">
        <v>16</v>
      </c>
      <c r="F91" s="82">
        <f>F92</f>
        <v>50000</v>
      </c>
    </row>
    <row r="92" spans="1:8" ht="21.25" customHeight="1" outlineLevel="7" x14ac:dyDescent="0.25">
      <c r="A92" s="81" t="s">
        <v>17</v>
      </c>
      <c r="B92" s="80" t="s">
        <v>500</v>
      </c>
      <c r="C92" s="80" t="s">
        <v>24</v>
      </c>
      <c r="D92" s="80" t="s">
        <v>326</v>
      </c>
      <c r="E92" s="80" t="s">
        <v>18</v>
      </c>
      <c r="F92" s="98">
        <f>'потребность 2023 (5)'!K89</f>
        <v>50000</v>
      </c>
    </row>
    <row r="93" spans="1:8" s="172" customFormat="1" ht="38.25" customHeight="1" outlineLevel="7" x14ac:dyDescent="0.25">
      <c r="A93" s="109" t="s">
        <v>829</v>
      </c>
      <c r="B93" s="110" t="s">
        <v>500</v>
      </c>
      <c r="C93" s="110" t="s">
        <v>24</v>
      </c>
      <c r="D93" s="110" t="s">
        <v>317</v>
      </c>
      <c r="E93" s="110" t="s">
        <v>6</v>
      </c>
      <c r="F93" s="85">
        <f>F94</f>
        <v>1291402</v>
      </c>
      <c r="G93" s="171"/>
      <c r="H93" s="171"/>
    </row>
    <row r="94" spans="1:8" ht="21.25" customHeight="1" outlineLevel="7" x14ac:dyDescent="0.25">
      <c r="A94" s="113" t="s">
        <v>327</v>
      </c>
      <c r="B94" s="80" t="s">
        <v>500</v>
      </c>
      <c r="C94" s="80" t="s">
        <v>24</v>
      </c>
      <c r="D94" s="80" t="s">
        <v>318</v>
      </c>
      <c r="E94" s="80" t="s">
        <v>6</v>
      </c>
      <c r="F94" s="82">
        <f>F95+F98</f>
        <v>1291402</v>
      </c>
    </row>
    <row r="95" spans="1:8" ht="37.549999999999997" customHeight="1" outlineLevel="7" x14ac:dyDescent="0.25">
      <c r="A95" s="113" t="s">
        <v>328</v>
      </c>
      <c r="B95" s="80" t="s">
        <v>500</v>
      </c>
      <c r="C95" s="80" t="s">
        <v>24</v>
      </c>
      <c r="D95" s="80" t="s">
        <v>329</v>
      </c>
      <c r="E95" s="80" t="s">
        <v>6</v>
      </c>
      <c r="F95" s="82">
        <f>F96</f>
        <v>1245472</v>
      </c>
    </row>
    <row r="96" spans="1:8" ht="36.700000000000003" outlineLevel="7" x14ac:dyDescent="0.25">
      <c r="A96" s="81" t="s">
        <v>15</v>
      </c>
      <c r="B96" s="80" t="s">
        <v>500</v>
      </c>
      <c r="C96" s="80" t="s">
        <v>24</v>
      </c>
      <c r="D96" s="80" t="s">
        <v>329</v>
      </c>
      <c r="E96" s="80" t="s">
        <v>16</v>
      </c>
      <c r="F96" s="82">
        <f>F97</f>
        <v>1245472</v>
      </c>
    </row>
    <row r="97" spans="1:8" ht="18.7" customHeight="1" outlineLevel="7" x14ac:dyDescent="0.25">
      <c r="A97" s="81" t="s">
        <v>17</v>
      </c>
      <c r="B97" s="80" t="s">
        <v>500</v>
      </c>
      <c r="C97" s="80" t="s">
        <v>24</v>
      </c>
      <c r="D97" s="80" t="s">
        <v>329</v>
      </c>
      <c r="E97" s="80" t="s">
        <v>18</v>
      </c>
      <c r="F97" s="98">
        <f>'потребность 2023 (5)'!K94</f>
        <v>1245472</v>
      </c>
    </row>
    <row r="98" spans="1:8" ht="36.700000000000003" outlineLevel="7" x14ac:dyDescent="0.25">
      <c r="A98" s="113" t="s">
        <v>330</v>
      </c>
      <c r="B98" s="80" t="s">
        <v>500</v>
      </c>
      <c r="C98" s="80" t="s">
        <v>24</v>
      </c>
      <c r="D98" s="80" t="s">
        <v>319</v>
      </c>
      <c r="E98" s="80" t="s">
        <v>6</v>
      </c>
      <c r="F98" s="82">
        <f>F99</f>
        <v>45930</v>
      </c>
    </row>
    <row r="99" spans="1:8" ht="36.700000000000003" outlineLevel="7" x14ac:dyDescent="0.25">
      <c r="A99" s="81" t="s">
        <v>15</v>
      </c>
      <c r="B99" s="80" t="s">
        <v>500</v>
      </c>
      <c r="C99" s="80" t="s">
        <v>24</v>
      </c>
      <c r="D99" s="80" t="s">
        <v>319</v>
      </c>
      <c r="E99" s="80" t="s">
        <v>16</v>
      </c>
      <c r="F99" s="82">
        <f>F100</f>
        <v>45930</v>
      </c>
    </row>
    <row r="100" spans="1:8" ht="19.55" customHeight="1" outlineLevel="7" x14ac:dyDescent="0.25">
      <c r="A100" s="81" t="s">
        <v>17</v>
      </c>
      <c r="B100" s="80" t="s">
        <v>500</v>
      </c>
      <c r="C100" s="80" t="s">
        <v>24</v>
      </c>
      <c r="D100" s="80" t="s">
        <v>319</v>
      </c>
      <c r="E100" s="80" t="s">
        <v>18</v>
      </c>
      <c r="F100" s="82">
        <f>'потребность 2023 (5)'!K97</f>
        <v>45930</v>
      </c>
    </row>
    <row r="101" spans="1:8" s="172" customFormat="1" ht="55.05" outlineLevel="7" x14ac:dyDescent="0.25">
      <c r="A101" s="109" t="s">
        <v>851</v>
      </c>
      <c r="B101" s="110" t="s">
        <v>500</v>
      </c>
      <c r="C101" s="110" t="s">
        <v>24</v>
      </c>
      <c r="D101" s="110" t="s">
        <v>331</v>
      </c>
      <c r="E101" s="110" t="s">
        <v>6</v>
      </c>
      <c r="F101" s="85">
        <f>F102</f>
        <v>2760000</v>
      </c>
      <c r="G101" s="171"/>
      <c r="H101" s="171"/>
    </row>
    <row r="102" spans="1:8" ht="36.700000000000003" outlineLevel="7" x14ac:dyDescent="0.25">
      <c r="A102" s="81" t="s">
        <v>215</v>
      </c>
      <c r="B102" s="80" t="s">
        <v>500</v>
      </c>
      <c r="C102" s="80" t="s">
        <v>24</v>
      </c>
      <c r="D102" s="80" t="s">
        <v>332</v>
      </c>
      <c r="E102" s="80" t="s">
        <v>6</v>
      </c>
      <c r="F102" s="82">
        <f>F103</f>
        <v>2760000</v>
      </c>
    </row>
    <row r="103" spans="1:8" ht="55.05" outlineLevel="5" x14ac:dyDescent="0.25">
      <c r="A103" s="81" t="s">
        <v>32</v>
      </c>
      <c r="B103" s="80" t="s">
        <v>500</v>
      </c>
      <c r="C103" s="80" t="s">
        <v>24</v>
      </c>
      <c r="D103" s="80" t="s">
        <v>333</v>
      </c>
      <c r="E103" s="80" t="s">
        <v>6</v>
      </c>
      <c r="F103" s="82">
        <f>F104+F106</f>
        <v>2760000</v>
      </c>
    </row>
    <row r="104" spans="1:8" ht="36.700000000000003" outlineLevel="6" x14ac:dyDescent="0.25">
      <c r="A104" s="81" t="s">
        <v>15</v>
      </c>
      <c r="B104" s="80" t="s">
        <v>500</v>
      </c>
      <c r="C104" s="80" t="s">
        <v>24</v>
      </c>
      <c r="D104" s="80" t="s">
        <v>333</v>
      </c>
      <c r="E104" s="80" t="s">
        <v>16</v>
      </c>
      <c r="F104" s="82">
        <f>F105</f>
        <v>2620000</v>
      </c>
    </row>
    <row r="105" spans="1:8" ht="20.25" customHeight="1" outlineLevel="7" x14ac:dyDescent="0.25">
      <c r="A105" s="81" t="s">
        <v>17</v>
      </c>
      <c r="B105" s="80" t="s">
        <v>500</v>
      </c>
      <c r="C105" s="80" t="s">
        <v>24</v>
      </c>
      <c r="D105" s="80" t="s">
        <v>333</v>
      </c>
      <c r="E105" s="80" t="s">
        <v>18</v>
      </c>
      <c r="F105" s="82">
        <f>'потребность 2023 (5)'!K102</f>
        <v>2620000</v>
      </c>
    </row>
    <row r="106" spans="1:8" outlineLevel="6" x14ac:dyDescent="0.25">
      <c r="A106" s="81" t="s">
        <v>19</v>
      </c>
      <c r="B106" s="80" t="s">
        <v>500</v>
      </c>
      <c r="C106" s="80" t="s">
        <v>24</v>
      </c>
      <c r="D106" s="80" t="s">
        <v>333</v>
      </c>
      <c r="E106" s="80" t="s">
        <v>20</v>
      </c>
      <c r="F106" s="82">
        <f>F107</f>
        <v>140000</v>
      </c>
    </row>
    <row r="107" spans="1:8" outlineLevel="7" x14ac:dyDescent="0.25">
      <c r="A107" s="81" t="s">
        <v>21</v>
      </c>
      <c r="B107" s="80" t="s">
        <v>500</v>
      </c>
      <c r="C107" s="80" t="s">
        <v>24</v>
      </c>
      <c r="D107" s="80" t="s">
        <v>333</v>
      </c>
      <c r="E107" s="80" t="s">
        <v>22</v>
      </c>
      <c r="F107" s="98">
        <f>'потребность 2023 (5)'!K104</f>
        <v>140000</v>
      </c>
    </row>
    <row r="108" spans="1:8" ht="36.700000000000003" outlineLevel="7" x14ac:dyDescent="0.25">
      <c r="A108" s="109" t="s">
        <v>950</v>
      </c>
      <c r="B108" s="110" t="s">
        <v>500</v>
      </c>
      <c r="C108" s="110" t="s">
        <v>24</v>
      </c>
      <c r="D108" s="110" t="s">
        <v>952</v>
      </c>
      <c r="E108" s="110" t="s">
        <v>6</v>
      </c>
      <c r="F108" s="98">
        <f>F109</f>
        <v>100000</v>
      </c>
    </row>
    <row r="109" spans="1:8" ht="36.700000000000003" outlineLevel="7" x14ac:dyDescent="0.25">
      <c r="A109" s="81" t="s">
        <v>951</v>
      </c>
      <c r="B109" s="80" t="s">
        <v>500</v>
      </c>
      <c r="C109" s="80" t="s">
        <v>24</v>
      </c>
      <c r="D109" s="80" t="s">
        <v>953</v>
      </c>
      <c r="E109" s="80" t="s">
        <v>6</v>
      </c>
      <c r="F109" s="98">
        <f>F110</f>
        <v>100000</v>
      </c>
    </row>
    <row r="110" spans="1:8" outlineLevel="7" x14ac:dyDescent="0.25">
      <c r="A110" s="81" t="s">
        <v>322</v>
      </c>
      <c r="B110" s="80" t="s">
        <v>500</v>
      </c>
      <c r="C110" s="80" t="s">
        <v>24</v>
      </c>
      <c r="D110" s="80" t="s">
        <v>954</v>
      </c>
      <c r="E110" s="80" t="s">
        <v>6</v>
      </c>
      <c r="F110" s="98">
        <f>F111</f>
        <v>100000</v>
      </c>
    </row>
    <row r="111" spans="1:8" ht="36.700000000000003" outlineLevel="7" x14ac:dyDescent="0.25">
      <c r="A111" s="81" t="s">
        <v>15</v>
      </c>
      <c r="B111" s="80" t="s">
        <v>500</v>
      </c>
      <c r="C111" s="80" t="s">
        <v>24</v>
      </c>
      <c r="D111" s="80" t="s">
        <v>954</v>
      </c>
      <c r="E111" s="80" t="s">
        <v>16</v>
      </c>
      <c r="F111" s="98">
        <f>F112</f>
        <v>100000</v>
      </c>
    </row>
    <row r="112" spans="1:8" ht="36.700000000000003" outlineLevel="7" x14ac:dyDescent="0.25">
      <c r="A112" s="81" t="s">
        <v>17</v>
      </c>
      <c r="B112" s="145" t="s">
        <v>500</v>
      </c>
      <c r="C112" s="145" t="s">
        <v>24</v>
      </c>
      <c r="D112" s="145" t="s">
        <v>954</v>
      </c>
      <c r="E112" s="145" t="s">
        <v>18</v>
      </c>
      <c r="F112" s="665">
        <f>'потребность 2023 (5)'!K109</f>
        <v>100000</v>
      </c>
    </row>
    <row r="113" spans="1:6" ht="36.700000000000003" outlineLevel="3" x14ac:dyDescent="0.25">
      <c r="A113" s="81" t="s">
        <v>132</v>
      </c>
      <c r="B113" s="80" t="s">
        <v>500</v>
      </c>
      <c r="C113" s="80" t="s">
        <v>24</v>
      </c>
      <c r="D113" s="80" t="s">
        <v>127</v>
      </c>
      <c r="E113" s="80" t="s">
        <v>6</v>
      </c>
      <c r="F113" s="82">
        <f>F131+F117+F128+F122+F114</f>
        <v>46836197</v>
      </c>
    </row>
    <row r="114" spans="1:6" ht="165.1" outlineLevel="3" x14ac:dyDescent="0.25">
      <c r="A114" s="275" t="s">
        <v>941</v>
      </c>
      <c r="B114" s="80" t="s">
        <v>500</v>
      </c>
      <c r="C114" s="80" t="s">
        <v>24</v>
      </c>
      <c r="D114" s="80" t="s">
        <v>942</v>
      </c>
      <c r="E114" s="80" t="s">
        <v>6</v>
      </c>
      <c r="F114" s="82">
        <f>F115</f>
        <v>1600000</v>
      </c>
    </row>
    <row r="115" spans="1:6" ht="36.700000000000003" outlineLevel="3" x14ac:dyDescent="0.25">
      <c r="A115" s="81" t="s">
        <v>15</v>
      </c>
      <c r="B115" s="80" t="s">
        <v>500</v>
      </c>
      <c r="C115" s="80" t="s">
        <v>24</v>
      </c>
      <c r="D115" s="80" t="s">
        <v>942</v>
      </c>
      <c r="E115" s="80" t="s">
        <v>16</v>
      </c>
      <c r="F115" s="82">
        <f>F116</f>
        <v>1600000</v>
      </c>
    </row>
    <row r="116" spans="1:6" ht="36.700000000000003" outlineLevel="3" x14ac:dyDescent="0.25">
      <c r="A116" s="81" t="s">
        <v>17</v>
      </c>
      <c r="B116" s="80" t="s">
        <v>500</v>
      </c>
      <c r="C116" s="80" t="s">
        <v>24</v>
      </c>
      <c r="D116" s="80" t="s">
        <v>942</v>
      </c>
      <c r="E116" s="80" t="s">
        <v>18</v>
      </c>
      <c r="F116" s="82">
        <f>'потребность 2023 (5)'!K113</f>
        <v>1600000</v>
      </c>
    </row>
    <row r="117" spans="1:6" ht="48.25" customHeight="1" outlineLevel="5" x14ac:dyDescent="0.25">
      <c r="A117" s="81" t="s">
        <v>494</v>
      </c>
      <c r="B117" s="80" t="s">
        <v>500</v>
      </c>
      <c r="C117" s="80" t="s">
        <v>24</v>
      </c>
      <c r="D117" s="80" t="s">
        <v>495</v>
      </c>
      <c r="E117" s="80" t="s">
        <v>6</v>
      </c>
      <c r="F117" s="82">
        <f>F118+F120</f>
        <v>37225780</v>
      </c>
    </row>
    <row r="118" spans="1:6" ht="73.400000000000006" outlineLevel="6" x14ac:dyDescent="0.25">
      <c r="A118" s="81" t="s">
        <v>11</v>
      </c>
      <c r="B118" s="80" t="s">
        <v>500</v>
      </c>
      <c r="C118" s="80" t="s">
        <v>24</v>
      </c>
      <c r="D118" s="80" t="s">
        <v>495</v>
      </c>
      <c r="E118" s="80" t="s">
        <v>12</v>
      </c>
      <c r="F118" s="82">
        <f>F119</f>
        <v>37205780</v>
      </c>
    </row>
    <row r="119" spans="1:6" ht="36.700000000000003" outlineLevel="7" x14ac:dyDescent="0.25">
      <c r="A119" s="81" t="s">
        <v>13</v>
      </c>
      <c r="B119" s="80" t="s">
        <v>500</v>
      </c>
      <c r="C119" s="80" t="s">
        <v>24</v>
      </c>
      <c r="D119" s="80" t="s">
        <v>495</v>
      </c>
      <c r="E119" s="80" t="s">
        <v>14</v>
      </c>
      <c r="F119" s="82">
        <f>'потребность 2023 (5)'!K116</f>
        <v>37205780</v>
      </c>
    </row>
    <row r="120" spans="1:6" ht="36.700000000000003" outlineLevel="7" x14ac:dyDescent="0.25">
      <c r="A120" s="81" t="s">
        <v>15</v>
      </c>
      <c r="B120" s="80" t="s">
        <v>500</v>
      </c>
      <c r="C120" s="80" t="s">
        <v>24</v>
      </c>
      <c r="D120" s="80" t="s">
        <v>495</v>
      </c>
      <c r="E120" s="80" t="s">
        <v>16</v>
      </c>
      <c r="F120" s="98">
        <f>F121</f>
        <v>20000</v>
      </c>
    </row>
    <row r="121" spans="1:6" ht="18.7" customHeight="1" outlineLevel="7" x14ac:dyDescent="0.25">
      <c r="A121" s="81" t="s">
        <v>17</v>
      </c>
      <c r="B121" s="80" t="s">
        <v>500</v>
      </c>
      <c r="C121" s="80" t="s">
        <v>24</v>
      </c>
      <c r="D121" s="80" t="s">
        <v>495</v>
      </c>
      <c r="E121" s="80" t="s">
        <v>18</v>
      </c>
      <c r="F121" s="82">
        <f>'потребность 2023 (5)'!K118</f>
        <v>20000</v>
      </c>
    </row>
    <row r="122" spans="1:6" ht="39.25" customHeight="1" outlineLevel="7" x14ac:dyDescent="0.25">
      <c r="A122" s="81" t="s">
        <v>688</v>
      </c>
      <c r="B122" s="80" t="s">
        <v>500</v>
      </c>
      <c r="C122" s="80" t="s">
        <v>24</v>
      </c>
      <c r="D122" s="80" t="s">
        <v>686</v>
      </c>
      <c r="E122" s="80" t="s">
        <v>6</v>
      </c>
      <c r="F122" s="82">
        <f>F125+F123</f>
        <v>0</v>
      </c>
    </row>
    <row r="123" spans="1:6" ht="39.25" customHeight="1" outlineLevel="7" x14ac:dyDescent="0.25">
      <c r="A123" s="81" t="s">
        <v>15</v>
      </c>
      <c r="B123" s="80" t="s">
        <v>500</v>
      </c>
      <c r="C123" s="80" t="s">
        <v>24</v>
      </c>
      <c r="D123" s="80" t="s">
        <v>686</v>
      </c>
      <c r="E123" s="80" t="s">
        <v>16</v>
      </c>
      <c r="F123" s="82">
        <f>F124</f>
        <v>0</v>
      </c>
    </row>
    <row r="124" spans="1:6" ht="39.25" customHeight="1" outlineLevel="7" x14ac:dyDescent="0.25">
      <c r="A124" s="81" t="s">
        <v>17</v>
      </c>
      <c r="B124" s="80" t="s">
        <v>500</v>
      </c>
      <c r="C124" s="80" t="s">
        <v>24</v>
      </c>
      <c r="D124" s="80" t="s">
        <v>686</v>
      </c>
      <c r="E124" s="80" t="s">
        <v>18</v>
      </c>
      <c r="F124" s="82">
        <v>0</v>
      </c>
    </row>
    <row r="125" spans="1:6" ht="18.7" customHeight="1" outlineLevel="7" x14ac:dyDescent="0.25">
      <c r="A125" s="81" t="s">
        <v>19</v>
      </c>
      <c r="B125" s="80" t="s">
        <v>500</v>
      </c>
      <c r="C125" s="80" t="s">
        <v>24</v>
      </c>
      <c r="D125" s="80" t="s">
        <v>686</v>
      </c>
      <c r="E125" s="80" t="s">
        <v>20</v>
      </c>
      <c r="F125" s="82">
        <f>F126+F127</f>
        <v>0</v>
      </c>
    </row>
    <row r="126" spans="1:6" ht="21.25" customHeight="1" outlineLevel="7" x14ac:dyDescent="0.25">
      <c r="A126" s="81" t="s">
        <v>715</v>
      </c>
      <c r="B126" s="80" t="s">
        <v>500</v>
      </c>
      <c r="C126" s="80" t="s">
        <v>24</v>
      </c>
      <c r="D126" s="80" t="s">
        <v>686</v>
      </c>
      <c r="E126" s="118" t="s">
        <v>716</v>
      </c>
      <c r="F126" s="82">
        <v>0</v>
      </c>
    </row>
    <row r="127" spans="1:6" ht="19.55" customHeight="1" outlineLevel="7" x14ac:dyDescent="0.25">
      <c r="A127" s="81" t="s">
        <v>687</v>
      </c>
      <c r="B127" s="80" t="s">
        <v>500</v>
      </c>
      <c r="C127" s="80" t="s">
        <v>24</v>
      </c>
      <c r="D127" s="80" t="s">
        <v>686</v>
      </c>
      <c r="E127" s="80" t="s">
        <v>22</v>
      </c>
      <c r="F127" s="82">
        <f>795959.09-525000-270959.09</f>
        <v>0</v>
      </c>
    </row>
    <row r="128" spans="1:6" ht="19.55" customHeight="1" outlineLevel="7" x14ac:dyDescent="0.25">
      <c r="A128" s="81" t="s">
        <v>503</v>
      </c>
      <c r="B128" s="80" t="s">
        <v>500</v>
      </c>
      <c r="C128" s="80" t="s">
        <v>24</v>
      </c>
      <c r="D128" s="80" t="s">
        <v>502</v>
      </c>
      <c r="E128" s="80" t="s">
        <v>6</v>
      </c>
      <c r="F128" s="98">
        <f>F129</f>
        <v>200000</v>
      </c>
    </row>
    <row r="129" spans="1:6" ht="36.700000000000003" outlineLevel="7" x14ac:dyDescent="0.25">
      <c r="A129" s="81" t="s">
        <v>15</v>
      </c>
      <c r="B129" s="80" t="s">
        <v>500</v>
      </c>
      <c r="C129" s="80" t="s">
        <v>24</v>
      </c>
      <c r="D129" s="80" t="s">
        <v>502</v>
      </c>
      <c r="E129" s="80" t="s">
        <v>16</v>
      </c>
      <c r="F129" s="98">
        <f>F130</f>
        <v>200000</v>
      </c>
    </row>
    <row r="130" spans="1:6" ht="20.25" customHeight="1" outlineLevel="7" x14ac:dyDescent="0.25">
      <c r="A130" s="81" t="s">
        <v>17</v>
      </c>
      <c r="B130" s="80" t="s">
        <v>500</v>
      </c>
      <c r="C130" s="80" t="s">
        <v>24</v>
      </c>
      <c r="D130" s="80" t="s">
        <v>502</v>
      </c>
      <c r="E130" s="80" t="s">
        <v>18</v>
      </c>
      <c r="F130" s="82">
        <f>'потребность 2023 (5)'!K132</f>
        <v>200000</v>
      </c>
    </row>
    <row r="131" spans="1:6" outlineLevel="3" x14ac:dyDescent="0.25">
      <c r="A131" s="81" t="s">
        <v>277</v>
      </c>
      <c r="B131" s="80" t="s">
        <v>500</v>
      </c>
      <c r="C131" s="80" t="s">
        <v>24</v>
      </c>
      <c r="D131" s="80" t="s">
        <v>276</v>
      </c>
      <c r="E131" s="80" t="s">
        <v>6</v>
      </c>
      <c r="F131" s="82">
        <f>F155+F132+F140+F145+F150+F137</f>
        <v>7810417</v>
      </c>
    </row>
    <row r="132" spans="1:6" ht="61.5" customHeight="1" outlineLevel="3" x14ac:dyDescent="0.25">
      <c r="A132" s="100" t="s">
        <v>438</v>
      </c>
      <c r="B132" s="80" t="s">
        <v>500</v>
      </c>
      <c r="C132" s="80" t="s">
        <v>24</v>
      </c>
      <c r="D132" s="80" t="s">
        <v>278</v>
      </c>
      <c r="E132" s="80" t="s">
        <v>6</v>
      </c>
      <c r="F132" s="82">
        <f>F133+F135</f>
        <v>1490622</v>
      </c>
    </row>
    <row r="133" spans="1:6" ht="73.400000000000006" outlineLevel="3" x14ac:dyDescent="0.25">
      <c r="A133" s="81" t="s">
        <v>11</v>
      </c>
      <c r="B133" s="80" t="s">
        <v>500</v>
      </c>
      <c r="C133" s="80" t="s">
        <v>24</v>
      </c>
      <c r="D133" s="80" t="s">
        <v>278</v>
      </c>
      <c r="E133" s="80" t="s">
        <v>12</v>
      </c>
      <c r="F133" s="82">
        <f>F134</f>
        <v>1475622</v>
      </c>
    </row>
    <row r="134" spans="1:6" ht="36.700000000000003" outlineLevel="3" x14ac:dyDescent="0.25">
      <c r="A134" s="81" t="s">
        <v>13</v>
      </c>
      <c r="B134" s="80" t="s">
        <v>500</v>
      </c>
      <c r="C134" s="80" t="s">
        <v>24</v>
      </c>
      <c r="D134" s="80" t="s">
        <v>278</v>
      </c>
      <c r="E134" s="80" t="s">
        <v>14</v>
      </c>
      <c r="F134" s="82">
        <f>'потребность 2023 (5)'!K136</f>
        <v>1475622</v>
      </c>
    </row>
    <row r="135" spans="1:6" ht="41.3" customHeight="1" outlineLevel="7" x14ac:dyDescent="0.25">
      <c r="A135" s="81" t="s">
        <v>15</v>
      </c>
      <c r="B135" s="80" t="s">
        <v>500</v>
      </c>
      <c r="C135" s="80" t="s">
        <v>24</v>
      </c>
      <c r="D135" s="80" t="s">
        <v>278</v>
      </c>
      <c r="E135" s="80" t="s">
        <v>16</v>
      </c>
      <c r="F135" s="82">
        <f>F136</f>
        <v>15000</v>
      </c>
    </row>
    <row r="136" spans="1:6" ht="36.700000000000003" outlineLevel="7" x14ac:dyDescent="0.25">
      <c r="A136" s="81" t="s">
        <v>17</v>
      </c>
      <c r="B136" s="80" t="s">
        <v>500</v>
      </c>
      <c r="C136" s="80" t="s">
        <v>24</v>
      </c>
      <c r="D136" s="80" t="s">
        <v>278</v>
      </c>
      <c r="E136" s="80" t="s">
        <v>18</v>
      </c>
      <c r="F136" s="82">
        <f>'потребность 2023 (5)'!K138</f>
        <v>15000</v>
      </c>
    </row>
    <row r="137" spans="1:6" ht="73.400000000000006" outlineLevel="7" x14ac:dyDescent="0.25">
      <c r="A137" s="81" t="s">
        <v>722</v>
      </c>
      <c r="B137" s="80" t="s">
        <v>500</v>
      </c>
      <c r="C137" s="80" t="s">
        <v>24</v>
      </c>
      <c r="D137" s="80" t="s">
        <v>721</v>
      </c>
      <c r="E137" s="80" t="s">
        <v>6</v>
      </c>
      <c r="F137" s="82">
        <f>F138</f>
        <v>353579</v>
      </c>
    </row>
    <row r="138" spans="1:6" ht="36.700000000000003" outlineLevel="7" x14ac:dyDescent="0.25">
      <c r="A138" s="81" t="s">
        <v>13</v>
      </c>
      <c r="B138" s="80" t="s">
        <v>500</v>
      </c>
      <c r="C138" s="80" t="s">
        <v>24</v>
      </c>
      <c r="D138" s="80" t="s">
        <v>721</v>
      </c>
      <c r="E138" s="80" t="s">
        <v>12</v>
      </c>
      <c r="F138" s="82">
        <f>F139</f>
        <v>353579</v>
      </c>
    </row>
    <row r="139" spans="1:6" ht="41.45" customHeight="1" outlineLevel="7" x14ac:dyDescent="0.25">
      <c r="A139" s="81" t="s">
        <v>13</v>
      </c>
      <c r="B139" s="80" t="s">
        <v>500</v>
      </c>
      <c r="C139" s="80" t="s">
        <v>24</v>
      </c>
      <c r="D139" s="80" t="s">
        <v>721</v>
      </c>
      <c r="E139" s="80" t="s">
        <v>14</v>
      </c>
      <c r="F139" s="82">
        <f>'потребность 2023 (5)'!K141</f>
        <v>353579</v>
      </c>
    </row>
    <row r="140" spans="1:6" ht="24.8" customHeight="1" outlineLevel="7" x14ac:dyDescent="0.25">
      <c r="A140" s="100" t="s">
        <v>573</v>
      </c>
      <c r="B140" s="80" t="s">
        <v>500</v>
      </c>
      <c r="C140" s="80" t="s">
        <v>24</v>
      </c>
      <c r="D140" s="80" t="s">
        <v>580</v>
      </c>
      <c r="E140" s="80" t="s">
        <v>6</v>
      </c>
      <c r="F140" s="82">
        <f>F141+F143</f>
        <v>2276349</v>
      </c>
    </row>
    <row r="141" spans="1:6" ht="39.75" customHeight="1" outlineLevel="7" x14ac:dyDescent="0.25">
      <c r="A141" s="81" t="s">
        <v>11</v>
      </c>
      <c r="B141" s="80" t="s">
        <v>500</v>
      </c>
      <c r="C141" s="80" t="s">
        <v>24</v>
      </c>
      <c r="D141" s="80" t="s">
        <v>580</v>
      </c>
      <c r="E141" s="80" t="s">
        <v>12</v>
      </c>
      <c r="F141" s="82">
        <f>F142</f>
        <v>2261349</v>
      </c>
    </row>
    <row r="142" spans="1:6" ht="39.75" customHeight="1" outlineLevel="7" x14ac:dyDescent="0.25">
      <c r="A142" s="81" t="s">
        <v>13</v>
      </c>
      <c r="B142" s="80" t="s">
        <v>500</v>
      </c>
      <c r="C142" s="80" t="s">
        <v>24</v>
      </c>
      <c r="D142" s="80" t="s">
        <v>580</v>
      </c>
      <c r="E142" s="80" t="s">
        <v>14</v>
      </c>
      <c r="F142" s="82">
        <f>'потребность 2023 (5)'!K144</f>
        <v>2261349</v>
      </c>
    </row>
    <row r="143" spans="1:6" ht="36.700000000000003" outlineLevel="7" x14ac:dyDescent="0.25">
      <c r="A143" s="81" t="s">
        <v>15</v>
      </c>
      <c r="B143" s="80" t="s">
        <v>500</v>
      </c>
      <c r="C143" s="80" t="s">
        <v>24</v>
      </c>
      <c r="D143" s="80" t="s">
        <v>580</v>
      </c>
      <c r="E143" s="80" t="s">
        <v>16</v>
      </c>
      <c r="F143" s="82">
        <f>F144</f>
        <v>15000</v>
      </c>
    </row>
    <row r="144" spans="1:6" ht="36.700000000000003" outlineLevel="7" x14ac:dyDescent="0.25">
      <c r="A144" s="81" t="s">
        <v>17</v>
      </c>
      <c r="B144" s="80" t="s">
        <v>500</v>
      </c>
      <c r="C144" s="80" t="s">
        <v>24</v>
      </c>
      <c r="D144" s="80" t="s">
        <v>580</v>
      </c>
      <c r="E144" s="80" t="s">
        <v>18</v>
      </c>
      <c r="F144" s="82">
        <f>'потребность 2023 (5)'!K146</f>
        <v>15000</v>
      </c>
    </row>
    <row r="145" spans="1:6" ht="59.3" customHeight="1" outlineLevel="7" x14ac:dyDescent="0.25">
      <c r="A145" s="100" t="s">
        <v>382</v>
      </c>
      <c r="B145" s="80" t="s">
        <v>500</v>
      </c>
      <c r="C145" s="80" t="s">
        <v>24</v>
      </c>
      <c r="D145" s="80" t="s">
        <v>279</v>
      </c>
      <c r="E145" s="80" t="s">
        <v>6</v>
      </c>
      <c r="F145" s="82">
        <f>F146+F148</f>
        <v>946950</v>
      </c>
    </row>
    <row r="146" spans="1:6" ht="73.400000000000006" outlineLevel="7" x14ac:dyDescent="0.25">
      <c r="A146" s="81" t="s">
        <v>11</v>
      </c>
      <c r="B146" s="80" t="s">
        <v>500</v>
      </c>
      <c r="C146" s="80" t="s">
        <v>24</v>
      </c>
      <c r="D146" s="80" t="s">
        <v>279</v>
      </c>
      <c r="E146" s="80" t="s">
        <v>12</v>
      </c>
      <c r="F146" s="82">
        <f>F147</f>
        <v>901950</v>
      </c>
    </row>
    <row r="147" spans="1:6" ht="32.6" customHeight="1" outlineLevel="7" x14ac:dyDescent="0.25">
      <c r="A147" s="81" t="s">
        <v>13</v>
      </c>
      <c r="B147" s="80" t="s">
        <v>500</v>
      </c>
      <c r="C147" s="80" t="s">
        <v>24</v>
      </c>
      <c r="D147" s="80" t="s">
        <v>279</v>
      </c>
      <c r="E147" s="80" t="s">
        <v>14</v>
      </c>
      <c r="F147" s="131">
        <f>'потребность 2023 (5)'!K149</f>
        <v>901950</v>
      </c>
    </row>
    <row r="148" spans="1:6" ht="45" customHeight="1" outlineLevel="7" x14ac:dyDescent="0.25">
      <c r="A148" s="81" t="s">
        <v>15</v>
      </c>
      <c r="B148" s="80" t="s">
        <v>500</v>
      </c>
      <c r="C148" s="80" t="s">
        <v>24</v>
      </c>
      <c r="D148" s="80" t="s">
        <v>279</v>
      </c>
      <c r="E148" s="80" t="s">
        <v>16</v>
      </c>
      <c r="F148" s="82">
        <f>F149</f>
        <v>45000</v>
      </c>
    </row>
    <row r="149" spans="1:6" ht="36.700000000000003" outlineLevel="7" x14ac:dyDescent="0.25">
      <c r="A149" s="81" t="s">
        <v>17</v>
      </c>
      <c r="B149" s="80" t="s">
        <v>500</v>
      </c>
      <c r="C149" s="80" t="s">
        <v>24</v>
      </c>
      <c r="D149" s="80" t="s">
        <v>279</v>
      </c>
      <c r="E149" s="80" t="s">
        <v>18</v>
      </c>
      <c r="F149" s="82">
        <f>'потребность 2023 (5)'!K151</f>
        <v>45000</v>
      </c>
    </row>
    <row r="150" spans="1:6" ht="46.55" customHeight="1" outlineLevel="7" x14ac:dyDescent="0.25">
      <c r="A150" s="81" t="s">
        <v>406</v>
      </c>
      <c r="B150" s="80" t="s">
        <v>500</v>
      </c>
      <c r="C150" s="80" t="s">
        <v>24</v>
      </c>
      <c r="D150" s="80" t="s">
        <v>407</v>
      </c>
      <c r="E150" s="80" t="s">
        <v>6</v>
      </c>
      <c r="F150" s="82">
        <f>F151+F153</f>
        <v>2028917</v>
      </c>
    </row>
    <row r="151" spans="1:6" ht="73.400000000000006" outlineLevel="7" x14ac:dyDescent="0.25">
      <c r="A151" s="81" t="s">
        <v>11</v>
      </c>
      <c r="B151" s="80" t="s">
        <v>500</v>
      </c>
      <c r="C151" s="80" t="s">
        <v>24</v>
      </c>
      <c r="D151" s="80" t="s">
        <v>407</v>
      </c>
      <c r="E151" s="80" t="s">
        <v>12</v>
      </c>
      <c r="F151" s="82">
        <f>F152</f>
        <v>1871317</v>
      </c>
    </row>
    <row r="152" spans="1:6" ht="21.25" customHeight="1" outlineLevel="7" x14ac:dyDescent="0.25">
      <c r="A152" s="81" t="s">
        <v>13</v>
      </c>
      <c r="B152" s="80" t="s">
        <v>500</v>
      </c>
      <c r="C152" s="80" t="s">
        <v>24</v>
      </c>
      <c r="D152" s="80" t="s">
        <v>407</v>
      </c>
      <c r="E152" s="80" t="s">
        <v>14</v>
      </c>
      <c r="F152" s="82">
        <f>'потребность 2023 (5)'!K154</f>
        <v>1871317</v>
      </c>
    </row>
    <row r="153" spans="1:6" ht="38.25" customHeight="1" outlineLevel="7" x14ac:dyDescent="0.25">
      <c r="A153" s="81" t="s">
        <v>15</v>
      </c>
      <c r="B153" s="80" t="s">
        <v>500</v>
      </c>
      <c r="C153" s="80" t="s">
        <v>24</v>
      </c>
      <c r="D153" s="80" t="s">
        <v>407</v>
      </c>
      <c r="E153" s="80" t="s">
        <v>16</v>
      </c>
      <c r="F153" s="82">
        <f>F154</f>
        <v>157600</v>
      </c>
    </row>
    <row r="154" spans="1:6" ht="36.700000000000003" outlineLevel="7" x14ac:dyDescent="0.25">
      <c r="A154" s="81" t="s">
        <v>17</v>
      </c>
      <c r="B154" s="80" t="s">
        <v>500</v>
      </c>
      <c r="C154" s="80" t="s">
        <v>24</v>
      </c>
      <c r="D154" s="80" t="s">
        <v>407</v>
      </c>
      <c r="E154" s="80" t="s">
        <v>18</v>
      </c>
      <c r="F154" s="82">
        <f>'потребность 2023 (5)'!K156</f>
        <v>157600</v>
      </c>
    </row>
    <row r="155" spans="1:6" ht="101.25" customHeight="1" outlineLevel="7" x14ac:dyDescent="0.25">
      <c r="A155" s="100" t="s">
        <v>656</v>
      </c>
      <c r="B155" s="80" t="s">
        <v>500</v>
      </c>
      <c r="C155" s="80" t="s">
        <v>24</v>
      </c>
      <c r="D155" s="80" t="s">
        <v>295</v>
      </c>
      <c r="E155" s="80" t="s">
        <v>6</v>
      </c>
      <c r="F155" s="82">
        <f>F156+F158</f>
        <v>714000</v>
      </c>
    </row>
    <row r="156" spans="1:6" ht="73.400000000000006" outlineLevel="7" x14ac:dyDescent="0.25">
      <c r="A156" s="81" t="s">
        <v>11</v>
      </c>
      <c r="B156" s="80" t="s">
        <v>500</v>
      </c>
      <c r="C156" s="80" t="s">
        <v>24</v>
      </c>
      <c r="D156" s="80" t="s">
        <v>295</v>
      </c>
      <c r="E156" s="80" t="s">
        <v>12</v>
      </c>
      <c r="F156" s="82">
        <f>F157</f>
        <v>654000</v>
      </c>
    </row>
    <row r="157" spans="1:6" ht="19.55" customHeight="1" outlineLevel="7" x14ac:dyDescent="0.25">
      <c r="A157" s="81" t="s">
        <v>13</v>
      </c>
      <c r="B157" s="80" t="s">
        <v>500</v>
      </c>
      <c r="C157" s="80" t="s">
        <v>24</v>
      </c>
      <c r="D157" s="80" t="s">
        <v>295</v>
      </c>
      <c r="E157" s="80" t="s">
        <v>14</v>
      </c>
      <c r="F157" s="82">
        <f>'потребность 2023 (5)'!K159</f>
        <v>654000</v>
      </c>
    </row>
    <row r="158" spans="1:6" ht="46.55" customHeight="1" outlineLevel="3" x14ac:dyDescent="0.25">
      <c r="A158" s="81" t="s">
        <v>15</v>
      </c>
      <c r="B158" s="80" t="s">
        <v>500</v>
      </c>
      <c r="C158" s="80" t="s">
        <v>24</v>
      </c>
      <c r="D158" s="80" t="s">
        <v>295</v>
      </c>
      <c r="E158" s="80" t="s">
        <v>16</v>
      </c>
      <c r="F158" s="82">
        <f>F159</f>
        <v>60000</v>
      </c>
    </row>
    <row r="159" spans="1:6" ht="36.700000000000003" outlineLevel="3" x14ac:dyDescent="0.25">
      <c r="A159" s="81" t="s">
        <v>17</v>
      </c>
      <c r="B159" s="80" t="s">
        <v>500</v>
      </c>
      <c r="C159" s="80" t="s">
        <v>24</v>
      </c>
      <c r="D159" s="80" t="s">
        <v>295</v>
      </c>
      <c r="E159" s="80" t="s">
        <v>18</v>
      </c>
      <c r="F159" s="82">
        <f>'потребность 2023 (5)'!K161</f>
        <v>60000</v>
      </c>
    </row>
    <row r="160" spans="1:6" ht="23.3" customHeight="1" outlineLevel="3" x14ac:dyDescent="0.25">
      <c r="A160" s="109" t="s">
        <v>581</v>
      </c>
      <c r="B160" s="110" t="s">
        <v>500</v>
      </c>
      <c r="C160" s="110" t="s">
        <v>26</v>
      </c>
      <c r="D160" s="110" t="s">
        <v>126</v>
      </c>
      <c r="E160" s="110" t="s">
        <v>6</v>
      </c>
      <c r="F160" s="82">
        <f t="shared" ref="F160:F165" si="0">F161</f>
        <v>1951380</v>
      </c>
    </row>
    <row r="161" spans="1:8" ht="23.95" customHeight="1" outlineLevel="3" x14ac:dyDescent="0.25">
      <c r="A161" s="81" t="s">
        <v>582</v>
      </c>
      <c r="B161" s="80" t="s">
        <v>500</v>
      </c>
      <c r="C161" s="80" t="s">
        <v>583</v>
      </c>
      <c r="D161" s="80" t="s">
        <v>126</v>
      </c>
      <c r="E161" s="80" t="s">
        <v>6</v>
      </c>
      <c r="F161" s="82">
        <f t="shared" si="0"/>
        <v>1951380</v>
      </c>
    </row>
    <row r="162" spans="1:8" ht="36.700000000000003" outlineLevel="3" x14ac:dyDescent="0.25">
      <c r="A162" s="81" t="s">
        <v>132</v>
      </c>
      <c r="B162" s="80" t="s">
        <v>500</v>
      </c>
      <c r="C162" s="80" t="s">
        <v>583</v>
      </c>
      <c r="D162" s="80" t="s">
        <v>127</v>
      </c>
      <c r="E162" s="80" t="s">
        <v>6</v>
      </c>
      <c r="F162" s="82">
        <f>F163+F167</f>
        <v>1951380</v>
      </c>
    </row>
    <row r="163" spans="1:8" ht="19.55" customHeight="1" outlineLevel="3" x14ac:dyDescent="0.25">
      <c r="A163" s="81" t="s">
        <v>277</v>
      </c>
      <c r="B163" s="80" t="s">
        <v>500</v>
      </c>
      <c r="C163" s="80" t="s">
        <v>583</v>
      </c>
      <c r="D163" s="80" t="s">
        <v>276</v>
      </c>
      <c r="E163" s="80" t="s">
        <v>6</v>
      </c>
      <c r="F163" s="82">
        <f t="shared" si="0"/>
        <v>1681380</v>
      </c>
    </row>
    <row r="164" spans="1:8" ht="19.55" customHeight="1" outlineLevel="3" x14ac:dyDescent="0.25">
      <c r="A164" s="113" t="s">
        <v>584</v>
      </c>
      <c r="B164" s="80" t="s">
        <v>500</v>
      </c>
      <c r="C164" s="80" t="s">
        <v>583</v>
      </c>
      <c r="D164" s="80" t="s">
        <v>585</v>
      </c>
      <c r="E164" s="80" t="s">
        <v>6</v>
      </c>
      <c r="F164" s="82">
        <f t="shared" si="0"/>
        <v>1681380</v>
      </c>
    </row>
    <row r="165" spans="1:8" ht="73.400000000000006" outlineLevel="3" x14ac:dyDescent="0.25">
      <c r="A165" s="81" t="s">
        <v>11</v>
      </c>
      <c r="B165" s="80" t="s">
        <v>500</v>
      </c>
      <c r="C165" s="80" t="s">
        <v>583</v>
      </c>
      <c r="D165" s="80" t="s">
        <v>585</v>
      </c>
      <c r="E165" s="80" t="s">
        <v>12</v>
      </c>
      <c r="F165" s="82">
        <f t="shared" si="0"/>
        <v>1681380</v>
      </c>
    </row>
    <row r="166" spans="1:8" ht="36.700000000000003" outlineLevel="3" x14ac:dyDescent="0.25">
      <c r="A166" s="81" t="s">
        <v>13</v>
      </c>
      <c r="B166" s="80" t="s">
        <v>500</v>
      </c>
      <c r="C166" s="80" t="s">
        <v>583</v>
      </c>
      <c r="D166" s="80" t="s">
        <v>585</v>
      </c>
      <c r="E166" s="80" t="s">
        <v>14</v>
      </c>
      <c r="F166" s="82">
        <f>'потребность 2023 (5)'!K168</f>
        <v>1681380</v>
      </c>
    </row>
    <row r="167" spans="1:8" ht="55.05" outlineLevel="3" x14ac:dyDescent="0.25">
      <c r="A167" s="113" t="s">
        <v>723</v>
      </c>
      <c r="B167" s="80" t="s">
        <v>500</v>
      </c>
      <c r="C167" s="80" t="s">
        <v>583</v>
      </c>
      <c r="D167" s="80" t="s">
        <v>728</v>
      </c>
      <c r="E167" s="80" t="s">
        <v>6</v>
      </c>
      <c r="F167" s="82">
        <f>F168</f>
        <v>270000</v>
      </c>
    </row>
    <row r="168" spans="1:8" ht="73.400000000000006" outlineLevel="3" x14ac:dyDescent="0.25">
      <c r="A168" s="81" t="s">
        <v>11</v>
      </c>
      <c r="B168" s="80" t="s">
        <v>500</v>
      </c>
      <c r="C168" s="80" t="s">
        <v>583</v>
      </c>
      <c r="D168" s="80" t="s">
        <v>728</v>
      </c>
      <c r="E168" s="80" t="s">
        <v>12</v>
      </c>
      <c r="F168" s="82">
        <f>F169</f>
        <v>270000</v>
      </c>
    </row>
    <row r="169" spans="1:8" ht="36.700000000000003" outlineLevel="3" x14ac:dyDescent="0.25">
      <c r="A169" s="81" t="s">
        <v>13</v>
      </c>
      <c r="B169" s="80" t="s">
        <v>500</v>
      </c>
      <c r="C169" s="80" t="s">
        <v>583</v>
      </c>
      <c r="D169" s="80" t="s">
        <v>728</v>
      </c>
      <c r="E169" s="80" t="s">
        <v>14</v>
      </c>
      <c r="F169" s="82">
        <f>'потребность 2023 (5)'!K171</f>
        <v>270000</v>
      </c>
    </row>
    <row r="170" spans="1:8" ht="36.700000000000003" outlineLevel="3" x14ac:dyDescent="0.25">
      <c r="A170" s="109" t="s">
        <v>41</v>
      </c>
      <c r="B170" s="110" t="s">
        <v>500</v>
      </c>
      <c r="C170" s="110" t="s">
        <v>42</v>
      </c>
      <c r="D170" s="110" t="s">
        <v>126</v>
      </c>
      <c r="E170" s="110" t="s">
        <v>6</v>
      </c>
      <c r="F170" s="85">
        <f>F171+F176</f>
        <v>805000</v>
      </c>
    </row>
    <row r="171" spans="1:8" ht="36.700000000000003" outlineLevel="3" x14ac:dyDescent="0.25">
      <c r="A171" s="81" t="s">
        <v>43</v>
      </c>
      <c r="B171" s="80" t="s">
        <v>500</v>
      </c>
      <c r="C171" s="80" t="s">
        <v>44</v>
      </c>
      <c r="D171" s="80" t="s">
        <v>126</v>
      </c>
      <c r="E171" s="80" t="s">
        <v>6</v>
      </c>
      <c r="F171" s="82">
        <f>F172</f>
        <v>200000</v>
      </c>
    </row>
    <row r="172" spans="1:8" ht="36.700000000000003" outlineLevel="3" x14ac:dyDescent="0.25">
      <c r="A172" s="81" t="s">
        <v>132</v>
      </c>
      <c r="B172" s="80" t="s">
        <v>500</v>
      </c>
      <c r="C172" s="80" t="s">
        <v>44</v>
      </c>
      <c r="D172" s="80" t="s">
        <v>127</v>
      </c>
      <c r="E172" s="80" t="s">
        <v>6</v>
      </c>
      <c r="F172" s="82">
        <f>F173</f>
        <v>200000</v>
      </c>
    </row>
    <row r="173" spans="1:8" s="172" customFormat="1" ht="36.700000000000003" outlineLevel="1" x14ac:dyDescent="0.25">
      <c r="A173" s="81" t="s">
        <v>45</v>
      </c>
      <c r="B173" s="80" t="s">
        <v>500</v>
      </c>
      <c r="C173" s="80" t="s">
        <v>44</v>
      </c>
      <c r="D173" s="80" t="s">
        <v>133</v>
      </c>
      <c r="E173" s="80" t="s">
        <v>6</v>
      </c>
      <c r="F173" s="82">
        <f>F174</f>
        <v>200000</v>
      </c>
      <c r="G173" s="171"/>
      <c r="H173" s="171"/>
    </row>
    <row r="174" spans="1:8" ht="36.700000000000003" outlineLevel="2" x14ac:dyDescent="0.25">
      <c r="A174" s="81" t="s">
        <v>15</v>
      </c>
      <c r="B174" s="80" t="s">
        <v>500</v>
      </c>
      <c r="C174" s="80" t="s">
        <v>44</v>
      </c>
      <c r="D174" s="80" t="s">
        <v>133</v>
      </c>
      <c r="E174" s="80" t="s">
        <v>16</v>
      </c>
      <c r="F174" s="82">
        <f>F175</f>
        <v>200000</v>
      </c>
    </row>
    <row r="175" spans="1:8" ht="36.700000000000003" outlineLevel="4" x14ac:dyDescent="0.25">
      <c r="A175" s="81" t="s">
        <v>17</v>
      </c>
      <c r="B175" s="80" t="s">
        <v>500</v>
      </c>
      <c r="C175" s="80" t="s">
        <v>44</v>
      </c>
      <c r="D175" s="80" t="s">
        <v>133</v>
      </c>
      <c r="E175" s="80" t="s">
        <v>18</v>
      </c>
      <c r="F175" s="82">
        <f>'потребность 2023 (5)'!K177</f>
        <v>200000</v>
      </c>
    </row>
    <row r="176" spans="1:8" outlineLevel="5" x14ac:dyDescent="0.25">
      <c r="A176" s="81" t="s">
        <v>504</v>
      </c>
      <c r="B176" s="80" t="s">
        <v>500</v>
      </c>
      <c r="C176" s="80" t="s">
        <v>505</v>
      </c>
      <c r="D176" s="80" t="s">
        <v>126</v>
      </c>
      <c r="E176" s="80" t="s">
        <v>6</v>
      </c>
      <c r="F176" s="82">
        <f>F177</f>
        <v>605000</v>
      </c>
    </row>
    <row r="177" spans="1:8" ht="36.700000000000003" outlineLevel="6" x14ac:dyDescent="0.25">
      <c r="A177" s="81" t="s">
        <v>132</v>
      </c>
      <c r="B177" s="80" t="s">
        <v>500</v>
      </c>
      <c r="C177" s="80" t="s">
        <v>505</v>
      </c>
      <c r="D177" s="80" t="s">
        <v>127</v>
      </c>
      <c r="E177" s="80" t="s">
        <v>6</v>
      </c>
      <c r="F177" s="82">
        <f>F178</f>
        <v>605000</v>
      </c>
    </row>
    <row r="178" spans="1:8" ht="20.25" customHeight="1" outlineLevel="7" x14ac:dyDescent="0.25">
      <c r="A178" s="81" t="s">
        <v>506</v>
      </c>
      <c r="B178" s="80" t="s">
        <v>500</v>
      </c>
      <c r="C178" s="80" t="s">
        <v>505</v>
      </c>
      <c r="D178" s="80" t="s">
        <v>685</v>
      </c>
      <c r="E178" s="80" t="s">
        <v>6</v>
      </c>
      <c r="F178" s="82">
        <f>F179</f>
        <v>605000</v>
      </c>
    </row>
    <row r="179" spans="1:8" ht="20.25" customHeight="1" outlineLevel="7" x14ac:dyDescent="0.25">
      <c r="A179" s="81" t="s">
        <v>15</v>
      </c>
      <c r="B179" s="80" t="s">
        <v>500</v>
      </c>
      <c r="C179" s="80" t="s">
        <v>505</v>
      </c>
      <c r="D179" s="80" t="s">
        <v>685</v>
      </c>
      <c r="E179" s="80" t="s">
        <v>16</v>
      </c>
      <c r="F179" s="82">
        <f>F180</f>
        <v>605000</v>
      </c>
    </row>
    <row r="180" spans="1:8" ht="36.700000000000003" outlineLevel="7" x14ac:dyDescent="0.25">
      <c r="A180" s="81" t="s">
        <v>17</v>
      </c>
      <c r="B180" s="80" t="s">
        <v>500</v>
      </c>
      <c r="C180" s="80" t="s">
        <v>505</v>
      </c>
      <c r="D180" s="80" t="s">
        <v>685</v>
      </c>
      <c r="E180" s="80" t="s">
        <v>18</v>
      </c>
      <c r="F180" s="82">
        <f>'потребность 2023 (5)'!K182</f>
        <v>605000</v>
      </c>
    </row>
    <row r="181" spans="1:8" ht="20.25" customHeight="1" outlineLevel="7" x14ac:dyDescent="0.25">
      <c r="A181" s="109" t="s">
        <v>119</v>
      </c>
      <c r="B181" s="110" t="s">
        <v>500</v>
      </c>
      <c r="C181" s="110" t="s">
        <v>46</v>
      </c>
      <c r="D181" s="110" t="s">
        <v>126</v>
      </c>
      <c r="E181" s="110" t="s">
        <v>6</v>
      </c>
      <c r="F181" s="85">
        <f>F199+F188+F211+F182</f>
        <v>15218133.93</v>
      </c>
    </row>
    <row r="182" spans="1:8" outlineLevel="7" x14ac:dyDescent="0.25">
      <c r="A182" s="81" t="s">
        <v>121</v>
      </c>
      <c r="B182" s="80" t="s">
        <v>500</v>
      </c>
      <c r="C182" s="80" t="s">
        <v>122</v>
      </c>
      <c r="D182" s="80" t="s">
        <v>126</v>
      </c>
      <c r="E182" s="80" t="s">
        <v>6</v>
      </c>
      <c r="F182" s="82">
        <f>F183</f>
        <v>1122746.8500000001</v>
      </c>
    </row>
    <row r="183" spans="1:8" ht="36.700000000000003" outlineLevel="7" x14ac:dyDescent="0.25">
      <c r="A183" s="109" t="s">
        <v>132</v>
      </c>
      <c r="B183" s="80" t="s">
        <v>500</v>
      </c>
      <c r="C183" s="110" t="s">
        <v>122</v>
      </c>
      <c r="D183" s="110" t="s">
        <v>127</v>
      </c>
      <c r="E183" s="110" t="s">
        <v>6</v>
      </c>
      <c r="F183" s="85">
        <f>F185</f>
        <v>1122746.8500000001</v>
      </c>
    </row>
    <row r="184" spans="1:8" s="172" customFormat="1" outlineLevel="7" x14ac:dyDescent="0.25">
      <c r="A184" s="81" t="s">
        <v>277</v>
      </c>
      <c r="B184" s="80" t="s">
        <v>500</v>
      </c>
      <c r="C184" s="80" t="s">
        <v>122</v>
      </c>
      <c r="D184" s="80" t="s">
        <v>276</v>
      </c>
      <c r="E184" s="80" t="s">
        <v>6</v>
      </c>
      <c r="F184" s="82">
        <f>F185</f>
        <v>1122746.8500000001</v>
      </c>
      <c r="G184" s="171"/>
      <c r="H184" s="171"/>
    </row>
    <row r="185" spans="1:8" ht="84.75" customHeight="1" outlineLevel="7" x14ac:dyDescent="0.25">
      <c r="A185" s="113" t="s">
        <v>383</v>
      </c>
      <c r="B185" s="80" t="s">
        <v>500</v>
      </c>
      <c r="C185" s="80" t="s">
        <v>122</v>
      </c>
      <c r="D185" s="80" t="s">
        <v>286</v>
      </c>
      <c r="E185" s="80" t="s">
        <v>6</v>
      </c>
      <c r="F185" s="82">
        <f>F186</f>
        <v>1122746.8500000001</v>
      </c>
    </row>
    <row r="186" spans="1:8" ht="36.700000000000003" outlineLevel="7" x14ac:dyDescent="0.25">
      <c r="A186" s="81" t="s">
        <v>15</v>
      </c>
      <c r="B186" s="80" t="s">
        <v>500</v>
      </c>
      <c r="C186" s="80" t="s">
        <v>122</v>
      </c>
      <c r="D186" s="80" t="s">
        <v>286</v>
      </c>
      <c r="E186" s="80" t="s">
        <v>16</v>
      </c>
      <c r="F186" s="82">
        <f>F187</f>
        <v>1122746.8500000001</v>
      </c>
    </row>
    <row r="187" spans="1:8" ht="36.700000000000003" outlineLevel="7" x14ac:dyDescent="0.25">
      <c r="A187" s="81" t="s">
        <v>17</v>
      </c>
      <c r="B187" s="80" t="s">
        <v>500</v>
      </c>
      <c r="C187" s="80" t="s">
        <v>122</v>
      </c>
      <c r="D187" s="80" t="s">
        <v>286</v>
      </c>
      <c r="E187" s="80" t="s">
        <v>18</v>
      </c>
      <c r="F187" s="82">
        <f>'потребность 2023 (5)'!K189</f>
        <v>1122746.8500000001</v>
      </c>
    </row>
    <row r="188" spans="1:8" outlineLevel="7" x14ac:dyDescent="0.25">
      <c r="A188" s="81" t="s">
        <v>290</v>
      </c>
      <c r="B188" s="80" t="s">
        <v>500</v>
      </c>
      <c r="C188" s="80" t="s">
        <v>291</v>
      </c>
      <c r="D188" s="80" t="s">
        <v>126</v>
      </c>
      <c r="E188" s="80" t="s">
        <v>6</v>
      </c>
      <c r="F188" s="82">
        <f>F189+F196</f>
        <v>103387.08</v>
      </c>
    </row>
    <row r="189" spans="1:8" ht="36.700000000000003" outlineLevel="7" x14ac:dyDescent="0.25">
      <c r="A189" s="81" t="s">
        <v>132</v>
      </c>
      <c r="B189" s="80" t="s">
        <v>500</v>
      </c>
      <c r="C189" s="80" t="s">
        <v>291</v>
      </c>
      <c r="D189" s="80" t="s">
        <v>127</v>
      </c>
      <c r="E189" s="80" t="s">
        <v>6</v>
      </c>
      <c r="F189" s="82">
        <f>F191</f>
        <v>3387.08</v>
      </c>
    </row>
    <row r="190" spans="1:8" ht="20.25" customHeight="1" outlineLevel="7" x14ac:dyDescent="0.25">
      <c r="A190" s="81" t="s">
        <v>277</v>
      </c>
      <c r="B190" s="80" t="s">
        <v>500</v>
      </c>
      <c r="C190" s="80" t="s">
        <v>291</v>
      </c>
      <c r="D190" s="80" t="s">
        <v>276</v>
      </c>
      <c r="E190" s="80" t="s">
        <v>6</v>
      </c>
      <c r="F190" s="82">
        <f>F191</f>
        <v>3387.08</v>
      </c>
    </row>
    <row r="191" spans="1:8" ht="110.05" outlineLevel="7" x14ac:dyDescent="0.25">
      <c r="A191" s="100" t="s">
        <v>385</v>
      </c>
      <c r="B191" s="80" t="s">
        <v>500</v>
      </c>
      <c r="C191" s="80" t="s">
        <v>291</v>
      </c>
      <c r="D191" s="80" t="s">
        <v>384</v>
      </c>
      <c r="E191" s="80" t="s">
        <v>6</v>
      </c>
      <c r="F191" s="82">
        <f>F192</f>
        <v>3387.08</v>
      </c>
    </row>
    <row r="192" spans="1:8" ht="36.700000000000003" outlineLevel="7" x14ac:dyDescent="0.25">
      <c r="A192" s="81" t="s">
        <v>15</v>
      </c>
      <c r="B192" s="80" t="s">
        <v>500</v>
      </c>
      <c r="C192" s="80" t="s">
        <v>291</v>
      </c>
      <c r="D192" s="80" t="s">
        <v>384</v>
      </c>
      <c r="E192" s="80" t="s">
        <v>16</v>
      </c>
      <c r="F192" s="82">
        <f>F193</f>
        <v>3387.08</v>
      </c>
    </row>
    <row r="193" spans="1:8" s="172" customFormat="1" ht="36.700000000000003" outlineLevel="7" x14ac:dyDescent="0.25">
      <c r="A193" s="81" t="s">
        <v>17</v>
      </c>
      <c r="B193" s="80" t="s">
        <v>500</v>
      </c>
      <c r="C193" s="80" t="s">
        <v>291</v>
      </c>
      <c r="D193" s="80" t="s">
        <v>384</v>
      </c>
      <c r="E193" s="80" t="s">
        <v>18</v>
      </c>
      <c r="F193" s="131">
        <f>'потребность 2023 (5)'!K195</f>
        <v>3387.08</v>
      </c>
      <c r="G193" s="171"/>
      <c r="H193" s="171"/>
    </row>
    <row r="194" spans="1:8" s="172" customFormat="1" ht="55.05" outlineLevel="7" x14ac:dyDescent="0.25">
      <c r="A194" s="159" t="s">
        <v>821</v>
      </c>
      <c r="B194" s="80" t="s">
        <v>500</v>
      </c>
      <c r="C194" s="80" t="s">
        <v>291</v>
      </c>
      <c r="D194" s="80" t="s">
        <v>320</v>
      </c>
      <c r="E194" s="80" t="s">
        <v>6</v>
      </c>
      <c r="F194" s="131">
        <f>F195</f>
        <v>100000</v>
      </c>
      <c r="G194" s="171"/>
      <c r="H194" s="171"/>
    </row>
    <row r="195" spans="1:8" s="172" customFormat="1" ht="36.700000000000003" outlineLevel="7" x14ac:dyDescent="0.25">
      <c r="A195" s="174" t="s">
        <v>808</v>
      </c>
      <c r="B195" s="80" t="s">
        <v>500</v>
      </c>
      <c r="C195" s="80" t="s">
        <v>291</v>
      </c>
      <c r="D195" s="80" t="s">
        <v>809</v>
      </c>
      <c r="E195" s="80" t="s">
        <v>6</v>
      </c>
      <c r="F195" s="131">
        <f>F196</f>
        <v>100000</v>
      </c>
      <c r="G195" s="171"/>
      <c r="H195" s="171"/>
    </row>
    <row r="196" spans="1:8" s="172" customFormat="1" ht="91.7" outlineLevel="7" x14ac:dyDescent="0.25">
      <c r="A196" s="134" t="s">
        <v>811</v>
      </c>
      <c r="B196" s="80" t="s">
        <v>500</v>
      </c>
      <c r="C196" s="80" t="s">
        <v>291</v>
      </c>
      <c r="D196" s="80" t="s">
        <v>810</v>
      </c>
      <c r="E196" s="80" t="s">
        <v>6</v>
      </c>
      <c r="F196" s="131">
        <f>F197</f>
        <v>100000</v>
      </c>
      <c r="G196" s="171"/>
      <c r="H196" s="171"/>
    </row>
    <row r="197" spans="1:8" s="172" customFormat="1" ht="36.700000000000003" outlineLevel="7" x14ac:dyDescent="0.25">
      <c r="A197" s="174" t="s">
        <v>772</v>
      </c>
      <c r="B197" s="80" t="s">
        <v>500</v>
      </c>
      <c r="C197" s="80" t="s">
        <v>291</v>
      </c>
      <c r="D197" s="80" t="s">
        <v>810</v>
      </c>
      <c r="E197" s="80" t="s">
        <v>20</v>
      </c>
      <c r="F197" s="131">
        <f>F198</f>
        <v>100000</v>
      </c>
      <c r="G197" s="171"/>
      <c r="H197" s="171"/>
    </row>
    <row r="198" spans="1:8" s="172" customFormat="1" ht="55.05" outlineLevel="7" x14ac:dyDescent="0.25">
      <c r="A198" s="81" t="s">
        <v>47</v>
      </c>
      <c r="B198" s="80" t="s">
        <v>500</v>
      </c>
      <c r="C198" s="80" t="s">
        <v>291</v>
      </c>
      <c r="D198" s="80" t="s">
        <v>810</v>
      </c>
      <c r="E198" s="80" t="s">
        <v>48</v>
      </c>
      <c r="F198" s="131">
        <f>'потребность 2023 (5)'!K200</f>
        <v>100000</v>
      </c>
      <c r="G198" s="171"/>
      <c r="H198" s="171"/>
    </row>
    <row r="199" spans="1:8" ht="27.7" customHeight="1" outlineLevel="7" x14ac:dyDescent="0.25">
      <c r="A199" s="81" t="s">
        <v>49</v>
      </c>
      <c r="B199" s="80" t="s">
        <v>500</v>
      </c>
      <c r="C199" s="80" t="s">
        <v>50</v>
      </c>
      <c r="D199" s="80" t="s">
        <v>126</v>
      </c>
      <c r="E199" s="80" t="s">
        <v>6</v>
      </c>
      <c r="F199" s="82">
        <f>F200</f>
        <v>13057000</v>
      </c>
    </row>
    <row r="200" spans="1:8" ht="55.05" outlineLevel="7" x14ac:dyDescent="0.25">
      <c r="A200" s="109" t="s">
        <v>850</v>
      </c>
      <c r="B200" s="110" t="s">
        <v>500</v>
      </c>
      <c r="C200" s="110" t="s">
        <v>50</v>
      </c>
      <c r="D200" s="110" t="s">
        <v>335</v>
      </c>
      <c r="E200" s="110" t="s">
        <v>6</v>
      </c>
      <c r="F200" s="85">
        <f>F201</f>
        <v>13057000</v>
      </c>
    </row>
    <row r="201" spans="1:8" ht="20.25" customHeight="1" outlineLevel="7" x14ac:dyDescent="0.25">
      <c r="A201" s="81" t="s">
        <v>336</v>
      </c>
      <c r="B201" s="80" t="s">
        <v>500</v>
      </c>
      <c r="C201" s="80" t="s">
        <v>50</v>
      </c>
      <c r="D201" s="80" t="s">
        <v>337</v>
      </c>
      <c r="E201" s="80" t="s">
        <v>6</v>
      </c>
      <c r="F201" s="82">
        <f>F202+F208</f>
        <v>13057000</v>
      </c>
    </row>
    <row r="202" spans="1:8" ht="55.05" outlineLevel="7" x14ac:dyDescent="0.25">
      <c r="A202" s="25" t="s">
        <v>822</v>
      </c>
      <c r="B202" s="80" t="s">
        <v>500</v>
      </c>
      <c r="C202" s="80" t="s">
        <v>50</v>
      </c>
      <c r="D202" s="80" t="s">
        <v>339</v>
      </c>
      <c r="E202" s="80" t="s">
        <v>6</v>
      </c>
      <c r="F202" s="82">
        <f>F203</f>
        <v>13057000</v>
      </c>
    </row>
    <row r="203" spans="1:8" s="172" customFormat="1" ht="36.700000000000003" outlineLevel="7" x14ac:dyDescent="0.25">
      <c r="A203" s="81" t="s">
        <v>15</v>
      </c>
      <c r="B203" s="80" t="s">
        <v>500</v>
      </c>
      <c r="C203" s="80" t="s">
        <v>50</v>
      </c>
      <c r="D203" s="80" t="s">
        <v>339</v>
      </c>
      <c r="E203" s="80" t="s">
        <v>16</v>
      </c>
      <c r="F203" s="82">
        <f>F204</f>
        <v>13057000</v>
      </c>
      <c r="G203" s="171"/>
      <c r="H203" s="171"/>
    </row>
    <row r="204" spans="1:8" ht="44.5" customHeight="1" outlineLevel="7" x14ac:dyDescent="0.25">
      <c r="A204" s="81" t="s">
        <v>17</v>
      </c>
      <c r="B204" s="80" t="s">
        <v>500</v>
      </c>
      <c r="C204" s="80" t="s">
        <v>50</v>
      </c>
      <c r="D204" s="80" t="s">
        <v>339</v>
      </c>
      <c r="E204" s="80" t="s">
        <v>18</v>
      </c>
      <c r="F204" s="82">
        <f>'потребность 2023 (5)'!K206</f>
        <v>13057000</v>
      </c>
    </row>
    <row r="205" spans="1:8" ht="34.65" customHeight="1" outlineLevel="7" x14ac:dyDescent="0.25">
      <c r="A205" s="81" t="s">
        <v>564</v>
      </c>
      <c r="B205" s="80" t="s">
        <v>500</v>
      </c>
      <c r="C205" s="80" t="s">
        <v>50</v>
      </c>
      <c r="D205" s="80" t="s">
        <v>586</v>
      </c>
      <c r="E205" s="80" t="s">
        <v>6</v>
      </c>
      <c r="F205" s="82">
        <f>F206</f>
        <v>0</v>
      </c>
    </row>
    <row r="206" spans="1:8" ht="36.700000000000003" outlineLevel="7" x14ac:dyDescent="0.25">
      <c r="A206" s="81" t="s">
        <v>15</v>
      </c>
      <c r="B206" s="80" t="s">
        <v>500</v>
      </c>
      <c r="C206" s="80" t="s">
        <v>50</v>
      </c>
      <c r="D206" s="80" t="s">
        <v>586</v>
      </c>
      <c r="E206" s="80" t="s">
        <v>16</v>
      </c>
      <c r="F206" s="82">
        <f>F207</f>
        <v>0</v>
      </c>
    </row>
    <row r="207" spans="1:8" ht="21.75" customHeight="1" outlineLevel="7" x14ac:dyDescent="0.25">
      <c r="A207" s="81" t="s">
        <v>17</v>
      </c>
      <c r="B207" s="80" t="s">
        <v>500</v>
      </c>
      <c r="C207" s="80" t="s">
        <v>50</v>
      </c>
      <c r="D207" s="80" t="s">
        <v>586</v>
      </c>
      <c r="E207" s="80" t="s">
        <v>18</v>
      </c>
      <c r="F207" s="82">
        <v>0</v>
      </c>
    </row>
    <row r="208" spans="1:8" ht="43.5" customHeight="1" outlineLevel="7" x14ac:dyDescent="0.25">
      <c r="A208" s="81" t="s">
        <v>280</v>
      </c>
      <c r="B208" s="80" t="s">
        <v>500</v>
      </c>
      <c r="C208" s="80" t="s">
        <v>50</v>
      </c>
      <c r="D208" s="80" t="s">
        <v>409</v>
      </c>
      <c r="E208" s="80" t="s">
        <v>6</v>
      </c>
      <c r="F208" s="98">
        <f>F209</f>
        <v>0</v>
      </c>
    </row>
    <row r="209" spans="1:8" ht="36.700000000000003" outlineLevel="7" x14ac:dyDescent="0.25">
      <c r="A209" s="81" t="s">
        <v>15</v>
      </c>
      <c r="B209" s="80" t="s">
        <v>500</v>
      </c>
      <c r="C209" s="80" t="s">
        <v>50</v>
      </c>
      <c r="D209" s="80" t="s">
        <v>409</v>
      </c>
      <c r="E209" s="80" t="s">
        <v>16</v>
      </c>
      <c r="F209" s="98">
        <f>F210</f>
        <v>0</v>
      </c>
    </row>
    <row r="210" spans="1:8" ht="36.700000000000003" outlineLevel="7" x14ac:dyDescent="0.25">
      <c r="A210" s="81" t="s">
        <v>17</v>
      </c>
      <c r="B210" s="80" t="s">
        <v>500</v>
      </c>
      <c r="C210" s="80" t="s">
        <v>50</v>
      </c>
      <c r="D210" s="80" t="s">
        <v>409</v>
      </c>
      <c r="E210" s="80" t="s">
        <v>18</v>
      </c>
      <c r="F210" s="82">
        <f>потребность!I207-310000</f>
        <v>0</v>
      </c>
    </row>
    <row r="211" spans="1:8" ht="31.95" customHeight="1" outlineLevel="7" x14ac:dyDescent="0.25">
      <c r="A211" s="81" t="s">
        <v>52</v>
      </c>
      <c r="B211" s="80" t="s">
        <v>500</v>
      </c>
      <c r="C211" s="80" t="s">
        <v>53</v>
      </c>
      <c r="D211" s="80" t="s">
        <v>126</v>
      </c>
      <c r="E211" s="80" t="s">
        <v>6</v>
      </c>
      <c r="F211" s="82">
        <f>F212+F217</f>
        <v>935000</v>
      </c>
    </row>
    <row r="212" spans="1:8" ht="39.25" customHeight="1" outlineLevel="7" x14ac:dyDescent="0.25">
      <c r="A212" s="109" t="s">
        <v>849</v>
      </c>
      <c r="B212" s="110" t="s">
        <v>500</v>
      </c>
      <c r="C212" s="110" t="s">
        <v>53</v>
      </c>
      <c r="D212" s="110" t="s">
        <v>412</v>
      </c>
      <c r="E212" s="110" t="s">
        <v>6</v>
      </c>
      <c r="F212" s="82">
        <f>F213</f>
        <v>100000</v>
      </c>
    </row>
    <row r="213" spans="1:8" ht="36.700000000000003" outlineLevel="7" x14ac:dyDescent="0.25">
      <c r="A213" s="81" t="s">
        <v>780</v>
      </c>
      <c r="B213" s="80" t="s">
        <v>500</v>
      </c>
      <c r="C213" s="80" t="s">
        <v>53</v>
      </c>
      <c r="D213" s="80" t="s">
        <v>414</v>
      </c>
      <c r="E213" s="80" t="s">
        <v>6</v>
      </c>
      <c r="F213" s="82">
        <f>F214</f>
        <v>100000</v>
      </c>
    </row>
    <row r="214" spans="1:8" ht="83.25" customHeight="1" outlineLevel="7" x14ac:dyDescent="0.25">
      <c r="A214" s="81" t="s">
        <v>781</v>
      </c>
      <c r="B214" s="80" t="s">
        <v>500</v>
      </c>
      <c r="C214" s="80" t="s">
        <v>53</v>
      </c>
      <c r="D214" s="80" t="s">
        <v>782</v>
      </c>
      <c r="E214" s="80" t="s">
        <v>6</v>
      </c>
      <c r="F214" s="82">
        <f>F215</f>
        <v>100000</v>
      </c>
    </row>
    <row r="215" spans="1:8" outlineLevel="2" x14ac:dyDescent="0.25">
      <c r="A215" s="81" t="s">
        <v>19</v>
      </c>
      <c r="B215" s="80" t="s">
        <v>500</v>
      </c>
      <c r="C215" s="80" t="s">
        <v>53</v>
      </c>
      <c r="D215" s="80" t="s">
        <v>782</v>
      </c>
      <c r="E215" s="80" t="s">
        <v>20</v>
      </c>
      <c r="F215" s="82">
        <f>F216</f>
        <v>100000</v>
      </c>
    </row>
    <row r="216" spans="1:8" ht="55.05" outlineLevel="2" x14ac:dyDescent="0.25">
      <c r="A216" s="81" t="s">
        <v>47</v>
      </c>
      <c r="B216" s="80" t="s">
        <v>500</v>
      </c>
      <c r="C216" s="80" t="s">
        <v>53</v>
      </c>
      <c r="D216" s="80" t="s">
        <v>782</v>
      </c>
      <c r="E216" s="80" t="s">
        <v>48</v>
      </c>
      <c r="F216" s="82">
        <f>'потребность 2023 (5)'!K218</f>
        <v>100000</v>
      </c>
    </row>
    <row r="217" spans="1:8" ht="60.8" customHeight="1" outlineLevel="2" x14ac:dyDescent="0.25">
      <c r="A217" s="109" t="s">
        <v>848</v>
      </c>
      <c r="B217" s="110" t="s">
        <v>500</v>
      </c>
      <c r="C217" s="110" t="s">
        <v>53</v>
      </c>
      <c r="D217" s="110" t="s">
        <v>340</v>
      </c>
      <c r="E217" s="110" t="s">
        <v>6</v>
      </c>
      <c r="F217" s="85">
        <f>F218+F222</f>
        <v>835000</v>
      </c>
    </row>
    <row r="218" spans="1:8" ht="36.700000000000003" outlineLevel="2" x14ac:dyDescent="0.25">
      <c r="A218" s="81" t="s">
        <v>386</v>
      </c>
      <c r="B218" s="80" t="s">
        <v>500</v>
      </c>
      <c r="C218" s="80" t="s">
        <v>53</v>
      </c>
      <c r="D218" s="80" t="s">
        <v>341</v>
      </c>
      <c r="E218" s="80" t="s">
        <v>6</v>
      </c>
      <c r="F218" s="98">
        <f>F219</f>
        <v>235000</v>
      </c>
    </row>
    <row r="219" spans="1:8" outlineLevel="2" x14ac:dyDescent="0.25">
      <c r="A219" s="81" t="s">
        <v>342</v>
      </c>
      <c r="B219" s="80" t="s">
        <v>500</v>
      </c>
      <c r="C219" s="80" t="s">
        <v>53</v>
      </c>
      <c r="D219" s="80" t="s">
        <v>343</v>
      </c>
      <c r="E219" s="80" t="s">
        <v>6</v>
      </c>
      <c r="F219" s="98">
        <f>F220</f>
        <v>235000</v>
      </c>
    </row>
    <row r="220" spans="1:8" s="172" customFormat="1" ht="36.700000000000003" outlineLevel="3" x14ac:dyDescent="0.25">
      <c r="A220" s="81" t="s">
        <v>15</v>
      </c>
      <c r="B220" s="80" t="s">
        <v>500</v>
      </c>
      <c r="C220" s="80" t="s">
        <v>53</v>
      </c>
      <c r="D220" s="80" t="s">
        <v>343</v>
      </c>
      <c r="E220" s="80" t="s">
        <v>16</v>
      </c>
      <c r="F220" s="98">
        <f>F221</f>
        <v>235000</v>
      </c>
      <c r="G220" s="171"/>
      <c r="H220" s="171"/>
    </row>
    <row r="221" spans="1:8" ht="36.700000000000003" outlineLevel="3" x14ac:dyDescent="0.25">
      <c r="A221" s="81" t="s">
        <v>17</v>
      </c>
      <c r="B221" s="80" t="s">
        <v>500</v>
      </c>
      <c r="C221" s="80" t="s">
        <v>53</v>
      </c>
      <c r="D221" s="80" t="s">
        <v>343</v>
      </c>
      <c r="E221" s="80" t="s">
        <v>18</v>
      </c>
      <c r="F221" s="82">
        <f>'потребность 2023 (5)'!K223</f>
        <v>235000</v>
      </c>
    </row>
    <row r="222" spans="1:8" ht="36.700000000000003" outlineLevel="3" x14ac:dyDescent="0.25">
      <c r="A222" s="113" t="s">
        <v>388</v>
      </c>
      <c r="B222" s="80" t="s">
        <v>500</v>
      </c>
      <c r="C222" s="80" t="s">
        <v>53</v>
      </c>
      <c r="D222" s="80" t="s">
        <v>387</v>
      </c>
      <c r="E222" s="80" t="s">
        <v>6</v>
      </c>
      <c r="F222" s="82">
        <f>F223</f>
        <v>600000</v>
      </c>
    </row>
    <row r="223" spans="1:8" outlineLevel="3" x14ac:dyDescent="0.25">
      <c r="A223" s="81" t="s">
        <v>344</v>
      </c>
      <c r="B223" s="80" t="s">
        <v>500</v>
      </c>
      <c r="C223" s="80" t="s">
        <v>53</v>
      </c>
      <c r="D223" s="80" t="s">
        <v>417</v>
      </c>
      <c r="E223" s="80" t="s">
        <v>6</v>
      </c>
      <c r="F223" s="82">
        <f>F224</f>
        <v>600000</v>
      </c>
    </row>
    <row r="224" spans="1:8" ht="18.7" customHeight="1" outlineLevel="3" x14ac:dyDescent="0.25">
      <c r="A224" s="81" t="s">
        <v>15</v>
      </c>
      <c r="B224" s="80" t="s">
        <v>500</v>
      </c>
      <c r="C224" s="80" t="s">
        <v>53</v>
      </c>
      <c r="D224" s="80" t="s">
        <v>417</v>
      </c>
      <c r="E224" s="80" t="s">
        <v>16</v>
      </c>
      <c r="F224" s="82">
        <f>F225</f>
        <v>600000</v>
      </c>
    </row>
    <row r="225" spans="1:8" ht="19.55" customHeight="1" outlineLevel="3" x14ac:dyDescent="0.25">
      <c r="A225" s="81" t="s">
        <v>17</v>
      </c>
      <c r="B225" s="80" t="s">
        <v>500</v>
      </c>
      <c r="C225" s="80" t="s">
        <v>53</v>
      </c>
      <c r="D225" s="80" t="s">
        <v>417</v>
      </c>
      <c r="E225" s="80" t="s">
        <v>18</v>
      </c>
      <c r="F225" s="82">
        <f>'потребность 2023 (5)'!K227</f>
        <v>600000</v>
      </c>
    </row>
    <row r="226" spans="1:8" outlineLevel="5" x14ac:dyDescent="0.25">
      <c r="A226" s="109" t="s">
        <v>54</v>
      </c>
      <c r="B226" s="110" t="s">
        <v>500</v>
      </c>
      <c r="C226" s="110" t="s">
        <v>55</v>
      </c>
      <c r="D226" s="110" t="s">
        <v>126</v>
      </c>
      <c r="E226" s="110" t="s">
        <v>6</v>
      </c>
      <c r="F226" s="132">
        <f>F227+F238+F270+F322</f>
        <v>60856185.18</v>
      </c>
    </row>
    <row r="227" spans="1:8" outlineLevel="6" x14ac:dyDescent="0.25">
      <c r="A227" s="81" t="s">
        <v>56</v>
      </c>
      <c r="B227" s="80" t="s">
        <v>500</v>
      </c>
      <c r="C227" s="80" t="s">
        <v>57</v>
      </c>
      <c r="D227" s="80" t="s">
        <v>126</v>
      </c>
      <c r="E227" s="80" t="s">
        <v>6</v>
      </c>
      <c r="F227" s="82">
        <f>F228+F234</f>
        <v>2500000</v>
      </c>
    </row>
    <row r="228" spans="1:8" ht="61.5" customHeight="1" outlineLevel="7" x14ac:dyDescent="0.25">
      <c r="A228" s="109" t="s">
        <v>847</v>
      </c>
      <c r="B228" s="110" t="s">
        <v>500</v>
      </c>
      <c r="C228" s="110" t="s">
        <v>57</v>
      </c>
      <c r="D228" s="110" t="s">
        <v>331</v>
      </c>
      <c r="E228" s="110" t="s">
        <v>6</v>
      </c>
      <c r="F228" s="85">
        <f>F229</f>
        <v>2500000</v>
      </c>
    </row>
    <row r="229" spans="1:8" s="172" customFormat="1" ht="36.700000000000003" outlineLevel="1" x14ac:dyDescent="0.25">
      <c r="A229" s="81" t="s">
        <v>345</v>
      </c>
      <c r="B229" s="80" t="s">
        <v>500</v>
      </c>
      <c r="C229" s="80" t="s">
        <v>57</v>
      </c>
      <c r="D229" s="80" t="s">
        <v>332</v>
      </c>
      <c r="E229" s="80" t="s">
        <v>6</v>
      </c>
      <c r="F229" s="82">
        <f>F230</f>
        <v>2500000</v>
      </c>
      <c r="G229" s="171"/>
      <c r="H229" s="171"/>
    </row>
    <row r="230" spans="1:8" outlineLevel="1" x14ac:dyDescent="0.25">
      <c r="A230" s="81" t="s">
        <v>346</v>
      </c>
      <c r="B230" s="80" t="s">
        <v>500</v>
      </c>
      <c r="C230" s="80" t="s">
        <v>57</v>
      </c>
      <c r="D230" s="80" t="s">
        <v>347</v>
      </c>
      <c r="E230" s="80" t="s">
        <v>6</v>
      </c>
      <c r="F230" s="82">
        <f>F231</f>
        <v>2500000</v>
      </c>
    </row>
    <row r="231" spans="1:8" s="172" customFormat="1" ht="36.700000000000003" outlineLevel="1" x14ac:dyDescent="0.25">
      <c r="A231" s="81" t="s">
        <v>15</v>
      </c>
      <c r="B231" s="80" t="s">
        <v>500</v>
      </c>
      <c r="C231" s="80" t="s">
        <v>57</v>
      </c>
      <c r="D231" s="80" t="s">
        <v>347</v>
      </c>
      <c r="E231" s="80" t="s">
        <v>16</v>
      </c>
      <c r="F231" s="82">
        <f>F232</f>
        <v>2500000</v>
      </c>
      <c r="G231" s="171"/>
      <c r="H231" s="171"/>
    </row>
    <row r="232" spans="1:8" ht="36.700000000000003" customHeight="1" outlineLevel="1" x14ac:dyDescent="0.25">
      <c r="A232" s="81" t="s">
        <v>17</v>
      </c>
      <c r="B232" s="80" t="s">
        <v>500</v>
      </c>
      <c r="C232" s="80" t="s">
        <v>57</v>
      </c>
      <c r="D232" s="80" t="s">
        <v>347</v>
      </c>
      <c r="E232" s="80" t="s">
        <v>18</v>
      </c>
      <c r="F232" s="98">
        <f>'потребность 2023 (5)'!K234</f>
        <v>2500000</v>
      </c>
    </row>
    <row r="233" spans="1:8" ht="36.700000000000003" outlineLevel="5" x14ac:dyDescent="0.25">
      <c r="A233" s="81" t="s">
        <v>132</v>
      </c>
      <c r="B233" s="80" t="s">
        <v>500</v>
      </c>
      <c r="C233" s="80" t="s">
        <v>57</v>
      </c>
      <c r="D233" s="80" t="s">
        <v>127</v>
      </c>
      <c r="E233" s="80" t="s">
        <v>6</v>
      </c>
      <c r="F233" s="82">
        <f>F234</f>
        <v>0</v>
      </c>
    </row>
    <row r="234" spans="1:8" outlineLevel="6" x14ac:dyDescent="0.25">
      <c r="A234" s="81" t="s">
        <v>277</v>
      </c>
      <c r="B234" s="80" t="s">
        <v>500</v>
      </c>
      <c r="C234" s="80" t="s">
        <v>57</v>
      </c>
      <c r="D234" s="80" t="s">
        <v>276</v>
      </c>
      <c r="E234" s="80" t="s">
        <v>6</v>
      </c>
      <c r="F234" s="82">
        <f>F235</f>
        <v>0</v>
      </c>
    </row>
    <row r="235" spans="1:8" ht="18" customHeight="1" outlineLevel="7" x14ac:dyDescent="0.25">
      <c r="A235" s="100" t="s">
        <v>381</v>
      </c>
      <c r="B235" s="80" t="s">
        <v>500</v>
      </c>
      <c r="C235" s="80" t="s">
        <v>57</v>
      </c>
      <c r="D235" s="80" t="s">
        <v>507</v>
      </c>
      <c r="E235" s="80" t="s">
        <v>6</v>
      </c>
      <c r="F235" s="82">
        <f>F236</f>
        <v>0</v>
      </c>
    </row>
    <row r="236" spans="1:8" ht="19.55" customHeight="1" outlineLevel="7" x14ac:dyDescent="0.25">
      <c r="A236" s="81" t="s">
        <v>15</v>
      </c>
      <c r="B236" s="80" t="s">
        <v>500</v>
      </c>
      <c r="C236" s="80" t="s">
        <v>57</v>
      </c>
      <c r="D236" s="80" t="s">
        <v>507</v>
      </c>
      <c r="E236" s="80" t="s">
        <v>16</v>
      </c>
      <c r="F236" s="82">
        <f>F237</f>
        <v>0</v>
      </c>
    </row>
    <row r="237" spans="1:8" ht="19.55" customHeight="1" outlineLevel="7" x14ac:dyDescent="0.25">
      <c r="A237" s="81" t="s">
        <v>17</v>
      </c>
      <c r="B237" s="80" t="s">
        <v>500</v>
      </c>
      <c r="C237" s="80" t="s">
        <v>57</v>
      </c>
      <c r="D237" s="80" t="s">
        <v>507</v>
      </c>
      <c r="E237" s="80" t="s">
        <v>18</v>
      </c>
      <c r="F237" s="98">
        <v>0</v>
      </c>
    </row>
    <row r="238" spans="1:8" ht="18.7" customHeight="1" outlineLevel="7" x14ac:dyDescent="0.25">
      <c r="A238" s="81" t="s">
        <v>58</v>
      </c>
      <c r="B238" s="80" t="s">
        <v>500</v>
      </c>
      <c r="C238" s="80" t="s">
        <v>59</v>
      </c>
      <c r="D238" s="80" t="s">
        <v>126</v>
      </c>
      <c r="E238" s="80" t="s">
        <v>6</v>
      </c>
      <c r="F238" s="82">
        <f>F239</f>
        <v>32060658</v>
      </c>
    </row>
    <row r="239" spans="1:8" ht="55.05" outlineLevel="7" x14ac:dyDescent="0.25">
      <c r="A239" s="109" t="s">
        <v>845</v>
      </c>
      <c r="B239" s="110" t="s">
        <v>500</v>
      </c>
      <c r="C239" s="110" t="s">
        <v>59</v>
      </c>
      <c r="D239" s="110" t="s">
        <v>134</v>
      </c>
      <c r="E239" s="110" t="s">
        <v>6</v>
      </c>
      <c r="F239" s="85">
        <f>F240+F267</f>
        <v>32060658</v>
      </c>
    </row>
    <row r="240" spans="1:8" ht="55.05" outlineLevel="7" x14ac:dyDescent="0.25">
      <c r="A240" s="81" t="s">
        <v>846</v>
      </c>
      <c r="B240" s="80" t="s">
        <v>500</v>
      </c>
      <c r="C240" s="80" t="s">
        <v>59</v>
      </c>
      <c r="D240" s="80" t="s">
        <v>350</v>
      </c>
      <c r="E240" s="80" t="s">
        <v>6</v>
      </c>
      <c r="F240" s="82">
        <f>F241+F248+F251+F257+F254</f>
        <v>32060658</v>
      </c>
    </row>
    <row r="241" spans="1:8" ht="73.400000000000006" outlineLevel="1" x14ac:dyDescent="0.25">
      <c r="A241" s="81" t="s">
        <v>60</v>
      </c>
      <c r="B241" s="80" t="s">
        <v>500</v>
      </c>
      <c r="C241" s="80" t="s">
        <v>59</v>
      </c>
      <c r="D241" s="80" t="s">
        <v>351</v>
      </c>
      <c r="E241" s="80" t="s">
        <v>6</v>
      </c>
      <c r="F241" s="82">
        <f>F242+F244+F246</f>
        <v>11500000</v>
      </c>
    </row>
    <row r="242" spans="1:8" s="172" customFormat="1" ht="36.700000000000003" outlineLevel="1" x14ac:dyDescent="0.25">
      <c r="A242" s="81" t="s">
        <v>15</v>
      </c>
      <c r="B242" s="80" t="s">
        <v>500</v>
      </c>
      <c r="C242" s="80" t="s">
        <v>59</v>
      </c>
      <c r="D242" s="80" t="s">
        <v>351</v>
      </c>
      <c r="E242" s="80" t="s">
        <v>16</v>
      </c>
      <c r="F242" s="82">
        <f>F243</f>
        <v>1500000</v>
      </c>
      <c r="G242" s="171"/>
      <c r="H242" s="171"/>
    </row>
    <row r="243" spans="1:8" ht="39.25" customHeight="1" outlineLevel="1" x14ac:dyDescent="0.25">
      <c r="A243" s="81" t="s">
        <v>17</v>
      </c>
      <c r="B243" s="80" t="s">
        <v>500</v>
      </c>
      <c r="C243" s="80" t="s">
        <v>59</v>
      </c>
      <c r="D243" s="80" t="s">
        <v>351</v>
      </c>
      <c r="E243" s="80" t="s">
        <v>18</v>
      </c>
      <c r="F243" s="98">
        <f>'потребность 2023 (5)'!K245</f>
        <v>1500000</v>
      </c>
    </row>
    <row r="244" spans="1:8" ht="41.3" customHeight="1" outlineLevel="1" x14ac:dyDescent="0.25">
      <c r="A244" s="81" t="s">
        <v>264</v>
      </c>
      <c r="B244" s="80" t="s">
        <v>500</v>
      </c>
      <c r="C244" s="80" t="s">
        <v>59</v>
      </c>
      <c r="D244" s="80" t="s">
        <v>351</v>
      </c>
      <c r="E244" s="80" t="s">
        <v>265</v>
      </c>
      <c r="F244" s="98">
        <f>F245</f>
        <v>0</v>
      </c>
    </row>
    <row r="245" spans="1:8" ht="24.8" customHeight="1" outlineLevel="1" x14ac:dyDescent="0.25">
      <c r="A245" s="81" t="s">
        <v>266</v>
      </c>
      <c r="B245" s="80" t="s">
        <v>500</v>
      </c>
      <c r="C245" s="80" t="s">
        <v>59</v>
      </c>
      <c r="D245" s="80" t="s">
        <v>351</v>
      </c>
      <c r="E245" s="80" t="s">
        <v>267</v>
      </c>
      <c r="F245" s="98">
        <v>0</v>
      </c>
    </row>
    <row r="246" spans="1:8" ht="27.7" customHeight="1" outlineLevel="1" x14ac:dyDescent="0.25">
      <c r="A246" s="81" t="s">
        <v>19</v>
      </c>
      <c r="B246" s="80" t="s">
        <v>500</v>
      </c>
      <c r="C246" s="80" t="s">
        <v>59</v>
      </c>
      <c r="D246" s="80" t="s">
        <v>351</v>
      </c>
      <c r="E246" s="80" t="s">
        <v>20</v>
      </c>
      <c r="F246" s="98">
        <f>F247</f>
        <v>10000000</v>
      </c>
    </row>
    <row r="247" spans="1:8" ht="21.25" customHeight="1" outlineLevel="1" x14ac:dyDescent="0.25">
      <c r="A247" s="81" t="s">
        <v>47</v>
      </c>
      <c r="B247" s="80" t="s">
        <v>500</v>
      </c>
      <c r="C247" s="80" t="s">
        <v>59</v>
      </c>
      <c r="D247" s="80" t="s">
        <v>351</v>
      </c>
      <c r="E247" s="80" t="s">
        <v>48</v>
      </c>
      <c r="F247" s="98">
        <f>'потребность 2023 (5)'!K249</f>
        <v>10000000</v>
      </c>
    </row>
    <row r="248" spans="1:8" ht="21.25" customHeight="1" outlineLevel="1" x14ac:dyDescent="0.25">
      <c r="A248" s="81" t="s">
        <v>250</v>
      </c>
      <c r="B248" s="80" t="s">
        <v>500</v>
      </c>
      <c r="C248" s="80" t="s">
        <v>59</v>
      </c>
      <c r="D248" s="80" t="s">
        <v>352</v>
      </c>
      <c r="E248" s="80" t="s">
        <v>6</v>
      </c>
      <c r="F248" s="98">
        <f>F249</f>
        <v>4400000</v>
      </c>
    </row>
    <row r="249" spans="1:8" ht="21.25" customHeight="1" outlineLevel="1" x14ac:dyDescent="0.25">
      <c r="A249" s="81" t="s">
        <v>19</v>
      </c>
      <c r="B249" s="80" t="s">
        <v>500</v>
      </c>
      <c r="C249" s="80" t="s">
        <v>59</v>
      </c>
      <c r="D249" s="80" t="s">
        <v>352</v>
      </c>
      <c r="E249" s="80" t="s">
        <v>20</v>
      </c>
      <c r="F249" s="98">
        <f>F250</f>
        <v>4400000</v>
      </c>
    </row>
    <row r="250" spans="1:8" ht="55.55" customHeight="1" outlineLevel="1" x14ac:dyDescent="0.25">
      <c r="A250" s="81" t="s">
        <v>47</v>
      </c>
      <c r="B250" s="80" t="s">
        <v>500</v>
      </c>
      <c r="C250" s="80" t="s">
        <v>59</v>
      </c>
      <c r="D250" s="80" t="s">
        <v>352</v>
      </c>
      <c r="E250" s="80" t="s">
        <v>48</v>
      </c>
      <c r="F250" s="82">
        <f>'потребность 2023 (5)'!K252</f>
        <v>4400000</v>
      </c>
    </row>
    <row r="251" spans="1:8" ht="36.700000000000003" customHeight="1" outlineLevel="1" x14ac:dyDescent="0.25">
      <c r="A251" s="81" t="s">
        <v>262</v>
      </c>
      <c r="B251" s="80" t="s">
        <v>500</v>
      </c>
      <c r="C251" s="80" t="s">
        <v>59</v>
      </c>
      <c r="D251" s="80" t="s">
        <v>353</v>
      </c>
      <c r="E251" s="80" t="s">
        <v>6</v>
      </c>
      <c r="F251" s="98">
        <f>F252</f>
        <v>15439000</v>
      </c>
    </row>
    <row r="252" spans="1:8" outlineLevel="1" x14ac:dyDescent="0.25">
      <c r="A252" s="81" t="s">
        <v>19</v>
      </c>
      <c r="B252" s="80" t="s">
        <v>500</v>
      </c>
      <c r="C252" s="80" t="s">
        <v>59</v>
      </c>
      <c r="D252" s="80" t="s">
        <v>353</v>
      </c>
      <c r="E252" s="80" t="s">
        <v>20</v>
      </c>
      <c r="F252" s="98">
        <f>F253</f>
        <v>15439000</v>
      </c>
    </row>
    <row r="253" spans="1:8" ht="55.05" outlineLevel="1" x14ac:dyDescent="0.25">
      <c r="A253" s="81" t="s">
        <v>47</v>
      </c>
      <c r="B253" s="80" t="s">
        <v>500</v>
      </c>
      <c r="C253" s="80" t="s">
        <v>59</v>
      </c>
      <c r="D253" s="80" t="s">
        <v>353</v>
      </c>
      <c r="E253" s="80" t="s">
        <v>48</v>
      </c>
      <c r="F253" s="82">
        <f>'потребность 2023 (5)'!K255</f>
        <v>15439000</v>
      </c>
    </row>
    <row r="254" spans="1:8" ht="55.05" outlineLevel="1" x14ac:dyDescent="0.25">
      <c r="A254" s="81" t="s">
        <v>299</v>
      </c>
      <c r="B254" s="80" t="s">
        <v>500</v>
      </c>
      <c r="C254" s="80" t="s">
        <v>59</v>
      </c>
      <c r="D254" s="80" t="s">
        <v>390</v>
      </c>
      <c r="E254" s="80" t="s">
        <v>6</v>
      </c>
      <c r="F254" s="82">
        <f>F255</f>
        <v>521658</v>
      </c>
    </row>
    <row r="255" spans="1:8" ht="36.700000000000003" outlineLevel="1" x14ac:dyDescent="0.25">
      <c r="A255" s="81" t="s">
        <v>15</v>
      </c>
      <c r="B255" s="80" t="s">
        <v>500</v>
      </c>
      <c r="C255" s="80" t="s">
        <v>59</v>
      </c>
      <c r="D255" s="80" t="s">
        <v>390</v>
      </c>
      <c r="E255" s="80" t="s">
        <v>16</v>
      </c>
      <c r="F255" s="82">
        <f>F256</f>
        <v>521658</v>
      </c>
    </row>
    <row r="256" spans="1:8" ht="49.75" customHeight="1" outlineLevel="1" x14ac:dyDescent="0.25">
      <c r="A256" s="81" t="s">
        <v>17</v>
      </c>
      <c r="B256" s="80" t="s">
        <v>500</v>
      </c>
      <c r="C256" s="80" t="s">
        <v>59</v>
      </c>
      <c r="D256" s="80" t="s">
        <v>390</v>
      </c>
      <c r="E256" s="80" t="s">
        <v>18</v>
      </c>
      <c r="F256" s="82">
        <f>'потребность 2023 (5)'!K258</f>
        <v>521658</v>
      </c>
    </row>
    <row r="257" spans="1:6" ht="56.25" customHeight="1" outlineLevel="1" x14ac:dyDescent="0.25">
      <c r="A257" s="81" t="s">
        <v>263</v>
      </c>
      <c r="B257" s="80" t="s">
        <v>500</v>
      </c>
      <c r="C257" s="80" t="s">
        <v>59</v>
      </c>
      <c r="D257" s="80" t="s">
        <v>391</v>
      </c>
      <c r="E257" s="80" t="s">
        <v>6</v>
      </c>
      <c r="F257" s="82">
        <f>F258</f>
        <v>200000</v>
      </c>
    </row>
    <row r="258" spans="1:6" ht="37.549999999999997" customHeight="1" outlineLevel="1" x14ac:dyDescent="0.25">
      <c r="A258" s="81" t="s">
        <v>15</v>
      </c>
      <c r="B258" s="80" t="s">
        <v>500</v>
      </c>
      <c r="C258" s="80" t="s">
        <v>59</v>
      </c>
      <c r="D258" s="80" t="s">
        <v>391</v>
      </c>
      <c r="E258" s="80" t="s">
        <v>16</v>
      </c>
      <c r="F258" s="82">
        <f>F259</f>
        <v>200000</v>
      </c>
    </row>
    <row r="259" spans="1:6" ht="37.549999999999997" customHeight="1" outlineLevel="1" x14ac:dyDescent="0.25">
      <c r="A259" s="81" t="s">
        <v>17</v>
      </c>
      <c r="B259" s="80" t="s">
        <v>500</v>
      </c>
      <c r="C259" s="80" t="s">
        <v>59</v>
      </c>
      <c r="D259" s="80" t="s">
        <v>391</v>
      </c>
      <c r="E259" s="80" t="s">
        <v>18</v>
      </c>
      <c r="F259" s="82">
        <f>'потребность 2023 (5)'!K261</f>
        <v>200000</v>
      </c>
    </row>
    <row r="260" spans="1:6" ht="45" customHeight="1" outlineLevel="1" x14ac:dyDescent="0.25">
      <c r="A260" s="81" t="s">
        <v>709</v>
      </c>
      <c r="B260" s="80" t="s">
        <v>500</v>
      </c>
      <c r="C260" s="80" t="s">
        <v>59</v>
      </c>
      <c r="D260" s="80" t="s">
        <v>708</v>
      </c>
      <c r="E260" s="80" t="s">
        <v>6</v>
      </c>
      <c r="F260" s="82">
        <f>F261</f>
        <v>0</v>
      </c>
    </row>
    <row r="261" spans="1:6" ht="37.549999999999997" customHeight="1" outlineLevel="1" x14ac:dyDescent="0.25">
      <c r="A261" s="81" t="s">
        <v>15</v>
      </c>
      <c r="B261" s="80" t="s">
        <v>500</v>
      </c>
      <c r="C261" s="80" t="s">
        <v>59</v>
      </c>
      <c r="D261" s="80" t="s">
        <v>708</v>
      </c>
      <c r="E261" s="80" t="s">
        <v>16</v>
      </c>
      <c r="F261" s="82">
        <f>F262</f>
        <v>0</v>
      </c>
    </row>
    <row r="262" spans="1:6" ht="37.549999999999997" customHeight="1" outlineLevel="1" x14ac:dyDescent="0.25">
      <c r="A262" s="81" t="s">
        <v>17</v>
      </c>
      <c r="B262" s="80" t="s">
        <v>500</v>
      </c>
      <c r="C262" s="80" t="s">
        <v>59</v>
      </c>
      <c r="D262" s="80" t="s">
        <v>708</v>
      </c>
      <c r="E262" s="80" t="s">
        <v>18</v>
      </c>
      <c r="F262" s="82"/>
    </row>
    <row r="263" spans="1:6" ht="36.700000000000003" outlineLevel="1" x14ac:dyDescent="0.25">
      <c r="A263" s="81" t="s">
        <v>682</v>
      </c>
      <c r="B263" s="80" t="s">
        <v>500</v>
      </c>
      <c r="C263" s="80" t="s">
        <v>59</v>
      </c>
      <c r="D263" s="80" t="s">
        <v>681</v>
      </c>
      <c r="E263" s="80" t="s">
        <v>6</v>
      </c>
      <c r="F263" s="82">
        <f>F264</f>
        <v>0</v>
      </c>
    </row>
    <row r="264" spans="1:6" ht="36.700000000000003" outlineLevel="1" x14ac:dyDescent="0.25">
      <c r="A264" s="81" t="s">
        <v>15</v>
      </c>
      <c r="B264" s="80" t="s">
        <v>500</v>
      </c>
      <c r="C264" s="80" t="s">
        <v>59</v>
      </c>
      <c r="D264" s="80" t="s">
        <v>681</v>
      </c>
      <c r="E264" s="80" t="s">
        <v>16</v>
      </c>
      <c r="F264" s="82">
        <f>F265</f>
        <v>0</v>
      </c>
    </row>
    <row r="265" spans="1:6" ht="36.700000000000003" outlineLevel="1" x14ac:dyDescent="0.25">
      <c r="A265" s="81" t="s">
        <v>17</v>
      </c>
      <c r="B265" s="80" t="s">
        <v>500</v>
      </c>
      <c r="C265" s="80" t="s">
        <v>59</v>
      </c>
      <c r="D265" s="80" t="s">
        <v>681</v>
      </c>
      <c r="E265" s="80" t="s">
        <v>18</v>
      </c>
      <c r="F265" s="82"/>
    </row>
    <row r="266" spans="1:6" ht="27.7" customHeight="1" outlineLevel="1" x14ac:dyDescent="0.25">
      <c r="A266" s="113" t="s">
        <v>455</v>
      </c>
      <c r="B266" s="80" t="s">
        <v>500</v>
      </c>
      <c r="C266" s="80" t="s">
        <v>59</v>
      </c>
      <c r="D266" s="80" t="s">
        <v>700</v>
      </c>
      <c r="E266" s="80" t="s">
        <v>6</v>
      </c>
      <c r="F266" s="82">
        <f>F267</f>
        <v>0</v>
      </c>
    </row>
    <row r="267" spans="1:6" ht="41.95" customHeight="1" outlineLevel="1" x14ac:dyDescent="0.25">
      <c r="A267" s="81" t="s">
        <v>460</v>
      </c>
      <c r="B267" s="80" t="s">
        <v>500</v>
      </c>
      <c r="C267" s="80" t="s">
        <v>59</v>
      </c>
      <c r="D267" s="80" t="s">
        <v>701</v>
      </c>
      <c r="E267" s="80" t="s">
        <v>6</v>
      </c>
      <c r="F267" s="82">
        <f>F268</f>
        <v>0</v>
      </c>
    </row>
    <row r="268" spans="1:6" ht="40.75" customHeight="1" outlineLevel="1" x14ac:dyDescent="0.25">
      <c r="A268" s="81" t="s">
        <v>264</v>
      </c>
      <c r="B268" s="80" t="s">
        <v>500</v>
      </c>
      <c r="C268" s="80" t="s">
        <v>59</v>
      </c>
      <c r="D268" s="80" t="s">
        <v>701</v>
      </c>
      <c r="E268" s="80" t="s">
        <v>265</v>
      </c>
      <c r="F268" s="82">
        <f>F269</f>
        <v>0</v>
      </c>
    </row>
    <row r="269" spans="1:6" ht="23.95" customHeight="1" outlineLevel="1" x14ac:dyDescent="0.25">
      <c r="A269" s="81" t="s">
        <v>266</v>
      </c>
      <c r="B269" s="80" t="s">
        <v>500</v>
      </c>
      <c r="C269" s="80" t="s">
        <v>59</v>
      </c>
      <c r="D269" s="80" t="s">
        <v>701</v>
      </c>
      <c r="E269" s="80" t="s">
        <v>267</v>
      </c>
      <c r="F269" s="82"/>
    </row>
    <row r="270" spans="1:6" ht="27.7" customHeight="1" outlineLevel="1" x14ac:dyDescent="0.25">
      <c r="A270" s="81" t="s">
        <v>61</v>
      </c>
      <c r="B270" s="80" t="s">
        <v>500</v>
      </c>
      <c r="C270" s="80" t="s">
        <v>62</v>
      </c>
      <c r="D270" s="80" t="s">
        <v>126</v>
      </c>
      <c r="E270" s="80" t="s">
        <v>6</v>
      </c>
      <c r="F270" s="82">
        <f>F271+F285+F302</f>
        <v>23235707.259999998</v>
      </c>
    </row>
    <row r="271" spans="1:6" ht="55.05" outlineLevel="1" x14ac:dyDescent="0.25">
      <c r="A271" s="109" t="s">
        <v>845</v>
      </c>
      <c r="B271" s="80" t="s">
        <v>500</v>
      </c>
      <c r="C271" s="110" t="s">
        <v>62</v>
      </c>
      <c r="D271" s="110" t="s">
        <v>134</v>
      </c>
      <c r="E271" s="110" t="s">
        <v>6</v>
      </c>
      <c r="F271" s="82">
        <f>F272</f>
        <v>1068036.28</v>
      </c>
    </row>
    <row r="272" spans="1:6" ht="23.3" customHeight="1" outlineLevel="1" x14ac:dyDescent="0.25">
      <c r="A272" s="81" t="s">
        <v>354</v>
      </c>
      <c r="B272" s="80" t="s">
        <v>500</v>
      </c>
      <c r="C272" s="80" t="s">
        <v>62</v>
      </c>
      <c r="D272" s="80" t="s">
        <v>232</v>
      </c>
      <c r="E272" s="80" t="s">
        <v>6</v>
      </c>
      <c r="F272" s="82">
        <f>F273+F279+F276+F282</f>
        <v>1068036.28</v>
      </c>
    </row>
    <row r="273" spans="1:8" ht="27.7" customHeight="1" outlineLevel="1" x14ac:dyDescent="0.25">
      <c r="A273" s="81" t="s">
        <v>360</v>
      </c>
      <c r="B273" s="80" t="s">
        <v>500</v>
      </c>
      <c r="C273" s="80" t="s">
        <v>62</v>
      </c>
      <c r="D273" s="80" t="s">
        <v>461</v>
      </c>
      <c r="E273" s="80" t="s">
        <v>6</v>
      </c>
      <c r="F273" s="82">
        <f>F274</f>
        <v>400000</v>
      </c>
    </row>
    <row r="274" spans="1:8" s="172" customFormat="1" ht="36.700000000000003" outlineLevel="1" x14ac:dyDescent="0.25">
      <c r="A274" s="25" t="s">
        <v>15</v>
      </c>
      <c r="B274" s="80" t="s">
        <v>500</v>
      </c>
      <c r="C274" s="80" t="s">
        <v>62</v>
      </c>
      <c r="D274" s="80" t="s">
        <v>461</v>
      </c>
      <c r="E274" s="80" t="s">
        <v>16</v>
      </c>
      <c r="F274" s="82">
        <f>F275</f>
        <v>400000</v>
      </c>
      <c r="G274" s="171"/>
      <c r="H274" s="171"/>
    </row>
    <row r="275" spans="1:8" ht="36.700000000000003" outlineLevel="1" x14ac:dyDescent="0.25">
      <c r="A275" s="25" t="s">
        <v>17</v>
      </c>
      <c r="B275" s="80" t="s">
        <v>500</v>
      </c>
      <c r="C275" s="80" t="s">
        <v>62</v>
      </c>
      <c r="D275" s="80" t="s">
        <v>461</v>
      </c>
      <c r="E275" s="80" t="s">
        <v>18</v>
      </c>
      <c r="F275" s="82">
        <f>'потребность 2023 (5)'!K277</f>
        <v>400000</v>
      </c>
    </row>
    <row r="276" spans="1:8" ht="36.700000000000003" outlineLevel="1" x14ac:dyDescent="0.25">
      <c r="A276" s="25" t="s">
        <v>767</v>
      </c>
      <c r="B276" s="80" t="s">
        <v>500</v>
      </c>
      <c r="C276" s="80" t="s">
        <v>62</v>
      </c>
      <c r="D276" s="80" t="s">
        <v>947</v>
      </c>
      <c r="E276" s="80" t="s">
        <v>6</v>
      </c>
      <c r="F276" s="82">
        <f>F277</f>
        <v>168036.28000000003</v>
      </c>
    </row>
    <row r="277" spans="1:8" ht="36.700000000000003" outlineLevel="1" x14ac:dyDescent="0.25">
      <c r="A277" s="25" t="s">
        <v>15</v>
      </c>
      <c r="B277" s="80" t="s">
        <v>500</v>
      </c>
      <c r="C277" s="80" t="s">
        <v>62</v>
      </c>
      <c r="D277" s="80" t="s">
        <v>947</v>
      </c>
      <c r="E277" s="80" t="s">
        <v>16</v>
      </c>
      <c r="F277" s="82">
        <f>F278</f>
        <v>168036.28000000003</v>
      </c>
    </row>
    <row r="278" spans="1:8" ht="18.7" customHeight="1" outlineLevel="1" x14ac:dyDescent="0.25">
      <c r="A278" s="25" t="s">
        <v>17</v>
      </c>
      <c r="B278" s="80" t="s">
        <v>500</v>
      </c>
      <c r="C278" s="80" t="s">
        <v>62</v>
      </c>
      <c r="D278" s="80" t="s">
        <v>947</v>
      </c>
      <c r="E278" s="80" t="s">
        <v>18</v>
      </c>
      <c r="F278" s="82">
        <f>'потребность 2023 (5)'!K280</f>
        <v>168036.28000000003</v>
      </c>
    </row>
    <row r="279" spans="1:8" ht="36.700000000000003" outlineLevel="1" x14ac:dyDescent="0.25">
      <c r="A279" s="81" t="s">
        <v>63</v>
      </c>
      <c r="B279" s="80" t="s">
        <v>500</v>
      </c>
      <c r="C279" s="80" t="s">
        <v>62</v>
      </c>
      <c r="D279" s="80" t="s">
        <v>355</v>
      </c>
      <c r="E279" s="80" t="s">
        <v>6</v>
      </c>
      <c r="F279" s="82">
        <f>F280</f>
        <v>500000</v>
      </c>
    </row>
    <row r="280" spans="1:8" ht="36.700000000000003" outlineLevel="1" x14ac:dyDescent="0.25">
      <c r="A280" s="81" t="s">
        <v>15</v>
      </c>
      <c r="B280" s="80" t="s">
        <v>500</v>
      </c>
      <c r="C280" s="80" t="s">
        <v>62</v>
      </c>
      <c r="D280" s="80" t="s">
        <v>355</v>
      </c>
      <c r="E280" s="80" t="s">
        <v>16</v>
      </c>
      <c r="F280" s="82">
        <f>F281</f>
        <v>500000</v>
      </c>
    </row>
    <row r="281" spans="1:8" ht="22.75" customHeight="1" outlineLevel="1" x14ac:dyDescent="0.25">
      <c r="A281" s="81" t="s">
        <v>17</v>
      </c>
      <c r="B281" s="80" t="s">
        <v>500</v>
      </c>
      <c r="C281" s="80" t="s">
        <v>62</v>
      </c>
      <c r="D281" s="80" t="s">
        <v>355</v>
      </c>
      <c r="E281" s="80" t="s">
        <v>18</v>
      </c>
      <c r="F281" s="98">
        <f>'потребность 2023 (5)'!K283</f>
        <v>500000</v>
      </c>
    </row>
    <row r="282" spans="1:8" ht="40.1" customHeight="1" outlineLevel="1" x14ac:dyDescent="0.25">
      <c r="A282" s="81" t="s">
        <v>948</v>
      </c>
      <c r="B282" s="80" t="s">
        <v>500</v>
      </c>
      <c r="C282" s="80" t="s">
        <v>62</v>
      </c>
      <c r="D282" s="80" t="s">
        <v>949</v>
      </c>
      <c r="E282" s="80" t="s">
        <v>6</v>
      </c>
      <c r="F282" s="98">
        <f>F283</f>
        <v>0</v>
      </c>
    </row>
    <row r="283" spans="1:8" ht="22.75" customHeight="1" outlineLevel="1" x14ac:dyDescent="0.25">
      <c r="A283" s="81" t="s">
        <v>15</v>
      </c>
      <c r="B283" s="80" t="s">
        <v>500</v>
      </c>
      <c r="C283" s="80" t="s">
        <v>62</v>
      </c>
      <c r="D283" s="80" t="s">
        <v>949</v>
      </c>
      <c r="E283" s="80" t="s">
        <v>16</v>
      </c>
      <c r="F283" s="98">
        <f>F284</f>
        <v>0</v>
      </c>
    </row>
    <row r="284" spans="1:8" ht="22.75" customHeight="1" outlineLevel="1" x14ac:dyDescent="0.25">
      <c r="A284" s="81" t="s">
        <v>17</v>
      </c>
      <c r="B284" s="80" t="s">
        <v>500</v>
      </c>
      <c r="C284" s="80" t="s">
        <v>62</v>
      </c>
      <c r="D284" s="80" t="s">
        <v>949</v>
      </c>
      <c r="E284" s="80" t="s">
        <v>18</v>
      </c>
      <c r="F284" s="98">
        <v>0</v>
      </c>
    </row>
    <row r="285" spans="1:8" s="172" customFormat="1" ht="55.05" outlineLevel="1" x14ac:dyDescent="0.25">
      <c r="A285" s="109" t="s">
        <v>508</v>
      </c>
      <c r="B285" s="110" t="s">
        <v>500</v>
      </c>
      <c r="C285" s="110" t="s">
        <v>62</v>
      </c>
      <c r="D285" s="110" t="s">
        <v>509</v>
      </c>
      <c r="E285" s="110" t="s">
        <v>6</v>
      </c>
      <c r="F285" s="82">
        <f>F286</f>
        <v>9214506.0600000005</v>
      </c>
      <c r="G285" s="171"/>
      <c r="H285" s="171"/>
    </row>
    <row r="286" spans="1:8" ht="36.700000000000003" outlineLevel="1" x14ac:dyDescent="0.25">
      <c r="A286" s="81" t="s">
        <v>510</v>
      </c>
      <c r="B286" s="80" t="s">
        <v>500</v>
      </c>
      <c r="C286" s="80" t="s">
        <v>62</v>
      </c>
      <c r="D286" s="80" t="s">
        <v>511</v>
      </c>
      <c r="E286" s="80" t="s">
        <v>6</v>
      </c>
      <c r="F286" s="82">
        <f>F287+F290+F293+F299+F296</f>
        <v>9214506.0600000005</v>
      </c>
    </row>
    <row r="287" spans="1:8" ht="56.25" customHeight="1" outlineLevel="1" x14ac:dyDescent="0.25">
      <c r="A287" s="81" t="s">
        <v>512</v>
      </c>
      <c r="B287" s="80" t="s">
        <v>500</v>
      </c>
      <c r="C287" s="80" t="s">
        <v>62</v>
      </c>
      <c r="D287" s="80" t="s">
        <v>513</v>
      </c>
      <c r="E287" s="80" t="s">
        <v>6</v>
      </c>
      <c r="F287" s="82">
        <f>F288</f>
        <v>2170900</v>
      </c>
    </row>
    <row r="288" spans="1:8" ht="36.700000000000003" outlineLevel="1" x14ac:dyDescent="0.25">
      <c r="A288" s="81" t="s">
        <v>15</v>
      </c>
      <c r="B288" s="80" t="s">
        <v>500</v>
      </c>
      <c r="C288" s="80" t="s">
        <v>62</v>
      </c>
      <c r="D288" s="80" t="s">
        <v>513</v>
      </c>
      <c r="E288" s="80" t="s">
        <v>16</v>
      </c>
      <c r="F288" s="82">
        <f>F289</f>
        <v>2170900</v>
      </c>
    </row>
    <row r="289" spans="1:8" ht="36.700000000000003" outlineLevel="1" x14ac:dyDescent="0.25">
      <c r="A289" s="81" t="s">
        <v>17</v>
      </c>
      <c r="B289" s="80" t="s">
        <v>500</v>
      </c>
      <c r="C289" s="80" t="s">
        <v>62</v>
      </c>
      <c r="D289" s="80" t="s">
        <v>513</v>
      </c>
      <c r="E289" s="80" t="s">
        <v>18</v>
      </c>
      <c r="F289" s="98">
        <f>'потребность 2023 (5)'!K291</f>
        <v>2170900</v>
      </c>
    </row>
    <row r="290" spans="1:8" ht="38.25" customHeight="1" outlineLevel="1" x14ac:dyDescent="0.25">
      <c r="A290" s="81" t="s">
        <v>514</v>
      </c>
      <c r="B290" s="80" t="s">
        <v>500</v>
      </c>
      <c r="C290" s="80" t="s">
        <v>62</v>
      </c>
      <c r="D290" s="80" t="s">
        <v>515</v>
      </c>
      <c r="E290" s="80" t="s">
        <v>6</v>
      </c>
      <c r="F290" s="82">
        <f>F291</f>
        <v>3348000</v>
      </c>
    </row>
    <row r="291" spans="1:8" ht="36.700000000000003" outlineLevel="1" x14ac:dyDescent="0.25">
      <c r="A291" s="81" t="s">
        <v>15</v>
      </c>
      <c r="B291" s="80" t="s">
        <v>500</v>
      </c>
      <c r="C291" s="80" t="s">
        <v>62</v>
      </c>
      <c r="D291" s="80" t="s">
        <v>515</v>
      </c>
      <c r="E291" s="80" t="s">
        <v>16</v>
      </c>
      <c r="F291" s="82">
        <f>F292</f>
        <v>3348000</v>
      </c>
    </row>
    <row r="292" spans="1:8" ht="36.700000000000003" outlineLevel="1" x14ac:dyDescent="0.25">
      <c r="A292" s="81" t="s">
        <v>17</v>
      </c>
      <c r="B292" s="80" t="s">
        <v>500</v>
      </c>
      <c r="C292" s="80" t="s">
        <v>62</v>
      </c>
      <c r="D292" s="80" t="s">
        <v>515</v>
      </c>
      <c r="E292" s="80" t="s">
        <v>18</v>
      </c>
      <c r="F292" s="98">
        <f>'потребность 2023 (5)'!K294</f>
        <v>3348000</v>
      </c>
    </row>
    <row r="293" spans="1:8" ht="36.700000000000003" outlineLevel="1" x14ac:dyDescent="0.25">
      <c r="A293" s="81" t="s">
        <v>516</v>
      </c>
      <c r="B293" s="80" t="s">
        <v>500</v>
      </c>
      <c r="C293" s="80" t="s">
        <v>62</v>
      </c>
      <c r="D293" s="80" t="s">
        <v>517</v>
      </c>
      <c r="E293" s="80" t="s">
        <v>6</v>
      </c>
      <c r="F293" s="82">
        <f>F294</f>
        <v>3635000</v>
      </c>
    </row>
    <row r="294" spans="1:8" ht="36.700000000000003" outlineLevel="1" x14ac:dyDescent="0.25">
      <c r="A294" s="81" t="s">
        <v>15</v>
      </c>
      <c r="B294" s="80" t="s">
        <v>500</v>
      </c>
      <c r="C294" s="80" t="s">
        <v>62</v>
      </c>
      <c r="D294" s="80" t="s">
        <v>517</v>
      </c>
      <c r="E294" s="80" t="s">
        <v>16</v>
      </c>
      <c r="F294" s="82">
        <f>F295</f>
        <v>3635000</v>
      </c>
    </row>
    <row r="295" spans="1:8" ht="36.700000000000003" outlineLevel="1" x14ac:dyDescent="0.25">
      <c r="A295" s="81" t="s">
        <v>17</v>
      </c>
      <c r="B295" s="80" t="s">
        <v>500</v>
      </c>
      <c r="C295" s="80" t="s">
        <v>62</v>
      </c>
      <c r="D295" s="80" t="s">
        <v>517</v>
      </c>
      <c r="E295" s="80" t="s">
        <v>18</v>
      </c>
      <c r="F295" s="98">
        <f>'потребность 2023 (5)'!K297</f>
        <v>3635000</v>
      </c>
    </row>
    <row r="296" spans="1:8" ht="36.700000000000003" outlineLevel="1" x14ac:dyDescent="0.25">
      <c r="A296" s="81" t="s">
        <v>706</v>
      </c>
      <c r="B296" s="80" t="s">
        <v>500</v>
      </c>
      <c r="C296" s="80" t="s">
        <v>62</v>
      </c>
      <c r="D296" s="80" t="s">
        <v>916</v>
      </c>
      <c r="E296" s="80" t="s">
        <v>6</v>
      </c>
      <c r="F296" s="98">
        <f>F297</f>
        <v>0</v>
      </c>
    </row>
    <row r="297" spans="1:8" ht="36.700000000000003" outlineLevel="1" x14ac:dyDescent="0.25">
      <c r="A297" s="81" t="s">
        <v>15</v>
      </c>
      <c r="B297" s="80" t="s">
        <v>500</v>
      </c>
      <c r="C297" s="80" t="s">
        <v>62</v>
      </c>
      <c r="D297" s="80" t="s">
        <v>916</v>
      </c>
      <c r="E297" s="80" t="s">
        <v>16</v>
      </c>
      <c r="F297" s="98">
        <f>F298</f>
        <v>0</v>
      </c>
    </row>
    <row r="298" spans="1:8" ht="36.700000000000003" outlineLevel="1" x14ac:dyDescent="0.25">
      <c r="A298" s="81" t="s">
        <v>17</v>
      </c>
      <c r="B298" s="80" t="s">
        <v>500</v>
      </c>
      <c r="C298" s="80" t="s">
        <v>62</v>
      </c>
      <c r="D298" s="80" t="s">
        <v>916</v>
      </c>
      <c r="E298" s="80" t="s">
        <v>18</v>
      </c>
      <c r="F298" s="98">
        <f>'потребность 2023 (5)'!K300</f>
        <v>0</v>
      </c>
    </row>
    <row r="299" spans="1:8" ht="36.700000000000003" outlineLevel="1" x14ac:dyDescent="0.25">
      <c r="A299" s="81" t="s">
        <v>682</v>
      </c>
      <c r="B299" s="80" t="s">
        <v>500</v>
      </c>
      <c r="C299" s="80" t="s">
        <v>62</v>
      </c>
      <c r="D299" s="80" t="s">
        <v>874</v>
      </c>
      <c r="E299" s="80" t="s">
        <v>6</v>
      </c>
      <c r="F299" s="82">
        <f>F300</f>
        <v>60606.06</v>
      </c>
    </row>
    <row r="300" spans="1:8" ht="36.700000000000003" outlineLevel="1" x14ac:dyDescent="0.25">
      <c r="A300" s="81" t="s">
        <v>15</v>
      </c>
      <c r="B300" s="80" t="s">
        <v>500</v>
      </c>
      <c r="C300" s="80" t="s">
        <v>62</v>
      </c>
      <c r="D300" s="80" t="s">
        <v>874</v>
      </c>
      <c r="E300" s="80" t="s">
        <v>16</v>
      </c>
      <c r="F300" s="82">
        <f>F301</f>
        <v>60606.06</v>
      </c>
    </row>
    <row r="301" spans="1:8" ht="36.700000000000003" outlineLevel="1" x14ac:dyDescent="0.25">
      <c r="A301" s="81" t="s">
        <v>17</v>
      </c>
      <c r="B301" s="80" t="s">
        <v>500</v>
      </c>
      <c r="C301" s="80" t="s">
        <v>62</v>
      </c>
      <c r="D301" s="80" t="s">
        <v>874</v>
      </c>
      <c r="E301" s="80" t="s">
        <v>18</v>
      </c>
      <c r="F301" s="98">
        <f>'потребность 2023 (5)'!K303</f>
        <v>60606.06</v>
      </c>
    </row>
    <row r="302" spans="1:8" s="172" customFormat="1" ht="55.05" outlineLevel="1" x14ac:dyDescent="0.25">
      <c r="A302" s="109" t="s">
        <v>518</v>
      </c>
      <c r="B302" s="110" t="s">
        <v>500</v>
      </c>
      <c r="C302" s="110" t="s">
        <v>62</v>
      </c>
      <c r="D302" s="110" t="s">
        <v>519</v>
      </c>
      <c r="E302" s="110" t="s">
        <v>6</v>
      </c>
      <c r="F302" s="82">
        <f>F303+F311</f>
        <v>12953164.92</v>
      </c>
      <c r="G302" s="171"/>
      <c r="H302" s="171"/>
    </row>
    <row r="303" spans="1:8" s="172" customFormat="1" ht="55.05" outlineLevel="1" x14ac:dyDescent="0.25">
      <c r="A303" s="109" t="s">
        <v>550</v>
      </c>
      <c r="B303" s="110" t="s">
        <v>500</v>
      </c>
      <c r="C303" s="110" t="s">
        <v>62</v>
      </c>
      <c r="D303" s="110" t="s">
        <v>551</v>
      </c>
      <c r="E303" s="110" t="s">
        <v>6</v>
      </c>
      <c r="F303" s="82">
        <f>F304+F308</f>
        <v>6970638.8700000001</v>
      </c>
      <c r="G303" s="171"/>
      <c r="H303" s="171"/>
    </row>
    <row r="304" spans="1:8" ht="36.700000000000003" outlineLevel="1" x14ac:dyDescent="0.25">
      <c r="A304" s="81" t="s">
        <v>1128</v>
      </c>
      <c r="B304" s="80" t="s">
        <v>500</v>
      </c>
      <c r="C304" s="80" t="s">
        <v>62</v>
      </c>
      <c r="D304" s="80" t="s">
        <v>552</v>
      </c>
      <c r="E304" s="80" t="s">
        <v>6</v>
      </c>
      <c r="F304" s="82">
        <f>F305</f>
        <v>6970638.8700000001</v>
      </c>
    </row>
    <row r="305" spans="1:8" ht="36.700000000000003" outlineLevel="1" x14ac:dyDescent="0.25">
      <c r="A305" s="81" t="s">
        <v>548</v>
      </c>
      <c r="B305" s="80" t="s">
        <v>500</v>
      </c>
      <c r="C305" s="80" t="s">
        <v>62</v>
      </c>
      <c r="D305" s="80" t="s">
        <v>553</v>
      </c>
      <c r="E305" s="80" t="s">
        <v>6</v>
      </c>
      <c r="F305" s="82">
        <f>F306</f>
        <v>6970638.8700000001</v>
      </c>
    </row>
    <row r="306" spans="1:8" ht="36.700000000000003" outlineLevel="1" x14ac:dyDescent="0.25">
      <c r="A306" s="81" t="s">
        <v>15</v>
      </c>
      <c r="B306" s="80" t="s">
        <v>500</v>
      </c>
      <c r="C306" s="80" t="s">
        <v>62</v>
      </c>
      <c r="D306" s="80" t="s">
        <v>553</v>
      </c>
      <c r="E306" s="80" t="s">
        <v>16</v>
      </c>
      <c r="F306" s="82">
        <f>F307</f>
        <v>6970638.8700000001</v>
      </c>
    </row>
    <row r="307" spans="1:8" ht="36.700000000000003" outlineLevel="1" x14ac:dyDescent="0.25">
      <c r="A307" s="81" t="s">
        <v>17</v>
      </c>
      <c r="B307" s="80" t="s">
        <v>500</v>
      </c>
      <c r="C307" s="80" t="s">
        <v>62</v>
      </c>
      <c r="D307" s="80" t="s">
        <v>553</v>
      </c>
      <c r="E307" s="80" t="s">
        <v>18</v>
      </c>
      <c r="F307" s="82">
        <f>'потребность 2023 (5)'!K309</f>
        <v>6970638.8700000001</v>
      </c>
    </row>
    <row r="308" spans="1:8" ht="36.700000000000003" outlineLevel="1" x14ac:dyDescent="0.25">
      <c r="A308" s="25" t="s">
        <v>680</v>
      </c>
      <c r="B308" s="80" t="s">
        <v>500</v>
      </c>
      <c r="C308" s="80" t="s">
        <v>62</v>
      </c>
      <c r="D308" s="80" t="s">
        <v>724</v>
      </c>
      <c r="E308" s="80" t="s">
        <v>6</v>
      </c>
      <c r="F308" s="82">
        <f>F309</f>
        <v>0</v>
      </c>
    </row>
    <row r="309" spans="1:8" ht="36.700000000000003" outlineLevel="1" x14ac:dyDescent="0.25">
      <c r="A309" s="81" t="s">
        <v>15</v>
      </c>
      <c r="B309" s="80" t="s">
        <v>500</v>
      </c>
      <c r="C309" s="80" t="s">
        <v>62</v>
      </c>
      <c r="D309" s="80" t="s">
        <v>724</v>
      </c>
      <c r="E309" s="80" t="s">
        <v>16</v>
      </c>
      <c r="F309" s="82">
        <f>F310</f>
        <v>0</v>
      </c>
    </row>
    <row r="310" spans="1:8" ht="36.700000000000003" outlineLevel="1" x14ac:dyDescent="0.25">
      <c r="A310" s="81" t="s">
        <v>17</v>
      </c>
      <c r="B310" s="80" t="s">
        <v>500</v>
      </c>
      <c r="C310" s="80" t="s">
        <v>62</v>
      </c>
      <c r="D310" s="80" t="s">
        <v>724</v>
      </c>
      <c r="E310" s="80" t="s">
        <v>18</v>
      </c>
      <c r="F310" s="82">
        <v>0</v>
      </c>
    </row>
    <row r="311" spans="1:8" s="172" customFormat="1" ht="36.700000000000003" outlineLevel="1" x14ac:dyDescent="0.25">
      <c r="A311" s="121" t="s">
        <v>554</v>
      </c>
      <c r="B311" s="80" t="s">
        <v>500</v>
      </c>
      <c r="C311" s="80" t="s">
        <v>62</v>
      </c>
      <c r="D311" s="110" t="s">
        <v>556</v>
      </c>
      <c r="E311" s="110" t="s">
        <v>6</v>
      </c>
      <c r="F311" s="82">
        <f t="shared" ref="F311:F317" si="1">F312</f>
        <v>5982526.0499999998</v>
      </c>
      <c r="G311" s="171"/>
      <c r="H311" s="171"/>
    </row>
    <row r="312" spans="1:8" s="172" customFormat="1" ht="36.700000000000003" outlineLevel="1" x14ac:dyDescent="0.25">
      <c r="A312" s="121" t="s">
        <v>555</v>
      </c>
      <c r="B312" s="80" t="s">
        <v>500</v>
      </c>
      <c r="C312" s="80" t="s">
        <v>62</v>
      </c>
      <c r="D312" s="110" t="s">
        <v>557</v>
      </c>
      <c r="E312" s="110" t="s">
        <v>6</v>
      </c>
      <c r="F312" s="85">
        <f>F313+F316+F319</f>
        <v>5982526.0499999998</v>
      </c>
      <c r="G312" s="171"/>
      <c r="H312" s="171"/>
    </row>
    <row r="313" spans="1:8" s="172" customFormat="1" ht="40.75" customHeight="1" outlineLevel="1" x14ac:dyDescent="0.25">
      <c r="A313" s="25" t="s">
        <v>1124</v>
      </c>
      <c r="B313" s="80" t="s">
        <v>500</v>
      </c>
      <c r="C313" s="80" t="s">
        <v>62</v>
      </c>
      <c r="D313" s="80" t="s">
        <v>587</v>
      </c>
      <c r="E313" s="80" t="s">
        <v>6</v>
      </c>
      <c r="F313" s="82">
        <f>F314</f>
        <v>5803050.2599999998</v>
      </c>
      <c r="G313" s="171"/>
      <c r="H313" s="171"/>
    </row>
    <row r="314" spans="1:8" s="172" customFormat="1" ht="36.700000000000003" outlineLevel="1" x14ac:dyDescent="0.25">
      <c r="A314" s="81" t="s">
        <v>15</v>
      </c>
      <c r="B314" s="80" t="s">
        <v>500</v>
      </c>
      <c r="C314" s="80" t="s">
        <v>62</v>
      </c>
      <c r="D314" s="80" t="s">
        <v>587</v>
      </c>
      <c r="E314" s="80" t="s">
        <v>16</v>
      </c>
      <c r="F314" s="82">
        <f>F315</f>
        <v>5803050.2599999998</v>
      </c>
      <c r="G314" s="171"/>
      <c r="H314" s="171"/>
    </row>
    <row r="315" spans="1:8" s="172" customFormat="1" ht="36.700000000000003" outlineLevel="1" x14ac:dyDescent="0.25">
      <c r="A315" s="81" t="s">
        <v>17</v>
      </c>
      <c r="B315" s="80" t="s">
        <v>500</v>
      </c>
      <c r="C315" s="80" t="s">
        <v>62</v>
      </c>
      <c r="D315" s="80" t="s">
        <v>587</v>
      </c>
      <c r="E315" s="80" t="s">
        <v>18</v>
      </c>
      <c r="F315" s="82">
        <f>'потребность 2023 (5)'!K317</f>
        <v>5803050.2599999998</v>
      </c>
      <c r="G315" s="171"/>
      <c r="H315" s="171"/>
    </row>
    <row r="316" spans="1:8" ht="40.75" customHeight="1" outlineLevel="1" x14ac:dyDescent="0.25">
      <c r="A316" s="25" t="s">
        <v>559</v>
      </c>
      <c r="B316" s="80" t="s">
        <v>500</v>
      </c>
      <c r="C316" s="80" t="s">
        <v>62</v>
      </c>
      <c r="D316" s="80" t="s">
        <v>558</v>
      </c>
      <c r="E316" s="80" t="s">
        <v>6</v>
      </c>
      <c r="F316" s="82">
        <f t="shared" si="1"/>
        <v>179475.78999999998</v>
      </c>
    </row>
    <row r="317" spans="1:8" ht="36.700000000000003" outlineLevel="1" x14ac:dyDescent="0.25">
      <c r="A317" s="81" t="s">
        <v>15</v>
      </c>
      <c r="B317" s="80" t="s">
        <v>500</v>
      </c>
      <c r="C317" s="80" t="s">
        <v>62</v>
      </c>
      <c r="D317" s="80" t="s">
        <v>558</v>
      </c>
      <c r="E317" s="80" t="s">
        <v>16</v>
      </c>
      <c r="F317" s="82">
        <f t="shared" si="1"/>
        <v>179475.78999999998</v>
      </c>
    </row>
    <row r="318" spans="1:8" ht="36.700000000000003" outlineLevel="1" x14ac:dyDescent="0.25">
      <c r="A318" s="81" t="s">
        <v>17</v>
      </c>
      <c r="B318" s="80" t="s">
        <v>500</v>
      </c>
      <c r="C318" s="80" t="s">
        <v>62</v>
      </c>
      <c r="D318" s="80" t="s">
        <v>558</v>
      </c>
      <c r="E318" s="80" t="s">
        <v>18</v>
      </c>
      <c r="F318" s="98">
        <f>'потребность 2023 (5)'!K320</f>
        <v>179475.78999999998</v>
      </c>
    </row>
    <row r="319" spans="1:8" ht="36.700000000000003" outlineLevel="1" x14ac:dyDescent="0.25">
      <c r="A319" s="81" t="s">
        <v>680</v>
      </c>
      <c r="B319" s="80" t="s">
        <v>500</v>
      </c>
      <c r="C319" s="80" t="s">
        <v>62</v>
      </c>
      <c r="D319" s="80" t="s">
        <v>679</v>
      </c>
      <c r="E319" s="80" t="s">
        <v>6</v>
      </c>
      <c r="F319" s="82">
        <f>F320</f>
        <v>0</v>
      </c>
    </row>
    <row r="320" spans="1:8" ht="36.700000000000003" outlineLevel="1" x14ac:dyDescent="0.25">
      <c r="A320" s="81" t="s">
        <v>15</v>
      </c>
      <c r="B320" s="80" t="s">
        <v>500</v>
      </c>
      <c r="C320" s="80" t="s">
        <v>62</v>
      </c>
      <c r="D320" s="80" t="s">
        <v>679</v>
      </c>
      <c r="E320" s="80" t="s">
        <v>16</v>
      </c>
      <c r="F320" s="82">
        <f>F321</f>
        <v>0</v>
      </c>
    </row>
    <row r="321" spans="1:8" ht="38.25" customHeight="1" outlineLevel="1" x14ac:dyDescent="0.25">
      <c r="A321" s="81" t="s">
        <v>17</v>
      </c>
      <c r="B321" s="80" t="s">
        <v>500</v>
      </c>
      <c r="C321" s="80" t="s">
        <v>62</v>
      </c>
      <c r="D321" s="80" t="s">
        <v>679</v>
      </c>
      <c r="E321" s="80" t="s">
        <v>18</v>
      </c>
      <c r="F321" s="98">
        <v>0</v>
      </c>
    </row>
    <row r="322" spans="1:8" outlineLevel="1" x14ac:dyDescent="0.25">
      <c r="A322" s="81" t="s">
        <v>292</v>
      </c>
      <c r="B322" s="80" t="s">
        <v>500</v>
      </c>
      <c r="C322" s="80" t="s">
        <v>293</v>
      </c>
      <c r="D322" s="80" t="s">
        <v>126</v>
      </c>
      <c r="E322" s="80" t="s">
        <v>6</v>
      </c>
      <c r="F322" s="98">
        <f>F323</f>
        <v>3059819.92</v>
      </c>
    </row>
    <row r="323" spans="1:8" ht="55.05" outlineLevel="1" x14ac:dyDescent="0.25">
      <c r="A323" s="109" t="s">
        <v>843</v>
      </c>
      <c r="B323" s="110" t="s">
        <v>500</v>
      </c>
      <c r="C323" s="110" t="s">
        <v>293</v>
      </c>
      <c r="D323" s="110" t="s">
        <v>134</v>
      </c>
      <c r="E323" s="110" t="s">
        <v>6</v>
      </c>
      <c r="F323" s="122">
        <f>F324</f>
        <v>3059819.92</v>
      </c>
    </row>
    <row r="324" spans="1:8" ht="36.700000000000003" outlineLevel="1" x14ac:dyDescent="0.25">
      <c r="A324" s="81" t="s">
        <v>844</v>
      </c>
      <c r="B324" s="80" t="s">
        <v>500</v>
      </c>
      <c r="C324" s="80" t="s">
        <v>293</v>
      </c>
      <c r="D324" s="80" t="s">
        <v>350</v>
      </c>
      <c r="E324" s="80" t="s">
        <v>6</v>
      </c>
      <c r="F324" s="98">
        <f>F325+F328</f>
        <v>3059819.92</v>
      </c>
    </row>
    <row r="325" spans="1:8" ht="26.5" customHeight="1" outlineLevel="1" x14ac:dyDescent="0.25">
      <c r="A325" s="100" t="s">
        <v>1090</v>
      </c>
      <c r="B325" s="80" t="s">
        <v>500</v>
      </c>
      <c r="C325" s="80" t="s">
        <v>293</v>
      </c>
      <c r="D325" s="80" t="s">
        <v>588</v>
      </c>
      <c r="E325" s="80" t="s">
        <v>6</v>
      </c>
      <c r="F325" s="98">
        <f>F326</f>
        <v>2759819.92</v>
      </c>
    </row>
    <row r="326" spans="1:8" outlineLevel="1" x14ac:dyDescent="0.25">
      <c r="A326" s="81" t="s">
        <v>19</v>
      </c>
      <c r="B326" s="80" t="s">
        <v>500</v>
      </c>
      <c r="C326" s="80" t="s">
        <v>293</v>
      </c>
      <c r="D326" s="80" t="s">
        <v>588</v>
      </c>
      <c r="E326" s="80" t="s">
        <v>20</v>
      </c>
      <c r="F326" s="98">
        <f>F327</f>
        <v>2759819.92</v>
      </c>
    </row>
    <row r="327" spans="1:8" ht="55.05" outlineLevel="1" x14ac:dyDescent="0.25">
      <c r="A327" s="81" t="s">
        <v>47</v>
      </c>
      <c r="B327" s="80" t="s">
        <v>500</v>
      </c>
      <c r="C327" s="80" t="s">
        <v>293</v>
      </c>
      <c r="D327" s="80" t="s">
        <v>588</v>
      </c>
      <c r="E327" s="80" t="s">
        <v>48</v>
      </c>
      <c r="F327" s="98">
        <f>'потребность 2023 (5)'!K329</f>
        <v>2759819.92</v>
      </c>
    </row>
    <row r="328" spans="1:8" s="172" customFormat="1" ht="42.8" customHeight="1" outlineLevel="1" x14ac:dyDescent="0.25">
      <c r="A328" s="81" t="s">
        <v>306</v>
      </c>
      <c r="B328" s="80" t="s">
        <v>500</v>
      </c>
      <c r="C328" s="80" t="s">
        <v>293</v>
      </c>
      <c r="D328" s="80" t="s">
        <v>357</v>
      </c>
      <c r="E328" s="80" t="s">
        <v>6</v>
      </c>
      <c r="F328" s="98">
        <f>F329</f>
        <v>300000</v>
      </c>
      <c r="G328" s="171"/>
      <c r="H328" s="171"/>
    </row>
    <row r="329" spans="1:8" outlineLevel="2" x14ac:dyDescent="0.25">
      <c r="A329" s="81" t="s">
        <v>19</v>
      </c>
      <c r="B329" s="80" t="s">
        <v>500</v>
      </c>
      <c r="C329" s="80" t="s">
        <v>293</v>
      </c>
      <c r="D329" s="80" t="s">
        <v>357</v>
      </c>
      <c r="E329" s="80" t="s">
        <v>20</v>
      </c>
      <c r="F329" s="98">
        <f>F330</f>
        <v>300000</v>
      </c>
    </row>
    <row r="330" spans="1:8" s="172" customFormat="1" ht="59.3" customHeight="1" outlineLevel="3" x14ac:dyDescent="0.25">
      <c r="A330" s="81" t="s">
        <v>47</v>
      </c>
      <c r="B330" s="80" t="s">
        <v>500</v>
      </c>
      <c r="C330" s="80" t="s">
        <v>293</v>
      </c>
      <c r="D330" s="80" t="s">
        <v>357</v>
      </c>
      <c r="E330" s="80" t="s">
        <v>48</v>
      </c>
      <c r="F330" s="131">
        <f>'потребность 2023 (5)'!K332</f>
        <v>300000</v>
      </c>
      <c r="G330" s="171"/>
      <c r="H330" s="171"/>
    </row>
    <row r="331" spans="1:8" ht="27" customHeight="1" outlineLevel="3" x14ac:dyDescent="0.25">
      <c r="A331" s="109" t="s">
        <v>64</v>
      </c>
      <c r="B331" s="80" t="s">
        <v>500</v>
      </c>
      <c r="C331" s="110" t="s">
        <v>65</v>
      </c>
      <c r="D331" s="110" t="s">
        <v>126</v>
      </c>
      <c r="E331" s="110" t="s">
        <v>6</v>
      </c>
      <c r="F331" s="85">
        <f>F332</f>
        <v>515000</v>
      </c>
    </row>
    <row r="332" spans="1:8" ht="23.3" customHeight="1" outlineLevel="3" x14ac:dyDescent="0.25">
      <c r="A332" s="81" t="s">
        <v>66</v>
      </c>
      <c r="B332" s="80" t="s">
        <v>500</v>
      </c>
      <c r="C332" s="80" t="s">
        <v>67</v>
      </c>
      <c r="D332" s="80" t="s">
        <v>126</v>
      </c>
      <c r="E332" s="80" t="s">
        <v>6</v>
      </c>
      <c r="F332" s="82">
        <f>F333+F342</f>
        <v>515000</v>
      </c>
    </row>
    <row r="333" spans="1:8" ht="43.5" customHeight="1" outlineLevel="3" x14ac:dyDescent="0.25">
      <c r="A333" s="109" t="s">
        <v>841</v>
      </c>
      <c r="B333" s="110" t="s">
        <v>500</v>
      </c>
      <c r="C333" s="110" t="s">
        <v>67</v>
      </c>
      <c r="D333" s="110" t="s">
        <v>135</v>
      </c>
      <c r="E333" s="110" t="s">
        <v>6</v>
      </c>
      <c r="F333" s="85">
        <f>F334+F338</f>
        <v>470000</v>
      </c>
    </row>
    <row r="334" spans="1:8" ht="62.5" customHeight="1" outlineLevel="3" x14ac:dyDescent="0.25">
      <c r="A334" s="81" t="s">
        <v>842</v>
      </c>
      <c r="B334" s="80" t="s">
        <v>500</v>
      </c>
      <c r="C334" s="80" t="s">
        <v>67</v>
      </c>
      <c r="D334" s="80" t="s">
        <v>392</v>
      </c>
      <c r="E334" s="80" t="s">
        <v>6</v>
      </c>
      <c r="F334" s="82">
        <f>F335</f>
        <v>440000</v>
      </c>
    </row>
    <row r="335" spans="1:8" ht="30.25" customHeight="1" outlineLevel="7" x14ac:dyDescent="0.25">
      <c r="A335" s="81" t="s">
        <v>244</v>
      </c>
      <c r="B335" s="80" t="s">
        <v>500</v>
      </c>
      <c r="C335" s="80" t="s">
        <v>67</v>
      </c>
      <c r="D335" s="80" t="s">
        <v>361</v>
      </c>
      <c r="E335" s="80" t="s">
        <v>6</v>
      </c>
      <c r="F335" s="82">
        <f>F336</f>
        <v>440000</v>
      </c>
    </row>
    <row r="336" spans="1:8" ht="25.5" customHeight="1" outlineLevel="5" x14ac:dyDescent="0.25">
      <c r="A336" s="81" t="s">
        <v>15</v>
      </c>
      <c r="B336" s="80" t="s">
        <v>500</v>
      </c>
      <c r="C336" s="80" t="s">
        <v>67</v>
      </c>
      <c r="D336" s="80" t="s">
        <v>361</v>
      </c>
      <c r="E336" s="80" t="s">
        <v>16</v>
      </c>
      <c r="F336" s="82">
        <f>F337</f>
        <v>440000</v>
      </c>
    </row>
    <row r="337" spans="1:8" ht="36.700000000000003" outlineLevel="6" x14ac:dyDescent="0.25">
      <c r="A337" s="81" t="s">
        <v>17</v>
      </c>
      <c r="B337" s="80" t="s">
        <v>500</v>
      </c>
      <c r="C337" s="80" t="s">
        <v>67</v>
      </c>
      <c r="D337" s="80" t="s">
        <v>361</v>
      </c>
      <c r="E337" s="80" t="s">
        <v>18</v>
      </c>
      <c r="F337" s="82">
        <f>'потребность 2023 (5)'!K339</f>
        <v>440000</v>
      </c>
    </row>
    <row r="338" spans="1:8" ht="44.5" customHeight="1" outlineLevel="7" x14ac:dyDescent="0.25">
      <c r="A338" s="81" t="s">
        <v>362</v>
      </c>
      <c r="B338" s="80" t="s">
        <v>500</v>
      </c>
      <c r="C338" s="80" t="s">
        <v>67</v>
      </c>
      <c r="D338" s="80" t="s">
        <v>246</v>
      </c>
      <c r="E338" s="80" t="s">
        <v>6</v>
      </c>
      <c r="F338" s="98">
        <f>F339</f>
        <v>30000</v>
      </c>
    </row>
    <row r="339" spans="1:8" s="172" customFormat="1" ht="27" customHeight="1" outlineLevel="3" x14ac:dyDescent="0.25">
      <c r="A339" s="81" t="s">
        <v>68</v>
      </c>
      <c r="B339" s="80" t="s">
        <v>500</v>
      </c>
      <c r="C339" s="80" t="s">
        <v>67</v>
      </c>
      <c r="D339" s="80" t="s">
        <v>245</v>
      </c>
      <c r="E339" s="80" t="s">
        <v>6</v>
      </c>
      <c r="F339" s="82">
        <f>F340</f>
        <v>30000</v>
      </c>
      <c r="G339" s="171"/>
      <c r="H339" s="171"/>
    </row>
    <row r="340" spans="1:8" ht="36.700000000000003" outlineLevel="5" x14ac:dyDescent="0.25">
      <c r="A340" s="81" t="s">
        <v>15</v>
      </c>
      <c r="B340" s="80" t="s">
        <v>500</v>
      </c>
      <c r="C340" s="80" t="s">
        <v>67</v>
      </c>
      <c r="D340" s="80" t="s">
        <v>245</v>
      </c>
      <c r="E340" s="80" t="s">
        <v>16</v>
      </c>
      <c r="F340" s="82">
        <f>F341</f>
        <v>30000</v>
      </c>
    </row>
    <row r="341" spans="1:8" ht="36.700000000000003" outlineLevel="5" x14ac:dyDescent="0.25">
      <c r="A341" s="81" t="s">
        <v>17</v>
      </c>
      <c r="B341" s="80" t="s">
        <v>500</v>
      </c>
      <c r="C341" s="80" t="s">
        <v>67</v>
      </c>
      <c r="D341" s="80" t="s">
        <v>245</v>
      </c>
      <c r="E341" s="80" t="s">
        <v>18</v>
      </c>
      <c r="F341" s="82">
        <f>'потребность 2023 (5)'!K343</f>
        <v>30000</v>
      </c>
    </row>
    <row r="342" spans="1:8" ht="73.400000000000006" outlineLevel="6" x14ac:dyDescent="0.25">
      <c r="A342" s="109" t="s">
        <v>840</v>
      </c>
      <c r="B342" s="110" t="s">
        <v>500</v>
      </c>
      <c r="C342" s="110" t="s">
        <v>67</v>
      </c>
      <c r="D342" s="110" t="s">
        <v>363</v>
      </c>
      <c r="E342" s="110" t="s">
        <v>6</v>
      </c>
      <c r="F342" s="85">
        <f>F343</f>
        <v>45000</v>
      </c>
    </row>
    <row r="343" spans="1:8" ht="41.3" customHeight="1" outlineLevel="7" x14ac:dyDescent="0.25">
      <c r="A343" s="81" t="s">
        <v>364</v>
      </c>
      <c r="B343" s="80" t="s">
        <v>500</v>
      </c>
      <c r="C343" s="80" t="s">
        <v>67</v>
      </c>
      <c r="D343" s="80" t="s">
        <v>365</v>
      </c>
      <c r="E343" s="80" t="s">
        <v>6</v>
      </c>
      <c r="F343" s="82">
        <f>F345</f>
        <v>45000</v>
      </c>
    </row>
    <row r="344" spans="1:8" s="172" customFormat="1" outlineLevel="1" x14ac:dyDescent="0.25">
      <c r="A344" s="81" t="s">
        <v>366</v>
      </c>
      <c r="B344" s="80" t="s">
        <v>500</v>
      </c>
      <c r="C344" s="80" t="s">
        <v>67</v>
      </c>
      <c r="D344" s="80" t="s">
        <v>367</v>
      </c>
      <c r="E344" s="80" t="s">
        <v>6</v>
      </c>
      <c r="F344" s="82">
        <f>F345</f>
        <v>45000</v>
      </c>
      <c r="G344" s="171"/>
      <c r="H344" s="171"/>
    </row>
    <row r="345" spans="1:8" ht="36.700000000000003" outlineLevel="2" x14ac:dyDescent="0.25">
      <c r="A345" s="81" t="s">
        <v>15</v>
      </c>
      <c r="B345" s="80" t="s">
        <v>500</v>
      </c>
      <c r="C345" s="80" t="s">
        <v>67</v>
      </c>
      <c r="D345" s="80" t="s">
        <v>367</v>
      </c>
      <c r="E345" s="80" t="s">
        <v>16</v>
      </c>
      <c r="F345" s="82">
        <f>F346</f>
        <v>45000</v>
      </c>
    </row>
    <row r="346" spans="1:8" s="172" customFormat="1" ht="36.700000000000003" outlineLevel="3" x14ac:dyDescent="0.25">
      <c r="A346" s="81" t="s">
        <v>17</v>
      </c>
      <c r="B346" s="80" t="s">
        <v>500</v>
      </c>
      <c r="C346" s="80" t="s">
        <v>67</v>
      </c>
      <c r="D346" s="80" t="s">
        <v>367</v>
      </c>
      <c r="E346" s="80" t="s">
        <v>18</v>
      </c>
      <c r="F346" s="98">
        <f>'потребность 2023 (5)'!K348</f>
        <v>45000</v>
      </c>
      <c r="G346" s="171"/>
      <c r="H346" s="171"/>
    </row>
    <row r="347" spans="1:8" outlineLevel="3" x14ac:dyDescent="0.25">
      <c r="A347" s="109" t="s">
        <v>69</v>
      </c>
      <c r="B347" s="110" t="s">
        <v>500</v>
      </c>
      <c r="C347" s="110" t="s">
        <v>70</v>
      </c>
      <c r="D347" s="110" t="s">
        <v>126</v>
      </c>
      <c r="E347" s="110" t="s">
        <v>6</v>
      </c>
      <c r="F347" s="85">
        <f t="shared" ref="F347:F352" si="2">F348</f>
        <v>24429915.369999997</v>
      </c>
    </row>
    <row r="348" spans="1:8" outlineLevel="5" x14ac:dyDescent="0.25">
      <c r="A348" s="81" t="s">
        <v>257</v>
      </c>
      <c r="B348" s="80" t="s">
        <v>500</v>
      </c>
      <c r="C348" s="80" t="s">
        <v>256</v>
      </c>
      <c r="D348" s="80" t="s">
        <v>126</v>
      </c>
      <c r="E348" s="80" t="s">
        <v>6</v>
      </c>
      <c r="F348" s="82">
        <f t="shared" si="2"/>
        <v>24429915.369999997</v>
      </c>
    </row>
    <row r="349" spans="1:8" ht="36.700000000000003" outlineLevel="6" x14ac:dyDescent="0.25">
      <c r="A349" s="109" t="s">
        <v>839</v>
      </c>
      <c r="B349" s="110" t="s">
        <v>500</v>
      </c>
      <c r="C349" s="110" t="s">
        <v>256</v>
      </c>
      <c r="D349" s="110" t="s">
        <v>136</v>
      </c>
      <c r="E349" s="110" t="s">
        <v>6</v>
      </c>
      <c r="F349" s="85">
        <f>F350+F357</f>
        <v>24429915.369999997</v>
      </c>
    </row>
    <row r="350" spans="1:8" ht="36.700000000000003" outlineLevel="7" x14ac:dyDescent="0.3">
      <c r="A350" s="123" t="s">
        <v>368</v>
      </c>
      <c r="B350" s="80" t="s">
        <v>500</v>
      </c>
      <c r="C350" s="80" t="s">
        <v>256</v>
      </c>
      <c r="D350" s="80" t="s">
        <v>228</v>
      </c>
      <c r="E350" s="80" t="s">
        <v>6</v>
      </c>
      <c r="F350" s="82">
        <f>F351+F354+F361</f>
        <v>19926134.469999999</v>
      </c>
    </row>
    <row r="351" spans="1:8" ht="36.700000000000003" outlineLevel="7" x14ac:dyDescent="0.25">
      <c r="A351" s="81" t="s">
        <v>73</v>
      </c>
      <c r="B351" s="80" t="s">
        <v>500</v>
      </c>
      <c r="C351" s="80" t="s">
        <v>256</v>
      </c>
      <c r="D351" s="80" t="s">
        <v>137</v>
      </c>
      <c r="E351" s="80" t="s">
        <v>6</v>
      </c>
      <c r="F351" s="82">
        <f t="shared" si="2"/>
        <v>19827021.469999999</v>
      </c>
    </row>
    <row r="352" spans="1:8" ht="36.700000000000003" outlineLevel="7" x14ac:dyDescent="0.25">
      <c r="A352" s="81" t="s">
        <v>37</v>
      </c>
      <c r="B352" s="80" t="s">
        <v>500</v>
      </c>
      <c r="C352" s="80" t="s">
        <v>256</v>
      </c>
      <c r="D352" s="80" t="s">
        <v>137</v>
      </c>
      <c r="E352" s="80" t="s">
        <v>38</v>
      </c>
      <c r="F352" s="82">
        <f t="shared" si="2"/>
        <v>19827021.469999999</v>
      </c>
    </row>
    <row r="353" spans="1:8" outlineLevel="7" x14ac:dyDescent="0.3">
      <c r="A353" s="123" t="s">
        <v>74</v>
      </c>
      <c r="B353" s="80" t="s">
        <v>500</v>
      </c>
      <c r="C353" s="80" t="s">
        <v>256</v>
      </c>
      <c r="D353" s="80" t="s">
        <v>137</v>
      </c>
      <c r="E353" s="80" t="s">
        <v>75</v>
      </c>
      <c r="F353" s="82">
        <f>'потребность 2023 (5)'!K355</f>
        <v>19827021.469999999</v>
      </c>
    </row>
    <row r="354" spans="1:8" ht="75.400000000000006" customHeight="1" outlineLevel="7" x14ac:dyDescent="0.25">
      <c r="A354" s="81" t="s">
        <v>710</v>
      </c>
      <c r="B354" s="80" t="s">
        <v>500</v>
      </c>
      <c r="C354" s="80" t="s">
        <v>256</v>
      </c>
      <c r="D354" s="80" t="s">
        <v>711</v>
      </c>
      <c r="E354" s="80" t="s">
        <v>6</v>
      </c>
      <c r="F354" s="82">
        <f>F355</f>
        <v>99113</v>
      </c>
    </row>
    <row r="355" spans="1:8" s="172" customFormat="1" ht="36.700000000000003" outlineLevel="1" x14ac:dyDescent="0.25">
      <c r="A355" s="81" t="s">
        <v>37</v>
      </c>
      <c r="B355" s="80" t="s">
        <v>500</v>
      </c>
      <c r="C355" s="80" t="s">
        <v>256</v>
      </c>
      <c r="D355" s="80" t="s">
        <v>711</v>
      </c>
      <c r="E355" s="80" t="s">
        <v>38</v>
      </c>
      <c r="F355" s="82">
        <f>F356</f>
        <v>99113</v>
      </c>
      <c r="G355" s="171"/>
      <c r="H355" s="171"/>
    </row>
    <row r="356" spans="1:8" ht="29.25" customHeight="1" outlineLevel="2" x14ac:dyDescent="0.3">
      <c r="A356" s="123" t="s">
        <v>74</v>
      </c>
      <c r="B356" s="80" t="s">
        <v>500</v>
      </c>
      <c r="C356" s="80" t="s">
        <v>256</v>
      </c>
      <c r="D356" s="80" t="s">
        <v>711</v>
      </c>
      <c r="E356" s="80" t="s">
        <v>75</v>
      </c>
      <c r="F356" s="82">
        <f>'потребность 2023 (5)'!K358</f>
        <v>99113</v>
      </c>
    </row>
    <row r="357" spans="1:8" s="172" customFormat="1" outlineLevel="3" x14ac:dyDescent="0.25">
      <c r="A357" s="121" t="s">
        <v>1057</v>
      </c>
      <c r="B357" s="110" t="s">
        <v>500</v>
      </c>
      <c r="C357" s="110" t="s">
        <v>256</v>
      </c>
      <c r="D357" s="110" t="s">
        <v>598</v>
      </c>
      <c r="E357" s="110" t="s">
        <v>6</v>
      </c>
      <c r="F357" s="82">
        <f>F358</f>
        <v>4503780.8999999994</v>
      </c>
      <c r="G357" s="171"/>
      <c r="H357" s="171"/>
    </row>
    <row r="358" spans="1:8" ht="66.599999999999994" customHeight="1" outlineLevel="3" x14ac:dyDescent="0.3">
      <c r="A358" s="438" t="s">
        <v>984</v>
      </c>
      <c r="B358" s="80" t="s">
        <v>500</v>
      </c>
      <c r="C358" s="80" t="s">
        <v>256</v>
      </c>
      <c r="D358" s="595" t="s">
        <v>599</v>
      </c>
      <c r="E358" s="80" t="s">
        <v>6</v>
      </c>
      <c r="F358" s="82">
        <f>F359</f>
        <v>4503780.8999999994</v>
      </c>
    </row>
    <row r="359" spans="1:8" ht="34" outlineLevel="7" x14ac:dyDescent="0.3">
      <c r="A359" s="438" t="s">
        <v>37</v>
      </c>
      <c r="B359" s="80" t="s">
        <v>500</v>
      </c>
      <c r="C359" s="80" t="s">
        <v>256</v>
      </c>
      <c r="D359" s="595" t="s">
        <v>599</v>
      </c>
      <c r="E359" s="80" t="s">
        <v>38</v>
      </c>
      <c r="F359" s="82">
        <f>F360</f>
        <v>4503780.8999999994</v>
      </c>
    </row>
    <row r="360" spans="1:8" outlineLevel="7" x14ac:dyDescent="0.3">
      <c r="A360" s="438" t="s">
        <v>74</v>
      </c>
      <c r="B360" s="80" t="s">
        <v>500</v>
      </c>
      <c r="C360" s="80" t="s">
        <v>256</v>
      </c>
      <c r="D360" s="595" t="s">
        <v>599</v>
      </c>
      <c r="E360" s="80" t="s">
        <v>75</v>
      </c>
      <c r="F360" s="82">
        <f>'потребность 2023 (5)'!K369</f>
        <v>4503780.8999999994</v>
      </c>
    </row>
    <row r="361" spans="1:8" ht="36.700000000000003" outlineLevel="7" x14ac:dyDescent="0.3">
      <c r="A361" s="272" t="s">
        <v>937</v>
      </c>
      <c r="B361" s="80" t="s">
        <v>500</v>
      </c>
      <c r="C361" s="80" t="s">
        <v>256</v>
      </c>
      <c r="D361" s="641">
        <v>292270100</v>
      </c>
      <c r="E361" s="80" t="s">
        <v>6</v>
      </c>
      <c r="F361" s="82">
        <f>F362</f>
        <v>0</v>
      </c>
    </row>
    <row r="362" spans="1:8" ht="36.700000000000003" outlineLevel="7" x14ac:dyDescent="0.25">
      <c r="A362" s="81" t="s">
        <v>37</v>
      </c>
      <c r="B362" s="80" t="s">
        <v>500</v>
      </c>
      <c r="C362" s="80" t="s">
        <v>256</v>
      </c>
      <c r="D362" s="641">
        <v>292270100</v>
      </c>
      <c r="E362" s="80" t="s">
        <v>38</v>
      </c>
      <c r="F362" s="82">
        <f>F363</f>
        <v>0</v>
      </c>
    </row>
    <row r="363" spans="1:8" outlineLevel="7" x14ac:dyDescent="0.25">
      <c r="A363" s="81" t="s">
        <v>74</v>
      </c>
      <c r="B363" s="80" t="s">
        <v>500</v>
      </c>
      <c r="C363" s="80" t="s">
        <v>256</v>
      </c>
      <c r="D363" s="641">
        <v>292270100</v>
      </c>
      <c r="E363" s="80" t="s">
        <v>75</v>
      </c>
      <c r="F363" s="82">
        <v>0</v>
      </c>
    </row>
    <row r="364" spans="1:8" outlineLevel="7" x14ac:dyDescent="0.25">
      <c r="A364" s="109" t="s">
        <v>79</v>
      </c>
      <c r="B364" s="110" t="s">
        <v>500</v>
      </c>
      <c r="C364" s="110" t="s">
        <v>80</v>
      </c>
      <c r="D364" s="110" t="s">
        <v>126</v>
      </c>
      <c r="E364" s="110" t="s">
        <v>6</v>
      </c>
      <c r="F364" s="85">
        <f>F365+F389</f>
        <v>43194170.600000001</v>
      </c>
    </row>
    <row r="365" spans="1:8" outlineLevel="7" x14ac:dyDescent="0.25">
      <c r="A365" s="81" t="s">
        <v>81</v>
      </c>
      <c r="B365" s="80" t="s">
        <v>500</v>
      </c>
      <c r="C365" s="80" t="s">
        <v>82</v>
      </c>
      <c r="D365" s="80" t="s">
        <v>126</v>
      </c>
      <c r="E365" s="80" t="s">
        <v>6</v>
      </c>
      <c r="F365" s="82">
        <f>F366</f>
        <v>37521560.649999999</v>
      </c>
    </row>
    <row r="366" spans="1:8" ht="36.700000000000003" outlineLevel="7" x14ac:dyDescent="0.25">
      <c r="A366" s="109" t="s">
        <v>839</v>
      </c>
      <c r="B366" s="110" t="s">
        <v>500</v>
      </c>
      <c r="C366" s="110" t="s">
        <v>82</v>
      </c>
      <c r="D366" s="110" t="s">
        <v>136</v>
      </c>
      <c r="E366" s="110" t="s">
        <v>6</v>
      </c>
      <c r="F366" s="85">
        <f>F367+F381+F377</f>
        <v>37521560.649999999</v>
      </c>
    </row>
    <row r="367" spans="1:8" ht="36.700000000000003" outlineLevel="7" x14ac:dyDescent="0.25">
      <c r="A367" s="81" t="s">
        <v>370</v>
      </c>
      <c r="B367" s="80" t="s">
        <v>500</v>
      </c>
      <c r="C367" s="80" t="s">
        <v>82</v>
      </c>
      <c r="D367" s="80" t="s">
        <v>227</v>
      </c>
      <c r="E367" s="80" t="s">
        <v>6</v>
      </c>
      <c r="F367" s="82">
        <f>F368+F371+F374</f>
        <v>10510329.949999999</v>
      </c>
    </row>
    <row r="368" spans="1:8" ht="36.700000000000003" outlineLevel="7" x14ac:dyDescent="0.25">
      <c r="A368" s="25" t="s">
        <v>84</v>
      </c>
      <c r="B368" s="80" t="s">
        <v>500</v>
      </c>
      <c r="C368" s="80" t="s">
        <v>82</v>
      </c>
      <c r="D368" s="80" t="s">
        <v>141</v>
      </c>
      <c r="E368" s="80" t="s">
        <v>6</v>
      </c>
      <c r="F368" s="82">
        <f>F369</f>
        <v>10337128.92</v>
      </c>
    </row>
    <row r="369" spans="1:8" ht="36.700000000000003" outlineLevel="7" x14ac:dyDescent="0.25">
      <c r="A369" s="81" t="s">
        <v>37</v>
      </c>
      <c r="B369" s="80" t="s">
        <v>500</v>
      </c>
      <c r="C369" s="80" t="s">
        <v>82</v>
      </c>
      <c r="D369" s="80" t="s">
        <v>141</v>
      </c>
      <c r="E369" s="80" t="s">
        <v>38</v>
      </c>
      <c r="F369" s="82">
        <f>F370</f>
        <v>10337128.92</v>
      </c>
    </row>
    <row r="370" spans="1:8" outlineLevel="7" x14ac:dyDescent="0.25">
      <c r="A370" s="81" t="s">
        <v>74</v>
      </c>
      <c r="B370" s="80" t="s">
        <v>500</v>
      </c>
      <c r="C370" s="80" t="s">
        <v>82</v>
      </c>
      <c r="D370" s="80" t="s">
        <v>141</v>
      </c>
      <c r="E370" s="80" t="s">
        <v>75</v>
      </c>
      <c r="F370" s="131">
        <f>'потребность 2023 (5)'!K376</f>
        <v>10337128.92</v>
      </c>
    </row>
    <row r="371" spans="1:8" ht="44.15" customHeight="1" outlineLevel="7" x14ac:dyDescent="0.3">
      <c r="A371" s="393" t="s">
        <v>985</v>
      </c>
      <c r="B371" s="80" t="s">
        <v>500</v>
      </c>
      <c r="C371" s="80" t="s">
        <v>82</v>
      </c>
      <c r="D371" s="595" t="s">
        <v>294</v>
      </c>
      <c r="E371" s="645" t="s">
        <v>6</v>
      </c>
      <c r="F371" s="131">
        <f>F372</f>
        <v>168005</v>
      </c>
    </row>
    <row r="372" spans="1:8" ht="34" outlineLevel="7" x14ac:dyDescent="0.3">
      <c r="A372" s="438" t="s">
        <v>37</v>
      </c>
      <c r="B372" s="80" t="s">
        <v>500</v>
      </c>
      <c r="C372" s="80" t="s">
        <v>82</v>
      </c>
      <c r="D372" s="595" t="s">
        <v>294</v>
      </c>
      <c r="E372" s="645" t="s">
        <v>38</v>
      </c>
      <c r="F372" s="131">
        <f>F373</f>
        <v>168005</v>
      </c>
    </row>
    <row r="373" spans="1:8" outlineLevel="7" x14ac:dyDescent="0.3">
      <c r="A373" s="438" t="s">
        <v>74</v>
      </c>
      <c r="B373" s="80" t="s">
        <v>500</v>
      </c>
      <c r="C373" s="80" t="s">
        <v>82</v>
      </c>
      <c r="D373" s="595" t="s">
        <v>294</v>
      </c>
      <c r="E373" s="645" t="s">
        <v>75</v>
      </c>
      <c r="F373" s="131">
        <f>'потребность 2023 (5)'!K379</f>
        <v>168005</v>
      </c>
    </row>
    <row r="374" spans="1:8" ht="50.95" outlineLevel="7" x14ac:dyDescent="0.3">
      <c r="A374" s="438" t="s">
        <v>307</v>
      </c>
      <c r="B374" s="80" t="s">
        <v>500</v>
      </c>
      <c r="C374" s="80" t="s">
        <v>82</v>
      </c>
      <c r="D374" s="595" t="s">
        <v>308</v>
      </c>
      <c r="E374" s="645" t="s">
        <v>6</v>
      </c>
      <c r="F374" s="131">
        <f>F375</f>
        <v>5196.03</v>
      </c>
    </row>
    <row r="375" spans="1:8" ht="34" outlineLevel="7" x14ac:dyDescent="0.3">
      <c r="A375" s="438" t="s">
        <v>37</v>
      </c>
      <c r="B375" s="80" t="s">
        <v>500</v>
      </c>
      <c r="C375" s="80" t="s">
        <v>82</v>
      </c>
      <c r="D375" s="595" t="s">
        <v>308</v>
      </c>
      <c r="E375" s="645" t="s">
        <v>38</v>
      </c>
      <c r="F375" s="131">
        <f>F376</f>
        <v>5196.03</v>
      </c>
    </row>
    <row r="376" spans="1:8" outlineLevel="7" x14ac:dyDescent="0.3">
      <c r="A376" s="438" t="s">
        <v>74</v>
      </c>
      <c r="B376" s="80" t="s">
        <v>500</v>
      </c>
      <c r="C376" s="80" t="s">
        <v>82</v>
      </c>
      <c r="D376" s="595" t="s">
        <v>308</v>
      </c>
      <c r="E376" s="645" t="s">
        <v>75</v>
      </c>
      <c r="F376" s="131">
        <f>'потребность 2023 (5)'!K382</f>
        <v>5196.03</v>
      </c>
    </row>
    <row r="377" spans="1:8" ht="36.700000000000003" outlineLevel="7" x14ac:dyDescent="0.25">
      <c r="A377" s="81" t="s">
        <v>678</v>
      </c>
      <c r="B377" s="80" t="s">
        <v>500</v>
      </c>
      <c r="C377" s="80" t="s">
        <v>82</v>
      </c>
      <c r="D377" s="80" t="s">
        <v>677</v>
      </c>
      <c r="E377" s="80" t="s">
        <v>6</v>
      </c>
      <c r="F377" s="82">
        <f>F378</f>
        <v>26264730.699999999</v>
      </c>
    </row>
    <row r="378" spans="1:8" ht="36.700000000000003" customHeight="1" outlineLevel="3" x14ac:dyDescent="0.25">
      <c r="A378" s="25" t="s">
        <v>84</v>
      </c>
      <c r="B378" s="80" t="s">
        <v>500</v>
      </c>
      <c r="C378" s="80" t="s">
        <v>82</v>
      </c>
      <c r="D378" s="80" t="s">
        <v>676</v>
      </c>
      <c r="E378" s="80" t="s">
        <v>6</v>
      </c>
      <c r="F378" s="82">
        <f>F379</f>
        <v>26264730.699999999</v>
      </c>
    </row>
    <row r="379" spans="1:8" ht="36.700000000000003" outlineLevel="3" x14ac:dyDescent="0.25">
      <c r="A379" s="81" t="s">
        <v>37</v>
      </c>
      <c r="B379" s="80" t="s">
        <v>500</v>
      </c>
      <c r="C379" s="80" t="s">
        <v>82</v>
      </c>
      <c r="D379" s="80" t="s">
        <v>676</v>
      </c>
      <c r="E379" s="80" t="s">
        <v>38</v>
      </c>
      <c r="F379" s="82">
        <f>F380</f>
        <v>26264730.699999999</v>
      </c>
    </row>
    <row r="380" spans="1:8" ht="21.25" customHeight="1" outlineLevel="3" x14ac:dyDescent="0.25">
      <c r="A380" s="81" t="s">
        <v>74</v>
      </c>
      <c r="B380" s="80" t="s">
        <v>500</v>
      </c>
      <c r="C380" s="80" t="s">
        <v>82</v>
      </c>
      <c r="D380" s="80" t="s">
        <v>676</v>
      </c>
      <c r="E380" s="80" t="s">
        <v>75</v>
      </c>
      <c r="F380" s="131">
        <f>'потребность 2023 (5)'!K386</f>
        <v>26264730.699999999</v>
      </c>
    </row>
    <row r="381" spans="1:8" ht="27" customHeight="1" outlineLevel="7" x14ac:dyDescent="0.25">
      <c r="A381" s="81" t="s">
        <v>211</v>
      </c>
      <c r="B381" s="80" t="s">
        <v>500</v>
      </c>
      <c r="C381" s="80" t="s">
        <v>82</v>
      </c>
      <c r="D381" s="80" t="s">
        <v>229</v>
      </c>
      <c r="E381" s="80" t="s">
        <v>6</v>
      </c>
      <c r="F381" s="98">
        <f>F382+F386</f>
        <v>746500</v>
      </c>
    </row>
    <row r="382" spans="1:8" outlineLevel="7" x14ac:dyDescent="0.25">
      <c r="A382" s="81" t="s">
        <v>83</v>
      </c>
      <c r="B382" s="80" t="s">
        <v>500</v>
      </c>
      <c r="C382" s="80" t="s">
        <v>82</v>
      </c>
      <c r="D382" s="80" t="s">
        <v>140</v>
      </c>
      <c r="E382" s="80" t="s">
        <v>6</v>
      </c>
      <c r="F382" s="82">
        <f>F383</f>
        <v>746500</v>
      </c>
    </row>
    <row r="383" spans="1:8" s="172" customFormat="1" ht="36.700000000000003" outlineLevel="1" x14ac:dyDescent="0.25">
      <c r="A383" s="81" t="s">
        <v>37</v>
      </c>
      <c r="B383" s="80" t="s">
        <v>500</v>
      </c>
      <c r="C383" s="80" t="s">
        <v>82</v>
      </c>
      <c r="D383" s="80" t="s">
        <v>140</v>
      </c>
      <c r="E383" s="80" t="s">
        <v>38</v>
      </c>
      <c r="F383" s="82">
        <f>F384+F385</f>
        <v>746500</v>
      </c>
      <c r="G383" s="171"/>
      <c r="H383" s="171"/>
    </row>
    <row r="384" spans="1:8" outlineLevel="2" x14ac:dyDescent="0.25">
      <c r="A384" s="81" t="s">
        <v>74</v>
      </c>
      <c r="B384" s="80" t="s">
        <v>500</v>
      </c>
      <c r="C384" s="80" t="s">
        <v>82</v>
      </c>
      <c r="D384" s="80" t="s">
        <v>140</v>
      </c>
      <c r="E384" s="80" t="s">
        <v>75</v>
      </c>
      <c r="F384" s="82">
        <f>'потребность 2023 (5)'!K396</f>
        <v>632500</v>
      </c>
    </row>
    <row r="385" spans="1:6" ht="36.700000000000003" outlineLevel="4" x14ac:dyDescent="0.25">
      <c r="A385" s="81" t="s">
        <v>371</v>
      </c>
      <c r="B385" s="80" t="s">
        <v>500</v>
      </c>
      <c r="C385" s="80" t="s">
        <v>82</v>
      </c>
      <c r="D385" s="80" t="s">
        <v>140</v>
      </c>
      <c r="E385" s="80" t="s">
        <v>252</v>
      </c>
      <c r="F385" s="82">
        <f>'потребность 2023 (5)'!K397</f>
        <v>114000</v>
      </c>
    </row>
    <row r="386" spans="1:6" ht="36.700000000000003" outlineLevel="4" x14ac:dyDescent="0.25">
      <c r="A386" s="81" t="s">
        <v>955</v>
      </c>
      <c r="B386" s="80" t="s">
        <v>500</v>
      </c>
      <c r="C386" s="80" t="s">
        <v>82</v>
      </c>
      <c r="D386" s="80" t="s">
        <v>956</v>
      </c>
      <c r="E386" s="80" t="s">
        <v>6</v>
      </c>
      <c r="F386" s="82">
        <f>F387</f>
        <v>0</v>
      </c>
    </row>
    <row r="387" spans="1:6" ht="36.700000000000003" outlineLevel="4" x14ac:dyDescent="0.25">
      <c r="A387" s="81" t="s">
        <v>37</v>
      </c>
      <c r="B387" s="80" t="s">
        <v>500</v>
      </c>
      <c r="C387" s="80" t="s">
        <v>82</v>
      </c>
      <c r="D387" s="80" t="s">
        <v>956</v>
      </c>
      <c r="E387" s="80" t="s">
        <v>38</v>
      </c>
      <c r="F387" s="82">
        <f>F388</f>
        <v>0</v>
      </c>
    </row>
    <row r="388" spans="1:6" outlineLevel="4" x14ac:dyDescent="0.25">
      <c r="A388" s="81" t="s">
        <v>74</v>
      </c>
      <c r="B388" s="80" t="s">
        <v>500</v>
      </c>
      <c r="C388" s="80" t="s">
        <v>82</v>
      </c>
      <c r="D388" s="80" t="s">
        <v>956</v>
      </c>
      <c r="E388" s="80" t="s">
        <v>75</v>
      </c>
      <c r="F388" s="82">
        <v>0</v>
      </c>
    </row>
    <row r="389" spans="1:6" outlineLevel="5" x14ac:dyDescent="0.25">
      <c r="A389" s="81" t="s">
        <v>522</v>
      </c>
      <c r="B389" s="80" t="s">
        <v>500</v>
      </c>
      <c r="C389" s="80" t="s">
        <v>523</v>
      </c>
      <c r="D389" s="80" t="s">
        <v>126</v>
      </c>
      <c r="E389" s="80" t="s">
        <v>6</v>
      </c>
      <c r="F389" s="82">
        <f>F390+F401</f>
        <v>5672609.9500000002</v>
      </c>
    </row>
    <row r="390" spans="1:6" ht="48.25" customHeight="1" outlineLevel="6" x14ac:dyDescent="0.25">
      <c r="A390" s="109" t="s">
        <v>839</v>
      </c>
      <c r="B390" s="80" t="s">
        <v>500</v>
      </c>
      <c r="C390" s="80" t="s">
        <v>523</v>
      </c>
      <c r="D390" s="80" t="s">
        <v>136</v>
      </c>
      <c r="E390" s="80" t="s">
        <v>6</v>
      </c>
      <c r="F390" s="82">
        <f>F391</f>
        <v>3405960.55</v>
      </c>
    </row>
    <row r="391" spans="1:6" ht="23.3" customHeight="1" outlineLevel="7" x14ac:dyDescent="0.25">
      <c r="A391" s="81" t="s">
        <v>211</v>
      </c>
      <c r="B391" s="80" t="s">
        <v>500</v>
      </c>
      <c r="C391" s="80" t="s">
        <v>523</v>
      </c>
      <c r="D391" s="80" t="s">
        <v>229</v>
      </c>
      <c r="E391" s="80" t="s">
        <v>6</v>
      </c>
      <c r="F391" s="82">
        <f>F395+F398</f>
        <v>3405960.55</v>
      </c>
    </row>
    <row r="392" spans="1:6" ht="73.400000000000006" outlineLevel="7" x14ac:dyDescent="0.25">
      <c r="A392" s="81" t="s">
        <v>872</v>
      </c>
      <c r="B392" s="80" t="s">
        <v>500</v>
      </c>
      <c r="C392" s="80" t="s">
        <v>523</v>
      </c>
      <c r="D392" s="80" t="s">
        <v>904</v>
      </c>
      <c r="E392" s="80" t="s">
        <v>6</v>
      </c>
      <c r="F392" s="82">
        <f>F393</f>
        <v>0</v>
      </c>
    </row>
    <row r="393" spans="1:6" ht="24.8" customHeight="1" outlineLevel="7" x14ac:dyDescent="0.25">
      <c r="A393" s="81" t="s">
        <v>37</v>
      </c>
      <c r="B393" s="80" t="s">
        <v>500</v>
      </c>
      <c r="C393" s="80" t="s">
        <v>523</v>
      </c>
      <c r="D393" s="80" t="s">
        <v>904</v>
      </c>
      <c r="E393" s="80" t="s">
        <v>38</v>
      </c>
      <c r="F393" s="82">
        <f>F394</f>
        <v>0</v>
      </c>
    </row>
    <row r="394" spans="1:6" ht="23.3" customHeight="1" outlineLevel="7" x14ac:dyDescent="0.25">
      <c r="A394" s="81" t="s">
        <v>74</v>
      </c>
      <c r="B394" s="80" t="s">
        <v>500</v>
      </c>
      <c r="C394" s="80" t="s">
        <v>523</v>
      </c>
      <c r="D394" s="80" t="s">
        <v>904</v>
      </c>
      <c r="E394" s="80" t="s">
        <v>75</v>
      </c>
      <c r="F394" s="82">
        <v>0</v>
      </c>
    </row>
    <row r="395" spans="1:6" ht="25.85" customHeight="1" outlineLevel="7" x14ac:dyDescent="0.3">
      <c r="A395" s="644" t="s">
        <v>986</v>
      </c>
      <c r="B395" s="80" t="s">
        <v>500</v>
      </c>
      <c r="C395" s="80" t="s">
        <v>523</v>
      </c>
      <c r="D395" s="595" t="s">
        <v>1014</v>
      </c>
      <c r="E395" s="595" t="s">
        <v>6</v>
      </c>
      <c r="F395" s="82">
        <f>F396</f>
        <v>3303781.73</v>
      </c>
    </row>
    <row r="396" spans="1:6" ht="23.3" customHeight="1" outlineLevel="7" x14ac:dyDescent="0.3">
      <c r="A396" s="81" t="s">
        <v>37</v>
      </c>
      <c r="B396" s="80" t="s">
        <v>500</v>
      </c>
      <c r="C396" s="80" t="s">
        <v>523</v>
      </c>
      <c r="D396" s="595" t="s">
        <v>1014</v>
      </c>
      <c r="E396" s="595" t="s">
        <v>38</v>
      </c>
      <c r="F396" s="82">
        <f>F397</f>
        <v>3303781.73</v>
      </c>
    </row>
    <row r="397" spans="1:6" ht="23.3" customHeight="1" outlineLevel="7" x14ac:dyDescent="0.3">
      <c r="A397" s="81" t="s">
        <v>74</v>
      </c>
      <c r="B397" s="80" t="s">
        <v>500</v>
      </c>
      <c r="C397" s="80" t="s">
        <v>523</v>
      </c>
      <c r="D397" s="595" t="s">
        <v>1014</v>
      </c>
      <c r="E397" s="595" t="s">
        <v>75</v>
      </c>
      <c r="F397" s="82">
        <f>'потребность 2023 (5)'!K409</f>
        <v>3303781.73</v>
      </c>
    </row>
    <row r="398" spans="1:6" ht="37.4" customHeight="1" outlineLevel="7" x14ac:dyDescent="0.3">
      <c r="A398" s="81" t="s">
        <v>1015</v>
      </c>
      <c r="B398" s="80" t="s">
        <v>500</v>
      </c>
      <c r="C398" s="80" t="s">
        <v>523</v>
      </c>
      <c r="D398" s="595" t="s">
        <v>1016</v>
      </c>
      <c r="E398" s="595" t="s">
        <v>6</v>
      </c>
      <c r="F398" s="82">
        <f>F399</f>
        <v>102178.82</v>
      </c>
    </row>
    <row r="399" spans="1:6" ht="23.3" customHeight="1" outlineLevel="7" x14ac:dyDescent="0.3">
      <c r="A399" s="81" t="s">
        <v>37</v>
      </c>
      <c r="B399" s="80" t="s">
        <v>500</v>
      </c>
      <c r="C399" s="80" t="s">
        <v>523</v>
      </c>
      <c r="D399" s="595" t="s">
        <v>1016</v>
      </c>
      <c r="E399" s="595" t="s">
        <v>38</v>
      </c>
      <c r="F399" s="82">
        <f>F400</f>
        <v>102178.82</v>
      </c>
    </row>
    <row r="400" spans="1:6" ht="23.3" customHeight="1" outlineLevel="7" x14ac:dyDescent="0.3">
      <c r="A400" s="81" t="s">
        <v>74</v>
      </c>
      <c r="B400" s="80" t="s">
        <v>500</v>
      </c>
      <c r="C400" s="80" t="s">
        <v>523</v>
      </c>
      <c r="D400" s="595" t="s">
        <v>1016</v>
      </c>
      <c r="E400" s="595" t="s">
        <v>75</v>
      </c>
      <c r="F400" s="82">
        <f>'потребность 2023 (5)'!K412</f>
        <v>102178.82</v>
      </c>
    </row>
    <row r="401" spans="1:8" ht="42.45" customHeight="1" outlineLevel="7" x14ac:dyDescent="0.25">
      <c r="A401" s="109" t="s">
        <v>847</v>
      </c>
      <c r="B401" s="110" t="s">
        <v>500</v>
      </c>
      <c r="C401" s="80" t="s">
        <v>523</v>
      </c>
      <c r="D401" s="80" t="s">
        <v>331</v>
      </c>
      <c r="E401" s="110" t="s">
        <v>6</v>
      </c>
      <c r="F401" s="82">
        <f>F402</f>
        <v>2266649.4000000004</v>
      </c>
    </row>
    <row r="402" spans="1:8" ht="40.75" customHeight="1" outlineLevel="7" x14ac:dyDescent="0.25">
      <c r="A402" s="81" t="s">
        <v>345</v>
      </c>
      <c r="B402" s="80" t="s">
        <v>500</v>
      </c>
      <c r="C402" s="80" t="s">
        <v>523</v>
      </c>
      <c r="D402" s="80" t="s">
        <v>332</v>
      </c>
      <c r="E402" s="80" t="s">
        <v>6</v>
      </c>
      <c r="F402" s="82">
        <f>F403+F406</f>
        <v>2266649.4000000004</v>
      </c>
    </row>
    <row r="403" spans="1:8" ht="48.25" customHeight="1" outlineLevel="7" x14ac:dyDescent="0.25">
      <c r="A403" s="81" t="s">
        <v>910</v>
      </c>
      <c r="B403" s="80" t="s">
        <v>500</v>
      </c>
      <c r="C403" s="80" t="s">
        <v>523</v>
      </c>
      <c r="D403" s="80" t="s">
        <v>908</v>
      </c>
      <c r="E403" s="80" t="s">
        <v>6</v>
      </c>
      <c r="F403" s="82">
        <f>F404</f>
        <v>1174110.1200000001</v>
      </c>
    </row>
    <row r="404" spans="1:8" ht="23.3" customHeight="1" outlineLevel="7" x14ac:dyDescent="0.25">
      <c r="A404" s="81" t="s">
        <v>15</v>
      </c>
      <c r="B404" s="80" t="s">
        <v>500</v>
      </c>
      <c r="C404" s="80" t="s">
        <v>523</v>
      </c>
      <c r="D404" s="80" t="s">
        <v>908</v>
      </c>
      <c r="E404" s="80" t="s">
        <v>16</v>
      </c>
      <c r="F404" s="82">
        <f>F405</f>
        <v>1174110.1200000001</v>
      </c>
    </row>
    <row r="405" spans="1:8" ht="23.3" customHeight="1" outlineLevel="7" x14ac:dyDescent="0.25">
      <c r="A405" s="81" t="s">
        <v>17</v>
      </c>
      <c r="B405" s="80" t="s">
        <v>500</v>
      </c>
      <c r="C405" s="80" t="s">
        <v>523</v>
      </c>
      <c r="D405" s="80" t="s">
        <v>908</v>
      </c>
      <c r="E405" s="80" t="s">
        <v>18</v>
      </c>
      <c r="F405" s="82">
        <f>'потребность 2023 (5)'!K417</f>
        <v>1174110.1200000001</v>
      </c>
    </row>
    <row r="406" spans="1:8" ht="57.25" customHeight="1" outlineLevel="7" x14ac:dyDescent="0.3">
      <c r="A406" s="438" t="s">
        <v>1021</v>
      </c>
      <c r="B406" s="439" t="s">
        <v>500</v>
      </c>
      <c r="C406" s="439" t="s">
        <v>523</v>
      </c>
      <c r="D406" s="539" t="s">
        <v>1020</v>
      </c>
      <c r="E406" s="539" t="s">
        <v>6</v>
      </c>
      <c r="F406" s="82">
        <f>F407</f>
        <v>1092539.28</v>
      </c>
    </row>
    <row r="407" spans="1:8" ht="23.3" customHeight="1" outlineLevel="7" x14ac:dyDescent="0.3">
      <c r="A407" s="438" t="s">
        <v>15</v>
      </c>
      <c r="B407" s="439" t="s">
        <v>500</v>
      </c>
      <c r="C407" s="439" t="s">
        <v>523</v>
      </c>
      <c r="D407" s="539" t="s">
        <v>1020</v>
      </c>
      <c r="E407" s="539" t="s">
        <v>16</v>
      </c>
      <c r="F407" s="82">
        <f>F408</f>
        <v>1092539.28</v>
      </c>
    </row>
    <row r="408" spans="1:8" ht="23.3" customHeight="1" outlineLevel="7" x14ac:dyDescent="0.3">
      <c r="A408" s="438" t="s">
        <v>17</v>
      </c>
      <c r="B408" s="439" t="s">
        <v>500</v>
      </c>
      <c r="C408" s="439" t="s">
        <v>523</v>
      </c>
      <c r="D408" s="539" t="s">
        <v>1020</v>
      </c>
      <c r="E408" s="539" t="s">
        <v>18</v>
      </c>
      <c r="F408" s="82">
        <f>'потребность 2023 (5)'!K420</f>
        <v>1092539.28</v>
      </c>
    </row>
    <row r="409" spans="1:8" outlineLevel="7" x14ac:dyDescent="0.25">
      <c r="A409" s="109" t="s">
        <v>85</v>
      </c>
      <c r="B409" s="110" t="s">
        <v>500</v>
      </c>
      <c r="C409" s="110" t="s">
        <v>86</v>
      </c>
      <c r="D409" s="110" t="s">
        <v>126</v>
      </c>
      <c r="E409" s="110" t="s">
        <v>6</v>
      </c>
      <c r="F409" s="85">
        <f>F410+F415+F430</f>
        <v>90525266.789999992</v>
      </c>
    </row>
    <row r="410" spans="1:8" outlineLevel="7" x14ac:dyDescent="0.25">
      <c r="A410" s="81" t="s">
        <v>87</v>
      </c>
      <c r="B410" s="80" t="s">
        <v>500</v>
      </c>
      <c r="C410" s="80" t="s">
        <v>88</v>
      </c>
      <c r="D410" s="80" t="s">
        <v>126</v>
      </c>
      <c r="E410" s="80" t="s">
        <v>6</v>
      </c>
      <c r="F410" s="82">
        <f>F411</f>
        <v>5533145.6699999999</v>
      </c>
    </row>
    <row r="411" spans="1:8" ht="36.700000000000003" outlineLevel="7" x14ac:dyDescent="0.25">
      <c r="A411" s="109" t="s">
        <v>132</v>
      </c>
      <c r="B411" s="110" t="s">
        <v>500</v>
      </c>
      <c r="C411" s="110" t="s">
        <v>88</v>
      </c>
      <c r="D411" s="110" t="s">
        <v>127</v>
      </c>
      <c r="E411" s="110" t="s">
        <v>6</v>
      </c>
      <c r="F411" s="85">
        <f>F412</f>
        <v>5533145.6699999999</v>
      </c>
    </row>
    <row r="412" spans="1:8" s="172" customFormat="1" ht="26.5" customHeight="1" outlineLevel="7" x14ac:dyDescent="0.25">
      <c r="A412" s="81" t="s">
        <v>89</v>
      </c>
      <c r="B412" s="80" t="s">
        <v>500</v>
      </c>
      <c r="C412" s="80" t="s">
        <v>88</v>
      </c>
      <c r="D412" s="80" t="s">
        <v>142</v>
      </c>
      <c r="E412" s="80" t="s">
        <v>6</v>
      </c>
      <c r="F412" s="82">
        <f>F413</f>
        <v>5533145.6699999999</v>
      </c>
      <c r="G412" s="171"/>
      <c r="H412" s="171"/>
    </row>
    <row r="413" spans="1:8" ht="25.5" customHeight="1" outlineLevel="7" x14ac:dyDescent="0.25">
      <c r="A413" s="81" t="s">
        <v>90</v>
      </c>
      <c r="B413" s="80" t="s">
        <v>500</v>
      </c>
      <c r="C413" s="80" t="s">
        <v>88</v>
      </c>
      <c r="D413" s="80" t="s">
        <v>142</v>
      </c>
      <c r="E413" s="80" t="s">
        <v>91</v>
      </c>
      <c r="F413" s="82">
        <f>F414</f>
        <v>5533145.6699999999</v>
      </c>
    </row>
    <row r="414" spans="1:8" outlineLevel="7" x14ac:dyDescent="0.25">
      <c r="A414" s="81" t="s">
        <v>92</v>
      </c>
      <c r="B414" s="80" t="s">
        <v>500</v>
      </c>
      <c r="C414" s="80" t="s">
        <v>88</v>
      </c>
      <c r="D414" s="80" t="s">
        <v>142</v>
      </c>
      <c r="E414" s="80" t="s">
        <v>93</v>
      </c>
      <c r="F414" s="131">
        <f>'потребность 2023 (5)'!K426</f>
        <v>5533145.6699999999</v>
      </c>
    </row>
    <row r="415" spans="1:8" outlineLevel="7" x14ac:dyDescent="0.25">
      <c r="A415" s="81" t="s">
        <v>94</v>
      </c>
      <c r="B415" s="80" t="s">
        <v>500</v>
      </c>
      <c r="C415" s="80" t="s">
        <v>95</v>
      </c>
      <c r="D415" s="80" t="s">
        <v>126</v>
      </c>
      <c r="E415" s="80" t="s">
        <v>6</v>
      </c>
      <c r="F415" s="82">
        <f>F416+F426+F421</f>
        <v>984438.26</v>
      </c>
    </row>
    <row r="416" spans="1:8" ht="55.05" outlineLevel="7" x14ac:dyDescent="0.25">
      <c r="A416" s="109" t="s">
        <v>933</v>
      </c>
      <c r="B416" s="80" t="s">
        <v>500</v>
      </c>
      <c r="C416" s="110" t="s">
        <v>95</v>
      </c>
      <c r="D416" s="110" t="s">
        <v>129</v>
      </c>
      <c r="E416" s="110" t="s">
        <v>6</v>
      </c>
      <c r="F416" s="85">
        <f>F417</f>
        <v>150000</v>
      </c>
    </row>
    <row r="417" spans="1:6" ht="36.700000000000003" outlineLevel="7" x14ac:dyDescent="0.25">
      <c r="A417" s="81" t="s">
        <v>372</v>
      </c>
      <c r="B417" s="80" t="s">
        <v>500</v>
      </c>
      <c r="C417" s="80" t="s">
        <v>95</v>
      </c>
      <c r="D417" s="80" t="s">
        <v>441</v>
      </c>
      <c r="E417" s="80" t="s">
        <v>6</v>
      </c>
      <c r="F417" s="82">
        <f>F418</f>
        <v>150000</v>
      </c>
    </row>
    <row r="418" spans="1:6" ht="36.700000000000003" outlineLevel="7" x14ac:dyDescent="0.25">
      <c r="A418" s="81" t="s">
        <v>99</v>
      </c>
      <c r="B418" s="80" t="s">
        <v>500</v>
      </c>
      <c r="C418" s="80" t="s">
        <v>95</v>
      </c>
      <c r="D418" s="80" t="s">
        <v>416</v>
      </c>
      <c r="E418" s="80" t="s">
        <v>6</v>
      </c>
      <c r="F418" s="82">
        <f>F419</f>
        <v>150000</v>
      </c>
    </row>
    <row r="419" spans="1:6" outlineLevel="7" x14ac:dyDescent="0.25">
      <c r="A419" s="81" t="s">
        <v>90</v>
      </c>
      <c r="B419" s="80" t="s">
        <v>500</v>
      </c>
      <c r="C419" s="80" t="s">
        <v>95</v>
      </c>
      <c r="D419" s="80" t="s">
        <v>416</v>
      </c>
      <c r="E419" s="80" t="s">
        <v>91</v>
      </c>
      <c r="F419" s="82">
        <f>F420</f>
        <v>150000</v>
      </c>
    </row>
    <row r="420" spans="1:6" ht="36.700000000000003" outlineLevel="7" x14ac:dyDescent="0.25">
      <c r="A420" s="81" t="s">
        <v>97</v>
      </c>
      <c r="B420" s="80" t="s">
        <v>500</v>
      </c>
      <c r="C420" s="80" t="s">
        <v>95</v>
      </c>
      <c r="D420" s="80" t="s">
        <v>416</v>
      </c>
      <c r="E420" s="80" t="s">
        <v>98</v>
      </c>
      <c r="F420" s="131">
        <f>'потребность 2023 (5)'!K432</f>
        <v>150000</v>
      </c>
    </row>
    <row r="421" spans="1:6" ht="36.700000000000003" outlineLevel="1" x14ac:dyDescent="0.25">
      <c r="A421" s="109" t="s">
        <v>838</v>
      </c>
      <c r="B421" s="80" t="s">
        <v>500</v>
      </c>
      <c r="C421" s="110" t="s">
        <v>95</v>
      </c>
      <c r="D421" s="110" t="s">
        <v>374</v>
      </c>
      <c r="E421" s="110" t="s">
        <v>6</v>
      </c>
      <c r="F421" s="122">
        <f>F422</f>
        <v>734438.26</v>
      </c>
    </row>
    <row r="422" spans="1:6" ht="44.5" customHeight="1" outlineLevel="1" x14ac:dyDescent="0.25">
      <c r="A422" s="81" t="s">
        <v>394</v>
      </c>
      <c r="B422" s="80" t="s">
        <v>500</v>
      </c>
      <c r="C422" s="80" t="s">
        <v>95</v>
      </c>
      <c r="D422" s="80" t="s">
        <v>375</v>
      </c>
      <c r="E422" s="80" t="s">
        <v>6</v>
      </c>
      <c r="F422" s="98">
        <f>F423</f>
        <v>734438.26</v>
      </c>
    </row>
    <row r="423" spans="1:6" ht="35.35" customHeight="1" outlineLevel="1" x14ac:dyDescent="0.25">
      <c r="A423" s="81" t="s">
        <v>987</v>
      </c>
      <c r="B423" s="80" t="s">
        <v>500</v>
      </c>
      <c r="C423" s="80" t="s">
        <v>95</v>
      </c>
      <c r="D423" s="80" t="s">
        <v>376</v>
      </c>
      <c r="E423" s="80" t="s">
        <v>6</v>
      </c>
      <c r="F423" s="82">
        <f>F424</f>
        <v>734438.26</v>
      </c>
    </row>
    <row r="424" spans="1:6" outlineLevel="1" x14ac:dyDescent="0.25">
      <c r="A424" s="81" t="s">
        <v>90</v>
      </c>
      <c r="B424" s="80" t="s">
        <v>500</v>
      </c>
      <c r="C424" s="80" t="s">
        <v>95</v>
      </c>
      <c r="D424" s="80" t="s">
        <v>376</v>
      </c>
      <c r="E424" s="80" t="s">
        <v>91</v>
      </c>
      <c r="F424" s="98">
        <f>F425</f>
        <v>734438.26</v>
      </c>
    </row>
    <row r="425" spans="1:6" ht="36.700000000000003" outlineLevel="1" x14ac:dyDescent="0.25">
      <c r="A425" s="81" t="s">
        <v>97</v>
      </c>
      <c r="B425" s="80" t="s">
        <v>500</v>
      </c>
      <c r="C425" s="80" t="s">
        <v>95</v>
      </c>
      <c r="D425" s="80" t="s">
        <v>376</v>
      </c>
      <c r="E425" s="80" t="s">
        <v>98</v>
      </c>
      <c r="F425" s="82">
        <f>'потребность 2023 (5)'!K437</f>
        <v>734438.26</v>
      </c>
    </row>
    <row r="426" spans="1:6" ht="36.700000000000003" outlineLevel="1" x14ac:dyDescent="0.25">
      <c r="A426" s="109" t="s">
        <v>132</v>
      </c>
      <c r="B426" s="110" t="s">
        <v>500</v>
      </c>
      <c r="C426" s="110" t="s">
        <v>95</v>
      </c>
      <c r="D426" s="110" t="s">
        <v>127</v>
      </c>
      <c r="E426" s="110" t="s">
        <v>6</v>
      </c>
      <c r="F426" s="122">
        <f>F427</f>
        <v>100000</v>
      </c>
    </row>
    <row r="427" spans="1:6" ht="36.700000000000003" outlineLevel="1" x14ac:dyDescent="0.25">
      <c r="A427" s="81" t="s">
        <v>1055</v>
      </c>
      <c r="B427" s="80" t="s">
        <v>500</v>
      </c>
      <c r="C427" s="80" t="s">
        <v>95</v>
      </c>
      <c r="D427" s="80" t="s">
        <v>539</v>
      </c>
      <c r="E427" s="80" t="s">
        <v>6</v>
      </c>
      <c r="F427" s="98">
        <f>F428</f>
        <v>100000</v>
      </c>
    </row>
    <row r="428" spans="1:6" outlineLevel="1" x14ac:dyDescent="0.25">
      <c r="A428" s="81" t="s">
        <v>90</v>
      </c>
      <c r="B428" s="80" t="s">
        <v>500</v>
      </c>
      <c r="C428" s="80" t="s">
        <v>95</v>
      </c>
      <c r="D428" s="80" t="s">
        <v>539</v>
      </c>
      <c r="E428" s="80" t="s">
        <v>91</v>
      </c>
      <c r="F428" s="98">
        <f>F429</f>
        <v>100000</v>
      </c>
    </row>
    <row r="429" spans="1:6" ht="20.25" customHeight="1" outlineLevel="1" x14ac:dyDescent="0.25">
      <c r="A429" s="81" t="s">
        <v>309</v>
      </c>
      <c r="B429" s="80" t="s">
        <v>500</v>
      </c>
      <c r="C429" s="80" t="s">
        <v>95</v>
      </c>
      <c r="D429" s="80" t="s">
        <v>539</v>
      </c>
      <c r="E429" s="80" t="s">
        <v>310</v>
      </c>
      <c r="F429" s="82">
        <f>'потребность 2023 (5)'!K441</f>
        <v>100000</v>
      </c>
    </row>
    <row r="430" spans="1:6" outlineLevel="1" x14ac:dyDescent="0.25">
      <c r="A430" s="81" t="s">
        <v>123</v>
      </c>
      <c r="B430" s="80" t="s">
        <v>500</v>
      </c>
      <c r="C430" s="80" t="s">
        <v>124</v>
      </c>
      <c r="D430" s="80" t="s">
        <v>126</v>
      </c>
      <c r="E430" s="80" t="s">
        <v>6</v>
      </c>
      <c r="F430" s="98">
        <f>F431</f>
        <v>84007682.859999999</v>
      </c>
    </row>
    <row r="431" spans="1:6" ht="36.700000000000003" outlineLevel="1" x14ac:dyDescent="0.25">
      <c r="A431" s="109" t="s">
        <v>132</v>
      </c>
      <c r="B431" s="110" t="s">
        <v>500</v>
      </c>
      <c r="C431" s="110" t="s">
        <v>124</v>
      </c>
      <c r="D431" s="110" t="s">
        <v>127</v>
      </c>
      <c r="E431" s="110" t="s">
        <v>6</v>
      </c>
      <c r="F431" s="122">
        <f>F432</f>
        <v>84007682.859999999</v>
      </c>
    </row>
    <row r="432" spans="1:6" outlineLevel="1" x14ac:dyDescent="0.25">
      <c r="A432" s="81" t="s">
        <v>277</v>
      </c>
      <c r="B432" s="80" t="s">
        <v>500</v>
      </c>
      <c r="C432" s="80" t="s">
        <v>124</v>
      </c>
      <c r="D432" s="80" t="s">
        <v>276</v>
      </c>
      <c r="E432" s="80" t="s">
        <v>6</v>
      </c>
      <c r="F432" s="98">
        <f>F442+F433+F439</f>
        <v>84007682.859999999</v>
      </c>
    </row>
    <row r="433" spans="1:8" s="172" customFormat="1" ht="91.7" outlineLevel="1" x14ac:dyDescent="0.25">
      <c r="A433" s="100" t="s">
        <v>431</v>
      </c>
      <c r="B433" s="80" t="s">
        <v>500</v>
      </c>
      <c r="C433" s="80" t="s">
        <v>124</v>
      </c>
      <c r="D433" s="80" t="s">
        <v>432</v>
      </c>
      <c r="E433" s="80" t="s">
        <v>6</v>
      </c>
      <c r="F433" s="82">
        <f>F434+F436</f>
        <v>36028492.670000002</v>
      </c>
      <c r="G433" s="171"/>
      <c r="H433" s="171"/>
    </row>
    <row r="434" spans="1:8" ht="36.700000000000003" outlineLevel="1" x14ac:dyDescent="0.25">
      <c r="A434" s="81" t="s">
        <v>15</v>
      </c>
      <c r="B434" s="80" t="s">
        <v>500</v>
      </c>
      <c r="C434" s="80" t="s">
        <v>124</v>
      </c>
      <c r="D434" s="80" t="s">
        <v>432</v>
      </c>
      <c r="E434" s="80" t="s">
        <v>16</v>
      </c>
      <c r="F434" s="82">
        <f>F435</f>
        <v>130000</v>
      </c>
    </row>
    <row r="435" spans="1:8" s="172" customFormat="1" ht="37.549999999999997" customHeight="1" outlineLevel="1" x14ac:dyDescent="0.25">
      <c r="A435" s="81" t="s">
        <v>17</v>
      </c>
      <c r="B435" s="80" t="s">
        <v>500</v>
      </c>
      <c r="C435" s="80" t="s">
        <v>124</v>
      </c>
      <c r="D435" s="80" t="s">
        <v>432</v>
      </c>
      <c r="E435" s="80" t="s">
        <v>18</v>
      </c>
      <c r="F435" s="82">
        <f>'потребность 2023 (5)'!K447</f>
        <v>130000</v>
      </c>
      <c r="G435" s="171"/>
      <c r="H435" s="171"/>
    </row>
    <row r="436" spans="1:8" outlineLevel="1" x14ac:dyDescent="0.25">
      <c r="A436" s="81" t="s">
        <v>90</v>
      </c>
      <c r="B436" s="80" t="s">
        <v>500</v>
      </c>
      <c r="C436" s="80" t="s">
        <v>124</v>
      </c>
      <c r="D436" s="80" t="s">
        <v>432</v>
      </c>
      <c r="E436" s="80" t="s">
        <v>91</v>
      </c>
      <c r="F436" s="82">
        <f>F437+F438</f>
        <v>35898492.670000002</v>
      </c>
    </row>
    <row r="437" spans="1:8" ht="23.1" customHeight="1" outlineLevel="1" x14ac:dyDescent="0.25">
      <c r="A437" s="81" t="s">
        <v>92</v>
      </c>
      <c r="B437" s="80" t="s">
        <v>500</v>
      </c>
      <c r="C437" s="80" t="s">
        <v>124</v>
      </c>
      <c r="D437" s="80" t="s">
        <v>432</v>
      </c>
      <c r="E437" s="80" t="s">
        <v>93</v>
      </c>
      <c r="F437" s="82">
        <f>'потребность 2023 (5)'!K449</f>
        <v>33898492.670000002</v>
      </c>
    </row>
    <row r="438" spans="1:8" ht="47.25" customHeight="1" outlineLevel="1" x14ac:dyDescent="0.25">
      <c r="A438" s="81" t="s">
        <v>97</v>
      </c>
      <c r="B438" s="80" t="s">
        <v>500</v>
      </c>
      <c r="C438" s="80" t="s">
        <v>124</v>
      </c>
      <c r="D438" s="80" t="s">
        <v>432</v>
      </c>
      <c r="E438" s="80" t="s">
        <v>98</v>
      </c>
      <c r="F438" s="82">
        <f>'потребность 2023 (5)'!K450</f>
        <v>2000000</v>
      </c>
    </row>
    <row r="439" spans="1:8" ht="84.25" customHeight="1" outlineLevel="1" x14ac:dyDescent="0.25">
      <c r="A439" s="100" t="s">
        <v>760</v>
      </c>
      <c r="B439" s="80" t="s">
        <v>500</v>
      </c>
      <c r="C439" s="80" t="s">
        <v>124</v>
      </c>
      <c r="D439" s="80" t="s">
        <v>792</v>
      </c>
      <c r="E439" s="80" t="s">
        <v>6</v>
      </c>
      <c r="F439" s="82">
        <f>F440</f>
        <v>21307950</v>
      </c>
    </row>
    <row r="440" spans="1:8" ht="42.8" customHeight="1" outlineLevel="1" x14ac:dyDescent="0.25">
      <c r="A440" s="81" t="s">
        <v>264</v>
      </c>
      <c r="B440" s="80" t="s">
        <v>500</v>
      </c>
      <c r="C440" s="80" t="s">
        <v>124</v>
      </c>
      <c r="D440" s="80" t="s">
        <v>792</v>
      </c>
      <c r="E440" s="80" t="s">
        <v>265</v>
      </c>
      <c r="F440" s="82">
        <f>F441</f>
        <v>21307950</v>
      </c>
    </row>
    <row r="441" spans="1:8" ht="28.55" customHeight="1" outlineLevel="1" x14ac:dyDescent="0.25">
      <c r="A441" s="81" t="s">
        <v>266</v>
      </c>
      <c r="B441" s="80" t="s">
        <v>500</v>
      </c>
      <c r="C441" s="80" t="s">
        <v>124</v>
      </c>
      <c r="D441" s="80" t="s">
        <v>792</v>
      </c>
      <c r="E441" s="80" t="s">
        <v>267</v>
      </c>
      <c r="F441" s="82">
        <f>'потребность 2023 (5)'!K453</f>
        <v>21307950</v>
      </c>
    </row>
    <row r="442" spans="1:8" ht="99" customHeight="1" outlineLevel="1" x14ac:dyDescent="0.25">
      <c r="A442" s="100" t="s">
        <v>656</v>
      </c>
      <c r="B442" s="80" t="s">
        <v>500</v>
      </c>
      <c r="C442" s="80" t="s">
        <v>124</v>
      </c>
      <c r="D442" s="80" t="s">
        <v>295</v>
      </c>
      <c r="E442" s="80" t="s">
        <v>6</v>
      </c>
      <c r="F442" s="98">
        <f>F443</f>
        <v>26671240.190000001</v>
      </c>
    </row>
    <row r="443" spans="1:8" ht="36.700000000000003" outlineLevel="1" x14ac:dyDescent="0.25">
      <c r="A443" s="81" t="s">
        <v>264</v>
      </c>
      <c r="B443" s="80" t="s">
        <v>500</v>
      </c>
      <c r="C443" s="80" t="s">
        <v>124</v>
      </c>
      <c r="D443" s="80" t="s">
        <v>295</v>
      </c>
      <c r="E443" s="80" t="s">
        <v>265</v>
      </c>
      <c r="F443" s="98">
        <f>F444</f>
        <v>26671240.190000001</v>
      </c>
    </row>
    <row r="444" spans="1:8" outlineLevel="1" x14ac:dyDescent="0.25">
      <c r="A444" s="81" t="s">
        <v>266</v>
      </c>
      <c r="B444" s="80" t="s">
        <v>500</v>
      </c>
      <c r="C444" s="80" t="s">
        <v>124</v>
      </c>
      <c r="D444" s="80" t="s">
        <v>295</v>
      </c>
      <c r="E444" s="80" t="s">
        <v>267</v>
      </c>
      <c r="F444" s="82">
        <f>'потребность 2023 (5)'!K456</f>
        <v>26671240.190000001</v>
      </c>
    </row>
    <row r="445" spans="1:8" outlineLevel="1" x14ac:dyDescent="0.25">
      <c r="A445" s="109" t="s">
        <v>100</v>
      </c>
      <c r="B445" s="110" t="s">
        <v>500</v>
      </c>
      <c r="C445" s="110" t="s">
        <v>101</v>
      </c>
      <c r="D445" s="110" t="s">
        <v>126</v>
      </c>
      <c r="E445" s="110" t="s">
        <v>6</v>
      </c>
      <c r="F445" s="122">
        <f>F446</f>
        <v>4222913.54</v>
      </c>
    </row>
    <row r="446" spans="1:8" ht="22.75" customHeight="1" outlineLevel="1" x14ac:dyDescent="0.25">
      <c r="A446" s="81" t="s">
        <v>301</v>
      </c>
      <c r="B446" s="80" t="s">
        <v>500</v>
      </c>
      <c r="C446" s="80" t="s">
        <v>300</v>
      </c>
      <c r="D446" s="80" t="s">
        <v>126</v>
      </c>
      <c r="E446" s="80" t="s">
        <v>6</v>
      </c>
      <c r="F446" s="98">
        <f>F447+F469</f>
        <v>4222913.54</v>
      </c>
    </row>
    <row r="447" spans="1:8" ht="48.75" customHeight="1" outlineLevel="1" x14ac:dyDescent="0.25">
      <c r="A447" s="109" t="s">
        <v>836</v>
      </c>
      <c r="B447" s="110" t="s">
        <v>500</v>
      </c>
      <c r="C447" s="110" t="s">
        <v>300</v>
      </c>
      <c r="D447" s="110" t="s">
        <v>200</v>
      </c>
      <c r="E447" s="110" t="s">
        <v>6</v>
      </c>
      <c r="F447" s="122">
        <f>F448</f>
        <v>4172913.54</v>
      </c>
    </row>
    <row r="448" spans="1:8" ht="36.700000000000003" outlineLevel="1" x14ac:dyDescent="0.25">
      <c r="A448" s="81" t="s">
        <v>837</v>
      </c>
      <c r="B448" s="80" t="s">
        <v>500</v>
      </c>
      <c r="C448" s="80" t="s">
        <v>300</v>
      </c>
      <c r="D448" s="80" t="s">
        <v>230</v>
      </c>
      <c r="E448" s="80" t="s">
        <v>6</v>
      </c>
      <c r="F448" s="98">
        <f>F449+F454+F457+F463+F466+F460</f>
        <v>4172913.54</v>
      </c>
    </row>
    <row r="449" spans="1:8" ht="20.25" customHeight="1" outlineLevel="1" x14ac:dyDescent="0.25">
      <c r="A449" s="81" t="s">
        <v>102</v>
      </c>
      <c r="B449" s="80" t="s">
        <v>500</v>
      </c>
      <c r="C449" s="80" t="s">
        <v>300</v>
      </c>
      <c r="D449" s="80" t="s">
        <v>201</v>
      </c>
      <c r="E449" s="80" t="s">
        <v>6</v>
      </c>
      <c r="F449" s="98">
        <f>F450+F452</f>
        <v>661000</v>
      </c>
    </row>
    <row r="450" spans="1:8" ht="21.25" customHeight="1" outlineLevel="1" x14ac:dyDescent="0.25">
      <c r="A450" s="81" t="s">
        <v>15</v>
      </c>
      <c r="B450" s="80" t="s">
        <v>500</v>
      </c>
      <c r="C450" s="80" t="s">
        <v>300</v>
      </c>
      <c r="D450" s="80" t="s">
        <v>201</v>
      </c>
      <c r="E450" s="80" t="s">
        <v>16</v>
      </c>
      <c r="F450" s="98">
        <f>F451</f>
        <v>631000</v>
      </c>
    </row>
    <row r="451" spans="1:8" s="172" customFormat="1" ht="36.700000000000003" outlineLevel="1" x14ac:dyDescent="0.25">
      <c r="A451" s="81" t="s">
        <v>17</v>
      </c>
      <c r="B451" s="80" t="s">
        <v>500</v>
      </c>
      <c r="C451" s="80" t="s">
        <v>300</v>
      </c>
      <c r="D451" s="80" t="s">
        <v>201</v>
      </c>
      <c r="E451" s="80" t="s">
        <v>18</v>
      </c>
      <c r="F451" s="131">
        <f>'потребность 2023 (5)'!K463</f>
        <v>631000</v>
      </c>
      <c r="G451" s="171"/>
      <c r="H451" s="171"/>
    </row>
    <row r="452" spans="1:8" ht="24.8" customHeight="1" outlineLevel="2" x14ac:dyDescent="0.25">
      <c r="A452" s="81" t="s">
        <v>271</v>
      </c>
      <c r="B452" s="80" t="s">
        <v>500</v>
      </c>
      <c r="C452" s="80" t="s">
        <v>300</v>
      </c>
      <c r="D452" s="80" t="s">
        <v>201</v>
      </c>
      <c r="E452" s="80" t="s">
        <v>20</v>
      </c>
      <c r="F452" s="98">
        <f>F453</f>
        <v>30000</v>
      </c>
    </row>
    <row r="453" spans="1:8" s="172" customFormat="1" ht="27.7" customHeight="1" outlineLevel="3" x14ac:dyDescent="0.25">
      <c r="A453" s="81" t="s">
        <v>272</v>
      </c>
      <c r="B453" s="80" t="s">
        <v>500</v>
      </c>
      <c r="C453" s="80" t="s">
        <v>300</v>
      </c>
      <c r="D453" s="80" t="s">
        <v>201</v>
      </c>
      <c r="E453" s="80" t="s">
        <v>22</v>
      </c>
      <c r="F453" s="98">
        <f>'потребность 2023 (5)'!K465</f>
        <v>30000</v>
      </c>
      <c r="G453" s="171"/>
      <c r="H453" s="171"/>
    </row>
    <row r="454" spans="1:8" s="172" customFormat="1" ht="29.9" customHeight="1" outlineLevel="3" x14ac:dyDescent="0.3">
      <c r="A454" s="567" t="s">
        <v>989</v>
      </c>
      <c r="B454" s="439" t="s">
        <v>500</v>
      </c>
      <c r="C454" s="439" t="s">
        <v>300</v>
      </c>
      <c r="D454" s="539" t="s">
        <v>1017</v>
      </c>
      <c r="E454" s="539" t="s">
        <v>6</v>
      </c>
      <c r="F454" s="98">
        <f>F455</f>
        <v>112589.47</v>
      </c>
      <c r="G454" s="171"/>
      <c r="H454" s="171"/>
    </row>
    <row r="455" spans="1:8" s="172" customFormat="1" ht="27.7" customHeight="1" outlineLevel="3" x14ac:dyDescent="0.3">
      <c r="A455" s="438" t="s">
        <v>15</v>
      </c>
      <c r="B455" s="439" t="s">
        <v>500</v>
      </c>
      <c r="C455" s="439" t="s">
        <v>300</v>
      </c>
      <c r="D455" s="539" t="s">
        <v>1017</v>
      </c>
      <c r="E455" s="539" t="s">
        <v>16</v>
      </c>
      <c r="F455" s="98">
        <f>F456</f>
        <v>112589.47</v>
      </c>
      <c r="G455" s="171"/>
      <c r="H455" s="171"/>
    </row>
    <row r="456" spans="1:8" s="172" customFormat="1" ht="49.75" customHeight="1" outlineLevel="3" x14ac:dyDescent="0.3">
      <c r="A456" s="438" t="s">
        <v>17</v>
      </c>
      <c r="B456" s="439" t="s">
        <v>500</v>
      </c>
      <c r="C456" s="439" t="s">
        <v>300</v>
      </c>
      <c r="D456" s="539" t="s">
        <v>1017</v>
      </c>
      <c r="E456" s="539" t="s">
        <v>18</v>
      </c>
      <c r="F456" s="98">
        <f>'потребность 2023 (5)'!K480</f>
        <v>112589.47</v>
      </c>
      <c r="G456" s="171"/>
      <c r="H456" s="171"/>
    </row>
    <row r="457" spans="1:8" s="172" customFormat="1" ht="38.9" customHeight="1" outlineLevel="3" x14ac:dyDescent="0.3">
      <c r="A457" s="438" t="s">
        <v>1018</v>
      </c>
      <c r="B457" s="439" t="s">
        <v>500</v>
      </c>
      <c r="C457" s="439" t="s">
        <v>300</v>
      </c>
      <c r="D457" s="539" t="s">
        <v>1019</v>
      </c>
      <c r="E457" s="539" t="s">
        <v>6</v>
      </c>
      <c r="F457" s="98">
        <f>F458</f>
        <v>3482.15</v>
      </c>
      <c r="G457" s="171"/>
      <c r="H457" s="171"/>
    </row>
    <row r="458" spans="1:8" s="172" customFormat="1" ht="22.95" customHeight="1" outlineLevel="3" x14ac:dyDescent="0.3">
      <c r="A458" s="438" t="s">
        <v>15</v>
      </c>
      <c r="B458" s="439" t="s">
        <v>500</v>
      </c>
      <c r="C458" s="439" t="s">
        <v>300</v>
      </c>
      <c r="D458" s="539" t="s">
        <v>1019</v>
      </c>
      <c r="E458" s="539" t="s">
        <v>16</v>
      </c>
      <c r="F458" s="98">
        <f>F459</f>
        <v>3482.15</v>
      </c>
      <c r="G458" s="171"/>
      <c r="H458" s="171"/>
    </row>
    <row r="459" spans="1:8" s="172" customFormat="1" ht="35.35" customHeight="1" outlineLevel="3" x14ac:dyDescent="0.3">
      <c r="A459" s="438" t="s">
        <v>17</v>
      </c>
      <c r="B459" s="439" t="s">
        <v>500</v>
      </c>
      <c r="C459" s="439" t="s">
        <v>300</v>
      </c>
      <c r="D459" s="539" t="s">
        <v>1019</v>
      </c>
      <c r="E459" s="539" t="s">
        <v>18</v>
      </c>
      <c r="F459" s="98">
        <f>'потребность 2023 (5)'!K483</f>
        <v>3482.15</v>
      </c>
      <c r="G459" s="171"/>
      <c r="H459" s="171"/>
    </row>
    <row r="460" spans="1:8" ht="36.700000000000003" outlineLevel="5" x14ac:dyDescent="0.25">
      <c r="A460" s="81" t="s">
        <v>281</v>
      </c>
      <c r="B460" s="80" t="s">
        <v>500</v>
      </c>
      <c r="C460" s="80" t="s">
        <v>300</v>
      </c>
      <c r="D460" s="80" t="s">
        <v>1089</v>
      </c>
      <c r="E460" s="80" t="s">
        <v>6</v>
      </c>
      <c r="F460" s="82">
        <f>F461</f>
        <v>1117341.92</v>
      </c>
    </row>
    <row r="461" spans="1:8" ht="36.700000000000003" outlineLevel="6" x14ac:dyDescent="0.25">
      <c r="A461" s="81" t="s">
        <v>264</v>
      </c>
      <c r="B461" s="80" t="s">
        <v>500</v>
      </c>
      <c r="C461" s="80" t="s">
        <v>300</v>
      </c>
      <c r="D461" s="80" t="s">
        <v>1089</v>
      </c>
      <c r="E461" s="80" t="s">
        <v>265</v>
      </c>
      <c r="F461" s="82">
        <f>F462</f>
        <v>1117341.92</v>
      </c>
    </row>
    <row r="462" spans="1:8" outlineLevel="7" x14ac:dyDescent="0.25">
      <c r="A462" s="81" t="s">
        <v>266</v>
      </c>
      <c r="B462" s="80" t="s">
        <v>500</v>
      </c>
      <c r="C462" s="80" t="s">
        <v>300</v>
      </c>
      <c r="D462" s="80" t="s">
        <v>1089</v>
      </c>
      <c r="E462" s="80" t="s">
        <v>267</v>
      </c>
      <c r="F462" s="98">
        <f>'потребность 2023 (5)'!K487</f>
        <v>1117341.92</v>
      </c>
    </row>
    <row r="463" spans="1:8" ht="45.55" customHeight="1" outlineLevel="7" x14ac:dyDescent="0.25">
      <c r="A463" s="81" t="s">
        <v>988</v>
      </c>
      <c r="B463" s="80" t="s">
        <v>500</v>
      </c>
      <c r="C463" s="80" t="s">
        <v>300</v>
      </c>
      <c r="D463" s="80" t="s">
        <v>1029</v>
      </c>
      <c r="E463" s="80" t="s">
        <v>6</v>
      </c>
      <c r="F463" s="98">
        <f>F464</f>
        <v>2210145</v>
      </c>
    </row>
    <row r="464" spans="1:8" ht="36.700000000000003" outlineLevel="7" x14ac:dyDescent="0.25">
      <c r="A464" s="81" t="s">
        <v>15</v>
      </c>
      <c r="B464" s="80" t="s">
        <v>500</v>
      </c>
      <c r="C464" s="80" t="s">
        <v>300</v>
      </c>
      <c r="D464" s="80" t="s">
        <v>1029</v>
      </c>
      <c r="E464" s="80" t="s">
        <v>16</v>
      </c>
      <c r="F464" s="98">
        <f>F465</f>
        <v>2210145</v>
      </c>
    </row>
    <row r="465" spans="1:8" ht="36.700000000000003" outlineLevel="7" x14ac:dyDescent="0.25">
      <c r="A465" s="81" t="s">
        <v>17</v>
      </c>
      <c r="B465" s="80" t="s">
        <v>500</v>
      </c>
      <c r="C465" s="80" t="s">
        <v>300</v>
      </c>
      <c r="D465" s="80" t="s">
        <v>1029</v>
      </c>
      <c r="E465" s="80" t="s">
        <v>18</v>
      </c>
      <c r="F465" s="98">
        <f>'потребность 2023 (5)'!K490</f>
        <v>2210145</v>
      </c>
    </row>
    <row r="466" spans="1:8" ht="55.05" outlineLevel="7" x14ac:dyDescent="0.25">
      <c r="A466" s="81" t="s">
        <v>911</v>
      </c>
      <c r="B466" s="80" t="s">
        <v>500</v>
      </c>
      <c r="C466" s="80" t="s">
        <v>300</v>
      </c>
      <c r="D466" s="80" t="s">
        <v>1030</v>
      </c>
      <c r="E466" s="80" t="s">
        <v>6</v>
      </c>
      <c r="F466" s="98">
        <f>F467</f>
        <v>68355</v>
      </c>
    </row>
    <row r="467" spans="1:8" ht="36.700000000000003" outlineLevel="7" x14ac:dyDescent="0.25">
      <c r="A467" s="81" t="s">
        <v>15</v>
      </c>
      <c r="B467" s="80" t="s">
        <v>500</v>
      </c>
      <c r="C467" s="80" t="s">
        <v>300</v>
      </c>
      <c r="D467" s="80" t="s">
        <v>1030</v>
      </c>
      <c r="E467" s="80" t="s">
        <v>16</v>
      </c>
      <c r="F467" s="98">
        <f>F468</f>
        <v>68355</v>
      </c>
    </row>
    <row r="468" spans="1:8" ht="25.5" customHeight="1" outlineLevel="7" x14ac:dyDescent="0.25">
      <c r="A468" s="81" t="s">
        <v>17</v>
      </c>
      <c r="B468" s="80" t="s">
        <v>500</v>
      </c>
      <c r="C468" s="80" t="s">
        <v>300</v>
      </c>
      <c r="D468" s="80" t="s">
        <v>1030</v>
      </c>
      <c r="E468" s="80" t="s">
        <v>18</v>
      </c>
      <c r="F468" s="98">
        <f>'потребность 2023 (5)'!K493</f>
        <v>68355</v>
      </c>
    </row>
    <row r="469" spans="1:8" s="170" customFormat="1" ht="45" customHeight="1" x14ac:dyDescent="0.25">
      <c r="A469" s="114" t="s">
        <v>828</v>
      </c>
      <c r="B469" s="110" t="s">
        <v>500</v>
      </c>
      <c r="C469" s="110" t="s">
        <v>300</v>
      </c>
      <c r="D469" s="110" t="s">
        <v>463</v>
      </c>
      <c r="E469" s="110" t="s">
        <v>6</v>
      </c>
      <c r="F469" s="82">
        <f>F470</f>
        <v>50000</v>
      </c>
      <c r="G469" s="169"/>
      <c r="H469" s="169"/>
    </row>
    <row r="470" spans="1:8" outlineLevel="1" x14ac:dyDescent="0.25">
      <c r="A470" s="124" t="s">
        <v>464</v>
      </c>
      <c r="B470" s="80" t="s">
        <v>500</v>
      </c>
      <c r="C470" s="80" t="s">
        <v>300</v>
      </c>
      <c r="D470" s="80" t="s">
        <v>465</v>
      </c>
      <c r="E470" s="80" t="s">
        <v>6</v>
      </c>
      <c r="F470" s="82">
        <f>F471</f>
        <v>50000</v>
      </c>
    </row>
    <row r="471" spans="1:8" ht="37.549999999999997" customHeight="1" outlineLevel="2" x14ac:dyDescent="0.25">
      <c r="A471" s="81" t="s">
        <v>466</v>
      </c>
      <c r="B471" s="80" t="s">
        <v>500</v>
      </c>
      <c r="C471" s="80" t="s">
        <v>300</v>
      </c>
      <c r="D471" s="80" t="s">
        <v>467</v>
      </c>
      <c r="E471" s="80" t="s">
        <v>6</v>
      </c>
      <c r="F471" s="82">
        <f>F472</f>
        <v>50000</v>
      </c>
    </row>
    <row r="472" spans="1:8" ht="36.700000000000003" outlineLevel="4" x14ac:dyDescent="0.25">
      <c r="A472" s="81" t="s">
        <v>15</v>
      </c>
      <c r="B472" s="80" t="s">
        <v>500</v>
      </c>
      <c r="C472" s="80" t="s">
        <v>300</v>
      </c>
      <c r="D472" s="80" t="s">
        <v>467</v>
      </c>
      <c r="E472" s="80" t="s">
        <v>16</v>
      </c>
      <c r="F472" s="82">
        <f>F473</f>
        <v>50000</v>
      </c>
    </row>
    <row r="473" spans="1:8" ht="36.700000000000003" outlineLevel="5" x14ac:dyDescent="0.25">
      <c r="A473" s="81" t="s">
        <v>17</v>
      </c>
      <c r="B473" s="80" t="s">
        <v>500</v>
      </c>
      <c r="C473" s="80" t="s">
        <v>300</v>
      </c>
      <c r="D473" s="80" t="s">
        <v>467</v>
      </c>
      <c r="E473" s="80" t="s">
        <v>18</v>
      </c>
      <c r="F473" s="98">
        <f>'потребность 2023 (5)'!K504</f>
        <v>50000</v>
      </c>
    </row>
    <row r="474" spans="1:8" outlineLevel="6" x14ac:dyDescent="0.25">
      <c r="A474" s="109" t="s">
        <v>103</v>
      </c>
      <c r="B474" s="80" t="s">
        <v>500</v>
      </c>
      <c r="C474" s="110" t="s">
        <v>104</v>
      </c>
      <c r="D474" s="110" t="s">
        <v>126</v>
      </c>
      <c r="E474" s="110" t="s">
        <v>6</v>
      </c>
      <c r="F474" s="85">
        <f t="shared" ref="F474:F479" si="3">F475</f>
        <v>3357000</v>
      </c>
    </row>
    <row r="475" spans="1:8" outlineLevel="7" x14ac:dyDescent="0.25">
      <c r="A475" s="81" t="s">
        <v>105</v>
      </c>
      <c r="B475" s="80" t="s">
        <v>500</v>
      </c>
      <c r="C475" s="80" t="s">
        <v>106</v>
      </c>
      <c r="D475" s="80" t="s">
        <v>126</v>
      </c>
      <c r="E475" s="80" t="s">
        <v>6</v>
      </c>
      <c r="F475" s="82">
        <f t="shared" si="3"/>
        <v>3357000</v>
      </c>
    </row>
    <row r="476" spans="1:8" ht="55.05" outlineLevel="5" x14ac:dyDescent="0.25">
      <c r="A476" s="109" t="s">
        <v>829</v>
      </c>
      <c r="B476" s="80" t="s">
        <v>500</v>
      </c>
      <c r="C476" s="110" t="s">
        <v>106</v>
      </c>
      <c r="D476" s="110" t="s">
        <v>317</v>
      </c>
      <c r="E476" s="110" t="s">
        <v>6</v>
      </c>
      <c r="F476" s="85">
        <f>F477</f>
        <v>3357000</v>
      </c>
    </row>
    <row r="477" spans="1:8" ht="36.700000000000003" outlineLevel="6" x14ac:dyDescent="0.25">
      <c r="A477" s="113" t="s">
        <v>327</v>
      </c>
      <c r="B477" s="80" t="s">
        <v>500</v>
      </c>
      <c r="C477" s="80" t="s">
        <v>106</v>
      </c>
      <c r="D477" s="80" t="s">
        <v>318</v>
      </c>
      <c r="E477" s="80" t="s">
        <v>6</v>
      </c>
      <c r="F477" s="82">
        <f t="shared" si="3"/>
        <v>3357000</v>
      </c>
    </row>
    <row r="478" spans="1:8" ht="36.700000000000003" outlineLevel="7" x14ac:dyDescent="0.25">
      <c r="A478" s="81" t="s">
        <v>107</v>
      </c>
      <c r="B478" s="80" t="s">
        <v>500</v>
      </c>
      <c r="C478" s="80" t="s">
        <v>106</v>
      </c>
      <c r="D478" s="80" t="s">
        <v>319</v>
      </c>
      <c r="E478" s="80" t="s">
        <v>6</v>
      </c>
      <c r="F478" s="82">
        <f t="shared" si="3"/>
        <v>3357000</v>
      </c>
    </row>
    <row r="479" spans="1:8" ht="36.700000000000003" outlineLevel="6" x14ac:dyDescent="0.25">
      <c r="A479" s="81" t="s">
        <v>37</v>
      </c>
      <c r="B479" s="80" t="s">
        <v>500</v>
      </c>
      <c r="C479" s="80" t="s">
        <v>106</v>
      </c>
      <c r="D479" s="80" t="s">
        <v>319</v>
      </c>
      <c r="E479" s="80" t="s">
        <v>38</v>
      </c>
      <c r="F479" s="82">
        <f t="shared" si="3"/>
        <v>3357000</v>
      </c>
    </row>
    <row r="480" spans="1:8" ht="20.25" customHeight="1" outlineLevel="7" x14ac:dyDescent="0.25">
      <c r="A480" s="81" t="s">
        <v>39</v>
      </c>
      <c r="B480" s="80" t="s">
        <v>500</v>
      </c>
      <c r="C480" s="80" t="s">
        <v>106</v>
      </c>
      <c r="D480" s="80" t="s">
        <v>319</v>
      </c>
      <c r="E480" s="80" t="s">
        <v>40</v>
      </c>
      <c r="F480" s="82">
        <f>'потребность 2023 (5)'!K511</f>
        <v>3357000</v>
      </c>
    </row>
    <row r="481" spans="1:8" ht="29.9" customHeight="1" outlineLevel="6" x14ac:dyDescent="0.25">
      <c r="A481" s="104" t="s">
        <v>527</v>
      </c>
      <c r="B481" s="105" t="s">
        <v>501</v>
      </c>
      <c r="C481" s="105" t="s">
        <v>5</v>
      </c>
      <c r="D481" s="105" t="s">
        <v>126</v>
      </c>
      <c r="E481" s="105" t="s">
        <v>6</v>
      </c>
      <c r="F481" s="128">
        <f>F482</f>
        <v>5666668.2999999998</v>
      </c>
    </row>
    <row r="482" spans="1:8" outlineLevel="7" x14ac:dyDescent="0.25">
      <c r="A482" s="81" t="s">
        <v>7</v>
      </c>
      <c r="B482" s="80" t="s">
        <v>501</v>
      </c>
      <c r="C482" s="80" t="s">
        <v>8</v>
      </c>
      <c r="D482" s="80" t="s">
        <v>126</v>
      </c>
      <c r="E482" s="80" t="s">
        <v>6</v>
      </c>
      <c r="F482" s="82">
        <f>F483+F498</f>
        <v>5666668.2999999998</v>
      </c>
    </row>
    <row r="483" spans="1:8" ht="55.05" outlineLevel="5" x14ac:dyDescent="0.25">
      <c r="A483" s="81" t="s">
        <v>108</v>
      </c>
      <c r="B483" s="80" t="s">
        <v>501</v>
      </c>
      <c r="C483" s="80" t="s">
        <v>109</v>
      </c>
      <c r="D483" s="80" t="s">
        <v>126</v>
      </c>
      <c r="E483" s="80" t="s">
        <v>6</v>
      </c>
      <c r="F483" s="82">
        <f>F484</f>
        <v>5529388.2999999998</v>
      </c>
    </row>
    <row r="484" spans="1:8" ht="36.700000000000003" outlineLevel="6" x14ac:dyDescent="0.25">
      <c r="A484" s="81" t="s">
        <v>132</v>
      </c>
      <c r="B484" s="80" t="s">
        <v>501</v>
      </c>
      <c r="C484" s="80" t="s">
        <v>109</v>
      </c>
      <c r="D484" s="80" t="s">
        <v>127</v>
      </c>
      <c r="E484" s="80" t="s">
        <v>6</v>
      </c>
      <c r="F484" s="82">
        <f>F485+F488+F495</f>
        <v>5529388.2999999998</v>
      </c>
    </row>
    <row r="485" spans="1:8" outlineLevel="7" x14ac:dyDescent="0.25">
      <c r="A485" s="81" t="s">
        <v>528</v>
      </c>
      <c r="B485" s="80" t="s">
        <v>501</v>
      </c>
      <c r="C485" s="80" t="s">
        <v>109</v>
      </c>
      <c r="D485" s="80" t="s">
        <v>529</v>
      </c>
      <c r="E485" s="80" t="s">
        <v>6</v>
      </c>
      <c r="F485" s="82">
        <f>F486</f>
        <v>2537974.2999999998</v>
      </c>
    </row>
    <row r="486" spans="1:8" ht="37.549999999999997" customHeight="1" outlineLevel="2" x14ac:dyDescent="0.25">
      <c r="A486" s="81" t="s">
        <v>11</v>
      </c>
      <c r="B486" s="80" t="s">
        <v>501</v>
      </c>
      <c r="C486" s="80" t="s">
        <v>109</v>
      </c>
      <c r="D486" s="80" t="s">
        <v>529</v>
      </c>
      <c r="E486" s="80" t="s">
        <v>12</v>
      </c>
      <c r="F486" s="82">
        <f>F487</f>
        <v>2537974.2999999998</v>
      </c>
    </row>
    <row r="487" spans="1:8" ht="36.700000000000003" outlineLevel="4" x14ac:dyDescent="0.25">
      <c r="A487" s="81" t="s">
        <v>13</v>
      </c>
      <c r="B487" s="80" t="s">
        <v>501</v>
      </c>
      <c r="C487" s="80" t="s">
        <v>109</v>
      </c>
      <c r="D487" s="80" t="s">
        <v>529</v>
      </c>
      <c r="E487" s="80" t="s">
        <v>14</v>
      </c>
      <c r="F487" s="98">
        <f>'потребность 2023 (5)'!K518</f>
        <v>2537974.2999999998</v>
      </c>
    </row>
    <row r="488" spans="1:8" ht="36.700000000000003" outlineLevel="5" x14ac:dyDescent="0.25">
      <c r="A488" s="81" t="s">
        <v>494</v>
      </c>
      <c r="B488" s="80" t="s">
        <v>501</v>
      </c>
      <c r="C488" s="80" t="s">
        <v>109</v>
      </c>
      <c r="D488" s="80" t="s">
        <v>495</v>
      </c>
      <c r="E488" s="80" t="s">
        <v>6</v>
      </c>
      <c r="F488" s="82">
        <f>F489+F491+F493</f>
        <v>2811414</v>
      </c>
    </row>
    <row r="489" spans="1:8" ht="73.400000000000006" outlineLevel="6" x14ac:dyDescent="0.25">
      <c r="A489" s="81" t="s">
        <v>11</v>
      </c>
      <c r="B489" s="80" t="s">
        <v>501</v>
      </c>
      <c r="C489" s="80" t="s">
        <v>109</v>
      </c>
      <c r="D489" s="80" t="s">
        <v>495</v>
      </c>
      <c r="E489" s="80" t="s">
        <v>12</v>
      </c>
      <c r="F489" s="82">
        <f>F490</f>
        <v>2560414</v>
      </c>
    </row>
    <row r="490" spans="1:8" ht="36.700000000000003" outlineLevel="7" x14ac:dyDescent="0.25">
      <c r="A490" s="81" t="s">
        <v>13</v>
      </c>
      <c r="B490" s="80" t="s">
        <v>501</v>
      </c>
      <c r="C490" s="80" t="s">
        <v>109</v>
      </c>
      <c r="D490" s="80" t="s">
        <v>495</v>
      </c>
      <c r="E490" s="80" t="s">
        <v>14</v>
      </c>
      <c r="F490" s="82">
        <f>'потребность 2023 (5)'!K521</f>
        <v>2560414</v>
      </c>
    </row>
    <row r="491" spans="1:8" ht="36.700000000000003" outlineLevel="7" x14ac:dyDescent="0.25">
      <c r="A491" s="81" t="s">
        <v>15</v>
      </c>
      <c r="B491" s="80" t="s">
        <v>501</v>
      </c>
      <c r="C491" s="80" t="s">
        <v>109</v>
      </c>
      <c r="D491" s="80" t="s">
        <v>495</v>
      </c>
      <c r="E491" s="80" t="s">
        <v>16</v>
      </c>
      <c r="F491" s="82">
        <f>F492</f>
        <v>246000</v>
      </c>
    </row>
    <row r="492" spans="1:8" ht="36.700000000000003" outlineLevel="7" x14ac:dyDescent="0.25">
      <c r="A492" s="81" t="s">
        <v>17</v>
      </c>
      <c r="B492" s="80" t="s">
        <v>501</v>
      </c>
      <c r="C492" s="80" t="s">
        <v>109</v>
      </c>
      <c r="D492" s="80" t="s">
        <v>495</v>
      </c>
      <c r="E492" s="80" t="s">
        <v>18</v>
      </c>
      <c r="F492" s="98">
        <f>'потребность 2023 (5)'!K523</f>
        <v>246000</v>
      </c>
    </row>
    <row r="493" spans="1:8" outlineLevel="2" x14ac:dyDescent="0.25">
      <c r="A493" s="81" t="s">
        <v>19</v>
      </c>
      <c r="B493" s="80" t="s">
        <v>501</v>
      </c>
      <c r="C493" s="80" t="s">
        <v>109</v>
      </c>
      <c r="D493" s="80" t="s">
        <v>495</v>
      </c>
      <c r="E493" s="80" t="s">
        <v>20</v>
      </c>
      <c r="F493" s="82">
        <f>F494</f>
        <v>5000</v>
      </c>
    </row>
    <row r="494" spans="1:8" s="172" customFormat="1" outlineLevel="3" x14ac:dyDescent="0.25">
      <c r="A494" s="81" t="s">
        <v>21</v>
      </c>
      <c r="B494" s="80" t="s">
        <v>501</v>
      </c>
      <c r="C494" s="80" t="s">
        <v>109</v>
      </c>
      <c r="D494" s="80" t="s">
        <v>495</v>
      </c>
      <c r="E494" s="80" t="s">
        <v>22</v>
      </c>
      <c r="F494" s="98">
        <f>'потребность 2023 (5)'!K525</f>
        <v>5000</v>
      </c>
      <c r="G494" s="171"/>
      <c r="H494" s="171"/>
    </row>
    <row r="495" spans="1:8" outlineLevel="4" x14ac:dyDescent="0.25">
      <c r="A495" s="81" t="s">
        <v>531</v>
      </c>
      <c r="B495" s="80" t="s">
        <v>501</v>
      </c>
      <c r="C495" s="80" t="s">
        <v>109</v>
      </c>
      <c r="D495" s="80" t="s">
        <v>530</v>
      </c>
      <c r="E495" s="80" t="s">
        <v>6</v>
      </c>
      <c r="F495" s="82">
        <f>F496</f>
        <v>180000</v>
      </c>
    </row>
    <row r="496" spans="1:8" ht="73.400000000000006" outlineLevel="5" x14ac:dyDescent="0.25">
      <c r="A496" s="81" t="s">
        <v>11</v>
      </c>
      <c r="B496" s="80" t="s">
        <v>501</v>
      </c>
      <c r="C496" s="80" t="s">
        <v>109</v>
      </c>
      <c r="D496" s="80" t="s">
        <v>530</v>
      </c>
      <c r="E496" s="80" t="s">
        <v>12</v>
      </c>
      <c r="F496" s="82">
        <f>F497</f>
        <v>180000</v>
      </c>
    </row>
    <row r="497" spans="1:8" ht="31.75" customHeight="1" outlineLevel="6" x14ac:dyDescent="0.25">
      <c r="A497" s="81" t="s">
        <v>13</v>
      </c>
      <c r="B497" s="80" t="s">
        <v>501</v>
      </c>
      <c r="C497" s="80" t="s">
        <v>109</v>
      </c>
      <c r="D497" s="80" t="s">
        <v>530</v>
      </c>
      <c r="E497" s="80" t="s">
        <v>14</v>
      </c>
      <c r="F497" s="98">
        <f>'потребность 2023 (5)'!K528</f>
        <v>180000</v>
      </c>
    </row>
    <row r="498" spans="1:8" s="170" customFormat="1" x14ac:dyDescent="0.25">
      <c r="A498" s="81" t="s">
        <v>23</v>
      </c>
      <c r="B498" s="80" t="s">
        <v>501</v>
      </c>
      <c r="C498" s="80" t="s">
        <v>24</v>
      </c>
      <c r="D498" s="80" t="s">
        <v>126</v>
      </c>
      <c r="E498" s="80" t="s">
        <v>6</v>
      </c>
      <c r="F498" s="82">
        <f>F499+F504</f>
        <v>137280</v>
      </c>
      <c r="G498" s="173"/>
      <c r="H498" s="173"/>
    </row>
    <row r="499" spans="1:8" s="172" customFormat="1" ht="36.700000000000003" outlineLevel="1" x14ac:dyDescent="0.25">
      <c r="A499" s="109" t="s">
        <v>830</v>
      </c>
      <c r="B499" s="110" t="s">
        <v>501</v>
      </c>
      <c r="C499" s="110" t="s">
        <v>24</v>
      </c>
      <c r="D499" s="110" t="s">
        <v>128</v>
      </c>
      <c r="E499" s="110" t="s">
        <v>6</v>
      </c>
      <c r="F499" s="85">
        <f>F500</f>
        <v>33280</v>
      </c>
      <c r="G499" s="171"/>
      <c r="H499" s="171"/>
    </row>
    <row r="500" spans="1:8" ht="36.700000000000003" outlineLevel="2" x14ac:dyDescent="0.25">
      <c r="A500" s="113" t="s">
        <v>835</v>
      </c>
      <c r="B500" s="80" t="s">
        <v>501</v>
      </c>
      <c r="C500" s="80" t="s">
        <v>24</v>
      </c>
      <c r="D500" s="80" t="s">
        <v>315</v>
      </c>
      <c r="E500" s="80" t="s">
        <v>6</v>
      </c>
      <c r="F500" s="82">
        <f>F501</f>
        <v>33280</v>
      </c>
    </row>
    <row r="501" spans="1:8" s="172" customFormat="1" outlineLevel="3" x14ac:dyDescent="0.25">
      <c r="A501" s="113" t="s">
        <v>321</v>
      </c>
      <c r="B501" s="80" t="s">
        <v>501</v>
      </c>
      <c r="C501" s="80" t="s">
        <v>24</v>
      </c>
      <c r="D501" s="80" t="s">
        <v>316</v>
      </c>
      <c r="E501" s="80" t="s">
        <v>6</v>
      </c>
      <c r="F501" s="82">
        <f>F502</f>
        <v>33280</v>
      </c>
      <c r="G501" s="171"/>
      <c r="H501" s="171"/>
    </row>
    <row r="502" spans="1:8" ht="36.700000000000003" outlineLevel="4" x14ac:dyDescent="0.25">
      <c r="A502" s="81" t="s">
        <v>15</v>
      </c>
      <c r="B502" s="80" t="s">
        <v>501</v>
      </c>
      <c r="C502" s="80" t="s">
        <v>24</v>
      </c>
      <c r="D502" s="80" t="s">
        <v>316</v>
      </c>
      <c r="E502" s="80" t="s">
        <v>16</v>
      </c>
      <c r="F502" s="82">
        <f>F503</f>
        <v>33280</v>
      </c>
    </row>
    <row r="503" spans="1:8" ht="36.700000000000003" outlineLevel="4" x14ac:dyDescent="0.25">
      <c r="A503" s="81" t="s">
        <v>17</v>
      </c>
      <c r="B503" s="80" t="s">
        <v>501</v>
      </c>
      <c r="C503" s="80" t="s">
        <v>24</v>
      </c>
      <c r="D503" s="80" t="s">
        <v>316</v>
      </c>
      <c r="E503" s="80" t="s">
        <v>18</v>
      </c>
      <c r="F503" s="82">
        <f>'потребность 2023 (5)'!K539</f>
        <v>33280</v>
      </c>
    </row>
    <row r="504" spans="1:8" ht="36.700000000000003" outlineLevel="5" x14ac:dyDescent="0.25">
      <c r="A504" s="109" t="s">
        <v>132</v>
      </c>
      <c r="B504" s="110" t="s">
        <v>501</v>
      </c>
      <c r="C504" s="110" t="s">
        <v>24</v>
      </c>
      <c r="D504" s="110" t="s">
        <v>127</v>
      </c>
      <c r="E504" s="110" t="s">
        <v>6</v>
      </c>
      <c r="F504" s="133">
        <f>F505</f>
        <v>104000</v>
      </c>
    </row>
    <row r="505" spans="1:8" ht="36.700000000000003" outlineLevel="6" x14ac:dyDescent="0.25">
      <c r="A505" s="81" t="s">
        <v>532</v>
      </c>
      <c r="B505" s="80" t="s">
        <v>501</v>
      </c>
      <c r="C505" s="80" t="s">
        <v>24</v>
      </c>
      <c r="D505" s="160">
        <v>9909970201</v>
      </c>
      <c r="E505" s="80" t="s">
        <v>6</v>
      </c>
      <c r="F505" s="131">
        <f>F506</f>
        <v>104000</v>
      </c>
    </row>
    <row r="506" spans="1:8" ht="36.700000000000003" outlineLevel="7" x14ac:dyDescent="0.25">
      <c r="A506" s="81" t="s">
        <v>15</v>
      </c>
      <c r="B506" s="80" t="s">
        <v>501</v>
      </c>
      <c r="C506" s="80" t="s">
        <v>24</v>
      </c>
      <c r="D506" s="160">
        <v>9909970201</v>
      </c>
      <c r="E506" s="80" t="s">
        <v>16</v>
      </c>
      <c r="F506" s="131">
        <f>F507</f>
        <v>104000</v>
      </c>
    </row>
    <row r="507" spans="1:8" ht="45" customHeight="1" outlineLevel="7" x14ac:dyDescent="0.25">
      <c r="A507" s="81" t="s">
        <v>17</v>
      </c>
      <c r="B507" s="80" t="s">
        <v>501</v>
      </c>
      <c r="C507" s="80" t="s">
        <v>24</v>
      </c>
      <c r="D507" s="160">
        <v>9909970201</v>
      </c>
      <c r="E507" s="80" t="s">
        <v>18</v>
      </c>
      <c r="F507" s="82">
        <f>'потребность 2023 (5)'!K543</f>
        <v>104000</v>
      </c>
    </row>
    <row r="508" spans="1:8" ht="36.700000000000003" outlineLevel="7" x14ac:dyDescent="0.25">
      <c r="A508" s="104" t="s">
        <v>546</v>
      </c>
      <c r="B508" s="105" t="s">
        <v>536</v>
      </c>
      <c r="C508" s="105" t="s">
        <v>5</v>
      </c>
      <c r="D508" s="105" t="s">
        <v>126</v>
      </c>
      <c r="E508" s="105" t="s">
        <v>6</v>
      </c>
      <c r="F508" s="128">
        <f>F509+F654+F670</f>
        <v>600593068.19000006</v>
      </c>
    </row>
    <row r="509" spans="1:8" outlineLevel="7" x14ac:dyDescent="0.25">
      <c r="A509" s="109" t="s">
        <v>69</v>
      </c>
      <c r="B509" s="110" t="s">
        <v>536</v>
      </c>
      <c r="C509" s="110" t="s">
        <v>70</v>
      </c>
      <c r="D509" s="110" t="s">
        <v>126</v>
      </c>
      <c r="E509" s="110" t="s">
        <v>6</v>
      </c>
      <c r="F509" s="85">
        <f>F510+F546+F615+F634+F592</f>
        <v>595116714.19000006</v>
      </c>
    </row>
    <row r="510" spans="1:8" outlineLevel="7" x14ac:dyDescent="0.25">
      <c r="A510" s="81" t="s">
        <v>110</v>
      </c>
      <c r="B510" s="80" t="s">
        <v>536</v>
      </c>
      <c r="C510" s="80" t="s">
        <v>111</v>
      </c>
      <c r="D510" s="80" t="s">
        <v>126</v>
      </c>
      <c r="E510" s="80" t="s">
        <v>6</v>
      </c>
      <c r="F510" s="82">
        <f>F511</f>
        <v>138855396.20000002</v>
      </c>
    </row>
    <row r="511" spans="1:8" ht="36.700000000000003" outlineLevel="7" x14ac:dyDescent="0.25">
      <c r="A511" s="109" t="s">
        <v>825</v>
      </c>
      <c r="B511" s="110" t="s">
        <v>536</v>
      </c>
      <c r="C511" s="110" t="s">
        <v>111</v>
      </c>
      <c r="D511" s="110" t="s">
        <v>138</v>
      </c>
      <c r="E511" s="110" t="s">
        <v>6</v>
      </c>
      <c r="F511" s="85">
        <f>F512</f>
        <v>138855396.20000002</v>
      </c>
    </row>
    <row r="512" spans="1:8" ht="36.700000000000003" outlineLevel="7" x14ac:dyDescent="0.25">
      <c r="A512" s="81" t="s">
        <v>834</v>
      </c>
      <c r="B512" s="80" t="s">
        <v>536</v>
      </c>
      <c r="C512" s="80" t="s">
        <v>111</v>
      </c>
      <c r="D512" s="80" t="s">
        <v>139</v>
      </c>
      <c r="E512" s="80" t="s">
        <v>6</v>
      </c>
      <c r="F512" s="82">
        <f>F513+F520</f>
        <v>138855396.20000002</v>
      </c>
    </row>
    <row r="513" spans="1:6" ht="36.700000000000003" outlineLevel="7" x14ac:dyDescent="0.25">
      <c r="A513" s="113" t="s">
        <v>202</v>
      </c>
      <c r="B513" s="80" t="s">
        <v>536</v>
      </c>
      <c r="C513" s="80" t="s">
        <v>111</v>
      </c>
      <c r="D513" s="80" t="s">
        <v>219</v>
      </c>
      <c r="E513" s="80" t="s">
        <v>6</v>
      </c>
      <c r="F513" s="82">
        <f>F514+F517</f>
        <v>138408929.30000001</v>
      </c>
    </row>
    <row r="514" spans="1:6" ht="36.700000000000003" outlineLevel="7" x14ac:dyDescent="0.25">
      <c r="A514" s="81" t="s">
        <v>113</v>
      </c>
      <c r="B514" s="80" t="s">
        <v>536</v>
      </c>
      <c r="C514" s="80" t="s">
        <v>111</v>
      </c>
      <c r="D514" s="80" t="s">
        <v>144</v>
      </c>
      <c r="E514" s="80" t="s">
        <v>6</v>
      </c>
      <c r="F514" s="82">
        <f>F515</f>
        <v>48919685.299999997</v>
      </c>
    </row>
    <row r="515" spans="1:6" ht="36.700000000000003" outlineLevel="7" x14ac:dyDescent="0.25">
      <c r="A515" s="81" t="s">
        <v>37</v>
      </c>
      <c r="B515" s="80" t="s">
        <v>536</v>
      </c>
      <c r="C515" s="80" t="s">
        <v>111</v>
      </c>
      <c r="D515" s="80" t="s">
        <v>144</v>
      </c>
      <c r="E515" s="80" t="s">
        <v>38</v>
      </c>
      <c r="F515" s="82">
        <f>F516</f>
        <v>48919685.299999997</v>
      </c>
    </row>
    <row r="516" spans="1:6" outlineLevel="7" x14ac:dyDescent="0.25">
      <c r="A516" s="81" t="s">
        <v>74</v>
      </c>
      <c r="B516" s="80" t="s">
        <v>536</v>
      </c>
      <c r="C516" s="80" t="s">
        <v>111</v>
      </c>
      <c r="D516" s="80" t="s">
        <v>144</v>
      </c>
      <c r="E516" s="80" t="s">
        <v>75</v>
      </c>
      <c r="F516" s="131">
        <f>'потребность 2023 (5)'!K557</f>
        <v>48919685.299999997</v>
      </c>
    </row>
    <row r="517" spans="1:6" ht="91.7" outlineLevel="7" x14ac:dyDescent="0.25">
      <c r="A517" s="113" t="s">
        <v>397</v>
      </c>
      <c r="B517" s="80" t="s">
        <v>536</v>
      </c>
      <c r="C517" s="80" t="s">
        <v>111</v>
      </c>
      <c r="D517" s="80" t="s">
        <v>145</v>
      </c>
      <c r="E517" s="80" t="s">
        <v>6</v>
      </c>
      <c r="F517" s="82">
        <f>F518</f>
        <v>89489244</v>
      </c>
    </row>
    <row r="518" spans="1:6" ht="36.700000000000003" outlineLevel="7" x14ac:dyDescent="0.25">
      <c r="A518" s="81" t="s">
        <v>37</v>
      </c>
      <c r="B518" s="80" t="s">
        <v>536</v>
      </c>
      <c r="C518" s="80" t="s">
        <v>111</v>
      </c>
      <c r="D518" s="80" t="s">
        <v>145</v>
      </c>
      <c r="E518" s="80" t="s">
        <v>38</v>
      </c>
      <c r="F518" s="82">
        <f>F519</f>
        <v>89489244</v>
      </c>
    </row>
    <row r="519" spans="1:6" ht="24.8" customHeight="1" outlineLevel="7" x14ac:dyDescent="0.3">
      <c r="A519" s="81" t="s">
        <v>74</v>
      </c>
      <c r="B519" s="80" t="s">
        <v>536</v>
      </c>
      <c r="C519" s="80" t="s">
        <v>111</v>
      </c>
      <c r="D519" s="80" t="s">
        <v>145</v>
      </c>
      <c r="E519" s="80" t="s">
        <v>75</v>
      </c>
      <c r="F519" s="53">
        <f>'потребность 2023 (5)'!K560</f>
        <v>89489244</v>
      </c>
    </row>
    <row r="520" spans="1:6" ht="36.700000000000003" outlineLevel="7" x14ac:dyDescent="0.25">
      <c r="A520" s="113" t="s">
        <v>203</v>
      </c>
      <c r="B520" s="80" t="s">
        <v>536</v>
      </c>
      <c r="C520" s="80" t="s">
        <v>111</v>
      </c>
      <c r="D520" s="80" t="s">
        <v>221</v>
      </c>
      <c r="E520" s="80" t="s">
        <v>6</v>
      </c>
      <c r="F520" s="98">
        <f>F539+F521+F524+F527+F530+F533</f>
        <v>446466.9</v>
      </c>
    </row>
    <row r="521" spans="1:6" ht="36.700000000000003" outlineLevel="7" x14ac:dyDescent="0.25">
      <c r="A521" s="81" t="s">
        <v>282</v>
      </c>
      <c r="B521" s="80" t="s">
        <v>536</v>
      </c>
      <c r="C521" s="80" t="s">
        <v>111</v>
      </c>
      <c r="D521" s="80" t="s">
        <v>283</v>
      </c>
      <c r="E521" s="80" t="s">
        <v>6</v>
      </c>
      <c r="F521" s="98">
        <f>F522</f>
        <v>100000</v>
      </c>
    </row>
    <row r="522" spans="1:6" ht="22.75" customHeight="1" outlineLevel="7" x14ac:dyDescent="0.25">
      <c r="A522" s="81" t="s">
        <v>37</v>
      </c>
      <c r="B522" s="80" t="s">
        <v>536</v>
      </c>
      <c r="C522" s="80" t="s">
        <v>111</v>
      </c>
      <c r="D522" s="80" t="s">
        <v>283</v>
      </c>
      <c r="E522" s="80" t="s">
        <v>38</v>
      </c>
      <c r="F522" s="98">
        <f>F523</f>
        <v>100000</v>
      </c>
    </row>
    <row r="523" spans="1:6" outlineLevel="7" x14ac:dyDescent="0.25">
      <c r="A523" s="81" t="s">
        <v>74</v>
      </c>
      <c r="B523" s="80" t="s">
        <v>536</v>
      </c>
      <c r="C523" s="80" t="s">
        <v>111</v>
      </c>
      <c r="D523" s="80" t="s">
        <v>283</v>
      </c>
      <c r="E523" s="80" t="s">
        <v>75</v>
      </c>
      <c r="F523" s="98">
        <f>'потребность 2023 (5)'!K564</f>
        <v>100000</v>
      </c>
    </row>
    <row r="524" spans="1:6" outlineLevel="7" x14ac:dyDescent="0.25">
      <c r="A524" s="81" t="s">
        <v>268</v>
      </c>
      <c r="B524" s="80" t="s">
        <v>536</v>
      </c>
      <c r="C524" s="80" t="s">
        <v>111</v>
      </c>
      <c r="D524" s="80" t="s">
        <v>284</v>
      </c>
      <c r="E524" s="80" t="s">
        <v>6</v>
      </c>
      <c r="F524" s="131">
        <f>F525</f>
        <v>158000</v>
      </c>
    </row>
    <row r="525" spans="1:6" ht="36.700000000000003" outlineLevel="7" x14ac:dyDescent="0.25">
      <c r="A525" s="81" t="s">
        <v>37</v>
      </c>
      <c r="B525" s="80" t="s">
        <v>536</v>
      </c>
      <c r="C525" s="80" t="s">
        <v>111</v>
      </c>
      <c r="D525" s="80" t="s">
        <v>284</v>
      </c>
      <c r="E525" s="80" t="s">
        <v>38</v>
      </c>
      <c r="F525" s="131">
        <f>F526</f>
        <v>158000</v>
      </c>
    </row>
    <row r="526" spans="1:6" outlineLevel="7" x14ac:dyDescent="0.25">
      <c r="A526" s="81" t="s">
        <v>74</v>
      </c>
      <c r="B526" s="80" t="s">
        <v>536</v>
      </c>
      <c r="C526" s="80" t="s">
        <v>111</v>
      </c>
      <c r="D526" s="80" t="s">
        <v>284</v>
      </c>
      <c r="E526" s="80" t="s">
        <v>75</v>
      </c>
      <c r="F526" s="98">
        <f>'потребность 2023 (5)'!K567</f>
        <v>158000</v>
      </c>
    </row>
    <row r="527" spans="1:6" outlineLevel="7" x14ac:dyDescent="0.25">
      <c r="A527" s="81" t="s">
        <v>311</v>
      </c>
      <c r="B527" s="80" t="s">
        <v>536</v>
      </c>
      <c r="C527" s="80" t="s">
        <v>111</v>
      </c>
      <c r="D527" s="80" t="s">
        <v>534</v>
      </c>
      <c r="E527" s="80" t="s">
        <v>6</v>
      </c>
      <c r="F527" s="98">
        <f>F528</f>
        <v>0</v>
      </c>
    </row>
    <row r="528" spans="1:6" ht="36.700000000000003" outlineLevel="7" x14ac:dyDescent="0.25">
      <c r="A528" s="81" t="s">
        <v>37</v>
      </c>
      <c r="B528" s="80" t="s">
        <v>536</v>
      </c>
      <c r="C528" s="80" t="s">
        <v>111</v>
      </c>
      <c r="D528" s="80" t="s">
        <v>534</v>
      </c>
      <c r="E528" s="80" t="s">
        <v>38</v>
      </c>
      <c r="F528" s="98">
        <f>F529</f>
        <v>0</v>
      </c>
    </row>
    <row r="529" spans="1:8" outlineLevel="7" x14ac:dyDescent="0.25">
      <c r="A529" s="81" t="s">
        <v>74</v>
      </c>
      <c r="B529" s="80" t="s">
        <v>536</v>
      </c>
      <c r="C529" s="80" t="s">
        <v>111</v>
      </c>
      <c r="D529" s="80" t="s">
        <v>534</v>
      </c>
      <c r="E529" s="80" t="s">
        <v>75</v>
      </c>
      <c r="F529" s="98">
        <f>'потребность 2023 (5)'!K570</f>
        <v>0</v>
      </c>
    </row>
    <row r="530" spans="1:8" ht="36.700000000000003" outlineLevel="7" x14ac:dyDescent="0.25">
      <c r="A530" s="113" t="s">
        <v>458</v>
      </c>
      <c r="B530" s="80" t="s">
        <v>536</v>
      </c>
      <c r="C530" s="80" t="s">
        <v>111</v>
      </c>
      <c r="D530" s="80" t="s">
        <v>459</v>
      </c>
      <c r="E530" s="80" t="s">
        <v>6</v>
      </c>
      <c r="F530" s="98">
        <f>F531</f>
        <v>0</v>
      </c>
    </row>
    <row r="531" spans="1:8" ht="36.700000000000003" outlineLevel="7" x14ac:dyDescent="0.25">
      <c r="A531" s="81" t="s">
        <v>37</v>
      </c>
      <c r="B531" s="80" t="s">
        <v>536</v>
      </c>
      <c r="C531" s="80" t="s">
        <v>111</v>
      </c>
      <c r="D531" s="80" t="s">
        <v>459</v>
      </c>
      <c r="E531" s="80" t="s">
        <v>38</v>
      </c>
      <c r="F531" s="98">
        <f>F532</f>
        <v>0</v>
      </c>
    </row>
    <row r="532" spans="1:8" ht="19.05" outlineLevel="2" thickBot="1" x14ac:dyDescent="0.3">
      <c r="A532" s="81" t="s">
        <v>74</v>
      </c>
      <c r="B532" s="80" t="s">
        <v>536</v>
      </c>
      <c r="C532" s="80" t="s">
        <v>111</v>
      </c>
      <c r="D532" s="80" t="s">
        <v>459</v>
      </c>
      <c r="E532" s="80" t="s">
        <v>75</v>
      </c>
      <c r="F532" s="98">
        <f>'потребность 2023 (5)'!K573</f>
        <v>0</v>
      </c>
    </row>
    <row r="533" spans="1:8" s="172" customFormat="1" ht="57.25" customHeight="1" outlineLevel="3" thickBot="1" x14ac:dyDescent="0.3">
      <c r="A533" s="274" t="s">
        <v>938</v>
      </c>
      <c r="B533" s="80" t="s">
        <v>536</v>
      </c>
      <c r="C533" s="80" t="s">
        <v>111</v>
      </c>
      <c r="D533" s="80" t="s">
        <v>726</v>
      </c>
      <c r="E533" s="80" t="s">
        <v>6</v>
      </c>
      <c r="F533" s="98">
        <f>F534</f>
        <v>0</v>
      </c>
      <c r="G533" s="171"/>
      <c r="H533" s="171"/>
    </row>
    <row r="534" spans="1:8" ht="23.95" customHeight="1" outlineLevel="4" x14ac:dyDescent="0.25">
      <c r="A534" s="81" t="s">
        <v>37</v>
      </c>
      <c r="B534" s="80" t="s">
        <v>536</v>
      </c>
      <c r="C534" s="80" t="s">
        <v>111</v>
      </c>
      <c r="D534" s="80" t="s">
        <v>726</v>
      </c>
      <c r="E534" s="80" t="s">
        <v>38</v>
      </c>
      <c r="F534" s="98">
        <f>F535</f>
        <v>0</v>
      </c>
    </row>
    <row r="535" spans="1:8" ht="22.75" customHeight="1" outlineLevel="4" x14ac:dyDescent="0.25">
      <c r="A535" s="81" t="s">
        <v>74</v>
      </c>
      <c r="B535" s="80" t="s">
        <v>536</v>
      </c>
      <c r="C535" s="80" t="s">
        <v>111</v>
      </c>
      <c r="D535" s="80" t="s">
        <v>726</v>
      </c>
      <c r="E535" s="80" t="s">
        <v>75</v>
      </c>
      <c r="F535" s="98">
        <f>'потребность 2023 (5)'!K576</f>
        <v>0</v>
      </c>
    </row>
    <row r="536" spans="1:8" ht="54" customHeight="1" outlineLevel="4" x14ac:dyDescent="0.25">
      <c r="A536" s="100" t="s">
        <v>589</v>
      </c>
      <c r="B536" s="80" t="s">
        <v>536</v>
      </c>
      <c r="C536" s="80" t="s">
        <v>111</v>
      </c>
      <c r="D536" s="80" t="s">
        <v>590</v>
      </c>
      <c r="E536" s="80" t="s">
        <v>6</v>
      </c>
      <c r="F536" s="98">
        <f>F537</f>
        <v>0</v>
      </c>
    </row>
    <row r="537" spans="1:8" ht="32.299999999999997" customHeight="1" outlineLevel="4" x14ac:dyDescent="0.25">
      <c r="A537" s="81" t="s">
        <v>37</v>
      </c>
      <c r="B537" s="80" t="s">
        <v>536</v>
      </c>
      <c r="C537" s="80" t="s">
        <v>111</v>
      </c>
      <c r="D537" s="80" t="s">
        <v>590</v>
      </c>
      <c r="E537" s="80" t="s">
        <v>38</v>
      </c>
      <c r="F537" s="98">
        <f>F538</f>
        <v>0</v>
      </c>
    </row>
    <row r="538" spans="1:8" ht="30.75" customHeight="1" outlineLevel="4" x14ac:dyDescent="0.25">
      <c r="A538" s="81" t="s">
        <v>74</v>
      </c>
      <c r="B538" s="80" t="s">
        <v>536</v>
      </c>
      <c r="C538" s="80" t="s">
        <v>111</v>
      </c>
      <c r="D538" s="80" t="s">
        <v>590</v>
      </c>
      <c r="E538" s="80" t="s">
        <v>75</v>
      </c>
      <c r="F538" s="98">
        <f>'потребность 2023 (5)'!K579</f>
        <v>0</v>
      </c>
    </row>
    <row r="539" spans="1:8" ht="55.05" outlineLevel="5" x14ac:dyDescent="0.25">
      <c r="A539" s="81" t="s">
        <v>443</v>
      </c>
      <c r="B539" s="80" t="s">
        <v>536</v>
      </c>
      <c r="C539" s="80" t="s">
        <v>111</v>
      </c>
      <c r="D539" s="80" t="s">
        <v>444</v>
      </c>
      <c r="E539" s="80" t="s">
        <v>6</v>
      </c>
      <c r="F539" s="131">
        <f>F540</f>
        <v>188466.9</v>
      </c>
    </row>
    <row r="540" spans="1:8" ht="36.700000000000003" outlineLevel="6" x14ac:dyDescent="0.25">
      <c r="A540" s="81" t="s">
        <v>37</v>
      </c>
      <c r="B540" s="80" t="s">
        <v>536</v>
      </c>
      <c r="C540" s="80" t="s">
        <v>111</v>
      </c>
      <c r="D540" s="80" t="s">
        <v>444</v>
      </c>
      <c r="E540" s="80" t="s">
        <v>38</v>
      </c>
      <c r="F540" s="131">
        <f>F541</f>
        <v>188466.9</v>
      </c>
    </row>
    <row r="541" spans="1:8" ht="20.25" customHeight="1" outlineLevel="7" x14ac:dyDescent="0.25">
      <c r="A541" s="81" t="s">
        <v>74</v>
      </c>
      <c r="B541" s="80" t="s">
        <v>536</v>
      </c>
      <c r="C541" s="80" t="s">
        <v>111</v>
      </c>
      <c r="D541" s="80" t="s">
        <v>444</v>
      </c>
      <c r="E541" s="80" t="s">
        <v>75</v>
      </c>
      <c r="F541" s="98">
        <f>'потребность 2023 (5)'!K582</f>
        <v>188466.9</v>
      </c>
    </row>
    <row r="542" spans="1:8" ht="63.7" customHeight="1" outlineLevel="5" x14ac:dyDescent="0.25">
      <c r="A542" s="114" t="s">
        <v>591</v>
      </c>
      <c r="B542" s="80" t="s">
        <v>536</v>
      </c>
      <c r="C542" s="80" t="s">
        <v>111</v>
      </c>
      <c r="D542" s="80" t="s">
        <v>592</v>
      </c>
      <c r="E542" s="80" t="s">
        <v>6</v>
      </c>
      <c r="F542" s="98">
        <f>F543</f>
        <v>0</v>
      </c>
    </row>
    <row r="543" spans="1:8" ht="91.7" outlineLevel="5" x14ac:dyDescent="0.25">
      <c r="A543" s="113" t="s">
        <v>562</v>
      </c>
      <c r="B543" s="80" t="s">
        <v>536</v>
      </c>
      <c r="C543" s="80" t="s">
        <v>111</v>
      </c>
      <c r="D543" s="80" t="s">
        <v>675</v>
      </c>
      <c r="E543" s="80" t="s">
        <v>6</v>
      </c>
      <c r="F543" s="98">
        <f>F544</f>
        <v>0</v>
      </c>
    </row>
    <row r="544" spans="1:8" ht="36.700000000000003" outlineLevel="5" x14ac:dyDescent="0.25">
      <c r="A544" s="81" t="s">
        <v>264</v>
      </c>
      <c r="B544" s="80" t="s">
        <v>536</v>
      </c>
      <c r="C544" s="80" t="s">
        <v>111</v>
      </c>
      <c r="D544" s="80" t="s">
        <v>675</v>
      </c>
      <c r="E544" s="80" t="s">
        <v>265</v>
      </c>
      <c r="F544" s="98">
        <f>F545</f>
        <v>0</v>
      </c>
    </row>
    <row r="545" spans="1:6" ht="24.8" customHeight="1" outlineLevel="5" x14ac:dyDescent="0.25">
      <c r="A545" s="81" t="s">
        <v>266</v>
      </c>
      <c r="B545" s="80" t="s">
        <v>536</v>
      </c>
      <c r="C545" s="80" t="s">
        <v>111</v>
      </c>
      <c r="D545" s="80" t="s">
        <v>675</v>
      </c>
      <c r="E545" s="80" t="s">
        <v>267</v>
      </c>
      <c r="F545" s="98">
        <v>0</v>
      </c>
    </row>
    <row r="546" spans="1:6" outlineLevel="5" x14ac:dyDescent="0.25">
      <c r="A546" s="81" t="s">
        <v>71</v>
      </c>
      <c r="B546" s="80" t="s">
        <v>536</v>
      </c>
      <c r="C546" s="80" t="s">
        <v>72</v>
      </c>
      <c r="D546" s="80" t="s">
        <v>126</v>
      </c>
      <c r="E546" s="80" t="s">
        <v>6</v>
      </c>
      <c r="F546" s="82">
        <f>F547</f>
        <v>403407265.78000003</v>
      </c>
    </row>
    <row r="547" spans="1:6" ht="36.700000000000003" outlineLevel="5" x14ac:dyDescent="0.25">
      <c r="A547" s="109" t="s">
        <v>825</v>
      </c>
      <c r="B547" s="110" t="s">
        <v>536</v>
      </c>
      <c r="C547" s="110" t="s">
        <v>72</v>
      </c>
      <c r="D547" s="110" t="s">
        <v>138</v>
      </c>
      <c r="E547" s="110" t="s">
        <v>6</v>
      </c>
      <c r="F547" s="85">
        <f>F548</f>
        <v>403407265.78000003</v>
      </c>
    </row>
    <row r="548" spans="1:6" ht="45" customHeight="1" outlineLevel="5" x14ac:dyDescent="0.25">
      <c r="A548" s="81" t="s">
        <v>831</v>
      </c>
      <c r="B548" s="80" t="s">
        <v>536</v>
      </c>
      <c r="C548" s="80" t="s">
        <v>72</v>
      </c>
      <c r="D548" s="80" t="s">
        <v>146</v>
      </c>
      <c r="E548" s="80" t="s">
        <v>6</v>
      </c>
      <c r="F548" s="82">
        <f>F549+F562+F581+F585</f>
        <v>403407265.78000003</v>
      </c>
    </row>
    <row r="549" spans="1:6" ht="45.7" customHeight="1" outlineLevel="5" x14ac:dyDescent="0.25">
      <c r="A549" s="113" t="s">
        <v>205</v>
      </c>
      <c r="B549" s="80" t="s">
        <v>536</v>
      </c>
      <c r="C549" s="80" t="s">
        <v>72</v>
      </c>
      <c r="D549" s="80" t="s">
        <v>222</v>
      </c>
      <c r="E549" s="80" t="s">
        <v>6</v>
      </c>
      <c r="F549" s="82">
        <f>F550+F553+F556+F559</f>
        <v>392101366.04000002</v>
      </c>
    </row>
    <row r="550" spans="1:6" ht="55.05" outlineLevel="5" x14ac:dyDescent="0.25">
      <c r="A550" s="25" t="s">
        <v>593</v>
      </c>
      <c r="B550" s="80" t="s">
        <v>536</v>
      </c>
      <c r="C550" s="80" t="s">
        <v>72</v>
      </c>
      <c r="D550" s="80" t="s">
        <v>594</v>
      </c>
      <c r="E550" s="80" t="s">
        <v>6</v>
      </c>
      <c r="F550" s="82">
        <f>F551</f>
        <v>21060000</v>
      </c>
    </row>
    <row r="551" spans="1:6" ht="36.700000000000003" outlineLevel="5" x14ac:dyDescent="0.25">
      <c r="A551" s="81" t="s">
        <v>37</v>
      </c>
      <c r="B551" s="80" t="s">
        <v>536</v>
      </c>
      <c r="C551" s="80" t="s">
        <v>72</v>
      </c>
      <c r="D551" s="80" t="s">
        <v>594</v>
      </c>
      <c r="E551" s="80" t="s">
        <v>38</v>
      </c>
      <c r="F551" s="82">
        <f>F552</f>
        <v>21060000</v>
      </c>
    </row>
    <row r="552" spans="1:6" outlineLevel="5" x14ac:dyDescent="0.25">
      <c r="A552" s="81" t="s">
        <v>74</v>
      </c>
      <c r="B552" s="80" t="s">
        <v>536</v>
      </c>
      <c r="C552" s="80" t="s">
        <v>72</v>
      </c>
      <c r="D552" s="80" t="s">
        <v>594</v>
      </c>
      <c r="E552" s="80" t="s">
        <v>75</v>
      </c>
      <c r="F552" s="82">
        <f>'потребность 2023 (5)'!K593</f>
        <v>21060000</v>
      </c>
    </row>
    <row r="553" spans="1:6" ht="36.700000000000003" outlineLevel="5" x14ac:dyDescent="0.25">
      <c r="A553" s="81" t="s">
        <v>114</v>
      </c>
      <c r="B553" s="80" t="s">
        <v>536</v>
      </c>
      <c r="C553" s="80" t="s">
        <v>72</v>
      </c>
      <c r="D553" s="80" t="s">
        <v>147</v>
      </c>
      <c r="E553" s="80" t="s">
        <v>6</v>
      </c>
      <c r="F553" s="82">
        <f>F554</f>
        <v>101256758.04000001</v>
      </c>
    </row>
    <row r="554" spans="1:6" ht="36.700000000000003" outlineLevel="5" x14ac:dyDescent="0.25">
      <c r="A554" s="81" t="s">
        <v>37</v>
      </c>
      <c r="B554" s="80" t="s">
        <v>536</v>
      </c>
      <c r="C554" s="80" t="s">
        <v>72</v>
      </c>
      <c r="D554" s="80" t="s">
        <v>147</v>
      </c>
      <c r="E554" s="80" t="s">
        <v>38</v>
      </c>
      <c r="F554" s="82">
        <f>F555</f>
        <v>101256758.04000001</v>
      </c>
    </row>
    <row r="555" spans="1:6" outlineLevel="5" x14ac:dyDescent="0.3">
      <c r="A555" s="81" t="s">
        <v>74</v>
      </c>
      <c r="B555" s="80" t="s">
        <v>536</v>
      </c>
      <c r="C555" s="80" t="s">
        <v>72</v>
      </c>
      <c r="D555" s="80" t="s">
        <v>147</v>
      </c>
      <c r="E555" s="80" t="s">
        <v>75</v>
      </c>
      <c r="F555" s="53">
        <f>'потребность 2023 (5)'!K596</f>
        <v>101256758.04000001</v>
      </c>
    </row>
    <row r="556" spans="1:6" ht="110.05" outlineLevel="5" x14ac:dyDescent="0.25">
      <c r="A556" s="113" t="s">
        <v>400</v>
      </c>
      <c r="B556" s="80" t="s">
        <v>536</v>
      </c>
      <c r="C556" s="80" t="s">
        <v>72</v>
      </c>
      <c r="D556" s="80" t="s">
        <v>148</v>
      </c>
      <c r="E556" s="80" t="s">
        <v>6</v>
      </c>
      <c r="F556" s="82">
        <f>F557</f>
        <v>256548408</v>
      </c>
    </row>
    <row r="557" spans="1:6" ht="36.700000000000003" outlineLevel="5" x14ac:dyDescent="0.25">
      <c r="A557" s="81" t="s">
        <v>37</v>
      </c>
      <c r="B557" s="80" t="s">
        <v>536</v>
      </c>
      <c r="C557" s="80" t="s">
        <v>72</v>
      </c>
      <c r="D557" s="80" t="s">
        <v>148</v>
      </c>
      <c r="E557" s="80" t="s">
        <v>38</v>
      </c>
      <c r="F557" s="82">
        <f>F558</f>
        <v>256548408</v>
      </c>
    </row>
    <row r="558" spans="1:6" outlineLevel="5" x14ac:dyDescent="0.25">
      <c r="A558" s="81" t="s">
        <v>74</v>
      </c>
      <c r="B558" s="80" t="s">
        <v>536</v>
      </c>
      <c r="C558" s="80" t="s">
        <v>72</v>
      </c>
      <c r="D558" s="80" t="s">
        <v>148</v>
      </c>
      <c r="E558" s="80" t="s">
        <v>75</v>
      </c>
      <c r="F558" s="98">
        <f>'потребность 2023 (5)'!K599</f>
        <v>256548408</v>
      </c>
    </row>
    <row r="559" spans="1:6" ht="110.05" outlineLevel="5" x14ac:dyDescent="0.25">
      <c r="A559" s="25" t="s">
        <v>470</v>
      </c>
      <c r="B559" s="80" t="s">
        <v>536</v>
      </c>
      <c r="C559" s="80" t="s">
        <v>72</v>
      </c>
      <c r="D559" s="80" t="s">
        <v>922</v>
      </c>
      <c r="E559" s="80" t="s">
        <v>6</v>
      </c>
      <c r="F559" s="98">
        <f>F560</f>
        <v>13236200</v>
      </c>
    </row>
    <row r="560" spans="1:6" ht="36.700000000000003" outlineLevel="5" x14ac:dyDescent="0.25">
      <c r="A560" s="81" t="s">
        <v>37</v>
      </c>
      <c r="B560" s="80" t="s">
        <v>536</v>
      </c>
      <c r="C560" s="80" t="s">
        <v>72</v>
      </c>
      <c r="D560" s="80" t="s">
        <v>922</v>
      </c>
      <c r="E560" s="80" t="s">
        <v>38</v>
      </c>
      <c r="F560" s="98">
        <f>F561</f>
        <v>13236200</v>
      </c>
    </row>
    <row r="561" spans="1:8" outlineLevel="5" x14ac:dyDescent="0.25">
      <c r="A561" s="81" t="s">
        <v>74</v>
      </c>
      <c r="B561" s="80" t="s">
        <v>536</v>
      </c>
      <c r="C561" s="80" t="s">
        <v>72</v>
      </c>
      <c r="D561" s="80" t="s">
        <v>922</v>
      </c>
      <c r="E561" s="80" t="s">
        <v>75</v>
      </c>
      <c r="F561" s="98">
        <f>'потребность 2023 (5)'!K602</f>
        <v>13236200</v>
      </c>
    </row>
    <row r="562" spans="1:8" ht="36.700000000000003" outlineLevel="5" x14ac:dyDescent="0.25">
      <c r="A562" s="113" t="s">
        <v>206</v>
      </c>
      <c r="B562" s="80" t="s">
        <v>536</v>
      </c>
      <c r="C562" s="80" t="s">
        <v>72</v>
      </c>
      <c r="D562" s="80" t="s">
        <v>220</v>
      </c>
      <c r="E562" s="80" t="s">
        <v>6</v>
      </c>
      <c r="F562" s="98">
        <f>F575+F563+F566+F572+F569+F578+F589</f>
        <v>1214979.52</v>
      </c>
    </row>
    <row r="563" spans="1:8" outlineLevel="5" x14ac:dyDescent="0.25">
      <c r="A563" s="81" t="s">
        <v>268</v>
      </c>
      <c r="B563" s="80" t="s">
        <v>536</v>
      </c>
      <c r="C563" s="80" t="s">
        <v>72</v>
      </c>
      <c r="D563" s="80" t="s">
        <v>269</v>
      </c>
      <c r="E563" s="80" t="s">
        <v>6</v>
      </c>
      <c r="F563" s="131">
        <f>F564</f>
        <v>221200</v>
      </c>
    </row>
    <row r="564" spans="1:8" ht="36.700000000000003" outlineLevel="5" x14ac:dyDescent="0.25">
      <c r="A564" s="81" t="s">
        <v>37</v>
      </c>
      <c r="B564" s="80" t="s">
        <v>536</v>
      </c>
      <c r="C564" s="80" t="s">
        <v>72</v>
      </c>
      <c r="D564" s="80" t="s">
        <v>269</v>
      </c>
      <c r="E564" s="80" t="s">
        <v>38</v>
      </c>
      <c r="F564" s="131">
        <f>F565</f>
        <v>221200</v>
      </c>
    </row>
    <row r="565" spans="1:8" outlineLevel="5" x14ac:dyDescent="0.25">
      <c r="A565" s="81" t="s">
        <v>74</v>
      </c>
      <c r="B565" s="80" t="s">
        <v>536</v>
      </c>
      <c r="C565" s="80" t="s">
        <v>72</v>
      </c>
      <c r="D565" s="80" t="s">
        <v>269</v>
      </c>
      <c r="E565" s="80" t="s">
        <v>75</v>
      </c>
      <c r="F565" s="98">
        <f>'потребность 2023 (5)'!K606</f>
        <v>221200</v>
      </c>
    </row>
    <row r="566" spans="1:8" outlineLevel="5" x14ac:dyDescent="0.25">
      <c r="A566" s="134" t="s">
        <v>311</v>
      </c>
      <c r="B566" s="80" t="s">
        <v>536</v>
      </c>
      <c r="C566" s="80" t="s">
        <v>72</v>
      </c>
      <c r="D566" s="80" t="s">
        <v>312</v>
      </c>
      <c r="E566" s="80" t="s">
        <v>6</v>
      </c>
      <c r="F566" s="131">
        <f>F567</f>
        <v>0</v>
      </c>
    </row>
    <row r="567" spans="1:8" ht="36.700000000000003" outlineLevel="5" x14ac:dyDescent="0.25">
      <c r="A567" s="81" t="s">
        <v>37</v>
      </c>
      <c r="B567" s="80" t="s">
        <v>536</v>
      </c>
      <c r="C567" s="80" t="s">
        <v>72</v>
      </c>
      <c r="D567" s="80" t="s">
        <v>312</v>
      </c>
      <c r="E567" s="80" t="s">
        <v>38</v>
      </c>
      <c r="F567" s="131">
        <f>F568</f>
        <v>0</v>
      </c>
    </row>
    <row r="568" spans="1:8" outlineLevel="5" x14ac:dyDescent="0.25">
      <c r="A568" s="81" t="s">
        <v>74</v>
      </c>
      <c r="B568" s="80" t="s">
        <v>536</v>
      </c>
      <c r="C568" s="80" t="s">
        <v>72</v>
      </c>
      <c r="D568" s="80" t="s">
        <v>312</v>
      </c>
      <c r="E568" s="80" t="s">
        <v>75</v>
      </c>
      <c r="F568" s="98">
        <f>'потребность 2023 (5)'!K609</f>
        <v>0</v>
      </c>
    </row>
    <row r="569" spans="1:8" ht="39.75" customHeight="1" outlineLevel="5" x14ac:dyDescent="0.25">
      <c r="A569" s="113" t="s">
        <v>458</v>
      </c>
      <c r="B569" s="80" t="s">
        <v>536</v>
      </c>
      <c r="C569" s="80" t="s">
        <v>72</v>
      </c>
      <c r="D569" s="80" t="s">
        <v>720</v>
      </c>
      <c r="E569" s="80" t="s">
        <v>6</v>
      </c>
      <c r="F569" s="98">
        <f>F570</f>
        <v>0</v>
      </c>
    </row>
    <row r="570" spans="1:8" ht="36.700000000000003" outlineLevel="5" x14ac:dyDescent="0.25">
      <c r="A570" s="81" t="s">
        <v>37</v>
      </c>
      <c r="B570" s="80" t="s">
        <v>536</v>
      </c>
      <c r="C570" s="80" t="s">
        <v>72</v>
      </c>
      <c r="D570" s="80" t="s">
        <v>720</v>
      </c>
      <c r="E570" s="80" t="s">
        <v>38</v>
      </c>
      <c r="F570" s="98">
        <f>F571</f>
        <v>0</v>
      </c>
    </row>
    <row r="571" spans="1:8" outlineLevel="5" x14ac:dyDescent="0.25">
      <c r="A571" s="81" t="s">
        <v>74</v>
      </c>
      <c r="B571" s="80" t="s">
        <v>536</v>
      </c>
      <c r="C571" s="80" t="s">
        <v>72</v>
      </c>
      <c r="D571" s="80" t="s">
        <v>720</v>
      </c>
      <c r="E571" s="80" t="s">
        <v>75</v>
      </c>
      <c r="F571" s="98">
        <f>'потребность 2023 (5)'!K612</f>
        <v>0</v>
      </c>
    </row>
    <row r="572" spans="1:8" ht="55.05" outlineLevel="5" x14ac:dyDescent="0.25">
      <c r="A572" s="25" t="s">
        <v>595</v>
      </c>
      <c r="B572" s="80" t="s">
        <v>536</v>
      </c>
      <c r="C572" s="80" t="s">
        <v>72</v>
      </c>
      <c r="D572" s="80" t="s">
        <v>596</v>
      </c>
      <c r="E572" s="80" t="s">
        <v>6</v>
      </c>
      <c r="F572" s="98">
        <f>F573</f>
        <v>0</v>
      </c>
    </row>
    <row r="573" spans="1:8" s="172" customFormat="1" ht="36.700000000000003" outlineLevel="5" x14ac:dyDescent="0.25">
      <c r="A573" s="81" t="s">
        <v>37</v>
      </c>
      <c r="B573" s="80" t="s">
        <v>536</v>
      </c>
      <c r="C573" s="80" t="s">
        <v>72</v>
      </c>
      <c r="D573" s="80" t="s">
        <v>596</v>
      </c>
      <c r="E573" s="80" t="s">
        <v>38</v>
      </c>
      <c r="F573" s="98">
        <f>F574</f>
        <v>0</v>
      </c>
      <c r="G573" s="171"/>
      <c r="H573" s="171"/>
    </row>
    <row r="574" spans="1:8" ht="23.3" customHeight="1" outlineLevel="4" x14ac:dyDescent="0.25">
      <c r="A574" s="81" t="s">
        <v>74</v>
      </c>
      <c r="B574" s="80" t="s">
        <v>536</v>
      </c>
      <c r="C574" s="80" t="s">
        <v>72</v>
      </c>
      <c r="D574" s="80" t="s">
        <v>596</v>
      </c>
      <c r="E574" s="80" t="s">
        <v>75</v>
      </c>
      <c r="F574" s="98">
        <f>'потребность 2023 (5)'!K615</f>
        <v>0</v>
      </c>
    </row>
    <row r="575" spans="1:8" ht="36.700000000000003" outlineLevel="4" x14ac:dyDescent="0.25">
      <c r="A575" s="81" t="s">
        <v>445</v>
      </c>
      <c r="B575" s="80" t="s">
        <v>536</v>
      </c>
      <c r="C575" s="80" t="s">
        <v>72</v>
      </c>
      <c r="D575" s="80" t="s">
        <v>446</v>
      </c>
      <c r="E575" s="80" t="s">
        <v>6</v>
      </c>
      <c r="F575" s="131">
        <f>F576</f>
        <v>993779.52</v>
      </c>
    </row>
    <row r="576" spans="1:8" ht="36.700000000000003" outlineLevel="5" x14ac:dyDescent="0.25">
      <c r="A576" s="81" t="s">
        <v>37</v>
      </c>
      <c r="B576" s="80" t="s">
        <v>536</v>
      </c>
      <c r="C576" s="80" t="s">
        <v>72</v>
      </c>
      <c r="D576" s="80" t="s">
        <v>446</v>
      </c>
      <c r="E576" s="80" t="s">
        <v>38</v>
      </c>
      <c r="F576" s="131">
        <f>F577</f>
        <v>993779.52</v>
      </c>
    </row>
    <row r="577" spans="1:6" outlineLevel="6" x14ac:dyDescent="0.25">
      <c r="A577" s="81" t="s">
        <v>74</v>
      </c>
      <c r="B577" s="80" t="s">
        <v>536</v>
      </c>
      <c r="C577" s="80" t="s">
        <v>72</v>
      </c>
      <c r="D577" s="80" t="s">
        <v>446</v>
      </c>
      <c r="E577" s="80" t="s">
        <v>75</v>
      </c>
      <c r="F577" s="98">
        <f>'потребность 2023 (5)'!K618</f>
        <v>993779.52</v>
      </c>
    </row>
    <row r="578" spans="1:6" ht="36.700000000000003" outlineLevel="6" x14ac:dyDescent="0.25">
      <c r="A578" s="81" t="s">
        <v>923</v>
      </c>
      <c r="B578" s="80" t="s">
        <v>536</v>
      </c>
      <c r="C578" s="80" t="s">
        <v>72</v>
      </c>
      <c r="D578" s="80" t="s">
        <v>924</v>
      </c>
      <c r="E578" s="80" t="s">
        <v>6</v>
      </c>
      <c r="F578" s="98">
        <f>F579</f>
        <v>0</v>
      </c>
    </row>
    <row r="579" spans="1:6" ht="36.700000000000003" outlineLevel="6" x14ac:dyDescent="0.25">
      <c r="A579" s="81" t="s">
        <v>37</v>
      </c>
      <c r="B579" s="80" t="s">
        <v>536</v>
      </c>
      <c r="C579" s="80" t="s">
        <v>72</v>
      </c>
      <c r="D579" s="80" t="s">
        <v>924</v>
      </c>
      <c r="E579" s="80" t="s">
        <v>38</v>
      </c>
      <c r="F579" s="98">
        <f>F580</f>
        <v>0</v>
      </c>
    </row>
    <row r="580" spans="1:6" outlineLevel="6" x14ac:dyDescent="0.25">
      <c r="A580" s="81" t="s">
        <v>74</v>
      </c>
      <c r="B580" s="80" t="s">
        <v>536</v>
      </c>
      <c r="C580" s="80" t="s">
        <v>72</v>
      </c>
      <c r="D580" s="80" t="s">
        <v>924</v>
      </c>
      <c r="E580" s="80" t="s">
        <v>75</v>
      </c>
      <c r="F580" s="98">
        <v>0</v>
      </c>
    </row>
    <row r="581" spans="1:6" ht="36.700000000000003" outlineLevel="7" x14ac:dyDescent="0.25">
      <c r="A581" s="113" t="s">
        <v>275</v>
      </c>
      <c r="B581" s="80" t="s">
        <v>536</v>
      </c>
      <c r="C581" s="80" t="s">
        <v>72</v>
      </c>
      <c r="D581" s="80" t="s">
        <v>223</v>
      </c>
      <c r="E581" s="80" t="s">
        <v>6</v>
      </c>
      <c r="F581" s="98">
        <f>F582</f>
        <v>7109400</v>
      </c>
    </row>
    <row r="582" spans="1:6" ht="91.7" outlineLevel="7" x14ac:dyDescent="0.25">
      <c r="A582" s="135" t="s">
        <v>658</v>
      </c>
      <c r="B582" s="80" t="s">
        <v>536</v>
      </c>
      <c r="C582" s="80" t="s">
        <v>72</v>
      </c>
      <c r="D582" s="80" t="s">
        <v>659</v>
      </c>
      <c r="E582" s="80" t="s">
        <v>6</v>
      </c>
      <c r="F582" s="98">
        <f>F583</f>
        <v>7109400</v>
      </c>
    </row>
    <row r="583" spans="1:6" ht="36.700000000000003" outlineLevel="7" x14ac:dyDescent="0.25">
      <c r="A583" s="81" t="s">
        <v>37</v>
      </c>
      <c r="B583" s="80" t="s">
        <v>536</v>
      </c>
      <c r="C583" s="80" t="s">
        <v>72</v>
      </c>
      <c r="D583" s="80" t="s">
        <v>659</v>
      </c>
      <c r="E583" s="80" t="s">
        <v>38</v>
      </c>
      <c r="F583" s="98">
        <f>F584</f>
        <v>7109400</v>
      </c>
    </row>
    <row r="584" spans="1:6" ht="22.75" customHeight="1" outlineLevel="7" x14ac:dyDescent="0.25">
      <c r="A584" s="81" t="s">
        <v>74</v>
      </c>
      <c r="B584" s="80" t="s">
        <v>536</v>
      </c>
      <c r="C584" s="80" t="s">
        <v>72</v>
      </c>
      <c r="D584" s="80" t="s">
        <v>659</v>
      </c>
      <c r="E584" s="80" t="s">
        <v>75</v>
      </c>
      <c r="F584" s="98">
        <f>'потребность 2023 (5)'!K625</f>
        <v>7109400</v>
      </c>
    </row>
    <row r="585" spans="1:6" outlineLevel="7" x14ac:dyDescent="0.25">
      <c r="A585" s="25" t="s">
        <v>1049</v>
      </c>
      <c r="B585" s="80" t="s">
        <v>536</v>
      </c>
      <c r="C585" s="80" t="s">
        <v>72</v>
      </c>
      <c r="D585" s="80" t="s">
        <v>313</v>
      </c>
      <c r="E585" s="80" t="s">
        <v>6</v>
      </c>
      <c r="F585" s="98">
        <f>F586</f>
        <v>2981520.22</v>
      </c>
    </row>
    <row r="586" spans="1:6" ht="55.05" outlineLevel="7" x14ac:dyDescent="0.25">
      <c r="A586" s="81" t="s">
        <v>1050</v>
      </c>
      <c r="B586" s="80" t="s">
        <v>536</v>
      </c>
      <c r="C586" s="80" t="s">
        <v>72</v>
      </c>
      <c r="D586" s="80" t="s">
        <v>968</v>
      </c>
      <c r="E586" s="80" t="s">
        <v>6</v>
      </c>
      <c r="F586" s="98">
        <f>F587</f>
        <v>2981520.22</v>
      </c>
    </row>
    <row r="587" spans="1:6" ht="36.700000000000003" outlineLevel="7" x14ac:dyDescent="0.25">
      <c r="A587" s="81" t="s">
        <v>37</v>
      </c>
      <c r="B587" s="80" t="s">
        <v>536</v>
      </c>
      <c r="C587" s="80" t="s">
        <v>72</v>
      </c>
      <c r="D587" s="80" t="s">
        <v>968</v>
      </c>
      <c r="E587" s="80" t="s">
        <v>38</v>
      </c>
      <c r="F587" s="98">
        <f>F588</f>
        <v>2981520.22</v>
      </c>
    </row>
    <row r="588" spans="1:6" ht="19.05" outlineLevel="7" thickBot="1" x14ac:dyDescent="0.3">
      <c r="A588" s="81" t="s">
        <v>74</v>
      </c>
      <c r="B588" s="80" t="s">
        <v>536</v>
      </c>
      <c r="C588" s="80" t="s">
        <v>72</v>
      </c>
      <c r="D588" s="80" t="s">
        <v>968</v>
      </c>
      <c r="E588" s="80" t="s">
        <v>75</v>
      </c>
      <c r="F588" s="98">
        <f>'потребность 2023 (5)'!K629</f>
        <v>2981520.22</v>
      </c>
    </row>
    <row r="589" spans="1:6" ht="55.7" outlineLevel="7" thickBot="1" x14ac:dyDescent="0.3">
      <c r="A589" s="280" t="s">
        <v>938</v>
      </c>
      <c r="B589" s="80" t="s">
        <v>536</v>
      </c>
      <c r="C589" s="80" t="s">
        <v>72</v>
      </c>
      <c r="D589" s="80" t="s">
        <v>939</v>
      </c>
      <c r="E589" s="80" t="s">
        <v>6</v>
      </c>
      <c r="F589" s="98">
        <f>F590</f>
        <v>0</v>
      </c>
    </row>
    <row r="590" spans="1:6" ht="36.700000000000003" outlineLevel="7" x14ac:dyDescent="0.25">
      <c r="A590" s="81" t="s">
        <v>37</v>
      </c>
      <c r="B590" s="80" t="s">
        <v>536</v>
      </c>
      <c r="C590" s="80" t="s">
        <v>72</v>
      </c>
      <c r="D590" s="80" t="s">
        <v>939</v>
      </c>
      <c r="E590" s="80" t="s">
        <v>38</v>
      </c>
      <c r="F590" s="98">
        <f>F591</f>
        <v>0</v>
      </c>
    </row>
    <row r="591" spans="1:6" outlineLevel="7" x14ac:dyDescent="0.25">
      <c r="A591" s="81" t="s">
        <v>74</v>
      </c>
      <c r="B591" s="80" t="s">
        <v>536</v>
      </c>
      <c r="C591" s="80" t="s">
        <v>72</v>
      </c>
      <c r="D591" s="80" t="s">
        <v>939</v>
      </c>
      <c r="E591" s="80" t="s">
        <v>75</v>
      </c>
      <c r="F591" s="98">
        <v>0</v>
      </c>
    </row>
    <row r="592" spans="1:6" outlineLevel="5" x14ac:dyDescent="0.25">
      <c r="A592" s="81" t="s">
        <v>257</v>
      </c>
      <c r="B592" s="80" t="s">
        <v>536</v>
      </c>
      <c r="C592" s="80" t="s">
        <v>256</v>
      </c>
      <c r="D592" s="80" t="s">
        <v>126</v>
      </c>
      <c r="E592" s="80" t="s">
        <v>6</v>
      </c>
      <c r="F592" s="131">
        <f>F593</f>
        <v>26493367.960000001</v>
      </c>
    </row>
    <row r="593" spans="1:8" ht="36.700000000000003" outlineLevel="6" x14ac:dyDescent="0.25">
      <c r="A593" s="109" t="s">
        <v>825</v>
      </c>
      <c r="B593" s="110" t="s">
        <v>536</v>
      </c>
      <c r="C593" s="110" t="s">
        <v>256</v>
      </c>
      <c r="D593" s="110" t="s">
        <v>138</v>
      </c>
      <c r="E593" s="110" t="s">
        <v>6</v>
      </c>
      <c r="F593" s="133">
        <f>F594</f>
        <v>26493367.960000001</v>
      </c>
    </row>
    <row r="594" spans="1:8" ht="49.75" customHeight="1" outlineLevel="7" x14ac:dyDescent="0.25">
      <c r="A594" s="81" t="s">
        <v>832</v>
      </c>
      <c r="B594" s="80" t="s">
        <v>536</v>
      </c>
      <c r="C594" s="80" t="s">
        <v>256</v>
      </c>
      <c r="D594" s="80" t="s">
        <v>149</v>
      </c>
      <c r="E594" s="80" t="s">
        <v>6</v>
      </c>
      <c r="F594" s="82">
        <f>F595+F599+F609</f>
        <v>26493367.960000001</v>
      </c>
    </row>
    <row r="595" spans="1:8" ht="23.3" customHeight="1" outlineLevel="7" x14ac:dyDescent="0.25">
      <c r="A595" s="113" t="s">
        <v>207</v>
      </c>
      <c r="B595" s="80" t="s">
        <v>536</v>
      </c>
      <c r="C595" s="80" t="s">
        <v>256</v>
      </c>
      <c r="D595" s="80" t="s">
        <v>224</v>
      </c>
      <c r="E595" s="80" t="s">
        <v>6</v>
      </c>
      <c r="F595" s="82">
        <f>F596</f>
        <v>24725577.960000001</v>
      </c>
    </row>
    <row r="596" spans="1:8" ht="22.75" customHeight="1" outlineLevel="7" x14ac:dyDescent="0.25">
      <c r="A596" s="81" t="s">
        <v>115</v>
      </c>
      <c r="B596" s="80" t="s">
        <v>536</v>
      </c>
      <c r="C596" s="80" t="s">
        <v>256</v>
      </c>
      <c r="D596" s="80" t="s">
        <v>151</v>
      </c>
      <c r="E596" s="80" t="s">
        <v>6</v>
      </c>
      <c r="F596" s="82">
        <f>F597</f>
        <v>24725577.960000001</v>
      </c>
    </row>
    <row r="597" spans="1:8" ht="24.8" customHeight="1" outlineLevel="7" x14ac:dyDescent="0.25">
      <c r="A597" s="81" t="s">
        <v>37</v>
      </c>
      <c r="B597" s="80" t="s">
        <v>536</v>
      </c>
      <c r="C597" s="80" t="s">
        <v>256</v>
      </c>
      <c r="D597" s="80" t="s">
        <v>151</v>
      </c>
      <c r="E597" s="80" t="s">
        <v>38</v>
      </c>
      <c r="F597" s="82">
        <f>F598</f>
        <v>24725577.960000001</v>
      </c>
    </row>
    <row r="598" spans="1:8" ht="27" customHeight="1" outlineLevel="7" x14ac:dyDescent="0.25">
      <c r="A598" s="81" t="s">
        <v>74</v>
      </c>
      <c r="B598" s="80" t="s">
        <v>536</v>
      </c>
      <c r="C598" s="80" t="s">
        <v>256</v>
      </c>
      <c r="D598" s="80" t="s">
        <v>151</v>
      </c>
      <c r="E598" s="80" t="s">
        <v>75</v>
      </c>
      <c r="F598" s="98">
        <f>'потребность 2023 (5)'!K639</f>
        <v>24725577.960000001</v>
      </c>
    </row>
    <row r="599" spans="1:8" ht="36.700000000000003" outlineLevel="7" x14ac:dyDescent="0.25">
      <c r="A599" s="113" t="s">
        <v>402</v>
      </c>
      <c r="B599" s="80" t="s">
        <v>536</v>
      </c>
      <c r="C599" s="80" t="s">
        <v>256</v>
      </c>
      <c r="D599" s="80" t="s">
        <v>225</v>
      </c>
      <c r="E599" s="80" t="s">
        <v>6</v>
      </c>
      <c r="F599" s="98">
        <f>F600+F606</f>
        <v>31600</v>
      </c>
    </row>
    <row r="600" spans="1:8" outlineLevel="7" x14ac:dyDescent="0.25">
      <c r="A600" s="81" t="s">
        <v>268</v>
      </c>
      <c r="B600" s="80" t="s">
        <v>536</v>
      </c>
      <c r="C600" s="80" t="s">
        <v>256</v>
      </c>
      <c r="D600" s="80" t="s">
        <v>288</v>
      </c>
      <c r="E600" s="80" t="s">
        <v>6</v>
      </c>
      <c r="F600" s="131">
        <f>F601</f>
        <v>31600</v>
      </c>
    </row>
    <row r="601" spans="1:8" ht="36.700000000000003" outlineLevel="7" x14ac:dyDescent="0.25">
      <c r="A601" s="81" t="s">
        <v>37</v>
      </c>
      <c r="B601" s="80" t="s">
        <v>536</v>
      </c>
      <c r="C601" s="80" t="s">
        <v>256</v>
      </c>
      <c r="D601" s="80" t="s">
        <v>288</v>
      </c>
      <c r="E601" s="80" t="s">
        <v>38</v>
      </c>
      <c r="F601" s="131">
        <f>F602</f>
        <v>31600</v>
      </c>
    </row>
    <row r="602" spans="1:8" outlineLevel="2" x14ac:dyDescent="0.25">
      <c r="A602" s="81" t="s">
        <v>74</v>
      </c>
      <c r="B602" s="80" t="s">
        <v>536</v>
      </c>
      <c r="C602" s="80" t="s">
        <v>256</v>
      </c>
      <c r="D602" s="80" t="s">
        <v>288</v>
      </c>
      <c r="E602" s="80" t="s">
        <v>75</v>
      </c>
      <c r="F602" s="98">
        <f>'потребность 2023 (5)'!K642</f>
        <v>31600</v>
      </c>
    </row>
    <row r="603" spans="1:8" s="172" customFormat="1" outlineLevel="3" x14ac:dyDescent="0.25">
      <c r="A603" s="134" t="s">
        <v>311</v>
      </c>
      <c r="B603" s="80" t="s">
        <v>536</v>
      </c>
      <c r="C603" s="80" t="s">
        <v>256</v>
      </c>
      <c r="D603" s="80" t="s">
        <v>735</v>
      </c>
      <c r="E603" s="80" t="s">
        <v>6</v>
      </c>
      <c r="F603" s="98">
        <f>F604</f>
        <v>0</v>
      </c>
      <c r="G603" s="171"/>
      <c r="H603" s="171"/>
    </row>
    <row r="604" spans="1:8" ht="36.700000000000003" outlineLevel="3" x14ac:dyDescent="0.25">
      <c r="A604" s="81" t="s">
        <v>37</v>
      </c>
      <c r="B604" s="80" t="s">
        <v>536</v>
      </c>
      <c r="C604" s="80" t="s">
        <v>256</v>
      </c>
      <c r="D604" s="80" t="s">
        <v>735</v>
      </c>
      <c r="E604" s="80" t="s">
        <v>38</v>
      </c>
      <c r="F604" s="98">
        <f>F605</f>
        <v>0</v>
      </c>
    </row>
    <row r="605" spans="1:8" ht="19.55" customHeight="1" outlineLevel="3" x14ac:dyDescent="0.25">
      <c r="A605" s="81" t="s">
        <v>74</v>
      </c>
      <c r="B605" s="80" t="s">
        <v>536</v>
      </c>
      <c r="C605" s="80" t="s">
        <v>256</v>
      </c>
      <c r="D605" s="80" t="s">
        <v>735</v>
      </c>
      <c r="E605" s="80" t="s">
        <v>75</v>
      </c>
      <c r="F605" s="98">
        <f>'потребность 2023 (5)'!K646</f>
        <v>0</v>
      </c>
    </row>
    <row r="606" spans="1:8" ht="21.25" customHeight="1" outlineLevel="3" x14ac:dyDescent="0.25">
      <c r="A606" s="81" t="s">
        <v>112</v>
      </c>
      <c r="B606" s="80" t="s">
        <v>536</v>
      </c>
      <c r="C606" s="80" t="s">
        <v>256</v>
      </c>
      <c r="D606" s="80" t="s">
        <v>150</v>
      </c>
      <c r="E606" s="80" t="s">
        <v>6</v>
      </c>
      <c r="F606" s="82">
        <f>F607</f>
        <v>0</v>
      </c>
    </row>
    <row r="607" spans="1:8" ht="36.700000000000003" outlineLevel="3" x14ac:dyDescent="0.25">
      <c r="A607" s="81" t="s">
        <v>37</v>
      </c>
      <c r="B607" s="80" t="s">
        <v>536</v>
      </c>
      <c r="C607" s="80" t="s">
        <v>256</v>
      </c>
      <c r="D607" s="80" t="s">
        <v>150</v>
      </c>
      <c r="E607" s="80" t="s">
        <v>38</v>
      </c>
      <c r="F607" s="82">
        <f>F608</f>
        <v>0</v>
      </c>
    </row>
    <row r="608" spans="1:8" ht="21.25" customHeight="1" outlineLevel="3" x14ac:dyDescent="0.25">
      <c r="A608" s="81" t="s">
        <v>74</v>
      </c>
      <c r="B608" s="80" t="s">
        <v>536</v>
      </c>
      <c r="C608" s="80" t="s">
        <v>256</v>
      </c>
      <c r="D608" s="80" t="s">
        <v>150</v>
      </c>
      <c r="E608" s="80" t="s">
        <v>75</v>
      </c>
      <c r="F608" s="98">
        <f>'потребность 2023 (5)'!K649</f>
        <v>0</v>
      </c>
    </row>
    <row r="609" spans="1:8" ht="36.700000000000003" outlineLevel="3" x14ac:dyDescent="0.25">
      <c r="A609" s="81" t="s">
        <v>754</v>
      </c>
      <c r="B609" s="80" t="s">
        <v>536</v>
      </c>
      <c r="C609" s="80" t="s">
        <v>256</v>
      </c>
      <c r="D609" s="80" t="s">
        <v>755</v>
      </c>
      <c r="E609" s="80" t="s">
        <v>6</v>
      </c>
      <c r="F609" s="98">
        <f>F610</f>
        <v>1736190</v>
      </c>
    </row>
    <row r="610" spans="1:8" ht="36.700000000000003" outlineLevel="3" x14ac:dyDescent="0.25">
      <c r="A610" s="81" t="s">
        <v>37</v>
      </c>
      <c r="B610" s="80" t="s">
        <v>536</v>
      </c>
      <c r="C610" s="80" t="s">
        <v>256</v>
      </c>
      <c r="D610" s="80" t="s">
        <v>756</v>
      </c>
      <c r="E610" s="80" t="s">
        <v>38</v>
      </c>
      <c r="F610" s="98">
        <f>F611</f>
        <v>1736190</v>
      </c>
    </row>
    <row r="611" spans="1:8" ht="21.75" customHeight="1" outlineLevel="3" x14ac:dyDescent="0.25">
      <c r="A611" s="81" t="s">
        <v>74</v>
      </c>
      <c r="B611" s="80" t="s">
        <v>536</v>
      </c>
      <c r="C611" s="80" t="s">
        <v>256</v>
      </c>
      <c r="D611" s="80" t="s">
        <v>756</v>
      </c>
      <c r="E611" s="80" t="s">
        <v>75</v>
      </c>
      <c r="F611" s="98">
        <f>'потребность 2023 (5)'!K652</f>
        <v>1736190</v>
      </c>
    </row>
    <row r="612" spans="1:8" ht="36.700000000000003" outlineLevel="3" x14ac:dyDescent="0.25">
      <c r="A612" s="113" t="s">
        <v>458</v>
      </c>
      <c r="B612" s="80" t="s">
        <v>536</v>
      </c>
      <c r="C612" s="80" t="s">
        <v>256</v>
      </c>
      <c r="D612" s="80" t="s">
        <v>727</v>
      </c>
      <c r="E612" s="80" t="s">
        <v>6</v>
      </c>
      <c r="F612" s="98">
        <f>F613</f>
        <v>0</v>
      </c>
    </row>
    <row r="613" spans="1:8" ht="36.700000000000003" outlineLevel="3" x14ac:dyDescent="0.25">
      <c r="A613" s="81" t="s">
        <v>37</v>
      </c>
      <c r="B613" s="80" t="s">
        <v>536</v>
      </c>
      <c r="C613" s="80" t="s">
        <v>256</v>
      </c>
      <c r="D613" s="80" t="s">
        <v>727</v>
      </c>
      <c r="E613" s="80" t="s">
        <v>38</v>
      </c>
      <c r="F613" s="98">
        <f>F614</f>
        <v>0</v>
      </c>
    </row>
    <row r="614" spans="1:8" outlineLevel="3" x14ac:dyDescent="0.25">
      <c r="A614" s="81" t="s">
        <v>74</v>
      </c>
      <c r="B614" s="80" t="s">
        <v>536</v>
      </c>
      <c r="C614" s="80" t="s">
        <v>256</v>
      </c>
      <c r="D614" s="80" t="s">
        <v>727</v>
      </c>
      <c r="E614" s="80" t="s">
        <v>75</v>
      </c>
      <c r="F614" s="98">
        <f>'потребность 2023 (5)'!K655</f>
        <v>0</v>
      </c>
    </row>
    <row r="615" spans="1:8" outlineLevel="3" x14ac:dyDescent="0.25">
      <c r="A615" s="81" t="s">
        <v>76</v>
      </c>
      <c r="B615" s="80" t="s">
        <v>536</v>
      </c>
      <c r="C615" s="80" t="s">
        <v>77</v>
      </c>
      <c r="D615" s="80" t="s">
        <v>126</v>
      </c>
      <c r="E615" s="80" t="s">
        <v>6</v>
      </c>
      <c r="F615" s="82">
        <f>F616</f>
        <v>2803119.25</v>
      </c>
    </row>
    <row r="616" spans="1:8" ht="36.700000000000003" outlineLevel="3" x14ac:dyDescent="0.25">
      <c r="A616" s="109" t="s">
        <v>825</v>
      </c>
      <c r="B616" s="110" t="s">
        <v>536</v>
      </c>
      <c r="C616" s="110" t="s">
        <v>77</v>
      </c>
      <c r="D616" s="110" t="s">
        <v>138</v>
      </c>
      <c r="E616" s="110" t="s">
        <v>6</v>
      </c>
      <c r="F616" s="85">
        <f>F617+F631</f>
        <v>2803119.25</v>
      </c>
    </row>
    <row r="617" spans="1:8" ht="36.700000000000003" outlineLevel="3" x14ac:dyDescent="0.25">
      <c r="A617" s="81" t="s">
        <v>833</v>
      </c>
      <c r="B617" s="80" t="s">
        <v>536</v>
      </c>
      <c r="C617" s="80" t="s">
        <v>77</v>
      </c>
      <c r="D617" s="80" t="s">
        <v>146</v>
      </c>
      <c r="E617" s="80" t="s">
        <v>6</v>
      </c>
      <c r="F617" s="82">
        <f>F618+F622</f>
        <v>2678119.25</v>
      </c>
    </row>
    <row r="618" spans="1:8" ht="36.700000000000003" outlineLevel="7" x14ac:dyDescent="0.25">
      <c r="A618" s="113" t="s">
        <v>206</v>
      </c>
      <c r="B618" s="80" t="s">
        <v>536</v>
      </c>
      <c r="C618" s="80" t="s">
        <v>77</v>
      </c>
      <c r="D618" s="80" t="s">
        <v>220</v>
      </c>
      <c r="E618" s="80" t="s">
        <v>6</v>
      </c>
      <c r="F618" s="82">
        <f>F619</f>
        <v>70000</v>
      </c>
    </row>
    <row r="619" spans="1:8" outlineLevel="7" x14ac:dyDescent="0.25">
      <c r="A619" s="81" t="s">
        <v>424</v>
      </c>
      <c r="B619" s="80" t="s">
        <v>536</v>
      </c>
      <c r="C619" s="80" t="s">
        <v>77</v>
      </c>
      <c r="D619" s="80" t="s">
        <v>235</v>
      </c>
      <c r="E619" s="80" t="s">
        <v>6</v>
      </c>
      <c r="F619" s="82">
        <f>F620</f>
        <v>70000</v>
      </c>
    </row>
    <row r="620" spans="1:8" ht="23.3" customHeight="1" outlineLevel="7" x14ac:dyDescent="0.25">
      <c r="A620" s="81" t="s">
        <v>15</v>
      </c>
      <c r="B620" s="80" t="s">
        <v>536</v>
      </c>
      <c r="C620" s="80" t="s">
        <v>77</v>
      </c>
      <c r="D620" s="80" t="s">
        <v>235</v>
      </c>
      <c r="E620" s="80" t="s">
        <v>16</v>
      </c>
      <c r="F620" s="82">
        <f>F621</f>
        <v>70000</v>
      </c>
    </row>
    <row r="621" spans="1:8" ht="36.700000000000003" outlineLevel="2" x14ac:dyDescent="0.25">
      <c r="A621" s="81" t="s">
        <v>17</v>
      </c>
      <c r="B621" s="80" t="s">
        <v>536</v>
      </c>
      <c r="C621" s="80" t="s">
        <v>77</v>
      </c>
      <c r="D621" s="80" t="s">
        <v>235</v>
      </c>
      <c r="E621" s="80" t="s">
        <v>18</v>
      </c>
      <c r="F621" s="98">
        <f>'потребность 2023 (5)'!K665</f>
        <v>70000</v>
      </c>
    </row>
    <row r="622" spans="1:8" s="172" customFormat="1" ht="36.700000000000003" outlineLevel="3" x14ac:dyDescent="0.25">
      <c r="A622" s="113" t="s">
        <v>275</v>
      </c>
      <c r="B622" s="80" t="s">
        <v>536</v>
      </c>
      <c r="C622" s="80" t="s">
        <v>77</v>
      </c>
      <c r="D622" s="80" t="s">
        <v>223</v>
      </c>
      <c r="E622" s="80" t="s">
        <v>6</v>
      </c>
      <c r="F622" s="98">
        <f>F623</f>
        <v>2608119.25</v>
      </c>
      <c r="G622" s="171"/>
      <c r="H622" s="171"/>
    </row>
    <row r="623" spans="1:8" s="172" customFormat="1" ht="73.400000000000006" outlineLevel="3" x14ac:dyDescent="0.25">
      <c r="A623" s="100" t="s">
        <v>403</v>
      </c>
      <c r="B623" s="80" t="s">
        <v>536</v>
      </c>
      <c r="C623" s="80" t="s">
        <v>77</v>
      </c>
      <c r="D623" s="80" t="s">
        <v>152</v>
      </c>
      <c r="E623" s="80" t="s">
        <v>6</v>
      </c>
      <c r="F623" s="82">
        <f>F624+F628+F626</f>
        <v>2608119.25</v>
      </c>
      <c r="G623" s="171"/>
      <c r="H623" s="171"/>
    </row>
    <row r="624" spans="1:8" ht="36.700000000000003" outlineLevel="5" x14ac:dyDescent="0.25">
      <c r="A624" s="81" t="s">
        <v>15</v>
      </c>
      <c r="B624" s="80" t="s">
        <v>536</v>
      </c>
      <c r="C624" s="80" t="s">
        <v>77</v>
      </c>
      <c r="D624" s="80" t="s">
        <v>152</v>
      </c>
      <c r="E624" s="80" t="s">
        <v>16</v>
      </c>
      <c r="F624" s="82">
        <f>F625</f>
        <v>2000</v>
      </c>
    </row>
    <row r="625" spans="1:6" ht="36.700000000000003" outlineLevel="6" x14ac:dyDescent="0.25">
      <c r="A625" s="81" t="s">
        <v>17</v>
      </c>
      <c r="B625" s="80" t="s">
        <v>536</v>
      </c>
      <c r="C625" s="80" t="s">
        <v>77</v>
      </c>
      <c r="D625" s="80" t="s">
        <v>152</v>
      </c>
      <c r="E625" s="80" t="s">
        <v>18</v>
      </c>
      <c r="F625" s="98">
        <f>'потребность 2023 (5)'!K669</f>
        <v>2000</v>
      </c>
    </row>
    <row r="626" spans="1:6" outlineLevel="7" x14ac:dyDescent="0.25">
      <c r="A626" s="81" t="s">
        <v>90</v>
      </c>
      <c r="B626" s="80" t="s">
        <v>536</v>
      </c>
      <c r="C626" s="80" t="s">
        <v>77</v>
      </c>
      <c r="D626" s="80" t="s">
        <v>152</v>
      </c>
      <c r="E626" s="80" t="s">
        <v>91</v>
      </c>
      <c r="F626" s="82">
        <f>F627</f>
        <v>320000</v>
      </c>
    </row>
    <row r="627" spans="1:6" ht="36.700000000000003" outlineLevel="6" x14ac:dyDescent="0.25">
      <c r="A627" s="81" t="s">
        <v>97</v>
      </c>
      <c r="B627" s="80" t="s">
        <v>536</v>
      </c>
      <c r="C627" s="80" t="s">
        <v>77</v>
      </c>
      <c r="D627" s="80" t="s">
        <v>152</v>
      </c>
      <c r="E627" s="80" t="s">
        <v>98</v>
      </c>
      <c r="F627" s="98">
        <f>'потребность 2023 (5)'!K671</f>
        <v>320000</v>
      </c>
    </row>
    <row r="628" spans="1:6" ht="21.25" customHeight="1" outlineLevel="7" x14ac:dyDescent="0.25">
      <c r="A628" s="81" t="s">
        <v>37</v>
      </c>
      <c r="B628" s="80" t="s">
        <v>536</v>
      </c>
      <c r="C628" s="80" t="s">
        <v>77</v>
      </c>
      <c r="D628" s="80" t="s">
        <v>152</v>
      </c>
      <c r="E628" s="80" t="s">
        <v>38</v>
      </c>
      <c r="F628" s="82">
        <f>F629</f>
        <v>2286119.25</v>
      </c>
    </row>
    <row r="629" spans="1:6" outlineLevel="7" x14ac:dyDescent="0.25">
      <c r="A629" s="81" t="s">
        <v>74</v>
      </c>
      <c r="B629" s="80" t="s">
        <v>536</v>
      </c>
      <c r="C629" s="80" t="s">
        <v>77</v>
      </c>
      <c r="D629" s="80" t="s">
        <v>152</v>
      </c>
      <c r="E629" s="80" t="s">
        <v>75</v>
      </c>
      <c r="F629" s="98">
        <f>'потребность 2023 (5)'!K673</f>
        <v>2286119.25</v>
      </c>
    </row>
    <row r="630" spans="1:6" outlineLevel="7" x14ac:dyDescent="0.25">
      <c r="A630" s="25" t="s">
        <v>238</v>
      </c>
      <c r="B630" s="80" t="s">
        <v>536</v>
      </c>
      <c r="C630" s="80" t="s">
        <v>77</v>
      </c>
      <c r="D630" s="80" t="s">
        <v>237</v>
      </c>
      <c r="E630" s="80" t="s">
        <v>6</v>
      </c>
      <c r="F630" s="98">
        <f>F631</f>
        <v>125000</v>
      </c>
    </row>
    <row r="631" spans="1:6" outlineLevel="5" x14ac:dyDescent="0.25">
      <c r="A631" s="81" t="s">
        <v>78</v>
      </c>
      <c r="B631" s="80" t="s">
        <v>536</v>
      </c>
      <c r="C631" s="80" t="s">
        <v>77</v>
      </c>
      <c r="D631" s="80" t="s">
        <v>153</v>
      </c>
      <c r="E631" s="80" t="s">
        <v>6</v>
      </c>
      <c r="F631" s="82">
        <f>F632</f>
        <v>125000</v>
      </c>
    </row>
    <row r="632" spans="1:6" ht="36.700000000000003" outlineLevel="6" x14ac:dyDescent="0.25">
      <c r="A632" s="81" t="s">
        <v>15</v>
      </c>
      <c r="B632" s="80" t="s">
        <v>536</v>
      </c>
      <c r="C632" s="80" t="s">
        <v>77</v>
      </c>
      <c r="D632" s="80" t="s">
        <v>153</v>
      </c>
      <c r="E632" s="80" t="s">
        <v>16</v>
      </c>
      <c r="F632" s="82">
        <f>F633</f>
        <v>125000</v>
      </c>
    </row>
    <row r="633" spans="1:6" ht="36.700000000000003" outlineLevel="7" x14ac:dyDescent="0.25">
      <c r="A633" s="81" t="s">
        <v>17</v>
      </c>
      <c r="B633" s="80" t="s">
        <v>536</v>
      </c>
      <c r="C633" s="80" t="s">
        <v>77</v>
      </c>
      <c r="D633" s="80" t="s">
        <v>153</v>
      </c>
      <c r="E633" s="80" t="s">
        <v>18</v>
      </c>
      <c r="F633" s="98">
        <f>'потребность 2023 (5)'!K677</f>
        <v>125000</v>
      </c>
    </row>
    <row r="634" spans="1:6" outlineLevel="6" x14ac:dyDescent="0.25">
      <c r="A634" s="81" t="s">
        <v>116</v>
      </c>
      <c r="B634" s="80" t="s">
        <v>536</v>
      </c>
      <c r="C634" s="80" t="s">
        <v>117</v>
      </c>
      <c r="D634" s="80" t="s">
        <v>126</v>
      </c>
      <c r="E634" s="80" t="s">
        <v>6</v>
      </c>
      <c r="F634" s="82">
        <f>F635</f>
        <v>23557565</v>
      </c>
    </row>
    <row r="635" spans="1:6" ht="46.55" customHeight="1" outlineLevel="7" x14ac:dyDescent="0.25">
      <c r="A635" s="109" t="s">
        <v>827</v>
      </c>
      <c r="B635" s="110" t="s">
        <v>536</v>
      </c>
      <c r="C635" s="110" t="s">
        <v>117</v>
      </c>
      <c r="D635" s="110" t="s">
        <v>138</v>
      </c>
      <c r="E635" s="110" t="s">
        <v>6</v>
      </c>
      <c r="F635" s="136">
        <f>F636</f>
        <v>23557565</v>
      </c>
    </row>
    <row r="636" spans="1:6" ht="36.700000000000003" outlineLevel="6" x14ac:dyDescent="0.25">
      <c r="A636" s="113" t="s">
        <v>209</v>
      </c>
      <c r="B636" s="80" t="s">
        <v>536</v>
      </c>
      <c r="C636" s="80" t="s">
        <v>117</v>
      </c>
      <c r="D636" s="80" t="s">
        <v>226</v>
      </c>
      <c r="E636" s="80" t="s">
        <v>6</v>
      </c>
      <c r="F636" s="85">
        <f>F637+F644+F651</f>
        <v>23557565</v>
      </c>
    </row>
    <row r="637" spans="1:6" ht="39.75" customHeight="1" outlineLevel="7" x14ac:dyDescent="0.25">
      <c r="A637" s="81" t="s">
        <v>494</v>
      </c>
      <c r="B637" s="80" t="s">
        <v>536</v>
      </c>
      <c r="C637" s="80" t="s">
        <v>117</v>
      </c>
      <c r="D637" s="80" t="s">
        <v>535</v>
      </c>
      <c r="E637" s="80" t="s">
        <v>6</v>
      </c>
      <c r="F637" s="82">
        <f>F638+F640+F642</f>
        <v>5400410</v>
      </c>
    </row>
    <row r="638" spans="1:6" ht="73.400000000000006" outlineLevel="3" x14ac:dyDescent="0.25">
      <c r="A638" s="81" t="s">
        <v>11</v>
      </c>
      <c r="B638" s="80" t="s">
        <v>536</v>
      </c>
      <c r="C638" s="80" t="s">
        <v>117</v>
      </c>
      <c r="D638" s="80" t="s">
        <v>535</v>
      </c>
      <c r="E638" s="80" t="s">
        <v>12</v>
      </c>
      <c r="F638" s="82">
        <f>F639</f>
        <v>5300410</v>
      </c>
    </row>
    <row r="639" spans="1:6" ht="36.700000000000003" outlineLevel="3" x14ac:dyDescent="0.25">
      <c r="A639" s="81" t="s">
        <v>13</v>
      </c>
      <c r="B639" s="80" t="s">
        <v>536</v>
      </c>
      <c r="C639" s="80" t="s">
        <v>117</v>
      </c>
      <c r="D639" s="80" t="s">
        <v>535</v>
      </c>
      <c r="E639" s="80" t="s">
        <v>14</v>
      </c>
      <c r="F639" s="98">
        <f>'потребность 2023 (5)'!K683</f>
        <v>5300410</v>
      </c>
    </row>
    <row r="640" spans="1:6" ht="36.700000000000003" outlineLevel="3" x14ac:dyDescent="0.25">
      <c r="A640" s="81" t="s">
        <v>15</v>
      </c>
      <c r="B640" s="80" t="s">
        <v>536</v>
      </c>
      <c r="C640" s="80" t="s">
        <v>117</v>
      </c>
      <c r="D640" s="80" t="s">
        <v>535</v>
      </c>
      <c r="E640" s="80" t="s">
        <v>16</v>
      </c>
      <c r="F640" s="82">
        <f>F641</f>
        <v>100000</v>
      </c>
    </row>
    <row r="641" spans="1:8" s="172" customFormat="1" ht="46.2" customHeight="1" outlineLevel="3" x14ac:dyDescent="0.25">
      <c r="A641" s="81" t="s">
        <v>17</v>
      </c>
      <c r="B641" s="80" t="s">
        <v>536</v>
      </c>
      <c r="C641" s="80" t="s">
        <v>117</v>
      </c>
      <c r="D641" s="80" t="s">
        <v>535</v>
      </c>
      <c r="E641" s="80" t="s">
        <v>18</v>
      </c>
      <c r="F641" s="98">
        <f>'потребность 2023 (5)'!K685</f>
        <v>100000</v>
      </c>
      <c r="G641" s="171"/>
      <c r="H641" s="171"/>
    </row>
    <row r="642" spans="1:8" outlineLevel="3" x14ac:dyDescent="0.25">
      <c r="A642" s="81" t="s">
        <v>19</v>
      </c>
      <c r="B642" s="80" t="s">
        <v>536</v>
      </c>
      <c r="C642" s="80" t="s">
        <v>117</v>
      </c>
      <c r="D642" s="80" t="s">
        <v>535</v>
      </c>
      <c r="E642" s="80" t="s">
        <v>20</v>
      </c>
      <c r="F642" s="131">
        <f>F643</f>
        <v>0</v>
      </c>
    </row>
    <row r="643" spans="1:8" s="172" customFormat="1" outlineLevel="3" x14ac:dyDescent="0.25">
      <c r="A643" s="81" t="s">
        <v>21</v>
      </c>
      <c r="B643" s="80" t="s">
        <v>536</v>
      </c>
      <c r="C643" s="80" t="s">
        <v>117</v>
      </c>
      <c r="D643" s="80" t="s">
        <v>535</v>
      </c>
      <c r="E643" s="80" t="s">
        <v>22</v>
      </c>
      <c r="F643" s="98">
        <f>'потребность 2023 (5)'!K687</f>
        <v>0</v>
      </c>
      <c r="G643" s="171"/>
      <c r="H643" s="171"/>
    </row>
    <row r="644" spans="1:8" ht="36.700000000000003" outlineLevel="3" x14ac:dyDescent="0.25">
      <c r="A644" s="81" t="s">
        <v>33</v>
      </c>
      <c r="B644" s="80" t="s">
        <v>536</v>
      </c>
      <c r="C644" s="80" t="s">
        <v>117</v>
      </c>
      <c r="D644" s="80" t="s">
        <v>154</v>
      </c>
      <c r="E644" s="80" t="s">
        <v>6</v>
      </c>
      <c r="F644" s="82">
        <f>F645+F647+F649</f>
        <v>15890920</v>
      </c>
    </row>
    <row r="645" spans="1:8" ht="73.400000000000006" outlineLevel="3" x14ac:dyDescent="0.25">
      <c r="A645" s="81" t="s">
        <v>11</v>
      </c>
      <c r="B645" s="80" t="s">
        <v>536</v>
      </c>
      <c r="C645" s="80" t="s">
        <v>117</v>
      </c>
      <c r="D645" s="80" t="s">
        <v>154</v>
      </c>
      <c r="E645" s="80" t="s">
        <v>12</v>
      </c>
      <c r="F645" s="82">
        <f>F646</f>
        <v>12652855</v>
      </c>
    </row>
    <row r="646" spans="1:8" outlineLevel="3" x14ac:dyDescent="0.25">
      <c r="A646" s="81" t="s">
        <v>34</v>
      </c>
      <c r="B646" s="80" t="s">
        <v>536</v>
      </c>
      <c r="C646" s="80" t="s">
        <v>117</v>
      </c>
      <c r="D646" s="80" t="s">
        <v>154</v>
      </c>
      <c r="E646" s="80" t="s">
        <v>35</v>
      </c>
      <c r="F646" s="98">
        <f>'потребность 2023 (5)'!K690</f>
        <v>12652855</v>
      </c>
    </row>
    <row r="647" spans="1:8" ht="36.700000000000003" outlineLevel="3" x14ac:dyDescent="0.25">
      <c r="A647" s="81" t="s">
        <v>15</v>
      </c>
      <c r="B647" s="80" t="s">
        <v>536</v>
      </c>
      <c r="C647" s="80" t="s">
        <v>117</v>
      </c>
      <c r="D647" s="80" t="s">
        <v>154</v>
      </c>
      <c r="E647" s="80" t="s">
        <v>16</v>
      </c>
      <c r="F647" s="82">
        <f>F648</f>
        <v>3200000</v>
      </c>
    </row>
    <row r="648" spans="1:8" ht="36.700000000000003" outlineLevel="3" x14ac:dyDescent="0.25">
      <c r="A648" s="81" t="s">
        <v>17</v>
      </c>
      <c r="B648" s="80" t="s">
        <v>536</v>
      </c>
      <c r="C648" s="80" t="s">
        <v>117</v>
      </c>
      <c r="D648" s="80" t="s">
        <v>154</v>
      </c>
      <c r="E648" s="80" t="s">
        <v>18</v>
      </c>
      <c r="F648" s="98">
        <f>'потребность 2023 (5)'!K692</f>
        <v>3200000</v>
      </c>
    </row>
    <row r="649" spans="1:8" s="172" customFormat="1" outlineLevel="3" x14ac:dyDescent="0.25">
      <c r="A649" s="81" t="s">
        <v>19</v>
      </c>
      <c r="B649" s="80" t="s">
        <v>536</v>
      </c>
      <c r="C649" s="80" t="s">
        <v>117</v>
      </c>
      <c r="D649" s="80" t="s">
        <v>154</v>
      </c>
      <c r="E649" s="80" t="s">
        <v>20</v>
      </c>
      <c r="F649" s="82">
        <f>F650</f>
        <v>38065</v>
      </c>
      <c r="G649" s="171"/>
      <c r="H649" s="171"/>
    </row>
    <row r="650" spans="1:8" outlineLevel="3" x14ac:dyDescent="0.25">
      <c r="A650" s="81" t="s">
        <v>21</v>
      </c>
      <c r="B650" s="80" t="s">
        <v>536</v>
      </c>
      <c r="C650" s="80" t="s">
        <v>117</v>
      </c>
      <c r="D650" s="80" t="s">
        <v>154</v>
      </c>
      <c r="E650" s="80" t="s">
        <v>22</v>
      </c>
      <c r="F650" s="98">
        <f>'потребность 2023 (5)'!K694</f>
        <v>38065</v>
      </c>
    </row>
    <row r="651" spans="1:8" ht="23.3" customHeight="1" outlineLevel="3" x14ac:dyDescent="0.25">
      <c r="A651" s="25" t="s">
        <v>36</v>
      </c>
      <c r="B651" s="80" t="s">
        <v>536</v>
      </c>
      <c r="C651" s="80" t="s">
        <v>117</v>
      </c>
      <c r="D651" s="80" t="s">
        <v>155</v>
      </c>
      <c r="E651" s="80" t="s">
        <v>6</v>
      </c>
      <c r="F651" s="82">
        <f>F652</f>
        <v>2266235</v>
      </c>
    </row>
    <row r="652" spans="1:8" ht="45.7" customHeight="1" outlineLevel="3" x14ac:dyDescent="0.25">
      <c r="A652" s="81" t="s">
        <v>37</v>
      </c>
      <c r="B652" s="80" t="s">
        <v>536</v>
      </c>
      <c r="C652" s="80" t="s">
        <v>117</v>
      </c>
      <c r="D652" s="80" t="s">
        <v>155</v>
      </c>
      <c r="E652" s="80" t="s">
        <v>38</v>
      </c>
      <c r="F652" s="82">
        <f>F653</f>
        <v>2266235</v>
      </c>
    </row>
    <row r="653" spans="1:8" ht="22.75" customHeight="1" outlineLevel="3" x14ac:dyDescent="0.25">
      <c r="A653" s="81" t="s">
        <v>39</v>
      </c>
      <c r="B653" s="80" t="s">
        <v>536</v>
      </c>
      <c r="C653" s="80" t="s">
        <v>117</v>
      </c>
      <c r="D653" s="80" t="s">
        <v>155</v>
      </c>
      <c r="E653" s="80" t="s">
        <v>40</v>
      </c>
      <c r="F653" s="98">
        <f>'потребность 2023 (5)'!K697</f>
        <v>2266235</v>
      </c>
    </row>
    <row r="654" spans="1:8" ht="23.3" customHeight="1" outlineLevel="3" x14ac:dyDescent="0.25">
      <c r="A654" s="109" t="s">
        <v>85</v>
      </c>
      <c r="B654" s="110" t="s">
        <v>536</v>
      </c>
      <c r="C654" s="110" t="s">
        <v>86</v>
      </c>
      <c r="D654" s="110" t="s">
        <v>126</v>
      </c>
      <c r="E654" s="110" t="s">
        <v>6</v>
      </c>
      <c r="F654" s="85">
        <f>F655+F661</f>
        <v>5476354</v>
      </c>
    </row>
    <row r="655" spans="1:8" outlineLevel="3" x14ac:dyDescent="0.25">
      <c r="A655" s="81" t="s">
        <v>94</v>
      </c>
      <c r="B655" s="80" t="s">
        <v>536</v>
      </c>
      <c r="C655" s="80" t="s">
        <v>95</v>
      </c>
      <c r="D655" s="80" t="s">
        <v>126</v>
      </c>
      <c r="E655" s="80" t="s">
        <v>6</v>
      </c>
      <c r="F655" s="82">
        <f>F656</f>
        <v>1685000</v>
      </c>
    </row>
    <row r="656" spans="1:8" ht="36.700000000000003" outlineLevel="3" x14ac:dyDescent="0.25">
      <c r="A656" s="109" t="s">
        <v>825</v>
      </c>
      <c r="B656" s="110" t="s">
        <v>536</v>
      </c>
      <c r="C656" s="110" t="s">
        <v>95</v>
      </c>
      <c r="D656" s="110" t="s">
        <v>138</v>
      </c>
      <c r="E656" s="110" t="s">
        <v>6</v>
      </c>
      <c r="F656" s="85">
        <f>F657</f>
        <v>1685000</v>
      </c>
    </row>
    <row r="657" spans="1:8" outlineLevel="3" x14ac:dyDescent="0.25">
      <c r="A657" s="113" t="s">
        <v>1062</v>
      </c>
      <c r="B657" s="80" t="s">
        <v>536</v>
      </c>
      <c r="C657" s="80" t="s">
        <v>95</v>
      </c>
      <c r="D657" s="80" t="s">
        <v>736</v>
      </c>
      <c r="E657" s="80" t="s">
        <v>6</v>
      </c>
      <c r="F657" s="82">
        <f>F658</f>
        <v>1685000</v>
      </c>
    </row>
    <row r="658" spans="1:8" ht="91.7" outlineLevel="3" x14ac:dyDescent="0.25">
      <c r="A658" s="100" t="s">
        <v>405</v>
      </c>
      <c r="B658" s="80" t="s">
        <v>536</v>
      </c>
      <c r="C658" s="80" t="s">
        <v>95</v>
      </c>
      <c r="D658" s="80" t="s">
        <v>737</v>
      </c>
      <c r="E658" s="80" t="s">
        <v>6</v>
      </c>
      <c r="F658" s="82">
        <f>F659</f>
        <v>1685000</v>
      </c>
    </row>
    <row r="659" spans="1:8" ht="23.3" customHeight="1" outlineLevel="3" x14ac:dyDescent="0.25">
      <c r="A659" s="81" t="s">
        <v>90</v>
      </c>
      <c r="B659" s="80" t="s">
        <v>536</v>
      </c>
      <c r="C659" s="80" t="s">
        <v>95</v>
      </c>
      <c r="D659" s="80" t="s">
        <v>737</v>
      </c>
      <c r="E659" s="80" t="s">
        <v>91</v>
      </c>
      <c r="F659" s="82">
        <f>F660</f>
        <v>1685000</v>
      </c>
    </row>
    <row r="660" spans="1:8" ht="36.700000000000003" outlineLevel="3" x14ac:dyDescent="0.25">
      <c r="A660" s="81" t="s">
        <v>97</v>
      </c>
      <c r="B660" s="80" t="s">
        <v>536</v>
      </c>
      <c r="C660" s="80" t="s">
        <v>95</v>
      </c>
      <c r="D660" s="80" t="s">
        <v>737</v>
      </c>
      <c r="E660" s="80" t="s">
        <v>98</v>
      </c>
      <c r="F660" s="98">
        <f>'потребность 2023 (5)'!K704</f>
        <v>1685000</v>
      </c>
    </row>
    <row r="661" spans="1:8" outlineLevel="3" x14ac:dyDescent="0.25">
      <c r="A661" s="81" t="s">
        <v>123</v>
      </c>
      <c r="B661" s="80" t="s">
        <v>536</v>
      </c>
      <c r="C661" s="80" t="s">
        <v>124</v>
      </c>
      <c r="D661" s="80" t="s">
        <v>126</v>
      </c>
      <c r="E661" s="80" t="s">
        <v>6</v>
      </c>
      <c r="F661" s="82">
        <f>F662</f>
        <v>3791354</v>
      </c>
    </row>
    <row r="662" spans="1:8" ht="39.75" customHeight="1" outlineLevel="3" x14ac:dyDescent="0.25">
      <c r="A662" s="109" t="s">
        <v>827</v>
      </c>
      <c r="B662" s="110" t="s">
        <v>536</v>
      </c>
      <c r="C662" s="110" t="s">
        <v>124</v>
      </c>
      <c r="D662" s="110" t="s">
        <v>138</v>
      </c>
      <c r="E662" s="110" t="s">
        <v>6</v>
      </c>
      <c r="F662" s="85">
        <f>F663</f>
        <v>3791354</v>
      </c>
    </row>
    <row r="663" spans="1:8" ht="36.700000000000003" outlineLevel="3" x14ac:dyDescent="0.25">
      <c r="A663" s="81" t="s">
        <v>834</v>
      </c>
      <c r="B663" s="80" t="s">
        <v>536</v>
      </c>
      <c r="C663" s="80" t="s">
        <v>124</v>
      </c>
      <c r="D663" s="80" t="s">
        <v>139</v>
      </c>
      <c r="E663" s="80" t="s">
        <v>6</v>
      </c>
      <c r="F663" s="82">
        <f>F664</f>
        <v>3791354</v>
      </c>
    </row>
    <row r="664" spans="1:8" ht="24.8" customHeight="1" outlineLevel="3" x14ac:dyDescent="0.25">
      <c r="A664" s="113" t="s">
        <v>204</v>
      </c>
      <c r="B664" s="80" t="s">
        <v>536</v>
      </c>
      <c r="C664" s="80" t="s">
        <v>124</v>
      </c>
      <c r="D664" s="80" t="s">
        <v>234</v>
      </c>
      <c r="E664" s="80" t="s">
        <v>6</v>
      </c>
      <c r="F664" s="82">
        <f>F665</f>
        <v>3791354</v>
      </c>
    </row>
    <row r="665" spans="1:8" s="170" customFormat="1" ht="114.45" customHeight="1" x14ac:dyDescent="0.25">
      <c r="A665" s="100" t="s">
        <v>657</v>
      </c>
      <c r="B665" s="80" t="s">
        <v>536</v>
      </c>
      <c r="C665" s="80" t="s">
        <v>124</v>
      </c>
      <c r="D665" s="80" t="s">
        <v>156</v>
      </c>
      <c r="E665" s="80" t="s">
        <v>6</v>
      </c>
      <c r="F665" s="82">
        <f>F668+F666</f>
        <v>3791354</v>
      </c>
      <c r="G665" s="169"/>
      <c r="H665" s="169"/>
    </row>
    <row r="666" spans="1:8" s="170" customFormat="1" ht="36.700000000000003" x14ac:dyDescent="0.25">
      <c r="A666" s="81" t="s">
        <v>15</v>
      </c>
      <c r="B666" s="80" t="s">
        <v>536</v>
      </c>
      <c r="C666" s="80" t="s">
        <v>124</v>
      </c>
      <c r="D666" s="80" t="s">
        <v>156</v>
      </c>
      <c r="E666" s="80" t="s">
        <v>16</v>
      </c>
      <c r="F666" s="82">
        <f>F667</f>
        <v>30000</v>
      </c>
      <c r="G666" s="169"/>
      <c r="H666" s="169"/>
    </row>
    <row r="667" spans="1:8" s="170" customFormat="1" ht="36.700000000000003" x14ac:dyDescent="0.25">
      <c r="A667" s="81" t="s">
        <v>17</v>
      </c>
      <c r="B667" s="80" t="s">
        <v>536</v>
      </c>
      <c r="C667" s="80" t="s">
        <v>124</v>
      </c>
      <c r="D667" s="80" t="s">
        <v>156</v>
      </c>
      <c r="E667" s="80" t="s">
        <v>18</v>
      </c>
      <c r="F667" s="82">
        <v>30000</v>
      </c>
      <c r="G667" s="169"/>
      <c r="H667" s="169"/>
    </row>
    <row r="668" spans="1:8" s="170" customFormat="1" x14ac:dyDescent="0.25">
      <c r="A668" s="81" t="s">
        <v>90</v>
      </c>
      <c r="B668" s="80" t="s">
        <v>536</v>
      </c>
      <c r="C668" s="80" t="s">
        <v>124</v>
      </c>
      <c r="D668" s="80" t="s">
        <v>156</v>
      </c>
      <c r="E668" s="80" t="s">
        <v>91</v>
      </c>
      <c r="F668" s="82">
        <f>F669</f>
        <v>3761354</v>
      </c>
      <c r="G668" s="169"/>
      <c r="H668" s="169"/>
    </row>
    <row r="669" spans="1:8" s="170" customFormat="1" ht="39.25" customHeight="1" x14ac:dyDescent="0.25">
      <c r="A669" s="81" t="s">
        <v>92</v>
      </c>
      <c r="B669" s="80" t="s">
        <v>536</v>
      </c>
      <c r="C669" s="80" t="s">
        <v>124</v>
      </c>
      <c r="D669" s="80" t="s">
        <v>156</v>
      </c>
      <c r="E669" s="80" t="s">
        <v>93</v>
      </c>
      <c r="F669" s="98">
        <f>'потребность 2023 (5)'!K713-30000</f>
        <v>3761354</v>
      </c>
      <c r="G669" s="169"/>
      <c r="H669" s="169"/>
    </row>
    <row r="670" spans="1:8" s="170" customFormat="1" x14ac:dyDescent="0.25">
      <c r="A670" s="109" t="s">
        <v>100</v>
      </c>
      <c r="B670" s="80" t="s">
        <v>536</v>
      </c>
      <c r="C670" s="80" t="s">
        <v>101</v>
      </c>
      <c r="D670" s="110" t="s">
        <v>126</v>
      </c>
      <c r="E670" s="80" t="s">
        <v>6</v>
      </c>
      <c r="F670" s="98">
        <f t="shared" ref="F670:F678" si="4">F671</f>
        <v>0</v>
      </c>
      <c r="G670" s="169"/>
      <c r="H670" s="169"/>
    </row>
    <row r="671" spans="1:8" x14ac:dyDescent="0.25">
      <c r="A671" s="81" t="s">
        <v>301</v>
      </c>
      <c r="B671" s="80" t="s">
        <v>536</v>
      </c>
      <c r="C671" s="80" t="s">
        <v>300</v>
      </c>
      <c r="D671" s="110" t="s">
        <v>126</v>
      </c>
      <c r="E671" s="80" t="s">
        <v>6</v>
      </c>
      <c r="F671" s="98">
        <f t="shared" si="4"/>
        <v>0</v>
      </c>
    </row>
    <row r="672" spans="1:8" ht="44.5" customHeight="1" x14ac:dyDescent="0.25">
      <c r="A672" s="109" t="s">
        <v>377</v>
      </c>
      <c r="B672" s="80" t="s">
        <v>536</v>
      </c>
      <c r="C672" s="80" t="s">
        <v>300</v>
      </c>
      <c r="D672" s="110" t="s">
        <v>200</v>
      </c>
      <c r="E672" s="80" t="s">
        <v>6</v>
      </c>
      <c r="F672" s="98">
        <f t="shared" si="4"/>
        <v>0</v>
      </c>
    </row>
    <row r="673" spans="1:6" ht="36.700000000000003" x14ac:dyDescent="0.25">
      <c r="A673" s="81" t="s">
        <v>213</v>
      </c>
      <c r="B673" s="80" t="s">
        <v>536</v>
      </c>
      <c r="C673" s="80" t="s">
        <v>300</v>
      </c>
      <c r="D673" s="80" t="s">
        <v>674</v>
      </c>
      <c r="E673" s="80" t="s">
        <v>6</v>
      </c>
      <c r="F673" s="98">
        <f>F674+F687</f>
        <v>0</v>
      </c>
    </row>
    <row r="674" spans="1:6" ht="45.7" customHeight="1" x14ac:dyDescent="0.25">
      <c r="A674" s="81" t="s">
        <v>925</v>
      </c>
      <c r="B674" s="80" t="s">
        <v>536</v>
      </c>
      <c r="C674" s="80" t="s">
        <v>300</v>
      </c>
      <c r="D674" s="80" t="s">
        <v>926</v>
      </c>
      <c r="E674" s="80" t="s">
        <v>6</v>
      </c>
      <c r="F674" s="98">
        <f>F675</f>
        <v>0</v>
      </c>
    </row>
    <row r="675" spans="1:6" ht="36.700000000000003" x14ac:dyDescent="0.25">
      <c r="A675" s="81" t="s">
        <v>37</v>
      </c>
      <c r="B675" s="80" t="s">
        <v>536</v>
      </c>
      <c r="C675" s="80" t="s">
        <v>300</v>
      </c>
      <c r="D675" s="80" t="s">
        <v>926</v>
      </c>
      <c r="E675" s="80" t="s">
        <v>38</v>
      </c>
      <c r="F675" s="98">
        <f>F676</f>
        <v>0</v>
      </c>
    </row>
    <row r="676" spans="1:6" ht="19.55" customHeight="1" x14ac:dyDescent="0.25">
      <c r="A676" s="81" t="s">
        <v>74</v>
      </c>
      <c r="B676" s="80" t="s">
        <v>536</v>
      </c>
      <c r="C676" s="80" t="s">
        <v>300</v>
      </c>
      <c r="D676" s="80" t="s">
        <v>926</v>
      </c>
      <c r="E676" s="80" t="s">
        <v>75</v>
      </c>
      <c r="F676" s="98"/>
    </row>
    <row r="677" spans="1:6" x14ac:dyDescent="0.25">
      <c r="A677" s="81" t="s">
        <v>378</v>
      </c>
      <c r="B677" s="80" t="s">
        <v>536</v>
      </c>
      <c r="C677" s="80" t="s">
        <v>300</v>
      </c>
      <c r="D677" s="80" t="s">
        <v>303</v>
      </c>
      <c r="E677" s="80" t="s">
        <v>6</v>
      </c>
      <c r="F677" s="98">
        <f>F678+F681+F684</f>
        <v>0</v>
      </c>
    </row>
    <row r="678" spans="1:6" ht="36.700000000000003" x14ac:dyDescent="0.25">
      <c r="A678" s="81" t="s">
        <v>281</v>
      </c>
      <c r="B678" s="80" t="s">
        <v>536</v>
      </c>
      <c r="C678" s="80" t="s">
        <v>300</v>
      </c>
      <c r="D678" s="80" t="s">
        <v>302</v>
      </c>
      <c r="E678" s="80" t="s">
        <v>6</v>
      </c>
      <c r="F678" s="98">
        <f t="shared" si="4"/>
        <v>0</v>
      </c>
    </row>
    <row r="679" spans="1:6" ht="36.700000000000003" x14ac:dyDescent="0.25">
      <c r="A679" s="81" t="s">
        <v>37</v>
      </c>
      <c r="B679" s="80" t="s">
        <v>536</v>
      </c>
      <c r="C679" s="80" t="s">
        <v>300</v>
      </c>
      <c r="D679" s="80" t="s">
        <v>302</v>
      </c>
      <c r="E679" s="80" t="s">
        <v>38</v>
      </c>
      <c r="F679" s="98">
        <f>F680</f>
        <v>0</v>
      </c>
    </row>
    <row r="680" spans="1:6" ht="18" customHeight="1" x14ac:dyDescent="0.25">
      <c r="A680" s="81" t="s">
        <v>74</v>
      </c>
      <c r="B680" s="80" t="s">
        <v>536</v>
      </c>
      <c r="C680" s="80" t="s">
        <v>300</v>
      </c>
      <c r="D680" s="80" t="s">
        <v>302</v>
      </c>
      <c r="E680" s="80" t="s">
        <v>75</v>
      </c>
      <c r="F680" s="98">
        <f>потребность!I659</f>
        <v>0</v>
      </c>
    </row>
    <row r="681" spans="1:6" ht="55.05" x14ac:dyDescent="0.3">
      <c r="A681" s="81" t="s">
        <v>788</v>
      </c>
      <c r="B681" s="80" t="s">
        <v>536</v>
      </c>
      <c r="C681" s="80" t="s">
        <v>300</v>
      </c>
      <c r="D681" s="80" t="s">
        <v>764</v>
      </c>
      <c r="E681" s="80" t="s">
        <v>6</v>
      </c>
      <c r="F681" s="53">
        <f>F682</f>
        <v>0</v>
      </c>
    </row>
    <row r="682" spans="1:6" ht="36.700000000000003" x14ac:dyDescent="0.3">
      <c r="A682" s="81" t="s">
        <v>37</v>
      </c>
      <c r="B682" s="80" t="s">
        <v>536</v>
      </c>
      <c r="C682" s="80" t="s">
        <v>300</v>
      </c>
      <c r="D682" s="80" t="s">
        <v>764</v>
      </c>
      <c r="E682" s="80" t="s">
        <v>38</v>
      </c>
      <c r="F682" s="53">
        <f>F683</f>
        <v>0</v>
      </c>
    </row>
    <row r="683" spans="1:6" x14ac:dyDescent="0.25">
      <c r="A683" s="81" t="s">
        <v>74</v>
      </c>
      <c r="B683" s="80" t="s">
        <v>536</v>
      </c>
      <c r="C683" s="80" t="s">
        <v>300</v>
      </c>
      <c r="D683" s="80" t="s">
        <v>764</v>
      </c>
      <c r="E683" s="80" t="s">
        <v>75</v>
      </c>
      <c r="F683" s="98">
        <v>0</v>
      </c>
    </row>
    <row r="684" spans="1:6" ht="55.05" x14ac:dyDescent="0.25">
      <c r="A684" s="81" t="s">
        <v>911</v>
      </c>
      <c r="B684" s="80" t="s">
        <v>536</v>
      </c>
      <c r="C684" s="80" t="s">
        <v>300</v>
      </c>
      <c r="D684" s="80" t="s">
        <v>769</v>
      </c>
      <c r="E684" s="80" t="s">
        <v>6</v>
      </c>
      <c r="F684" s="98">
        <f>F685</f>
        <v>0</v>
      </c>
    </row>
    <row r="685" spans="1:6" ht="36.700000000000003" x14ac:dyDescent="0.25">
      <c r="A685" s="81" t="s">
        <v>37</v>
      </c>
      <c r="B685" s="80" t="s">
        <v>536</v>
      </c>
      <c r="C685" s="80" t="s">
        <v>300</v>
      </c>
      <c r="D685" s="80" t="s">
        <v>769</v>
      </c>
      <c r="E685" s="80" t="s">
        <v>38</v>
      </c>
      <c r="F685" s="98">
        <f>F686</f>
        <v>0</v>
      </c>
    </row>
    <row r="686" spans="1:6" x14ac:dyDescent="0.25">
      <c r="A686" s="81" t="s">
        <v>74</v>
      </c>
      <c r="B686" s="80" t="s">
        <v>536</v>
      </c>
      <c r="C686" s="80" t="s">
        <v>300</v>
      </c>
      <c r="D686" s="80" t="s">
        <v>769</v>
      </c>
      <c r="E686" s="80" t="s">
        <v>75</v>
      </c>
      <c r="F686" s="98">
        <v>0</v>
      </c>
    </row>
    <row r="687" spans="1:6" ht="27" customHeight="1" x14ac:dyDescent="0.25">
      <c r="A687" s="81" t="s">
        <v>102</v>
      </c>
      <c r="B687" s="80" t="s">
        <v>536</v>
      </c>
      <c r="C687" s="80" t="s">
        <v>300</v>
      </c>
      <c r="D687" s="80" t="s">
        <v>201</v>
      </c>
      <c r="E687" s="80" t="s">
        <v>6</v>
      </c>
      <c r="F687" s="98">
        <f>F688</f>
        <v>0</v>
      </c>
    </row>
    <row r="688" spans="1:6" ht="36.700000000000003" x14ac:dyDescent="0.25">
      <c r="A688" s="81" t="s">
        <v>37</v>
      </c>
      <c r="B688" s="80" t="s">
        <v>536</v>
      </c>
      <c r="C688" s="80" t="s">
        <v>300</v>
      </c>
      <c r="D688" s="80" t="s">
        <v>201</v>
      </c>
      <c r="E688" s="80" t="s">
        <v>38</v>
      </c>
      <c r="F688" s="98">
        <f>F689</f>
        <v>0</v>
      </c>
    </row>
    <row r="689" spans="1:6" x14ac:dyDescent="0.25">
      <c r="A689" s="81" t="s">
        <v>74</v>
      </c>
      <c r="B689" s="80" t="s">
        <v>536</v>
      </c>
      <c r="C689" s="80" t="s">
        <v>300</v>
      </c>
      <c r="D689" s="80" t="s">
        <v>201</v>
      </c>
      <c r="E689" s="80" t="s">
        <v>75</v>
      </c>
      <c r="F689" s="98"/>
    </row>
    <row r="690" spans="1:6" ht="36.700000000000003" x14ac:dyDescent="0.25">
      <c r="A690" s="175" t="s">
        <v>750</v>
      </c>
      <c r="B690" s="139">
        <v>959</v>
      </c>
      <c r="C690" s="140" t="s">
        <v>5</v>
      </c>
      <c r="D690" s="140" t="s">
        <v>126</v>
      </c>
      <c r="E690" s="140" t="s">
        <v>6</v>
      </c>
      <c r="F690" s="141">
        <f>F691</f>
        <v>1707622</v>
      </c>
    </row>
    <row r="691" spans="1:6" x14ac:dyDescent="0.25">
      <c r="A691" s="81" t="s">
        <v>7</v>
      </c>
      <c r="B691" s="80" t="s">
        <v>751</v>
      </c>
      <c r="C691" s="80" t="s">
        <v>8</v>
      </c>
      <c r="D691" s="80" t="s">
        <v>126</v>
      </c>
      <c r="E691" s="80" t="s">
        <v>6</v>
      </c>
      <c r="F691" s="131">
        <f>F692+F704</f>
        <v>1707622</v>
      </c>
    </row>
    <row r="692" spans="1:6" ht="36.700000000000003" x14ac:dyDescent="0.25">
      <c r="A692" s="81" t="s">
        <v>9</v>
      </c>
      <c r="B692" s="80" t="s">
        <v>751</v>
      </c>
      <c r="C692" s="80" t="s">
        <v>10</v>
      </c>
      <c r="D692" s="80" t="s">
        <v>126</v>
      </c>
      <c r="E692" s="80" t="s">
        <v>6</v>
      </c>
      <c r="F692" s="82">
        <f>F693</f>
        <v>1688872</v>
      </c>
    </row>
    <row r="693" spans="1:6" ht="36.700000000000003" x14ac:dyDescent="0.25">
      <c r="A693" s="81" t="s">
        <v>132</v>
      </c>
      <c r="B693" s="80" t="s">
        <v>751</v>
      </c>
      <c r="C693" s="80" t="s">
        <v>10</v>
      </c>
      <c r="D693" s="80" t="s">
        <v>127</v>
      </c>
      <c r="E693" s="80" t="s">
        <v>6</v>
      </c>
      <c r="F693" s="82">
        <f>F694+F697</f>
        <v>1688872</v>
      </c>
    </row>
    <row r="694" spans="1:6" x14ac:dyDescent="0.25">
      <c r="A694" s="81" t="s">
        <v>752</v>
      </c>
      <c r="B694" s="80" t="s">
        <v>751</v>
      </c>
      <c r="C694" s="80" t="s">
        <v>10</v>
      </c>
      <c r="D694" s="80" t="s">
        <v>143</v>
      </c>
      <c r="E694" s="80" t="s">
        <v>6</v>
      </c>
      <c r="F694" s="82">
        <f>F695</f>
        <v>1384096</v>
      </c>
    </row>
    <row r="695" spans="1:6" ht="73.400000000000006" x14ac:dyDescent="0.25">
      <c r="A695" s="81" t="s">
        <v>11</v>
      </c>
      <c r="B695" s="80" t="s">
        <v>751</v>
      </c>
      <c r="C695" s="80" t="s">
        <v>10</v>
      </c>
      <c r="D695" s="80" t="s">
        <v>143</v>
      </c>
      <c r="E695" s="80" t="s">
        <v>12</v>
      </c>
      <c r="F695" s="82">
        <f>F696</f>
        <v>1384096</v>
      </c>
    </row>
    <row r="696" spans="1:6" ht="36.700000000000003" x14ac:dyDescent="0.25">
      <c r="A696" s="81" t="s">
        <v>13</v>
      </c>
      <c r="B696" s="80" t="s">
        <v>751</v>
      </c>
      <c r="C696" s="80" t="s">
        <v>10</v>
      </c>
      <c r="D696" s="80" t="s">
        <v>143</v>
      </c>
      <c r="E696" s="80" t="s">
        <v>14</v>
      </c>
      <c r="F696" s="98">
        <f>'потребность 2023 (5)'!K740</f>
        <v>1384096</v>
      </c>
    </row>
    <row r="697" spans="1:6" ht="45.7" customHeight="1" x14ac:dyDescent="0.25">
      <c r="A697" s="81" t="s">
        <v>494</v>
      </c>
      <c r="B697" s="80" t="s">
        <v>751</v>
      </c>
      <c r="C697" s="80" t="s">
        <v>10</v>
      </c>
      <c r="D697" s="80" t="s">
        <v>495</v>
      </c>
      <c r="E697" s="80" t="s">
        <v>6</v>
      </c>
      <c r="F697" s="98">
        <f>F698+F700+F702</f>
        <v>304776</v>
      </c>
    </row>
    <row r="698" spans="1:6" ht="73.400000000000006" x14ac:dyDescent="0.25">
      <c r="A698" s="81" t="s">
        <v>11</v>
      </c>
      <c r="B698" s="80" t="s">
        <v>751</v>
      </c>
      <c r="C698" s="80" t="s">
        <v>10</v>
      </c>
      <c r="D698" s="80" t="s">
        <v>495</v>
      </c>
      <c r="E698" s="80" t="s">
        <v>12</v>
      </c>
      <c r="F698" s="98">
        <f>F699</f>
        <v>212776</v>
      </c>
    </row>
    <row r="699" spans="1:6" ht="36.700000000000003" x14ac:dyDescent="0.25">
      <c r="A699" s="81" t="s">
        <v>13</v>
      </c>
      <c r="B699" s="80" t="s">
        <v>751</v>
      </c>
      <c r="C699" s="80" t="s">
        <v>10</v>
      </c>
      <c r="D699" s="80" t="s">
        <v>495</v>
      </c>
      <c r="E699" s="80" t="s">
        <v>14</v>
      </c>
      <c r="F699" s="98">
        <f>'потребность 2023 (5)'!K743</f>
        <v>212776</v>
      </c>
    </row>
    <row r="700" spans="1:6" ht="36.700000000000003" x14ac:dyDescent="0.25">
      <c r="A700" s="81" t="s">
        <v>15</v>
      </c>
      <c r="B700" s="80" t="s">
        <v>751</v>
      </c>
      <c r="C700" s="80" t="s">
        <v>10</v>
      </c>
      <c r="D700" s="80" t="s">
        <v>495</v>
      </c>
      <c r="E700" s="80" t="s">
        <v>16</v>
      </c>
      <c r="F700" s="98">
        <f>F701</f>
        <v>91500</v>
      </c>
    </row>
    <row r="701" spans="1:6" ht="36.700000000000003" x14ac:dyDescent="0.25">
      <c r="A701" s="81" t="s">
        <v>17</v>
      </c>
      <c r="B701" s="80" t="s">
        <v>751</v>
      </c>
      <c r="C701" s="80" t="s">
        <v>10</v>
      </c>
      <c r="D701" s="80" t="s">
        <v>495</v>
      </c>
      <c r="E701" s="80" t="s">
        <v>18</v>
      </c>
      <c r="F701" s="98">
        <f>'потребность 2023 (5)'!K745</f>
        <v>91500</v>
      </c>
    </row>
    <row r="702" spans="1:6" x14ac:dyDescent="0.3">
      <c r="A702" s="81" t="s">
        <v>19</v>
      </c>
      <c r="B702" s="439" t="s">
        <v>751</v>
      </c>
      <c r="C702" s="439" t="s">
        <v>10</v>
      </c>
      <c r="D702" s="539" t="s">
        <v>495</v>
      </c>
      <c r="E702" s="539" t="s">
        <v>20</v>
      </c>
      <c r="F702" s="98">
        <f>F703</f>
        <v>500</v>
      </c>
    </row>
    <row r="703" spans="1:6" x14ac:dyDescent="0.3">
      <c r="A703" s="81" t="s">
        <v>21</v>
      </c>
      <c r="B703" s="439" t="s">
        <v>751</v>
      </c>
      <c r="C703" s="439" t="s">
        <v>10</v>
      </c>
      <c r="D703" s="539" t="s">
        <v>495</v>
      </c>
      <c r="E703" s="539" t="s">
        <v>22</v>
      </c>
      <c r="F703" s="98">
        <f>'потребность 2023 (5)'!K747</f>
        <v>500</v>
      </c>
    </row>
    <row r="704" spans="1:6" x14ac:dyDescent="0.3">
      <c r="A704" s="81" t="s">
        <v>23</v>
      </c>
      <c r="B704" s="439" t="s">
        <v>751</v>
      </c>
      <c r="C704" s="439" t="s">
        <v>24</v>
      </c>
      <c r="D704" s="539" t="s">
        <v>126</v>
      </c>
      <c r="E704" s="539" t="s">
        <v>6</v>
      </c>
      <c r="F704" s="98">
        <f>F705+F710</f>
        <v>18750</v>
      </c>
    </row>
    <row r="705" spans="1:6" ht="36.700000000000003" x14ac:dyDescent="0.3">
      <c r="A705" s="109" t="s">
        <v>830</v>
      </c>
      <c r="B705" s="445" t="s">
        <v>751</v>
      </c>
      <c r="C705" s="445" t="s">
        <v>24</v>
      </c>
      <c r="D705" s="541" t="s">
        <v>128</v>
      </c>
      <c r="E705" s="541" t="s">
        <v>6</v>
      </c>
      <c r="F705" s="98">
        <f>F706</f>
        <v>10000</v>
      </c>
    </row>
    <row r="706" spans="1:6" ht="36.700000000000003" x14ac:dyDescent="0.3">
      <c r="A706" s="113" t="s">
        <v>835</v>
      </c>
      <c r="B706" s="439" t="s">
        <v>751</v>
      </c>
      <c r="C706" s="439" t="s">
        <v>24</v>
      </c>
      <c r="D706" s="539" t="s">
        <v>315</v>
      </c>
      <c r="E706" s="539" t="s">
        <v>6</v>
      </c>
      <c r="F706" s="98">
        <f>F707</f>
        <v>10000</v>
      </c>
    </row>
    <row r="707" spans="1:6" x14ac:dyDescent="0.3">
      <c r="A707" s="113" t="s">
        <v>321</v>
      </c>
      <c r="B707" s="439" t="s">
        <v>751</v>
      </c>
      <c r="C707" s="439" t="s">
        <v>24</v>
      </c>
      <c r="D707" s="539" t="s">
        <v>316</v>
      </c>
      <c r="E707" s="539" t="s">
        <v>6</v>
      </c>
      <c r="F707" s="98">
        <f>F708</f>
        <v>10000</v>
      </c>
    </row>
    <row r="708" spans="1:6" ht="36.700000000000003" x14ac:dyDescent="0.3">
      <c r="A708" s="81" t="s">
        <v>15</v>
      </c>
      <c r="B708" s="439" t="s">
        <v>751</v>
      </c>
      <c r="C708" s="439" t="s">
        <v>24</v>
      </c>
      <c r="D708" s="539" t="s">
        <v>316</v>
      </c>
      <c r="E708" s="539" t="s">
        <v>16</v>
      </c>
      <c r="F708" s="98">
        <f>F709</f>
        <v>10000</v>
      </c>
    </row>
    <row r="709" spans="1:6" ht="36.700000000000003" x14ac:dyDescent="0.3">
      <c r="A709" s="81" t="s">
        <v>17</v>
      </c>
      <c r="B709" s="439" t="s">
        <v>751</v>
      </c>
      <c r="C709" s="439" t="s">
        <v>24</v>
      </c>
      <c r="D709" s="539" t="s">
        <v>316</v>
      </c>
      <c r="E709" s="539" t="s">
        <v>18</v>
      </c>
      <c r="F709" s="98">
        <f>'потребность 2023 (5)'!K753</f>
        <v>10000</v>
      </c>
    </row>
    <row r="710" spans="1:6" ht="55.05" x14ac:dyDescent="0.3">
      <c r="A710" s="114" t="s">
        <v>829</v>
      </c>
      <c r="B710" s="445" t="s">
        <v>751</v>
      </c>
      <c r="C710" s="439" t="s">
        <v>24</v>
      </c>
      <c r="D710" s="541" t="s">
        <v>317</v>
      </c>
      <c r="E710" s="541" t="s">
        <v>6</v>
      </c>
      <c r="F710" s="98">
        <f>F711</f>
        <v>8750</v>
      </c>
    </row>
    <row r="711" spans="1:6" ht="36.700000000000003" x14ac:dyDescent="0.3">
      <c r="A711" s="113" t="s">
        <v>249</v>
      </c>
      <c r="B711" s="439" t="s">
        <v>751</v>
      </c>
      <c r="C711" s="439" t="s">
        <v>24</v>
      </c>
      <c r="D711" s="539" t="s">
        <v>318</v>
      </c>
      <c r="E711" s="539" t="s">
        <v>6</v>
      </c>
      <c r="F711" s="98">
        <f>F712</f>
        <v>8750</v>
      </c>
    </row>
    <row r="712" spans="1:6" ht="45" customHeight="1" x14ac:dyDescent="0.3">
      <c r="A712" s="81" t="s">
        <v>25</v>
      </c>
      <c r="B712" s="439" t="s">
        <v>751</v>
      </c>
      <c r="C712" s="439" t="s">
        <v>24</v>
      </c>
      <c r="D712" s="539" t="s">
        <v>329</v>
      </c>
      <c r="E712" s="539" t="s">
        <v>6</v>
      </c>
      <c r="F712" s="98">
        <f>F713</f>
        <v>8750</v>
      </c>
    </row>
    <row r="713" spans="1:6" ht="36.700000000000003" x14ac:dyDescent="0.3">
      <c r="A713" s="81" t="s">
        <v>15</v>
      </c>
      <c r="B713" s="439" t="s">
        <v>751</v>
      </c>
      <c r="C713" s="439" t="s">
        <v>24</v>
      </c>
      <c r="D713" s="539" t="s">
        <v>329</v>
      </c>
      <c r="E713" s="539" t="s">
        <v>16</v>
      </c>
      <c r="F713" s="98">
        <f>F714</f>
        <v>8750</v>
      </c>
    </row>
    <row r="714" spans="1:6" ht="36.700000000000003" x14ac:dyDescent="0.3">
      <c r="A714" s="81" t="s">
        <v>17</v>
      </c>
      <c r="B714" s="439" t="s">
        <v>751</v>
      </c>
      <c r="C714" s="439" t="s">
        <v>24</v>
      </c>
      <c r="D714" s="539" t="s">
        <v>329</v>
      </c>
      <c r="E714" s="539" t="s">
        <v>18</v>
      </c>
      <c r="F714" s="98">
        <f>'потребность 2023 (5)'!K758</f>
        <v>8750</v>
      </c>
    </row>
    <row r="715" spans="1:6" x14ac:dyDescent="0.3">
      <c r="A715" s="176" t="s">
        <v>768</v>
      </c>
      <c r="B715" s="177"/>
      <c r="C715" s="177"/>
      <c r="D715" s="178"/>
      <c r="E715" s="177"/>
      <c r="F715" s="128">
        <f>F10+F32+F481+F508+F690</f>
        <v>976194103.9000001</v>
      </c>
    </row>
    <row r="716" spans="1:6" x14ac:dyDescent="0.3">
      <c r="D716" s="179"/>
      <c r="F716" s="180"/>
    </row>
    <row r="717" spans="1:6" x14ac:dyDescent="0.3">
      <c r="D717" s="185" t="s">
        <v>875</v>
      </c>
      <c r="F717" s="180" t="e">
        <f>'прил 7'!C14+'прил 7'!C43</f>
        <v>#REF!</v>
      </c>
    </row>
    <row r="718" spans="1:6" x14ac:dyDescent="0.3">
      <c r="D718" s="179"/>
      <c r="F718" s="184" t="e">
        <f>F717-F715</f>
        <v>#REF!</v>
      </c>
    </row>
    <row r="719" spans="1:6" x14ac:dyDescent="0.3">
      <c r="D719" s="179"/>
      <c r="F719" s="184" t="e">
        <f>'прил 7'!C73-F715</f>
        <v>#REF!</v>
      </c>
    </row>
    <row r="720" spans="1:6" x14ac:dyDescent="0.3">
      <c r="C720" s="178" t="s">
        <v>8</v>
      </c>
      <c r="D720" s="179"/>
      <c r="F720" s="180">
        <f>F11+F33++F482+F691</f>
        <v>130526070.3</v>
      </c>
    </row>
    <row r="721" spans="1:7" x14ac:dyDescent="0.3">
      <c r="C721" s="178" t="s">
        <v>26</v>
      </c>
      <c r="D721" s="179"/>
      <c r="F721" s="180">
        <f>F160</f>
        <v>1951380</v>
      </c>
    </row>
    <row r="722" spans="1:7" x14ac:dyDescent="0.3">
      <c r="C722" s="178" t="s">
        <v>42</v>
      </c>
      <c r="D722" s="179"/>
      <c r="F722" s="180">
        <f>F170</f>
        <v>805000</v>
      </c>
    </row>
    <row r="723" spans="1:7" x14ac:dyDescent="0.3">
      <c r="C723" s="178" t="s">
        <v>46</v>
      </c>
      <c r="D723" s="179"/>
      <c r="F723" s="180">
        <f>F181</f>
        <v>15218133.93</v>
      </c>
    </row>
    <row r="724" spans="1:7" x14ac:dyDescent="0.3">
      <c r="C724" s="178" t="s">
        <v>55</v>
      </c>
      <c r="D724" s="179"/>
      <c r="F724" s="180">
        <f>F226</f>
        <v>60856185.18</v>
      </c>
    </row>
    <row r="725" spans="1:7" x14ac:dyDescent="0.3">
      <c r="C725" s="178" t="s">
        <v>65</v>
      </c>
      <c r="D725" s="179"/>
      <c r="F725" s="180">
        <f>F331</f>
        <v>515000</v>
      </c>
    </row>
    <row r="726" spans="1:7" x14ac:dyDescent="0.3">
      <c r="C726" s="178" t="s">
        <v>70</v>
      </c>
      <c r="D726" s="179"/>
      <c r="F726" s="180">
        <f>F347+F509</f>
        <v>619546629.56000006</v>
      </c>
    </row>
    <row r="727" spans="1:7" x14ac:dyDescent="0.3">
      <c r="C727" s="178" t="s">
        <v>80</v>
      </c>
      <c r="D727" s="179"/>
      <c r="F727" s="181">
        <f>F364</f>
        <v>43194170.600000001</v>
      </c>
    </row>
    <row r="728" spans="1:7" x14ac:dyDescent="0.3">
      <c r="C728" s="178" t="s">
        <v>86</v>
      </c>
      <c r="D728" s="179"/>
      <c r="F728" s="182">
        <f>F409+F654</f>
        <v>96001620.789999992</v>
      </c>
    </row>
    <row r="729" spans="1:7" x14ac:dyDescent="0.3">
      <c r="C729" s="178" t="s">
        <v>101</v>
      </c>
      <c r="D729" s="179"/>
      <c r="F729" s="180">
        <f>F445+F670</f>
        <v>4222913.54</v>
      </c>
    </row>
    <row r="730" spans="1:7" x14ac:dyDescent="0.3">
      <c r="C730" s="178" t="s">
        <v>104</v>
      </c>
      <c r="F730" s="181">
        <f>F474</f>
        <v>3357000</v>
      </c>
    </row>
    <row r="731" spans="1:7" x14ac:dyDescent="0.3">
      <c r="A731" s="288"/>
      <c r="F731" s="186">
        <f>SUBTOTAL(9,F720:F730)</f>
        <v>976194103.89999998</v>
      </c>
    </row>
    <row r="733" spans="1:7" x14ac:dyDescent="0.3">
      <c r="D733" s="178" t="s">
        <v>876</v>
      </c>
      <c r="F733" s="181">
        <f>F511+F547+F593+F616+F635+F656+F662</f>
        <v>600593068.19000006</v>
      </c>
    </row>
    <row r="734" spans="1:7" x14ac:dyDescent="0.3">
      <c r="D734" s="178" t="s">
        <v>877</v>
      </c>
      <c r="F734" s="183">
        <f>F349+F366+F390</f>
        <v>65357436.569999993</v>
      </c>
      <c r="G734" s="180"/>
    </row>
    <row r="735" spans="1:7" x14ac:dyDescent="0.3">
      <c r="D735" s="178" t="s">
        <v>878</v>
      </c>
      <c r="F735" s="183">
        <f>F333</f>
        <v>470000</v>
      </c>
      <c r="G735" s="180"/>
    </row>
    <row r="736" spans="1:7" x14ac:dyDescent="0.3">
      <c r="D736" s="178" t="s">
        <v>879</v>
      </c>
      <c r="F736" s="181">
        <f>F447+F672</f>
        <v>4172913.54</v>
      </c>
    </row>
    <row r="737" spans="4:6" x14ac:dyDescent="0.3">
      <c r="D737" s="178" t="s">
        <v>880</v>
      </c>
      <c r="F737" s="181">
        <f>F416</f>
        <v>150000</v>
      </c>
    </row>
    <row r="738" spans="4:6" x14ac:dyDescent="0.3">
      <c r="D738" s="178" t="s">
        <v>881</v>
      </c>
      <c r="F738" s="181">
        <f>F22+F63+F499+F705</f>
        <v>24816664</v>
      </c>
    </row>
    <row r="739" spans="4:6" x14ac:dyDescent="0.3">
      <c r="D739" s="178" t="s">
        <v>882</v>
      </c>
      <c r="F739" s="181">
        <f>F239+F271+F323</f>
        <v>36188514.200000003</v>
      </c>
    </row>
    <row r="740" spans="4:6" x14ac:dyDescent="0.3">
      <c r="D740" s="178" t="s">
        <v>883</v>
      </c>
      <c r="F740" s="181">
        <f>F88</f>
        <v>50000</v>
      </c>
    </row>
    <row r="741" spans="4:6" x14ac:dyDescent="0.3">
      <c r="D741" s="178" t="s">
        <v>884</v>
      </c>
      <c r="F741" s="181">
        <f>F212</f>
        <v>100000</v>
      </c>
    </row>
    <row r="742" spans="4:6" x14ac:dyDescent="0.3">
      <c r="D742" s="178" t="s">
        <v>885</v>
      </c>
      <c r="F742" s="181">
        <f>F421</f>
        <v>734438.26</v>
      </c>
    </row>
    <row r="743" spans="4:6" x14ac:dyDescent="0.3">
      <c r="D743" s="178" t="s">
        <v>886</v>
      </c>
      <c r="F743" s="181">
        <f>F27+F93+F476+F710</f>
        <v>5204368</v>
      </c>
    </row>
    <row r="744" spans="4:6" x14ac:dyDescent="0.3">
      <c r="D744" s="178" t="s">
        <v>887</v>
      </c>
      <c r="F744" s="181">
        <f>F200</f>
        <v>13057000</v>
      </c>
    </row>
    <row r="745" spans="4:6" x14ac:dyDescent="0.3">
      <c r="D745" s="178" t="s">
        <v>888</v>
      </c>
      <c r="F745" s="181">
        <f>F342</f>
        <v>45000</v>
      </c>
    </row>
    <row r="746" spans="4:6" x14ac:dyDescent="0.3">
      <c r="D746" s="178" t="s">
        <v>889</v>
      </c>
      <c r="F746" s="181">
        <f>F217</f>
        <v>835000</v>
      </c>
    </row>
    <row r="747" spans="4:6" x14ac:dyDescent="0.3">
      <c r="D747" s="178" t="s">
        <v>890</v>
      </c>
      <c r="F747" s="181">
        <f>F101+F228+F401</f>
        <v>7526649.4000000004</v>
      </c>
    </row>
    <row r="748" spans="4:6" x14ac:dyDescent="0.3">
      <c r="D748" s="178" t="s">
        <v>895</v>
      </c>
      <c r="F748" s="181">
        <f>F194</f>
        <v>100000</v>
      </c>
    </row>
    <row r="749" spans="4:6" x14ac:dyDescent="0.3">
      <c r="D749" s="178" t="s">
        <v>891</v>
      </c>
      <c r="F749" s="181">
        <f>F469</f>
        <v>50000</v>
      </c>
    </row>
    <row r="750" spans="4:6" x14ac:dyDescent="0.3">
      <c r="D750" s="178" t="s">
        <v>892</v>
      </c>
      <c r="F750" s="181">
        <f>F285</f>
        <v>9214506.0600000005</v>
      </c>
    </row>
    <row r="751" spans="4:6" x14ac:dyDescent="0.3">
      <c r="D751" s="178" t="s">
        <v>893</v>
      </c>
      <c r="F751" s="181">
        <f>F302</f>
        <v>12953164.92</v>
      </c>
    </row>
    <row r="752" spans="4:6" x14ac:dyDescent="0.3">
      <c r="D752" s="178" t="s">
        <v>1126</v>
      </c>
      <c r="F752" s="181">
        <f>F108</f>
        <v>100000</v>
      </c>
    </row>
    <row r="753" spans="1:6" x14ac:dyDescent="0.3">
      <c r="D753" s="178" t="s">
        <v>894</v>
      </c>
      <c r="F753" s="181">
        <f>F13+F35+F40+F47+F53+F58+F113+F162+F172+F177+F183+F189+F233+F411+F426+F431+F484+F504+F693</f>
        <v>194475380.75999999</v>
      </c>
    </row>
    <row r="754" spans="1:6" x14ac:dyDescent="0.3">
      <c r="F754" s="186">
        <f>SUBTOTAL(9,F733:F753)</f>
        <v>976194103.89999986</v>
      </c>
    </row>
    <row r="755" spans="1:6" x14ac:dyDescent="0.3">
      <c r="B755" s="7" t="s">
        <v>896</v>
      </c>
      <c r="F755" s="186">
        <f>F414+F437+F669</f>
        <v>43192992.340000004</v>
      </c>
    </row>
    <row r="757" spans="1:6" x14ac:dyDescent="0.3">
      <c r="B757" s="7" t="s">
        <v>774</v>
      </c>
      <c r="F757" s="181" t="e">
        <f>F697+F637+#REF!+#REF!+F488+F117+F41+F14</f>
        <v>#REF!</v>
      </c>
    </row>
    <row r="758" spans="1:6" x14ac:dyDescent="0.3">
      <c r="A758" s="187" t="s">
        <v>775</v>
      </c>
      <c r="C758" s="7">
        <v>24.46</v>
      </c>
      <c r="F758" s="181">
        <f>'прил 7'!C14*24.46%</f>
        <v>103458616.53583401</v>
      </c>
    </row>
  </sheetData>
  <autoFilter ref="A9:WVG715"/>
  <mergeCells count="3">
    <mergeCell ref="A5:F5"/>
    <mergeCell ref="A6:F6"/>
    <mergeCell ref="A7:F7"/>
  </mergeCells>
  <pageMargins left="1.1811023622047243" right="0.39370078740157483" top="0.39370078740157483" bottom="0.39370078740157483" header="0.31496062992125984" footer="0.31496062992125984"/>
  <pageSetup paperSize="9" scale="63" fitToHeight="0" orientation="portrait" r:id="rId1"/>
  <rowBreaks count="3" manualBreakCount="3">
    <brk id="140" max="5" man="1"/>
    <brk id="197" max="5" man="1"/>
    <brk id="515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3"/>
  <sheetViews>
    <sheetView view="pageBreakPreview" topLeftCell="A672" zoomScale="96" zoomScaleNormal="100" zoomScaleSheetLayoutView="96" workbookViewId="0">
      <selection activeCell="H678" sqref="H678"/>
    </sheetView>
  </sheetViews>
  <sheetFormatPr defaultRowHeight="18.350000000000001" outlineLevelRow="7" x14ac:dyDescent="0.3"/>
  <cols>
    <col min="1" max="1" width="49.375" style="30" customWidth="1"/>
    <col min="2" max="3" width="7.625" style="15" customWidth="1"/>
    <col min="4" max="4" width="16.125" style="15" customWidth="1"/>
    <col min="5" max="5" width="9" style="15" customWidth="1"/>
    <col min="6" max="6" width="19.375" style="15" customWidth="1"/>
    <col min="7" max="7" width="18.375" style="37" hidden="1" customWidth="1"/>
    <col min="8" max="8" width="19.375" style="56" customWidth="1"/>
    <col min="9" max="9" width="18.375" style="2" customWidth="1"/>
    <col min="10" max="10" width="18.125" style="2" customWidth="1"/>
    <col min="11" max="11" width="18" style="2" customWidth="1"/>
    <col min="12" max="12" width="20.375" style="61" customWidth="1"/>
    <col min="13" max="13" width="9.125" style="2"/>
    <col min="14" max="14" width="16.375" style="2" bestFit="1" customWidth="1"/>
    <col min="15" max="245" width="9.125" style="2"/>
    <col min="246" max="246" width="75.875" style="2" customWidth="1"/>
    <col min="247" max="248" width="7.625" style="2" customWidth="1"/>
    <col min="249" max="249" width="9.625" style="2" customWidth="1"/>
    <col min="250" max="250" width="7.625" style="2" customWidth="1"/>
    <col min="251" max="254" width="0" style="2" hidden="1" customWidth="1"/>
    <col min="255" max="255" width="14.375" style="2" customWidth="1"/>
    <col min="256" max="261" width="0" style="2" hidden="1" customWidth="1"/>
    <col min="262" max="262" width="10.125" style="2" bestFit="1" customWidth="1"/>
    <col min="263" max="501" width="9.125" style="2"/>
    <col min="502" max="502" width="75.875" style="2" customWidth="1"/>
    <col min="503" max="504" width="7.625" style="2" customWidth="1"/>
    <col min="505" max="505" width="9.625" style="2" customWidth="1"/>
    <col min="506" max="506" width="7.625" style="2" customWidth="1"/>
    <col min="507" max="510" width="0" style="2" hidden="1" customWidth="1"/>
    <col min="511" max="511" width="14.375" style="2" customWidth="1"/>
    <col min="512" max="517" width="0" style="2" hidden="1" customWidth="1"/>
    <col min="518" max="518" width="10.125" style="2" bestFit="1" customWidth="1"/>
    <col min="519" max="757" width="9.125" style="2"/>
    <col min="758" max="758" width="75.875" style="2" customWidth="1"/>
    <col min="759" max="760" width="7.625" style="2" customWidth="1"/>
    <col min="761" max="761" width="9.625" style="2" customWidth="1"/>
    <col min="762" max="762" width="7.625" style="2" customWidth="1"/>
    <col min="763" max="766" width="0" style="2" hidden="1" customWidth="1"/>
    <col min="767" max="767" width="14.375" style="2" customWidth="1"/>
    <col min="768" max="773" width="0" style="2" hidden="1" customWidth="1"/>
    <col min="774" max="774" width="10.125" style="2" bestFit="1" customWidth="1"/>
    <col min="775" max="1013" width="9.125" style="2"/>
    <col min="1014" max="1014" width="75.875" style="2" customWidth="1"/>
    <col min="1015" max="1016" width="7.625" style="2" customWidth="1"/>
    <col min="1017" max="1017" width="9.625" style="2" customWidth="1"/>
    <col min="1018" max="1018" width="7.625" style="2" customWidth="1"/>
    <col min="1019" max="1022" width="0" style="2" hidden="1" customWidth="1"/>
    <col min="1023" max="1023" width="14.375" style="2" customWidth="1"/>
    <col min="1024" max="1029" width="0" style="2" hidden="1" customWidth="1"/>
    <col min="1030" max="1030" width="10.125" style="2" bestFit="1" customWidth="1"/>
    <col min="1031" max="1269" width="9.125" style="2"/>
    <col min="1270" max="1270" width="75.875" style="2" customWidth="1"/>
    <col min="1271" max="1272" width="7.625" style="2" customWidth="1"/>
    <col min="1273" max="1273" width="9.625" style="2" customWidth="1"/>
    <col min="1274" max="1274" width="7.625" style="2" customWidth="1"/>
    <col min="1275" max="1278" width="0" style="2" hidden="1" customWidth="1"/>
    <col min="1279" max="1279" width="14.375" style="2" customWidth="1"/>
    <col min="1280" max="1285" width="0" style="2" hidden="1" customWidth="1"/>
    <col min="1286" max="1286" width="10.125" style="2" bestFit="1" customWidth="1"/>
    <col min="1287" max="1525" width="9.125" style="2"/>
    <col min="1526" max="1526" width="75.875" style="2" customWidth="1"/>
    <col min="1527" max="1528" width="7.625" style="2" customWidth="1"/>
    <col min="1529" max="1529" width="9.625" style="2" customWidth="1"/>
    <col min="1530" max="1530" width="7.625" style="2" customWidth="1"/>
    <col min="1531" max="1534" width="0" style="2" hidden="1" customWidth="1"/>
    <col min="1535" max="1535" width="14.375" style="2" customWidth="1"/>
    <col min="1536" max="1541" width="0" style="2" hidden="1" customWidth="1"/>
    <col min="1542" max="1542" width="10.125" style="2" bestFit="1" customWidth="1"/>
    <col min="1543" max="1781" width="9.125" style="2"/>
    <col min="1782" max="1782" width="75.875" style="2" customWidth="1"/>
    <col min="1783" max="1784" width="7.625" style="2" customWidth="1"/>
    <col min="1785" max="1785" width="9.625" style="2" customWidth="1"/>
    <col min="1786" max="1786" width="7.625" style="2" customWidth="1"/>
    <col min="1787" max="1790" width="0" style="2" hidden="1" customWidth="1"/>
    <col min="1791" max="1791" width="14.375" style="2" customWidth="1"/>
    <col min="1792" max="1797" width="0" style="2" hidden="1" customWidth="1"/>
    <col min="1798" max="1798" width="10.125" style="2" bestFit="1" customWidth="1"/>
    <col min="1799" max="2037" width="9.125" style="2"/>
    <col min="2038" max="2038" width="75.875" style="2" customWidth="1"/>
    <col min="2039" max="2040" width="7.625" style="2" customWidth="1"/>
    <col min="2041" max="2041" width="9.625" style="2" customWidth="1"/>
    <col min="2042" max="2042" width="7.625" style="2" customWidth="1"/>
    <col min="2043" max="2046" width="0" style="2" hidden="1" customWidth="1"/>
    <col min="2047" max="2047" width="14.375" style="2" customWidth="1"/>
    <col min="2048" max="2053" width="0" style="2" hidden="1" customWidth="1"/>
    <col min="2054" max="2054" width="10.125" style="2" bestFit="1" customWidth="1"/>
    <col min="2055" max="2293" width="9.125" style="2"/>
    <col min="2294" max="2294" width="75.875" style="2" customWidth="1"/>
    <col min="2295" max="2296" width="7.625" style="2" customWidth="1"/>
    <col min="2297" max="2297" width="9.625" style="2" customWidth="1"/>
    <col min="2298" max="2298" width="7.625" style="2" customWidth="1"/>
    <col min="2299" max="2302" width="0" style="2" hidden="1" customWidth="1"/>
    <col min="2303" max="2303" width="14.375" style="2" customWidth="1"/>
    <col min="2304" max="2309" width="0" style="2" hidden="1" customWidth="1"/>
    <col min="2310" max="2310" width="10.125" style="2" bestFit="1" customWidth="1"/>
    <col min="2311" max="2549" width="9.125" style="2"/>
    <col min="2550" max="2550" width="75.875" style="2" customWidth="1"/>
    <col min="2551" max="2552" width="7.625" style="2" customWidth="1"/>
    <col min="2553" max="2553" width="9.625" style="2" customWidth="1"/>
    <col min="2554" max="2554" width="7.625" style="2" customWidth="1"/>
    <col min="2555" max="2558" width="0" style="2" hidden="1" customWidth="1"/>
    <col min="2559" max="2559" width="14.375" style="2" customWidth="1"/>
    <col min="2560" max="2565" width="0" style="2" hidden="1" customWidth="1"/>
    <col min="2566" max="2566" width="10.125" style="2" bestFit="1" customWidth="1"/>
    <col min="2567" max="2805" width="9.125" style="2"/>
    <col min="2806" max="2806" width="75.875" style="2" customWidth="1"/>
    <col min="2807" max="2808" width="7.625" style="2" customWidth="1"/>
    <col min="2809" max="2809" width="9.625" style="2" customWidth="1"/>
    <col min="2810" max="2810" width="7.625" style="2" customWidth="1"/>
    <col min="2811" max="2814" width="0" style="2" hidden="1" customWidth="1"/>
    <col min="2815" max="2815" width="14.375" style="2" customWidth="1"/>
    <col min="2816" max="2821" width="0" style="2" hidden="1" customWidth="1"/>
    <col min="2822" max="2822" width="10.125" style="2" bestFit="1" customWidth="1"/>
    <col min="2823" max="3061" width="9.125" style="2"/>
    <col min="3062" max="3062" width="75.875" style="2" customWidth="1"/>
    <col min="3063" max="3064" width="7.625" style="2" customWidth="1"/>
    <col min="3065" max="3065" width="9.625" style="2" customWidth="1"/>
    <col min="3066" max="3066" width="7.625" style="2" customWidth="1"/>
    <col min="3067" max="3070" width="0" style="2" hidden="1" customWidth="1"/>
    <col min="3071" max="3071" width="14.375" style="2" customWidth="1"/>
    <col min="3072" max="3077" width="0" style="2" hidden="1" customWidth="1"/>
    <col min="3078" max="3078" width="10.125" style="2" bestFit="1" customWidth="1"/>
    <col min="3079" max="3317" width="9.125" style="2"/>
    <col min="3318" max="3318" width="75.875" style="2" customWidth="1"/>
    <col min="3319" max="3320" width="7.625" style="2" customWidth="1"/>
    <col min="3321" max="3321" width="9.625" style="2" customWidth="1"/>
    <col min="3322" max="3322" width="7.625" style="2" customWidth="1"/>
    <col min="3323" max="3326" width="0" style="2" hidden="1" customWidth="1"/>
    <col min="3327" max="3327" width="14.375" style="2" customWidth="1"/>
    <col min="3328" max="3333" width="0" style="2" hidden="1" customWidth="1"/>
    <col min="3334" max="3334" width="10.125" style="2" bestFit="1" customWidth="1"/>
    <col min="3335" max="3573" width="9.125" style="2"/>
    <col min="3574" max="3574" width="75.875" style="2" customWidth="1"/>
    <col min="3575" max="3576" width="7.625" style="2" customWidth="1"/>
    <col min="3577" max="3577" width="9.625" style="2" customWidth="1"/>
    <col min="3578" max="3578" width="7.625" style="2" customWidth="1"/>
    <col min="3579" max="3582" width="0" style="2" hidden="1" customWidth="1"/>
    <col min="3583" max="3583" width="14.375" style="2" customWidth="1"/>
    <col min="3584" max="3589" width="0" style="2" hidden="1" customWidth="1"/>
    <col min="3590" max="3590" width="10.125" style="2" bestFit="1" customWidth="1"/>
    <col min="3591" max="3829" width="9.125" style="2"/>
    <col min="3830" max="3830" width="75.875" style="2" customWidth="1"/>
    <col min="3831" max="3832" width="7.625" style="2" customWidth="1"/>
    <col min="3833" max="3833" width="9.625" style="2" customWidth="1"/>
    <col min="3834" max="3834" width="7.625" style="2" customWidth="1"/>
    <col min="3835" max="3838" width="0" style="2" hidden="1" customWidth="1"/>
    <col min="3839" max="3839" width="14.375" style="2" customWidth="1"/>
    <col min="3840" max="3845" width="0" style="2" hidden="1" customWidth="1"/>
    <col min="3846" max="3846" width="10.125" style="2" bestFit="1" customWidth="1"/>
    <col min="3847" max="4085" width="9.125" style="2"/>
    <col min="4086" max="4086" width="75.875" style="2" customWidth="1"/>
    <col min="4087" max="4088" width="7.625" style="2" customWidth="1"/>
    <col min="4089" max="4089" width="9.625" style="2" customWidth="1"/>
    <col min="4090" max="4090" width="7.625" style="2" customWidth="1"/>
    <col min="4091" max="4094" width="0" style="2" hidden="1" customWidth="1"/>
    <col min="4095" max="4095" width="14.375" style="2" customWidth="1"/>
    <col min="4096" max="4101" width="0" style="2" hidden="1" customWidth="1"/>
    <col min="4102" max="4102" width="10.125" style="2" bestFit="1" customWidth="1"/>
    <col min="4103" max="4341" width="9.125" style="2"/>
    <col min="4342" max="4342" width="75.875" style="2" customWidth="1"/>
    <col min="4343" max="4344" width="7.625" style="2" customWidth="1"/>
    <col min="4345" max="4345" width="9.625" style="2" customWidth="1"/>
    <col min="4346" max="4346" width="7.625" style="2" customWidth="1"/>
    <col min="4347" max="4350" width="0" style="2" hidden="1" customWidth="1"/>
    <col min="4351" max="4351" width="14.375" style="2" customWidth="1"/>
    <col min="4352" max="4357" width="0" style="2" hidden="1" customWidth="1"/>
    <col min="4358" max="4358" width="10.125" style="2" bestFit="1" customWidth="1"/>
    <col min="4359" max="4597" width="9.125" style="2"/>
    <col min="4598" max="4598" width="75.875" style="2" customWidth="1"/>
    <col min="4599" max="4600" width="7.625" style="2" customWidth="1"/>
    <col min="4601" max="4601" width="9.625" style="2" customWidth="1"/>
    <col min="4602" max="4602" width="7.625" style="2" customWidth="1"/>
    <col min="4603" max="4606" width="0" style="2" hidden="1" customWidth="1"/>
    <col min="4607" max="4607" width="14.375" style="2" customWidth="1"/>
    <col min="4608" max="4613" width="0" style="2" hidden="1" customWidth="1"/>
    <col min="4614" max="4614" width="10.125" style="2" bestFit="1" customWidth="1"/>
    <col min="4615" max="4853" width="9.125" style="2"/>
    <col min="4854" max="4854" width="75.875" style="2" customWidth="1"/>
    <col min="4855" max="4856" width="7.625" style="2" customWidth="1"/>
    <col min="4857" max="4857" width="9.625" style="2" customWidth="1"/>
    <col min="4858" max="4858" width="7.625" style="2" customWidth="1"/>
    <col min="4859" max="4862" width="0" style="2" hidden="1" customWidth="1"/>
    <col min="4863" max="4863" width="14.375" style="2" customWidth="1"/>
    <col min="4864" max="4869" width="0" style="2" hidden="1" customWidth="1"/>
    <col min="4870" max="4870" width="10.125" style="2" bestFit="1" customWidth="1"/>
    <col min="4871" max="5109" width="9.125" style="2"/>
    <col min="5110" max="5110" width="75.875" style="2" customWidth="1"/>
    <col min="5111" max="5112" width="7.625" style="2" customWidth="1"/>
    <col min="5113" max="5113" width="9.625" style="2" customWidth="1"/>
    <col min="5114" max="5114" width="7.625" style="2" customWidth="1"/>
    <col min="5115" max="5118" width="0" style="2" hidden="1" customWidth="1"/>
    <col min="5119" max="5119" width="14.375" style="2" customWidth="1"/>
    <col min="5120" max="5125" width="0" style="2" hidden="1" customWidth="1"/>
    <col min="5126" max="5126" width="10.125" style="2" bestFit="1" customWidth="1"/>
    <col min="5127" max="5365" width="9.125" style="2"/>
    <col min="5366" max="5366" width="75.875" style="2" customWidth="1"/>
    <col min="5367" max="5368" width="7.625" style="2" customWidth="1"/>
    <col min="5369" max="5369" width="9.625" style="2" customWidth="1"/>
    <col min="5370" max="5370" width="7.625" style="2" customWidth="1"/>
    <col min="5371" max="5374" width="0" style="2" hidden="1" customWidth="1"/>
    <col min="5375" max="5375" width="14.375" style="2" customWidth="1"/>
    <col min="5376" max="5381" width="0" style="2" hidden="1" customWidth="1"/>
    <col min="5382" max="5382" width="10.125" style="2" bestFit="1" customWidth="1"/>
    <col min="5383" max="5621" width="9.125" style="2"/>
    <col min="5622" max="5622" width="75.875" style="2" customWidth="1"/>
    <col min="5623" max="5624" width="7.625" style="2" customWidth="1"/>
    <col min="5625" max="5625" width="9.625" style="2" customWidth="1"/>
    <col min="5626" max="5626" width="7.625" style="2" customWidth="1"/>
    <col min="5627" max="5630" width="0" style="2" hidden="1" customWidth="1"/>
    <col min="5631" max="5631" width="14.375" style="2" customWidth="1"/>
    <col min="5632" max="5637" width="0" style="2" hidden="1" customWidth="1"/>
    <col min="5638" max="5638" width="10.125" style="2" bestFit="1" customWidth="1"/>
    <col min="5639" max="5877" width="9.125" style="2"/>
    <col min="5878" max="5878" width="75.875" style="2" customWidth="1"/>
    <col min="5879" max="5880" width="7.625" style="2" customWidth="1"/>
    <col min="5881" max="5881" width="9.625" style="2" customWidth="1"/>
    <col min="5882" max="5882" width="7.625" style="2" customWidth="1"/>
    <col min="5883" max="5886" width="0" style="2" hidden="1" customWidth="1"/>
    <col min="5887" max="5887" width="14.375" style="2" customWidth="1"/>
    <col min="5888" max="5893" width="0" style="2" hidden="1" customWidth="1"/>
    <col min="5894" max="5894" width="10.125" style="2" bestFit="1" customWidth="1"/>
    <col min="5895" max="6133" width="9.125" style="2"/>
    <col min="6134" max="6134" width="75.875" style="2" customWidth="1"/>
    <col min="6135" max="6136" width="7.625" style="2" customWidth="1"/>
    <col min="6137" max="6137" width="9.625" style="2" customWidth="1"/>
    <col min="6138" max="6138" width="7.625" style="2" customWidth="1"/>
    <col min="6139" max="6142" width="0" style="2" hidden="1" customWidth="1"/>
    <col min="6143" max="6143" width="14.375" style="2" customWidth="1"/>
    <col min="6144" max="6149" width="0" style="2" hidden="1" customWidth="1"/>
    <col min="6150" max="6150" width="10.125" style="2" bestFit="1" customWidth="1"/>
    <col min="6151" max="6389" width="9.125" style="2"/>
    <col min="6390" max="6390" width="75.875" style="2" customWidth="1"/>
    <col min="6391" max="6392" width="7.625" style="2" customWidth="1"/>
    <col min="6393" max="6393" width="9.625" style="2" customWidth="1"/>
    <col min="6394" max="6394" width="7.625" style="2" customWidth="1"/>
    <col min="6395" max="6398" width="0" style="2" hidden="1" customWidth="1"/>
    <col min="6399" max="6399" width="14.375" style="2" customWidth="1"/>
    <col min="6400" max="6405" width="0" style="2" hidden="1" customWidth="1"/>
    <col min="6406" max="6406" width="10.125" style="2" bestFit="1" customWidth="1"/>
    <col min="6407" max="6645" width="9.125" style="2"/>
    <col min="6646" max="6646" width="75.875" style="2" customWidth="1"/>
    <col min="6647" max="6648" width="7.625" style="2" customWidth="1"/>
    <col min="6649" max="6649" width="9.625" style="2" customWidth="1"/>
    <col min="6650" max="6650" width="7.625" style="2" customWidth="1"/>
    <col min="6651" max="6654" width="0" style="2" hidden="1" customWidth="1"/>
    <col min="6655" max="6655" width="14.375" style="2" customWidth="1"/>
    <col min="6656" max="6661" width="0" style="2" hidden="1" customWidth="1"/>
    <col min="6662" max="6662" width="10.125" style="2" bestFit="1" customWidth="1"/>
    <col min="6663" max="6901" width="9.125" style="2"/>
    <col min="6902" max="6902" width="75.875" style="2" customWidth="1"/>
    <col min="6903" max="6904" width="7.625" style="2" customWidth="1"/>
    <col min="6905" max="6905" width="9.625" style="2" customWidth="1"/>
    <col min="6906" max="6906" width="7.625" style="2" customWidth="1"/>
    <col min="6907" max="6910" width="0" style="2" hidden="1" customWidth="1"/>
    <col min="6911" max="6911" width="14.375" style="2" customWidth="1"/>
    <col min="6912" max="6917" width="0" style="2" hidden="1" customWidth="1"/>
    <col min="6918" max="6918" width="10.125" style="2" bestFit="1" customWidth="1"/>
    <col min="6919" max="7157" width="9.125" style="2"/>
    <col min="7158" max="7158" width="75.875" style="2" customWidth="1"/>
    <col min="7159" max="7160" width="7.625" style="2" customWidth="1"/>
    <col min="7161" max="7161" width="9.625" style="2" customWidth="1"/>
    <col min="7162" max="7162" width="7.625" style="2" customWidth="1"/>
    <col min="7163" max="7166" width="0" style="2" hidden="1" customWidth="1"/>
    <col min="7167" max="7167" width="14.375" style="2" customWidth="1"/>
    <col min="7168" max="7173" width="0" style="2" hidden="1" customWidth="1"/>
    <col min="7174" max="7174" width="10.125" style="2" bestFit="1" customWidth="1"/>
    <col min="7175" max="7413" width="9.125" style="2"/>
    <col min="7414" max="7414" width="75.875" style="2" customWidth="1"/>
    <col min="7415" max="7416" width="7.625" style="2" customWidth="1"/>
    <col min="7417" max="7417" width="9.625" style="2" customWidth="1"/>
    <col min="7418" max="7418" width="7.625" style="2" customWidth="1"/>
    <col min="7419" max="7422" width="0" style="2" hidden="1" customWidth="1"/>
    <col min="7423" max="7423" width="14.375" style="2" customWidth="1"/>
    <col min="7424" max="7429" width="0" style="2" hidden="1" customWidth="1"/>
    <col min="7430" max="7430" width="10.125" style="2" bestFit="1" customWidth="1"/>
    <col min="7431" max="7669" width="9.125" style="2"/>
    <col min="7670" max="7670" width="75.875" style="2" customWidth="1"/>
    <col min="7671" max="7672" width="7.625" style="2" customWidth="1"/>
    <col min="7673" max="7673" width="9.625" style="2" customWidth="1"/>
    <col min="7674" max="7674" width="7.625" style="2" customWidth="1"/>
    <col min="7675" max="7678" width="0" style="2" hidden="1" customWidth="1"/>
    <col min="7679" max="7679" width="14.375" style="2" customWidth="1"/>
    <col min="7680" max="7685" width="0" style="2" hidden="1" customWidth="1"/>
    <col min="7686" max="7686" width="10.125" style="2" bestFit="1" customWidth="1"/>
    <col min="7687" max="7925" width="9.125" style="2"/>
    <col min="7926" max="7926" width="75.875" style="2" customWidth="1"/>
    <col min="7927" max="7928" width="7.625" style="2" customWidth="1"/>
    <col min="7929" max="7929" width="9.625" style="2" customWidth="1"/>
    <col min="7930" max="7930" width="7.625" style="2" customWidth="1"/>
    <col min="7931" max="7934" width="0" style="2" hidden="1" customWidth="1"/>
    <col min="7935" max="7935" width="14.375" style="2" customWidth="1"/>
    <col min="7936" max="7941" width="0" style="2" hidden="1" customWidth="1"/>
    <col min="7942" max="7942" width="10.125" style="2" bestFit="1" customWidth="1"/>
    <col min="7943" max="8181" width="9.125" style="2"/>
    <col min="8182" max="8182" width="75.875" style="2" customWidth="1"/>
    <col min="8183" max="8184" width="7.625" style="2" customWidth="1"/>
    <col min="8185" max="8185" width="9.625" style="2" customWidth="1"/>
    <col min="8186" max="8186" width="7.625" style="2" customWidth="1"/>
    <col min="8187" max="8190" width="0" style="2" hidden="1" customWidth="1"/>
    <col min="8191" max="8191" width="14.375" style="2" customWidth="1"/>
    <col min="8192" max="8197" width="0" style="2" hidden="1" customWidth="1"/>
    <col min="8198" max="8198" width="10.125" style="2" bestFit="1" customWidth="1"/>
    <col min="8199" max="8437" width="9.125" style="2"/>
    <col min="8438" max="8438" width="75.875" style="2" customWidth="1"/>
    <col min="8439" max="8440" width="7.625" style="2" customWidth="1"/>
    <col min="8441" max="8441" width="9.625" style="2" customWidth="1"/>
    <col min="8442" max="8442" width="7.625" style="2" customWidth="1"/>
    <col min="8443" max="8446" width="0" style="2" hidden="1" customWidth="1"/>
    <col min="8447" max="8447" width="14.375" style="2" customWidth="1"/>
    <col min="8448" max="8453" width="0" style="2" hidden="1" customWidth="1"/>
    <col min="8454" max="8454" width="10.125" style="2" bestFit="1" customWidth="1"/>
    <col min="8455" max="8693" width="9.125" style="2"/>
    <col min="8694" max="8694" width="75.875" style="2" customWidth="1"/>
    <col min="8695" max="8696" width="7.625" style="2" customWidth="1"/>
    <col min="8697" max="8697" width="9.625" style="2" customWidth="1"/>
    <col min="8698" max="8698" width="7.625" style="2" customWidth="1"/>
    <col min="8699" max="8702" width="0" style="2" hidden="1" customWidth="1"/>
    <col min="8703" max="8703" width="14.375" style="2" customWidth="1"/>
    <col min="8704" max="8709" width="0" style="2" hidden="1" customWidth="1"/>
    <col min="8710" max="8710" width="10.125" style="2" bestFit="1" customWidth="1"/>
    <col min="8711" max="8949" width="9.125" style="2"/>
    <col min="8950" max="8950" width="75.875" style="2" customWidth="1"/>
    <col min="8951" max="8952" width="7.625" style="2" customWidth="1"/>
    <col min="8953" max="8953" width="9.625" style="2" customWidth="1"/>
    <col min="8954" max="8954" width="7.625" style="2" customWidth="1"/>
    <col min="8955" max="8958" width="0" style="2" hidden="1" customWidth="1"/>
    <col min="8959" max="8959" width="14.375" style="2" customWidth="1"/>
    <col min="8960" max="8965" width="0" style="2" hidden="1" customWidth="1"/>
    <col min="8966" max="8966" width="10.125" style="2" bestFit="1" customWidth="1"/>
    <col min="8967" max="9205" width="9.125" style="2"/>
    <col min="9206" max="9206" width="75.875" style="2" customWidth="1"/>
    <col min="9207" max="9208" width="7.625" style="2" customWidth="1"/>
    <col min="9209" max="9209" width="9.625" style="2" customWidth="1"/>
    <col min="9210" max="9210" width="7.625" style="2" customWidth="1"/>
    <col min="9211" max="9214" width="0" style="2" hidden="1" customWidth="1"/>
    <col min="9215" max="9215" width="14.375" style="2" customWidth="1"/>
    <col min="9216" max="9221" width="0" style="2" hidden="1" customWidth="1"/>
    <col min="9222" max="9222" width="10.125" style="2" bestFit="1" customWidth="1"/>
    <col min="9223" max="9461" width="9.125" style="2"/>
    <col min="9462" max="9462" width="75.875" style="2" customWidth="1"/>
    <col min="9463" max="9464" width="7.625" style="2" customWidth="1"/>
    <col min="9465" max="9465" width="9.625" style="2" customWidth="1"/>
    <col min="9466" max="9466" width="7.625" style="2" customWidth="1"/>
    <col min="9467" max="9470" width="0" style="2" hidden="1" customWidth="1"/>
    <col min="9471" max="9471" width="14.375" style="2" customWidth="1"/>
    <col min="9472" max="9477" width="0" style="2" hidden="1" customWidth="1"/>
    <col min="9478" max="9478" width="10.125" style="2" bestFit="1" customWidth="1"/>
    <col min="9479" max="9717" width="9.125" style="2"/>
    <col min="9718" max="9718" width="75.875" style="2" customWidth="1"/>
    <col min="9719" max="9720" width="7.625" style="2" customWidth="1"/>
    <col min="9721" max="9721" width="9.625" style="2" customWidth="1"/>
    <col min="9722" max="9722" width="7.625" style="2" customWidth="1"/>
    <col min="9723" max="9726" width="0" style="2" hidden="1" customWidth="1"/>
    <col min="9727" max="9727" width="14.375" style="2" customWidth="1"/>
    <col min="9728" max="9733" width="0" style="2" hidden="1" customWidth="1"/>
    <col min="9734" max="9734" width="10.125" style="2" bestFit="1" customWidth="1"/>
    <col min="9735" max="9973" width="9.125" style="2"/>
    <col min="9974" max="9974" width="75.875" style="2" customWidth="1"/>
    <col min="9975" max="9976" width="7.625" style="2" customWidth="1"/>
    <col min="9977" max="9977" width="9.625" style="2" customWidth="1"/>
    <col min="9978" max="9978" width="7.625" style="2" customWidth="1"/>
    <col min="9979" max="9982" width="0" style="2" hidden="1" customWidth="1"/>
    <col min="9983" max="9983" width="14.375" style="2" customWidth="1"/>
    <col min="9984" max="9989" width="0" style="2" hidden="1" customWidth="1"/>
    <col min="9990" max="9990" width="10.125" style="2" bestFit="1" customWidth="1"/>
    <col min="9991" max="10229" width="9.125" style="2"/>
    <col min="10230" max="10230" width="75.875" style="2" customWidth="1"/>
    <col min="10231" max="10232" width="7.625" style="2" customWidth="1"/>
    <col min="10233" max="10233" width="9.625" style="2" customWidth="1"/>
    <col min="10234" max="10234" width="7.625" style="2" customWidth="1"/>
    <col min="10235" max="10238" width="0" style="2" hidden="1" customWidth="1"/>
    <col min="10239" max="10239" width="14.375" style="2" customWidth="1"/>
    <col min="10240" max="10245" width="0" style="2" hidden="1" customWidth="1"/>
    <col min="10246" max="10246" width="10.125" style="2" bestFit="1" customWidth="1"/>
    <col min="10247" max="10485" width="9.125" style="2"/>
    <col min="10486" max="10486" width="75.875" style="2" customWidth="1"/>
    <col min="10487" max="10488" width="7.625" style="2" customWidth="1"/>
    <col min="10489" max="10489" width="9.625" style="2" customWidth="1"/>
    <col min="10490" max="10490" width="7.625" style="2" customWidth="1"/>
    <col min="10491" max="10494" width="0" style="2" hidden="1" customWidth="1"/>
    <col min="10495" max="10495" width="14.375" style="2" customWidth="1"/>
    <col min="10496" max="10501" width="0" style="2" hidden="1" customWidth="1"/>
    <col min="10502" max="10502" width="10.125" style="2" bestFit="1" customWidth="1"/>
    <col min="10503" max="10741" width="9.125" style="2"/>
    <col min="10742" max="10742" width="75.875" style="2" customWidth="1"/>
    <col min="10743" max="10744" width="7.625" style="2" customWidth="1"/>
    <col min="10745" max="10745" width="9.625" style="2" customWidth="1"/>
    <col min="10746" max="10746" width="7.625" style="2" customWidth="1"/>
    <col min="10747" max="10750" width="0" style="2" hidden="1" customWidth="1"/>
    <col min="10751" max="10751" width="14.375" style="2" customWidth="1"/>
    <col min="10752" max="10757" width="0" style="2" hidden="1" customWidth="1"/>
    <col min="10758" max="10758" width="10.125" style="2" bestFit="1" customWidth="1"/>
    <col min="10759" max="10997" width="9.125" style="2"/>
    <col min="10998" max="10998" width="75.875" style="2" customWidth="1"/>
    <col min="10999" max="11000" width="7.625" style="2" customWidth="1"/>
    <col min="11001" max="11001" width="9.625" style="2" customWidth="1"/>
    <col min="11002" max="11002" width="7.625" style="2" customWidth="1"/>
    <col min="11003" max="11006" width="0" style="2" hidden="1" customWidth="1"/>
    <col min="11007" max="11007" width="14.375" style="2" customWidth="1"/>
    <col min="11008" max="11013" width="0" style="2" hidden="1" customWidth="1"/>
    <col min="11014" max="11014" width="10.125" style="2" bestFit="1" customWidth="1"/>
    <col min="11015" max="11253" width="9.125" style="2"/>
    <col min="11254" max="11254" width="75.875" style="2" customWidth="1"/>
    <col min="11255" max="11256" width="7.625" style="2" customWidth="1"/>
    <col min="11257" max="11257" width="9.625" style="2" customWidth="1"/>
    <col min="11258" max="11258" width="7.625" style="2" customWidth="1"/>
    <col min="11259" max="11262" width="0" style="2" hidden="1" customWidth="1"/>
    <col min="11263" max="11263" width="14.375" style="2" customWidth="1"/>
    <col min="11264" max="11269" width="0" style="2" hidden="1" customWidth="1"/>
    <col min="11270" max="11270" width="10.125" style="2" bestFit="1" customWidth="1"/>
    <col min="11271" max="11509" width="9.125" style="2"/>
    <col min="11510" max="11510" width="75.875" style="2" customWidth="1"/>
    <col min="11511" max="11512" width="7.625" style="2" customWidth="1"/>
    <col min="11513" max="11513" width="9.625" style="2" customWidth="1"/>
    <col min="11514" max="11514" width="7.625" style="2" customWidth="1"/>
    <col min="11515" max="11518" width="0" style="2" hidden="1" customWidth="1"/>
    <col min="11519" max="11519" width="14.375" style="2" customWidth="1"/>
    <col min="11520" max="11525" width="0" style="2" hidden="1" customWidth="1"/>
    <col min="11526" max="11526" width="10.125" style="2" bestFit="1" customWidth="1"/>
    <col min="11527" max="11765" width="9.125" style="2"/>
    <col min="11766" max="11766" width="75.875" style="2" customWidth="1"/>
    <col min="11767" max="11768" width="7.625" style="2" customWidth="1"/>
    <col min="11769" max="11769" width="9.625" style="2" customWidth="1"/>
    <col min="11770" max="11770" width="7.625" style="2" customWidth="1"/>
    <col min="11771" max="11774" width="0" style="2" hidden="1" customWidth="1"/>
    <col min="11775" max="11775" width="14.375" style="2" customWidth="1"/>
    <col min="11776" max="11781" width="0" style="2" hidden="1" customWidth="1"/>
    <col min="11782" max="11782" width="10.125" style="2" bestFit="1" customWidth="1"/>
    <col min="11783" max="12021" width="9.125" style="2"/>
    <col min="12022" max="12022" width="75.875" style="2" customWidth="1"/>
    <col min="12023" max="12024" width="7.625" style="2" customWidth="1"/>
    <col min="12025" max="12025" width="9.625" style="2" customWidth="1"/>
    <col min="12026" max="12026" width="7.625" style="2" customWidth="1"/>
    <col min="12027" max="12030" width="0" style="2" hidden="1" customWidth="1"/>
    <col min="12031" max="12031" width="14.375" style="2" customWidth="1"/>
    <col min="12032" max="12037" width="0" style="2" hidden="1" customWidth="1"/>
    <col min="12038" max="12038" width="10.125" style="2" bestFit="1" customWidth="1"/>
    <col min="12039" max="12277" width="9.125" style="2"/>
    <col min="12278" max="12278" width="75.875" style="2" customWidth="1"/>
    <col min="12279" max="12280" width="7.625" style="2" customWidth="1"/>
    <col min="12281" max="12281" width="9.625" style="2" customWidth="1"/>
    <col min="12282" max="12282" width="7.625" style="2" customWidth="1"/>
    <col min="12283" max="12286" width="0" style="2" hidden="1" customWidth="1"/>
    <col min="12287" max="12287" width="14.375" style="2" customWidth="1"/>
    <col min="12288" max="12293" width="0" style="2" hidden="1" customWidth="1"/>
    <col min="12294" max="12294" width="10.125" style="2" bestFit="1" customWidth="1"/>
    <col min="12295" max="12533" width="9.125" style="2"/>
    <col min="12534" max="12534" width="75.875" style="2" customWidth="1"/>
    <col min="12535" max="12536" width="7.625" style="2" customWidth="1"/>
    <col min="12537" max="12537" width="9.625" style="2" customWidth="1"/>
    <col min="12538" max="12538" width="7.625" style="2" customWidth="1"/>
    <col min="12539" max="12542" width="0" style="2" hidden="1" customWidth="1"/>
    <col min="12543" max="12543" width="14.375" style="2" customWidth="1"/>
    <col min="12544" max="12549" width="0" style="2" hidden="1" customWidth="1"/>
    <col min="12550" max="12550" width="10.125" style="2" bestFit="1" customWidth="1"/>
    <col min="12551" max="12789" width="9.125" style="2"/>
    <col min="12790" max="12790" width="75.875" style="2" customWidth="1"/>
    <col min="12791" max="12792" width="7.625" style="2" customWidth="1"/>
    <col min="12793" max="12793" width="9.625" style="2" customWidth="1"/>
    <col min="12794" max="12794" width="7.625" style="2" customWidth="1"/>
    <col min="12795" max="12798" width="0" style="2" hidden="1" customWidth="1"/>
    <col min="12799" max="12799" width="14.375" style="2" customWidth="1"/>
    <col min="12800" max="12805" width="0" style="2" hidden="1" customWidth="1"/>
    <col min="12806" max="12806" width="10.125" style="2" bestFit="1" customWidth="1"/>
    <col min="12807" max="13045" width="9.125" style="2"/>
    <col min="13046" max="13046" width="75.875" style="2" customWidth="1"/>
    <col min="13047" max="13048" width="7.625" style="2" customWidth="1"/>
    <col min="13049" max="13049" width="9.625" style="2" customWidth="1"/>
    <col min="13050" max="13050" width="7.625" style="2" customWidth="1"/>
    <col min="13051" max="13054" width="0" style="2" hidden="1" customWidth="1"/>
    <col min="13055" max="13055" width="14.375" style="2" customWidth="1"/>
    <col min="13056" max="13061" width="0" style="2" hidden="1" customWidth="1"/>
    <col min="13062" max="13062" width="10.125" style="2" bestFit="1" customWidth="1"/>
    <col min="13063" max="13301" width="9.125" style="2"/>
    <col min="13302" max="13302" width="75.875" style="2" customWidth="1"/>
    <col min="13303" max="13304" width="7.625" style="2" customWidth="1"/>
    <col min="13305" max="13305" width="9.625" style="2" customWidth="1"/>
    <col min="13306" max="13306" width="7.625" style="2" customWidth="1"/>
    <col min="13307" max="13310" width="0" style="2" hidden="1" customWidth="1"/>
    <col min="13311" max="13311" width="14.375" style="2" customWidth="1"/>
    <col min="13312" max="13317" width="0" style="2" hidden="1" customWidth="1"/>
    <col min="13318" max="13318" width="10.125" style="2" bestFit="1" customWidth="1"/>
    <col min="13319" max="13557" width="9.125" style="2"/>
    <col min="13558" max="13558" width="75.875" style="2" customWidth="1"/>
    <col min="13559" max="13560" width="7.625" style="2" customWidth="1"/>
    <col min="13561" max="13561" width="9.625" style="2" customWidth="1"/>
    <col min="13562" max="13562" width="7.625" style="2" customWidth="1"/>
    <col min="13563" max="13566" width="0" style="2" hidden="1" customWidth="1"/>
    <col min="13567" max="13567" width="14.375" style="2" customWidth="1"/>
    <col min="13568" max="13573" width="0" style="2" hidden="1" customWidth="1"/>
    <col min="13574" max="13574" width="10.125" style="2" bestFit="1" customWidth="1"/>
    <col min="13575" max="13813" width="9.125" style="2"/>
    <col min="13814" max="13814" width="75.875" style="2" customWidth="1"/>
    <col min="13815" max="13816" width="7.625" style="2" customWidth="1"/>
    <col min="13817" max="13817" width="9.625" style="2" customWidth="1"/>
    <col min="13818" max="13818" width="7.625" style="2" customWidth="1"/>
    <col min="13819" max="13822" width="0" style="2" hidden="1" customWidth="1"/>
    <col min="13823" max="13823" width="14.375" style="2" customWidth="1"/>
    <col min="13824" max="13829" width="0" style="2" hidden="1" customWidth="1"/>
    <col min="13830" max="13830" width="10.125" style="2" bestFit="1" customWidth="1"/>
    <col min="13831" max="14069" width="9.125" style="2"/>
    <col min="14070" max="14070" width="75.875" style="2" customWidth="1"/>
    <col min="14071" max="14072" width="7.625" style="2" customWidth="1"/>
    <col min="14073" max="14073" width="9.625" style="2" customWidth="1"/>
    <col min="14074" max="14074" width="7.625" style="2" customWidth="1"/>
    <col min="14075" max="14078" width="0" style="2" hidden="1" customWidth="1"/>
    <col min="14079" max="14079" width="14.375" style="2" customWidth="1"/>
    <col min="14080" max="14085" width="0" style="2" hidden="1" customWidth="1"/>
    <col min="14086" max="14086" width="10.125" style="2" bestFit="1" customWidth="1"/>
    <col min="14087" max="14325" width="9.125" style="2"/>
    <col min="14326" max="14326" width="75.875" style="2" customWidth="1"/>
    <col min="14327" max="14328" width="7.625" style="2" customWidth="1"/>
    <col min="14329" max="14329" width="9.625" style="2" customWidth="1"/>
    <col min="14330" max="14330" width="7.625" style="2" customWidth="1"/>
    <col min="14331" max="14334" width="0" style="2" hidden="1" customWidth="1"/>
    <col min="14335" max="14335" width="14.375" style="2" customWidth="1"/>
    <col min="14336" max="14341" width="0" style="2" hidden="1" customWidth="1"/>
    <col min="14342" max="14342" width="10.125" style="2" bestFit="1" customWidth="1"/>
    <col min="14343" max="14581" width="9.125" style="2"/>
    <col min="14582" max="14582" width="75.875" style="2" customWidth="1"/>
    <col min="14583" max="14584" width="7.625" style="2" customWidth="1"/>
    <col min="14585" max="14585" width="9.625" style="2" customWidth="1"/>
    <col min="14586" max="14586" width="7.625" style="2" customWidth="1"/>
    <col min="14587" max="14590" width="0" style="2" hidden="1" customWidth="1"/>
    <col min="14591" max="14591" width="14.375" style="2" customWidth="1"/>
    <col min="14592" max="14597" width="0" style="2" hidden="1" customWidth="1"/>
    <col min="14598" max="14598" width="10.125" style="2" bestFit="1" customWidth="1"/>
    <col min="14599" max="14837" width="9.125" style="2"/>
    <col min="14838" max="14838" width="75.875" style="2" customWidth="1"/>
    <col min="14839" max="14840" width="7.625" style="2" customWidth="1"/>
    <col min="14841" max="14841" width="9.625" style="2" customWidth="1"/>
    <col min="14842" max="14842" width="7.625" style="2" customWidth="1"/>
    <col min="14843" max="14846" width="0" style="2" hidden="1" customWidth="1"/>
    <col min="14847" max="14847" width="14.375" style="2" customWidth="1"/>
    <col min="14848" max="14853" width="0" style="2" hidden="1" customWidth="1"/>
    <col min="14854" max="14854" width="10.125" style="2" bestFit="1" customWidth="1"/>
    <col min="14855" max="15093" width="9.125" style="2"/>
    <col min="15094" max="15094" width="75.875" style="2" customWidth="1"/>
    <col min="15095" max="15096" width="7.625" style="2" customWidth="1"/>
    <col min="15097" max="15097" width="9.625" style="2" customWidth="1"/>
    <col min="15098" max="15098" width="7.625" style="2" customWidth="1"/>
    <col min="15099" max="15102" width="0" style="2" hidden="1" customWidth="1"/>
    <col min="15103" max="15103" width="14.375" style="2" customWidth="1"/>
    <col min="15104" max="15109" width="0" style="2" hidden="1" customWidth="1"/>
    <col min="15110" max="15110" width="10.125" style="2" bestFit="1" customWidth="1"/>
    <col min="15111" max="15349" width="9.125" style="2"/>
    <col min="15350" max="15350" width="75.875" style="2" customWidth="1"/>
    <col min="15351" max="15352" width="7.625" style="2" customWidth="1"/>
    <col min="15353" max="15353" width="9.625" style="2" customWidth="1"/>
    <col min="15354" max="15354" width="7.625" style="2" customWidth="1"/>
    <col min="15355" max="15358" width="0" style="2" hidden="1" customWidth="1"/>
    <col min="15359" max="15359" width="14.375" style="2" customWidth="1"/>
    <col min="15360" max="15365" width="0" style="2" hidden="1" customWidth="1"/>
    <col min="15366" max="15366" width="10.125" style="2" bestFit="1" customWidth="1"/>
    <col min="15367" max="15605" width="9.125" style="2"/>
    <col min="15606" max="15606" width="75.875" style="2" customWidth="1"/>
    <col min="15607" max="15608" width="7.625" style="2" customWidth="1"/>
    <col min="15609" max="15609" width="9.625" style="2" customWidth="1"/>
    <col min="15610" max="15610" width="7.625" style="2" customWidth="1"/>
    <col min="15611" max="15614" width="0" style="2" hidden="1" customWidth="1"/>
    <col min="15615" max="15615" width="14.375" style="2" customWidth="1"/>
    <col min="15616" max="15621" width="0" style="2" hidden="1" customWidth="1"/>
    <col min="15622" max="15622" width="10.125" style="2" bestFit="1" customWidth="1"/>
    <col min="15623" max="15861" width="9.125" style="2"/>
    <col min="15862" max="15862" width="75.875" style="2" customWidth="1"/>
    <col min="15863" max="15864" width="7.625" style="2" customWidth="1"/>
    <col min="15865" max="15865" width="9.625" style="2" customWidth="1"/>
    <col min="15866" max="15866" width="7.625" style="2" customWidth="1"/>
    <col min="15867" max="15870" width="0" style="2" hidden="1" customWidth="1"/>
    <col min="15871" max="15871" width="14.375" style="2" customWidth="1"/>
    <col min="15872" max="15877" width="0" style="2" hidden="1" customWidth="1"/>
    <col min="15878" max="15878" width="10.125" style="2" bestFit="1" customWidth="1"/>
    <col min="15879" max="16117" width="9.125" style="2"/>
    <col min="16118" max="16118" width="75.875" style="2" customWidth="1"/>
    <col min="16119" max="16120" width="7.625" style="2" customWidth="1"/>
    <col min="16121" max="16121" width="9.625" style="2" customWidth="1"/>
    <col min="16122" max="16122" width="7.625" style="2" customWidth="1"/>
    <col min="16123" max="16126" width="0" style="2" hidden="1" customWidth="1"/>
    <col min="16127" max="16127" width="14.375" style="2" customWidth="1"/>
    <col min="16128" max="16133" width="0" style="2" hidden="1" customWidth="1"/>
    <col min="16134" max="16134" width="10.125" style="2" bestFit="1" customWidth="1"/>
    <col min="16135" max="16384" width="9.125" style="2"/>
  </cols>
  <sheetData>
    <row r="1" spans="1:12" x14ac:dyDescent="0.3">
      <c r="H1" s="44"/>
    </row>
    <row r="2" spans="1:12" x14ac:dyDescent="0.3">
      <c r="H2" s="44"/>
    </row>
    <row r="3" spans="1:12" x14ac:dyDescent="0.3">
      <c r="H3" s="44"/>
    </row>
    <row r="6" spans="1:12" x14ac:dyDescent="0.3">
      <c r="H6" s="44"/>
    </row>
    <row r="7" spans="1:12" x14ac:dyDescent="0.3">
      <c r="H7" s="44"/>
    </row>
    <row r="8" spans="1:12" x14ac:dyDescent="0.3">
      <c r="H8" s="44"/>
    </row>
    <row r="9" spans="1:12" x14ac:dyDescent="0.3">
      <c r="H9" s="44"/>
    </row>
    <row r="10" spans="1:12" s="1" customFormat="1" x14ac:dyDescent="0.3">
      <c r="A10" s="680" t="s">
        <v>240</v>
      </c>
      <c r="B10" s="680"/>
      <c r="C10" s="680"/>
      <c r="D10" s="680"/>
      <c r="E10" s="680"/>
      <c r="F10" s="680"/>
      <c r="G10" s="680"/>
      <c r="H10" s="680"/>
      <c r="L10" s="3"/>
    </row>
    <row r="11" spans="1:12" s="1" customFormat="1" ht="36" customHeight="1" x14ac:dyDescent="0.3">
      <c r="A11" s="681" t="s">
        <v>541</v>
      </c>
      <c r="B11" s="681"/>
      <c r="C11" s="681"/>
      <c r="D11" s="681"/>
      <c r="E11" s="681"/>
      <c r="F11" s="681"/>
      <c r="G11" s="681"/>
      <c r="H11" s="681"/>
      <c r="L11" s="3"/>
    </row>
    <row r="12" spans="1:12" s="1" customFormat="1" x14ac:dyDescent="0.3">
      <c r="A12" s="31"/>
      <c r="B12" s="63"/>
      <c r="C12" s="63"/>
      <c r="D12" s="63"/>
      <c r="E12" s="63"/>
      <c r="F12" s="90"/>
      <c r="G12" s="38"/>
      <c r="H12" s="40" t="s">
        <v>408</v>
      </c>
      <c r="L12" s="3"/>
    </row>
    <row r="13" spans="1:12" ht="73.400000000000006" x14ac:dyDescent="0.25">
      <c r="A13" s="32" t="s">
        <v>0</v>
      </c>
      <c r="B13" s="33" t="s">
        <v>1</v>
      </c>
      <c r="C13" s="33" t="s">
        <v>2</v>
      </c>
      <c r="D13" s="33" t="s">
        <v>3</v>
      </c>
      <c r="E13" s="33" t="s">
        <v>4</v>
      </c>
      <c r="F13" s="33" t="s">
        <v>749</v>
      </c>
      <c r="G13" s="55" t="s">
        <v>739</v>
      </c>
      <c r="H13" s="55" t="s">
        <v>740</v>
      </c>
      <c r="I13" s="95" t="s">
        <v>741</v>
      </c>
      <c r="J13" s="97" t="s">
        <v>758</v>
      </c>
      <c r="K13" s="146" t="s">
        <v>787</v>
      </c>
      <c r="L13" s="147" t="s">
        <v>794</v>
      </c>
    </row>
    <row r="14" spans="1:12" s="3" customFormat="1" ht="73.400000000000006" x14ac:dyDescent="0.25">
      <c r="A14" s="104" t="s">
        <v>493</v>
      </c>
      <c r="B14" s="105" t="s">
        <v>499</v>
      </c>
      <c r="C14" s="105" t="s">
        <v>5</v>
      </c>
      <c r="D14" s="105" t="s">
        <v>126</v>
      </c>
      <c r="E14" s="106" t="s">
        <v>6</v>
      </c>
      <c r="F14" s="128">
        <f>F15</f>
        <v>7365861</v>
      </c>
      <c r="G14" s="128">
        <f>G15</f>
        <v>6988528</v>
      </c>
      <c r="H14" s="128">
        <f>H15</f>
        <v>7771061.0300000003</v>
      </c>
      <c r="I14" s="107">
        <f>I15</f>
        <v>7771061.0300000003</v>
      </c>
      <c r="J14" s="129">
        <f>I14-H14</f>
        <v>0</v>
      </c>
      <c r="K14" s="107">
        <v>0</v>
      </c>
      <c r="L14" s="107">
        <f>L15</f>
        <v>7771061.0300000003</v>
      </c>
    </row>
    <row r="15" spans="1:12" ht="36.700000000000003" outlineLevel="1" x14ac:dyDescent="0.25">
      <c r="A15" s="81" t="s">
        <v>7</v>
      </c>
      <c r="B15" s="80" t="s">
        <v>499</v>
      </c>
      <c r="C15" s="80" t="s">
        <v>8</v>
      </c>
      <c r="D15" s="80" t="s">
        <v>126</v>
      </c>
      <c r="E15" s="83" t="s">
        <v>6</v>
      </c>
      <c r="F15" s="82">
        <f>F16+F25</f>
        <v>7365861</v>
      </c>
      <c r="G15" s="82">
        <f>G16+G25</f>
        <v>6988528</v>
      </c>
      <c r="H15" s="82">
        <f>H16+H25</f>
        <v>7771061.0300000003</v>
      </c>
      <c r="I15" s="96">
        <f>I16+I25</f>
        <v>7771061.0300000003</v>
      </c>
      <c r="J15" s="129">
        <f t="shared" ref="J15:J78" si="0">I15-H15</f>
        <v>0</v>
      </c>
      <c r="K15" s="96"/>
      <c r="L15" s="96">
        <f>L16+L25</f>
        <v>7771061.0300000003</v>
      </c>
    </row>
    <row r="16" spans="1:12" ht="73.400000000000006" outlineLevel="2" x14ac:dyDescent="0.25">
      <c r="A16" s="81" t="s">
        <v>9</v>
      </c>
      <c r="B16" s="80" t="s">
        <v>499</v>
      </c>
      <c r="C16" s="80" t="s">
        <v>10</v>
      </c>
      <c r="D16" s="80" t="s">
        <v>126</v>
      </c>
      <c r="E16" s="83" t="s">
        <v>6</v>
      </c>
      <c r="F16" s="82">
        <f>F17</f>
        <v>6850546</v>
      </c>
      <c r="G16" s="82">
        <f t="shared" ref="G16:I17" si="1">G17</f>
        <v>6498213</v>
      </c>
      <c r="H16" s="82">
        <f t="shared" si="1"/>
        <v>7235605.0300000003</v>
      </c>
      <c r="I16" s="96">
        <f t="shared" si="1"/>
        <v>7235605.0300000003</v>
      </c>
      <c r="J16" s="129">
        <f t="shared" si="0"/>
        <v>0</v>
      </c>
      <c r="K16" s="96"/>
      <c r="L16" s="96">
        <f>L17</f>
        <v>7235605.0300000003</v>
      </c>
    </row>
    <row r="17" spans="1:12" ht="18.7" customHeight="1" outlineLevel="4" x14ac:dyDescent="0.25">
      <c r="A17" s="81" t="s">
        <v>132</v>
      </c>
      <c r="B17" s="80" t="s">
        <v>499</v>
      </c>
      <c r="C17" s="80" t="s">
        <v>10</v>
      </c>
      <c r="D17" s="80" t="s">
        <v>127</v>
      </c>
      <c r="E17" s="83" t="s">
        <v>6</v>
      </c>
      <c r="F17" s="82">
        <f>F18</f>
        <v>6850546</v>
      </c>
      <c r="G17" s="82">
        <f t="shared" si="1"/>
        <v>6498213</v>
      </c>
      <c r="H17" s="82">
        <f t="shared" si="1"/>
        <v>7235605.0300000003</v>
      </c>
      <c r="I17" s="96">
        <f t="shared" si="1"/>
        <v>7235605.0300000003</v>
      </c>
      <c r="J17" s="129">
        <f t="shared" si="0"/>
        <v>0</v>
      </c>
      <c r="K17" s="96"/>
      <c r="L17" s="96">
        <f>L18</f>
        <v>7235605.0300000003</v>
      </c>
    </row>
    <row r="18" spans="1:12" ht="73.400000000000006" outlineLevel="5" x14ac:dyDescent="0.25">
      <c r="A18" s="81" t="s">
        <v>494</v>
      </c>
      <c r="B18" s="80" t="s">
        <v>499</v>
      </c>
      <c r="C18" s="80" t="s">
        <v>10</v>
      </c>
      <c r="D18" s="80" t="s">
        <v>495</v>
      </c>
      <c r="E18" s="83" t="s">
        <v>6</v>
      </c>
      <c r="F18" s="82">
        <f>F19+F21+F23</f>
        <v>6850546</v>
      </c>
      <c r="G18" s="82">
        <f>G19+G21+G23</f>
        <v>6498213</v>
      </c>
      <c r="H18" s="82">
        <f>H19+H21+H23</f>
        <v>7235605.0300000003</v>
      </c>
      <c r="I18" s="96">
        <f>I19+I21+I23</f>
        <v>7235605.0300000003</v>
      </c>
      <c r="J18" s="129">
        <f t="shared" si="0"/>
        <v>0</v>
      </c>
      <c r="K18" s="96"/>
      <c r="L18" s="96">
        <f>L19+L21+L23</f>
        <v>7235605.0300000003</v>
      </c>
    </row>
    <row r="19" spans="1:12" ht="57.75" customHeight="1" outlineLevel="6" x14ac:dyDescent="0.25">
      <c r="A19" s="81" t="s">
        <v>11</v>
      </c>
      <c r="B19" s="80" t="s">
        <v>499</v>
      </c>
      <c r="C19" s="80" t="s">
        <v>10</v>
      </c>
      <c r="D19" s="80" t="s">
        <v>495</v>
      </c>
      <c r="E19" s="83" t="s">
        <v>12</v>
      </c>
      <c r="F19" s="82">
        <f>F20</f>
        <v>6599213</v>
      </c>
      <c r="G19" s="82">
        <f>G20</f>
        <v>6247213</v>
      </c>
      <c r="H19" s="82">
        <f>H20</f>
        <v>6985405.0300000003</v>
      </c>
      <c r="I19" s="96">
        <f>I20</f>
        <v>6985405.0300000003</v>
      </c>
      <c r="J19" s="129">
        <f t="shared" si="0"/>
        <v>0</v>
      </c>
      <c r="K19" s="96"/>
      <c r="L19" s="96">
        <f>L20</f>
        <v>6985405.0300000003</v>
      </c>
    </row>
    <row r="20" spans="1:12" ht="18.7" customHeight="1" outlineLevel="7" x14ac:dyDescent="0.25">
      <c r="A20" s="81" t="s">
        <v>13</v>
      </c>
      <c r="B20" s="80" t="s">
        <v>499</v>
      </c>
      <c r="C20" s="80" t="s">
        <v>10</v>
      </c>
      <c r="D20" s="80" t="s">
        <v>495</v>
      </c>
      <c r="E20" s="83" t="s">
        <v>14</v>
      </c>
      <c r="F20" s="130">
        <v>6599213</v>
      </c>
      <c r="G20" s="130">
        <v>6247213</v>
      </c>
      <c r="H20" s="98">
        <f>5365134.16+1620270.87</f>
        <v>6985405.0300000003</v>
      </c>
      <c r="I20" s="108">
        <v>6985405.0300000003</v>
      </c>
      <c r="J20" s="129">
        <f t="shared" si="0"/>
        <v>0</v>
      </c>
      <c r="K20" s="108"/>
      <c r="L20" s="108">
        <v>6985405.0300000003</v>
      </c>
    </row>
    <row r="21" spans="1:12" ht="19.55" customHeight="1" outlineLevel="6" x14ac:dyDescent="0.25">
      <c r="A21" s="81" t="s">
        <v>15</v>
      </c>
      <c r="B21" s="80" t="s">
        <v>499</v>
      </c>
      <c r="C21" s="80" t="s">
        <v>10</v>
      </c>
      <c r="D21" s="80" t="s">
        <v>495</v>
      </c>
      <c r="E21" s="83" t="s">
        <v>16</v>
      </c>
      <c r="F21" s="82">
        <f>F22</f>
        <v>250333</v>
      </c>
      <c r="G21" s="82">
        <f>G22</f>
        <v>250000</v>
      </c>
      <c r="H21" s="82">
        <f>H22</f>
        <v>250200</v>
      </c>
      <c r="I21" s="96">
        <f>I22</f>
        <v>250200</v>
      </c>
      <c r="J21" s="129">
        <f t="shared" si="0"/>
        <v>0</v>
      </c>
      <c r="K21" s="96"/>
      <c r="L21" s="96">
        <f>L22</f>
        <v>250200</v>
      </c>
    </row>
    <row r="22" spans="1:12" ht="55.05" outlineLevel="7" x14ac:dyDescent="0.25">
      <c r="A22" s="81" t="s">
        <v>17</v>
      </c>
      <c r="B22" s="80" t="s">
        <v>499</v>
      </c>
      <c r="C22" s="80" t="s">
        <v>10</v>
      </c>
      <c r="D22" s="80" t="s">
        <v>495</v>
      </c>
      <c r="E22" s="83" t="s">
        <v>18</v>
      </c>
      <c r="F22" s="98">
        <v>250333</v>
      </c>
      <c r="G22" s="98">
        <v>250000</v>
      </c>
      <c r="H22" s="98">
        <v>250200</v>
      </c>
      <c r="I22" s="108">
        <v>250200</v>
      </c>
      <c r="J22" s="129">
        <f t="shared" si="0"/>
        <v>0</v>
      </c>
      <c r="K22" s="108"/>
      <c r="L22" s="108">
        <v>250200</v>
      </c>
    </row>
    <row r="23" spans="1:12" outlineLevel="6" x14ac:dyDescent="0.25">
      <c r="A23" s="81" t="s">
        <v>19</v>
      </c>
      <c r="B23" s="80" t="s">
        <v>499</v>
      </c>
      <c r="C23" s="80" t="s">
        <v>10</v>
      </c>
      <c r="D23" s="80" t="s">
        <v>495</v>
      </c>
      <c r="E23" s="83" t="s">
        <v>20</v>
      </c>
      <c r="F23" s="82">
        <f>F24</f>
        <v>1000</v>
      </c>
      <c r="G23" s="82">
        <f>G24</f>
        <v>1000</v>
      </c>
      <c r="H23" s="82">
        <f>H24</f>
        <v>0</v>
      </c>
      <c r="I23" s="96">
        <f>I24</f>
        <v>0</v>
      </c>
      <c r="J23" s="129">
        <f t="shared" si="0"/>
        <v>0</v>
      </c>
      <c r="K23" s="96"/>
      <c r="L23" s="96">
        <f>L24</f>
        <v>0</v>
      </c>
    </row>
    <row r="24" spans="1:12" outlineLevel="7" x14ac:dyDescent="0.25">
      <c r="A24" s="81" t="s">
        <v>21</v>
      </c>
      <c r="B24" s="80" t="s">
        <v>499</v>
      </c>
      <c r="C24" s="80" t="s">
        <v>10</v>
      </c>
      <c r="D24" s="80" t="s">
        <v>495</v>
      </c>
      <c r="E24" s="83" t="s">
        <v>22</v>
      </c>
      <c r="F24" s="98">
        <v>1000</v>
      </c>
      <c r="G24" s="98">
        <v>1000</v>
      </c>
      <c r="H24" s="98">
        <v>0</v>
      </c>
      <c r="I24" s="108">
        <v>0</v>
      </c>
      <c r="J24" s="129">
        <f t="shared" si="0"/>
        <v>0</v>
      </c>
      <c r="K24" s="108"/>
      <c r="L24" s="108">
        <v>0</v>
      </c>
    </row>
    <row r="25" spans="1:12" outlineLevel="2" x14ac:dyDescent="0.25">
      <c r="A25" s="81" t="s">
        <v>23</v>
      </c>
      <c r="B25" s="80" t="s">
        <v>499</v>
      </c>
      <c r="C25" s="80" t="s">
        <v>24</v>
      </c>
      <c r="D25" s="80" t="s">
        <v>126</v>
      </c>
      <c r="E25" s="83" t="s">
        <v>6</v>
      </c>
      <c r="F25" s="82">
        <f>F26+F31</f>
        <v>515315</v>
      </c>
      <c r="G25" s="82">
        <f>G26+G31</f>
        <v>490315</v>
      </c>
      <c r="H25" s="82">
        <f>H26+H31</f>
        <v>535456</v>
      </c>
      <c r="I25" s="96">
        <f>I26+I31</f>
        <v>535456</v>
      </c>
      <c r="J25" s="129">
        <f t="shared" si="0"/>
        <v>0</v>
      </c>
      <c r="K25" s="96"/>
      <c r="L25" s="96">
        <f>L26+L31</f>
        <v>535456</v>
      </c>
    </row>
    <row r="26" spans="1:12" ht="73.400000000000006" outlineLevel="3" x14ac:dyDescent="0.25">
      <c r="A26" s="109" t="s">
        <v>420</v>
      </c>
      <c r="B26" s="110" t="s">
        <v>499</v>
      </c>
      <c r="C26" s="110" t="s">
        <v>24</v>
      </c>
      <c r="D26" s="110" t="s">
        <v>128</v>
      </c>
      <c r="E26" s="111" t="s">
        <v>6</v>
      </c>
      <c r="F26" s="85">
        <f>F27</f>
        <v>56000</v>
      </c>
      <c r="G26" s="85">
        <f t="shared" ref="G26:I29" si="2">G27</f>
        <v>31000</v>
      </c>
      <c r="H26" s="85">
        <f t="shared" si="2"/>
        <v>58240</v>
      </c>
      <c r="I26" s="112">
        <f t="shared" si="2"/>
        <v>58240</v>
      </c>
      <c r="J26" s="129">
        <f t="shared" si="0"/>
        <v>0</v>
      </c>
      <c r="K26" s="112"/>
      <c r="L26" s="112">
        <f>L27</f>
        <v>58240</v>
      </c>
    </row>
    <row r="27" spans="1:12" ht="73.400000000000006" outlineLevel="4" x14ac:dyDescent="0.25">
      <c r="A27" s="81" t="s">
        <v>314</v>
      </c>
      <c r="B27" s="80" t="s">
        <v>499</v>
      </c>
      <c r="C27" s="80" t="s">
        <v>24</v>
      </c>
      <c r="D27" s="80" t="s">
        <v>315</v>
      </c>
      <c r="E27" s="83" t="s">
        <v>6</v>
      </c>
      <c r="F27" s="82">
        <f>F28</f>
        <v>56000</v>
      </c>
      <c r="G27" s="82">
        <f t="shared" si="2"/>
        <v>31000</v>
      </c>
      <c r="H27" s="82">
        <f t="shared" si="2"/>
        <v>58240</v>
      </c>
      <c r="I27" s="96">
        <f t="shared" si="2"/>
        <v>58240</v>
      </c>
      <c r="J27" s="129">
        <f t="shared" si="0"/>
        <v>0</v>
      </c>
      <c r="K27" s="96"/>
      <c r="L27" s="96">
        <f>L28</f>
        <v>58240</v>
      </c>
    </row>
    <row r="28" spans="1:12" ht="36.700000000000003" outlineLevel="5" x14ac:dyDescent="0.25">
      <c r="A28" s="113" t="s">
        <v>321</v>
      </c>
      <c r="B28" s="80" t="s">
        <v>499</v>
      </c>
      <c r="C28" s="80" t="s">
        <v>24</v>
      </c>
      <c r="D28" s="80" t="s">
        <v>316</v>
      </c>
      <c r="E28" s="83" t="s">
        <v>6</v>
      </c>
      <c r="F28" s="82">
        <f>F29</f>
        <v>56000</v>
      </c>
      <c r="G28" s="82">
        <f t="shared" si="2"/>
        <v>31000</v>
      </c>
      <c r="H28" s="82">
        <f t="shared" si="2"/>
        <v>58240</v>
      </c>
      <c r="I28" s="96">
        <f t="shared" si="2"/>
        <v>58240</v>
      </c>
      <c r="J28" s="129">
        <f t="shared" si="0"/>
        <v>0</v>
      </c>
      <c r="K28" s="96"/>
      <c r="L28" s="96">
        <f>L29</f>
        <v>58240</v>
      </c>
    </row>
    <row r="29" spans="1:12" ht="20.25" customHeight="1" outlineLevel="6" x14ac:dyDescent="0.25">
      <c r="A29" s="81" t="s">
        <v>15</v>
      </c>
      <c r="B29" s="80" t="s">
        <v>499</v>
      </c>
      <c r="C29" s="80" t="s">
        <v>24</v>
      </c>
      <c r="D29" s="80" t="s">
        <v>316</v>
      </c>
      <c r="E29" s="83" t="s">
        <v>16</v>
      </c>
      <c r="F29" s="82">
        <f>F30</f>
        <v>56000</v>
      </c>
      <c r="G29" s="82">
        <f t="shared" si="2"/>
        <v>31000</v>
      </c>
      <c r="H29" s="82">
        <f t="shared" si="2"/>
        <v>58240</v>
      </c>
      <c r="I29" s="96">
        <f t="shared" si="2"/>
        <v>58240</v>
      </c>
      <c r="J29" s="129">
        <f t="shared" si="0"/>
        <v>0</v>
      </c>
      <c r="K29" s="96"/>
      <c r="L29" s="96">
        <f>L30</f>
        <v>58240</v>
      </c>
    </row>
    <row r="30" spans="1:12" ht="55.05" outlineLevel="7" x14ac:dyDescent="0.25">
      <c r="A30" s="81" t="s">
        <v>17</v>
      </c>
      <c r="B30" s="80" t="s">
        <v>499</v>
      </c>
      <c r="C30" s="80" t="s">
        <v>24</v>
      </c>
      <c r="D30" s="80" t="s">
        <v>316</v>
      </c>
      <c r="E30" s="83" t="s">
        <v>18</v>
      </c>
      <c r="F30" s="82">
        <v>56000</v>
      </c>
      <c r="G30" s="82">
        <v>31000</v>
      </c>
      <c r="H30" s="98">
        <v>58240</v>
      </c>
      <c r="I30" s="108">
        <v>58240</v>
      </c>
      <c r="J30" s="129">
        <f t="shared" si="0"/>
        <v>0</v>
      </c>
      <c r="K30" s="108"/>
      <c r="L30" s="108">
        <v>58240</v>
      </c>
    </row>
    <row r="31" spans="1:12" ht="41.3" customHeight="1" outlineLevel="5" x14ac:dyDescent="0.25">
      <c r="A31" s="114" t="s">
        <v>427</v>
      </c>
      <c r="B31" s="110" t="s">
        <v>499</v>
      </c>
      <c r="C31" s="80" t="s">
        <v>24</v>
      </c>
      <c r="D31" s="110" t="s">
        <v>317</v>
      </c>
      <c r="E31" s="111" t="s">
        <v>6</v>
      </c>
      <c r="F31" s="122">
        <f>F32</f>
        <v>459315</v>
      </c>
      <c r="G31" s="122">
        <f t="shared" ref="G31:I34" si="3">G32</f>
        <v>459315</v>
      </c>
      <c r="H31" s="122">
        <f t="shared" si="3"/>
        <v>477216</v>
      </c>
      <c r="I31" s="115">
        <f t="shared" si="3"/>
        <v>477216</v>
      </c>
      <c r="J31" s="129">
        <f t="shared" si="0"/>
        <v>0</v>
      </c>
      <c r="K31" s="115"/>
      <c r="L31" s="115">
        <f>L32</f>
        <v>477216</v>
      </c>
    </row>
    <row r="32" spans="1:12" ht="55.05" outlineLevel="6" x14ac:dyDescent="0.25">
      <c r="A32" s="116" t="s">
        <v>249</v>
      </c>
      <c r="B32" s="80" t="s">
        <v>499</v>
      </c>
      <c r="C32" s="80" t="s">
        <v>24</v>
      </c>
      <c r="D32" s="80" t="s">
        <v>318</v>
      </c>
      <c r="E32" s="83" t="s">
        <v>6</v>
      </c>
      <c r="F32" s="98">
        <f>F33</f>
        <v>459315</v>
      </c>
      <c r="G32" s="98">
        <f t="shared" si="3"/>
        <v>459315</v>
      </c>
      <c r="H32" s="98">
        <f t="shared" si="3"/>
        <v>477216</v>
      </c>
      <c r="I32" s="108">
        <f t="shared" si="3"/>
        <v>477216</v>
      </c>
      <c r="J32" s="129">
        <f t="shared" si="0"/>
        <v>0</v>
      </c>
      <c r="K32" s="108"/>
      <c r="L32" s="108">
        <f>L33</f>
        <v>477216</v>
      </c>
    </row>
    <row r="33" spans="1:14" ht="73.400000000000006" outlineLevel="7" x14ac:dyDescent="0.25">
      <c r="A33" s="81" t="s">
        <v>25</v>
      </c>
      <c r="B33" s="80" t="s">
        <v>499</v>
      </c>
      <c r="C33" s="80" t="s">
        <v>24</v>
      </c>
      <c r="D33" s="80" t="s">
        <v>329</v>
      </c>
      <c r="E33" s="83" t="s">
        <v>6</v>
      </c>
      <c r="F33" s="82">
        <f>F34</f>
        <v>459315</v>
      </c>
      <c r="G33" s="82">
        <f t="shared" si="3"/>
        <v>459315</v>
      </c>
      <c r="H33" s="82">
        <f t="shared" si="3"/>
        <v>477216</v>
      </c>
      <c r="I33" s="96">
        <f t="shared" si="3"/>
        <v>477216</v>
      </c>
      <c r="J33" s="129">
        <f t="shared" si="0"/>
        <v>0</v>
      </c>
      <c r="K33" s="96"/>
      <c r="L33" s="96">
        <f>L34</f>
        <v>477216</v>
      </c>
    </row>
    <row r="34" spans="1:14" ht="18.7" customHeight="1" outlineLevel="7" x14ac:dyDescent="0.25">
      <c r="A34" s="81" t="s">
        <v>15</v>
      </c>
      <c r="B34" s="80" t="s">
        <v>499</v>
      </c>
      <c r="C34" s="80" t="s">
        <v>24</v>
      </c>
      <c r="D34" s="80" t="s">
        <v>329</v>
      </c>
      <c r="E34" s="83" t="s">
        <v>16</v>
      </c>
      <c r="F34" s="82">
        <f>F35</f>
        <v>459315</v>
      </c>
      <c r="G34" s="82">
        <f t="shared" si="3"/>
        <v>459315</v>
      </c>
      <c r="H34" s="82">
        <f t="shared" si="3"/>
        <v>477216</v>
      </c>
      <c r="I34" s="96">
        <f t="shared" si="3"/>
        <v>477216</v>
      </c>
      <c r="J34" s="129">
        <f t="shared" si="0"/>
        <v>0</v>
      </c>
      <c r="K34" s="96"/>
      <c r="L34" s="96">
        <f>L35</f>
        <v>477216</v>
      </c>
    </row>
    <row r="35" spans="1:14" ht="55.05" outlineLevel="7" x14ac:dyDescent="0.25">
      <c r="A35" s="81" t="s">
        <v>17</v>
      </c>
      <c r="B35" s="80" t="s">
        <v>499</v>
      </c>
      <c r="C35" s="80" t="s">
        <v>24</v>
      </c>
      <c r="D35" s="80" t="s">
        <v>329</v>
      </c>
      <c r="E35" s="83" t="s">
        <v>18</v>
      </c>
      <c r="F35" s="98">
        <v>459315</v>
      </c>
      <c r="G35" s="98">
        <v>459315</v>
      </c>
      <c r="H35" s="82">
        <v>477216</v>
      </c>
      <c r="I35" s="96">
        <v>477216</v>
      </c>
      <c r="J35" s="129">
        <f t="shared" si="0"/>
        <v>0</v>
      </c>
      <c r="K35" s="96"/>
      <c r="L35" s="96">
        <v>477216</v>
      </c>
    </row>
    <row r="36" spans="1:14" s="91" customFormat="1" ht="35.5" customHeight="1" outlineLevel="3" x14ac:dyDescent="0.25">
      <c r="A36" s="104" t="s">
        <v>27</v>
      </c>
      <c r="B36" s="105" t="s">
        <v>500</v>
      </c>
      <c r="C36" s="105" t="s">
        <v>5</v>
      </c>
      <c r="D36" s="105" t="s">
        <v>126</v>
      </c>
      <c r="E36" s="106" t="s">
        <v>6</v>
      </c>
      <c r="F36" s="128">
        <f>F37+F157+F167+F227+F326+F342+F356+F387+F450+F426+F178</f>
        <v>485312144.78999996</v>
      </c>
      <c r="G36" s="128">
        <f>G37+G157+G167+G227+G326+G342+G356+G387+G450+G426+G178</f>
        <v>196558866.55999997</v>
      </c>
      <c r="H36" s="128">
        <f>H37+H157+H167+H227+H326+H342+H356+H387+H450+H426+H178</f>
        <v>353076328.58000004</v>
      </c>
      <c r="I36" s="107">
        <f>I37+I157+I167+I227+I326+I342+I356+I387+I450+I426+I178</f>
        <v>342671075.62</v>
      </c>
      <c r="J36" s="129">
        <f t="shared" si="0"/>
        <v>-10405252.960000038</v>
      </c>
      <c r="K36" s="107"/>
      <c r="L36" s="107">
        <f>L37+L157+L167+L227+L326+L342+L356+L387+L450+L426+L178</f>
        <v>340271075.62000006</v>
      </c>
    </row>
    <row r="37" spans="1:14" ht="36.700000000000003" outlineLevel="5" x14ac:dyDescent="0.25">
      <c r="A37" s="109" t="s">
        <v>7</v>
      </c>
      <c r="B37" s="110" t="s">
        <v>500</v>
      </c>
      <c r="C37" s="110" t="s">
        <v>8</v>
      </c>
      <c r="D37" s="110" t="s">
        <v>126</v>
      </c>
      <c r="E37" s="111" t="s">
        <v>6</v>
      </c>
      <c r="F37" s="85">
        <f>F38+F43+F50+F56+F66+F61</f>
        <v>103301641.60000001</v>
      </c>
      <c r="G37" s="85">
        <f>G38+G43+G50+G56+G66+G61</f>
        <v>87363770.599999994</v>
      </c>
      <c r="H37" s="85">
        <f>H38+H43+H50+H56+H66+H61</f>
        <v>185944738.42000002</v>
      </c>
      <c r="I37" s="85">
        <f>I38+I43+I50+I56+I66+I61</f>
        <v>184574738.41999999</v>
      </c>
      <c r="J37" s="129">
        <f t="shared" si="0"/>
        <v>-1370000.0000000298</v>
      </c>
      <c r="K37" s="85"/>
      <c r="L37" s="85">
        <f>L38+L43+L50+L56+L66+L61</f>
        <v>122443588.42</v>
      </c>
    </row>
    <row r="38" spans="1:14" ht="73.400000000000006" outlineLevel="6" x14ac:dyDescent="0.25">
      <c r="A38" s="81" t="s">
        <v>28</v>
      </c>
      <c r="B38" s="80" t="s">
        <v>500</v>
      </c>
      <c r="C38" s="80" t="s">
        <v>29</v>
      </c>
      <c r="D38" s="80" t="s">
        <v>126</v>
      </c>
      <c r="E38" s="83" t="s">
        <v>6</v>
      </c>
      <c r="F38" s="82">
        <f>F39</f>
        <v>2523500</v>
      </c>
      <c r="G38" s="82">
        <f>G39</f>
        <v>2463500</v>
      </c>
      <c r="H38" s="82">
        <f>H39</f>
        <v>2846266</v>
      </c>
      <c r="I38" s="82">
        <f>I39</f>
        <v>2846266</v>
      </c>
      <c r="J38" s="129">
        <f t="shared" si="0"/>
        <v>0</v>
      </c>
      <c r="K38" s="82"/>
      <c r="L38" s="82">
        <f>L39</f>
        <v>2846266</v>
      </c>
    </row>
    <row r="39" spans="1:14" ht="23.3" customHeight="1" outlineLevel="7" x14ac:dyDescent="0.25">
      <c r="A39" s="81" t="s">
        <v>132</v>
      </c>
      <c r="B39" s="80" t="s">
        <v>500</v>
      </c>
      <c r="C39" s="80" t="s">
        <v>29</v>
      </c>
      <c r="D39" s="80" t="s">
        <v>127</v>
      </c>
      <c r="E39" s="83" t="s">
        <v>6</v>
      </c>
      <c r="F39" s="82">
        <f>F40</f>
        <v>2523500</v>
      </c>
      <c r="G39" s="82">
        <f t="shared" ref="G39:I41" si="4">G40</f>
        <v>2463500</v>
      </c>
      <c r="H39" s="82">
        <f t="shared" si="4"/>
        <v>2846266</v>
      </c>
      <c r="I39" s="96">
        <f t="shared" si="4"/>
        <v>2846266</v>
      </c>
      <c r="J39" s="129">
        <f t="shared" si="0"/>
        <v>0</v>
      </c>
      <c r="K39" s="96"/>
      <c r="L39" s="96">
        <f>L40</f>
        <v>2846266</v>
      </c>
      <c r="N39" s="4">
        <f>F36-'прил 11 '!F32</f>
        <v>125287890.37999994</v>
      </c>
    </row>
    <row r="40" spans="1:14" ht="36.700000000000003" outlineLevel="2" x14ac:dyDescent="0.25">
      <c r="A40" s="81" t="s">
        <v>496</v>
      </c>
      <c r="B40" s="80" t="s">
        <v>500</v>
      </c>
      <c r="C40" s="80" t="s">
        <v>29</v>
      </c>
      <c r="D40" s="80" t="s">
        <v>497</v>
      </c>
      <c r="E40" s="83" t="s">
        <v>6</v>
      </c>
      <c r="F40" s="82">
        <f>F41</f>
        <v>2523500</v>
      </c>
      <c r="G40" s="82">
        <f t="shared" si="4"/>
        <v>2463500</v>
      </c>
      <c r="H40" s="82">
        <f t="shared" si="4"/>
        <v>2846266</v>
      </c>
      <c r="I40" s="96">
        <f t="shared" si="4"/>
        <v>2846266</v>
      </c>
      <c r="J40" s="129">
        <f t="shared" si="0"/>
        <v>0</v>
      </c>
      <c r="K40" s="129"/>
      <c r="L40" s="96">
        <f>L41</f>
        <v>2846266</v>
      </c>
    </row>
    <row r="41" spans="1:14" ht="56.25" customHeight="1" outlineLevel="3" x14ac:dyDescent="0.25">
      <c r="A41" s="81" t="s">
        <v>11</v>
      </c>
      <c r="B41" s="80" t="s">
        <v>500</v>
      </c>
      <c r="C41" s="80" t="s">
        <v>29</v>
      </c>
      <c r="D41" s="80" t="s">
        <v>497</v>
      </c>
      <c r="E41" s="83" t="s">
        <v>12</v>
      </c>
      <c r="F41" s="82">
        <f>F42</f>
        <v>2523500</v>
      </c>
      <c r="G41" s="82">
        <f t="shared" si="4"/>
        <v>2463500</v>
      </c>
      <c r="H41" s="82">
        <f t="shared" si="4"/>
        <v>2846266</v>
      </c>
      <c r="I41" s="96">
        <f t="shared" si="4"/>
        <v>2846266</v>
      </c>
      <c r="J41" s="129">
        <f t="shared" si="0"/>
        <v>0</v>
      </c>
      <c r="K41" s="129"/>
      <c r="L41" s="96">
        <f>L42</f>
        <v>2846266</v>
      </c>
    </row>
    <row r="42" spans="1:14" ht="19.55" customHeight="1" outlineLevel="5" x14ac:dyDescent="0.25">
      <c r="A42" s="81" t="s">
        <v>13</v>
      </c>
      <c r="B42" s="80" t="s">
        <v>500</v>
      </c>
      <c r="C42" s="80" t="s">
        <v>29</v>
      </c>
      <c r="D42" s="80" t="s">
        <v>497</v>
      </c>
      <c r="E42" s="83" t="s">
        <v>14</v>
      </c>
      <c r="F42" s="82">
        <v>2523500</v>
      </c>
      <c r="G42" s="82">
        <v>2463500</v>
      </c>
      <c r="H42" s="82">
        <v>2846266</v>
      </c>
      <c r="I42" s="96">
        <v>2846266</v>
      </c>
      <c r="J42" s="129">
        <f t="shared" si="0"/>
        <v>0</v>
      </c>
      <c r="K42" s="129"/>
      <c r="L42" s="96">
        <v>2846266</v>
      </c>
    </row>
    <row r="43" spans="1:14" ht="91.7" outlineLevel="6" x14ac:dyDescent="0.25">
      <c r="A43" s="81" t="s">
        <v>30</v>
      </c>
      <c r="B43" s="80" t="s">
        <v>500</v>
      </c>
      <c r="C43" s="80" t="s">
        <v>31</v>
      </c>
      <c r="D43" s="80" t="s">
        <v>126</v>
      </c>
      <c r="E43" s="83" t="s">
        <v>6</v>
      </c>
      <c r="F43" s="82">
        <f>F44</f>
        <v>23271932</v>
      </c>
      <c r="G43" s="82">
        <f t="shared" ref="G43:I44" si="5">G44</f>
        <v>20575252</v>
      </c>
      <c r="H43" s="82">
        <f t="shared" si="5"/>
        <v>21661336</v>
      </c>
      <c r="I43" s="96">
        <f t="shared" si="5"/>
        <v>21661336</v>
      </c>
      <c r="J43" s="129">
        <f t="shared" si="0"/>
        <v>0</v>
      </c>
      <c r="K43" s="129"/>
      <c r="L43" s="96">
        <f>L44</f>
        <v>21661336</v>
      </c>
    </row>
    <row r="44" spans="1:14" ht="55.05" outlineLevel="7" x14ac:dyDescent="0.25">
      <c r="A44" s="81" t="s">
        <v>132</v>
      </c>
      <c r="B44" s="80" t="s">
        <v>500</v>
      </c>
      <c r="C44" s="80" t="s">
        <v>31</v>
      </c>
      <c r="D44" s="80" t="s">
        <v>127</v>
      </c>
      <c r="E44" s="83" t="s">
        <v>6</v>
      </c>
      <c r="F44" s="82">
        <f>F45</f>
        <v>23271932</v>
      </c>
      <c r="G44" s="82">
        <f t="shared" si="5"/>
        <v>20575252</v>
      </c>
      <c r="H44" s="82">
        <f t="shared" si="5"/>
        <v>21661336</v>
      </c>
      <c r="I44" s="96">
        <f t="shared" si="5"/>
        <v>21661336</v>
      </c>
      <c r="J44" s="129">
        <f t="shared" si="0"/>
        <v>0</v>
      </c>
      <c r="K44" s="129"/>
      <c r="L44" s="96">
        <f>L45</f>
        <v>21661336</v>
      </c>
    </row>
    <row r="45" spans="1:14" ht="73.400000000000006" outlineLevel="6" x14ac:dyDescent="0.25">
      <c r="A45" s="81" t="s">
        <v>494</v>
      </c>
      <c r="B45" s="80" t="s">
        <v>500</v>
      </c>
      <c r="C45" s="80" t="s">
        <v>31</v>
      </c>
      <c r="D45" s="80" t="s">
        <v>495</v>
      </c>
      <c r="E45" s="83" t="s">
        <v>6</v>
      </c>
      <c r="F45" s="82">
        <f>F46+F48</f>
        <v>23271932</v>
      </c>
      <c r="G45" s="82">
        <f>G46+G48</f>
        <v>20575252</v>
      </c>
      <c r="H45" s="82">
        <f>H46+H48</f>
        <v>21661336</v>
      </c>
      <c r="I45" s="96">
        <f>I46+I48</f>
        <v>21661336</v>
      </c>
      <c r="J45" s="129">
        <f t="shared" si="0"/>
        <v>0</v>
      </c>
      <c r="K45" s="129"/>
      <c r="L45" s="96">
        <f>L46+L48</f>
        <v>21661336</v>
      </c>
    </row>
    <row r="46" spans="1:14" ht="56.25" customHeight="1" outlineLevel="7" x14ac:dyDescent="0.25">
      <c r="A46" s="81" t="s">
        <v>11</v>
      </c>
      <c r="B46" s="80" t="s">
        <v>500</v>
      </c>
      <c r="C46" s="80" t="s">
        <v>31</v>
      </c>
      <c r="D46" s="80" t="s">
        <v>495</v>
      </c>
      <c r="E46" s="83" t="s">
        <v>12</v>
      </c>
      <c r="F46" s="82">
        <f>F47</f>
        <v>23179932</v>
      </c>
      <c r="G46" s="82">
        <f>G47</f>
        <v>20483252</v>
      </c>
      <c r="H46" s="82">
        <f>H47</f>
        <v>21569336</v>
      </c>
      <c r="I46" s="96">
        <f>I47</f>
        <v>21569336</v>
      </c>
      <c r="J46" s="129">
        <f t="shared" si="0"/>
        <v>0</v>
      </c>
      <c r="K46" s="129"/>
      <c r="L46" s="96">
        <f>L47</f>
        <v>21569336</v>
      </c>
    </row>
    <row r="47" spans="1:14" ht="19.55" customHeight="1" outlineLevel="7" x14ac:dyDescent="0.25">
      <c r="A47" s="81" t="s">
        <v>13</v>
      </c>
      <c r="B47" s="80" t="s">
        <v>500</v>
      </c>
      <c r="C47" s="80" t="s">
        <v>31</v>
      </c>
      <c r="D47" s="80" t="s">
        <v>495</v>
      </c>
      <c r="E47" s="83" t="s">
        <v>14</v>
      </c>
      <c r="F47" s="82">
        <v>23179932</v>
      </c>
      <c r="G47" s="82">
        <v>20483252</v>
      </c>
      <c r="H47" s="131">
        <v>21569336</v>
      </c>
      <c r="I47" s="117">
        <f>20600000+969336</f>
        <v>21569336</v>
      </c>
      <c r="J47" s="129">
        <f t="shared" si="0"/>
        <v>0</v>
      </c>
      <c r="K47" s="129"/>
      <c r="L47" s="117">
        <f>20600000+969336</f>
        <v>21569336</v>
      </c>
    </row>
    <row r="48" spans="1:14" ht="19.55" customHeight="1" outlineLevel="7" x14ac:dyDescent="0.25">
      <c r="A48" s="81" t="s">
        <v>15</v>
      </c>
      <c r="B48" s="80" t="s">
        <v>500</v>
      </c>
      <c r="C48" s="80" t="s">
        <v>31</v>
      </c>
      <c r="D48" s="80" t="s">
        <v>495</v>
      </c>
      <c r="E48" s="83" t="s">
        <v>16</v>
      </c>
      <c r="F48" s="82">
        <f>F49</f>
        <v>92000</v>
      </c>
      <c r="G48" s="82">
        <f>G49</f>
        <v>92000</v>
      </c>
      <c r="H48" s="82">
        <f>H49</f>
        <v>92000</v>
      </c>
      <c r="I48" s="96">
        <f>I49</f>
        <v>92000</v>
      </c>
      <c r="J48" s="129">
        <f t="shared" si="0"/>
        <v>0</v>
      </c>
      <c r="K48" s="129"/>
      <c r="L48" s="96">
        <f>L49</f>
        <v>92000</v>
      </c>
    </row>
    <row r="49" spans="1:12" ht="55.05" outlineLevel="7" x14ac:dyDescent="0.25">
      <c r="A49" s="81" t="s">
        <v>17</v>
      </c>
      <c r="B49" s="80" t="s">
        <v>500</v>
      </c>
      <c r="C49" s="80" t="s">
        <v>31</v>
      </c>
      <c r="D49" s="80" t="s">
        <v>495</v>
      </c>
      <c r="E49" s="83" t="s">
        <v>18</v>
      </c>
      <c r="F49" s="82">
        <v>92000</v>
      </c>
      <c r="G49" s="82">
        <v>92000</v>
      </c>
      <c r="H49" s="131">
        <v>92000</v>
      </c>
      <c r="I49" s="117">
        <v>92000</v>
      </c>
      <c r="J49" s="129">
        <f t="shared" si="0"/>
        <v>0</v>
      </c>
      <c r="K49" s="129"/>
      <c r="L49" s="117">
        <v>92000</v>
      </c>
    </row>
    <row r="50" spans="1:12" outlineLevel="7" x14ac:dyDescent="0.25">
      <c r="A50" s="81" t="s">
        <v>260</v>
      </c>
      <c r="B50" s="80" t="s">
        <v>500</v>
      </c>
      <c r="C50" s="80" t="s">
        <v>261</v>
      </c>
      <c r="D50" s="80" t="s">
        <v>126</v>
      </c>
      <c r="E50" s="83" t="s">
        <v>6</v>
      </c>
      <c r="F50" s="98">
        <f>F51</f>
        <v>32752.48</v>
      </c>
      <c r="G50" s="98">
        <f>G51</f>
        <v>214169.4</v>
      </c>
      <c r="H50" s="98">
        <f>H51</f>
        <v>193185</v>
      </c>
      <c r="I50" s="108">
        <f>I51</f>
        <v>193185</v>
      </c>
      <c r="J50" s="129">
        <f t="shared" si="0"/>
        <v>0</v>
      </c>
      <c r="K50" s="129"/>
      <c r="L50" s="108">
        <f>L51</f>
        <v>193185</v>
      </c>
    </row>
    <row r="51" spans="1:12" ht="20.25" customHeight="1" outlineLevel="7" x14ac:dyDescent="0.25">
      <c r="A51" s="81" t="s">
        <v>132</v>
      </c>
      <c r="B51" s="80" t="s">
        <v>500</v>
      </c>
      <c r="C51" s="80" t="s">
        <v>261</v>
      </c>
      <c r="D51" s="80" t="s">
        <v>127</v>
      </c>
      <c r="E51" s="83" t="s">
        <v>6</v>
      </c>
      <c r="F51" s="98">
        <f>F53</f>
        <v>32752.48</v>
      </c>
      <c r="G51" s="98">
        <f>G53</f>
        <v>214169.4</v>
      </c>
      <c r="H51" s="98">
        <f>H53</f>
        <v>193185</v>
      </c>
      <c r="I51" s="108">
        <f>I53</f>
        <v>193185</v>
      </c>
      <c r="J51" s="129">
        <f t="shared" si="0"/>
        <v>0</v>
      </c>
      <c r="K51" s="129"/>
      <c r="L51" s="108">
        <f>L53</f>
        <v>193185</v>
      </c>
    </row>
    <row r="52" spans="1:12" ht="36.700000000000003" outlineLevel="7" x14ac:dyDescent="0.25">
      <c r="A52" s="81" t="s">
        <v>277</v>
      </c>
      <c r="B52" s="80" t="s">
        <v>500</v>
      </c>
      <c r="C52" s="80" t="s">
        <v>261</v>
      </c>
      <c r="D52" s="80" t="s">
        <v>276</v>
      </c>
      <c r="E52" s="83" t="s">
        <v>6</v>
      </c>
      <c r="F52" s="98">
        <f>F53</f>
        <v>32752.48</v>
      </c>
      <c r="G52" s="98">
        <f t="shared" ref="G52:I54" si="6">G53</f>
        <v>214169.4</v>
      </c>
      <c r="H52" s="98">
        <f t="shared" si="6"/>
        <v>193185</v>
      </c>
      <c r="I52" s="108">
        <f t="shared" si="6"/>
        <v>193185</v>
      </c>
      <c r="J52" s="129">
        <f t="shared" si="0"/>
        <v>0</v>
      </c>
      <c r="K52" s="129"/>
      <c r="L52" s="108">
        <f>L53</f>
        <v>193185</v>
      </c>
    </row>
    <row r="53" spans="1:12" ht="74.25" customHeight="1" outlineLevel="2" x14ac:dyDescent="0.25">
      <c r="A53" s="81" t="s">
        <v>410</v>
      </c>
      <c r="B53" s="80" t="s">
        <v>500</v>
      </c>
      <c r="C53" s="80" t="s">
        <v>261</v>
      </c>
      <c r="D53" s="80" t="s">
        <v>285</v>
      </c>
      <c r="E53" s="83" t="s">
        <v>6</v>
      </c>
      <c r="F53" s="98">
        <f>F54</f>
        <v>32752.48</v>
      </c>
      <c r="G53" s="98">
        <f t="shared" si="6"/>
        <v>214169.4</v>
      </c>
      <c r="H53" s="98">
        <f t="shared" si="6"/>
        <v>193185</v>
      </c>
      <c r="I53" s="108">
        <f t="shared" si="6"/>
        <v>193185</v>
      </c>
      <c r="J53" s="129">
        <f t="shared" si="0"/>
        <v>0</v>
      </c>
      <c r="K53" s="129"/>
      <c r="L53" s="108">
        <f>L54</f>
        <v>193185</v>
      </c>
    </row>
    <row r="54" spans="1:12" ht="20.25" customHeight="1" outlineLevel="4" x14ac:dyDescent="0.25">
      <c r="A54" s="81" t="s">
        <v>15</v>
      </c>
      <c r="B54" s="80" t="s">
        <v>500</v>
      </c>
      <c r="C54" s="80" t="s">
        <v>261</v>
      </c>
      <c r="D54" s="80" t="s">
        <v>285</v>
      </c>
      <c r="E54" s="83" t="s">
        <v>16</v>
      </c>
      <c r="F54" s="98">
        <f>F55</f>
        <v>32752.48</v>
      </c>
      <c r="G54" s="98">
        <f t="shared" si="6"/>
        <v>214169.4</v>
      </c>
      <c r="H54" s="98">
        <f t="shared" si="6"/>
        <v>193185</v>
      </c>
      <c r="I54" s="108">
        <f t="shared" si="6"/>
        <v>193185</v>
      </c>
      <c r="J54" s="129">
        <f t="shared" si="0"/>
        <v>0</v>
      </c>
      <c r="K54" s="129"/>
      <c r="L54" s="108">
        <f>L55</f>
        <v>193185</v>
      </c>
    </row>
    <row r="55" spans="1:12" ht="55.05" outlineLevel="5" x14ac:dyDescent="0.25">
      <c r="A55" s="81" t="s">
        <v>17</v>
      </c>
      <c r="B55" s="80" t="s">
        <v>500</v>
      </c>
      <c r="C55" s="80" t="s">
        <v>261</v>
      </c>
      <c r="D55" s="80" t="s">
        <v>285</v>
      </c>
      <c r="E55" s="83" t="s">
        <v>18</v>
      </c>
      <c r="F55" s="82">
        <v>32752.48</v>
      </c>
      <c r="G55" s="82">
        <v>214169.4</v>
      </c>
      <c r="H55" s="82">
        <v>193185</v>
      </c>
      <c r="I55" s="96">
        <v>193185</v>
      </c>
      <c r="J55" s="129">
        <f t="shared" si="0"/>
        <v>0</v>
      </c>
      <c r="K55" s="129"/>
      <c r="L55" s="96">
        <v>193185</v>
      </c>
    </row>
    <row r="56" spans="1:12" ht="73.400000000000006" outlineLevel="6" x14ac:dyDescent="0.25">
      <c r="A56" s="81" t="s">
        <v>9</v>
      </c>
      <c r="B56" s="80" t="s">
        <v>500</v>
      </c>
      <c r="C56" s="80" t="s">
        <v>10</v>
      </c>
      <c r="D56" s="80" t="s">
        <v>126</v>
      </c>
      <c r="E56" s="83" t="s">
        <v>6</v>
      </c>
      <c r="F56" s="82">
        <f>F57</f>
        <v>769682.14</v>
      </c>
      <c r="G56" s="82">
        <f t="shared" ref="G56:I59" si="7">G57</f>
        <v>710242</v>
      </c>
      <c r="H56" s="82">
        <f t="shared" si="7"/>
        <v>825175</v>
      </c>
      <c r="I56" s="96">
        <f t="shared" si="7"/>
        <v>825175</v>
      </c>
      <c r="J56" s="129">
        <f t="shared" si="0"/>
        <v>0</v>
      </c>
      <c r="K56" s="129"/>
      <c r="L56" s="96">
        <f>L57</f>
        <v>825175</v>
      </c>
    </row>
    <row r="57" spans="1:12" ht="55.05" outlineLevel="7" x14ac:dyDescent="0.25">
      <c r="A57" s="81" t="s">
        <v>132</v>
      </c>
      <c r="B57" s="80" t="s">
        <v>500</v>
      </c>
      <c r="C57" s="80" t="s">
        <v>10</v>
      </c>
      <c r="D57" s="80" t="s">
        <v>127</v>
      </c>
      <c r="E57" s="83" t="s">
        <v>6</v>
      </c>
      <c r="F57" s="82">
        <f>F58</f>
        <v>769682.14</v>
      </c>
      <c r="G57" s="82">
        <f t="shared" si="7"/>
        <v>710242</v>
      </c>
      <c r="H57" s="82">
        <f t="shared" si="7"/>
        <v>825175</v>
      </c>
      <c r="I57" s="96">
        <f t="shared" si="7"/>
        <v>825175</v>
      </c>
      <c r="J57" s="129">
        <f t="shared" si="0"/>
        <v>0</v>
      </c>
      <c r="K57" s="129"/>
      <c r="L57" s="96">
        <f>L58</f>
        <v>825175</v>
      </c>
    </row>
    <row r="58" spans="1:12" ht="20.25" customHeight="1" outlineLevel="2" x14ac:dyDescent="0.25">
      <c r="A58" s="81" t="s">
        <v>498</v>
      </c>
      <c r="B58" s="80" t="s">
        <v>500</v>
      </c>
      <c r="C58" s="80" t="s">
        <v>10</v>
      </c>
      <c r="D58" s="80" t="s">
        <v>537</v>
      </c>
      <c r="E58" s="83" t="s">
        <v>6</v>
      </c>
      <c r="F58" s="82">
        <f>F59</f>
        <v>769682.14</v>
      </c>
      <c r="G58" s="82">
        <f t="shared" si="7"/>
        <v>710242</v>
      </c>
      <c r="H58" s="82">
        <f t="shared" si="7"/>
        <v>825175</v>
      </c>
      <c r="I58" s="96">
        <f t="shared" si="7"/>
        <v>825175</v>
      </c>
      <c r="J58" s="129">
        <f t="shared" si="0"/>
        <v>0</v>
      </c>
      <c r="K58" s="129"/>
      <c r="L58" s="96">
        <f>L59</f>
        <v>825175</v>
      </c>
    </row>
    <row r="59" spans="1:12" ht="56.25" customHeight="1" outlineLevel="3" x14ac:dyDescent="0.25">
      <c r="A59" s="81" t="s">
        <v>11</v>
      </c>
      <c r="B59" s="80" t="s">
        <v>500</v>
      </c>
      <c r="C59" s="80" t="s">
        <v>10</v>
      </c>
      <c r="D59" s="80" t="s">
        <v>537</v>
      </c>
      <c r="E59" s="83" t="s">
        <v>12</v>
      </c>
      <c r="F59" s="82">
        <f>F60</f>
        <v>769682.14</v>
      </c>
      <c r="G59" s="82">
        <f t="shared" si="7"/>
        <v>710242</v>
      </c>
      <c r="H59" s="82">
        <f t="shared" si="7"/>
        <v>825175</v>
      </c>
      <c r="I59" s="96">
        <f t="shared" si="7"/>
        <v>825175</v>
      </c>
      <c r="J59" s="129">
        <f t="shared" si="0"/>
        <v>0</v>
      </c>
      <c r="K59" s="129"/>
      <c r="L59" s="96">
        <f>L60</f>
        <v>825175</v>
      </c>
    </row>
    <row r="60" spans="1:12" ht="19.55" customHeight="1" outlineLevel="4" x14ac:dyDescent="0.25">
      <c r="A60" s="81" t="s">
        <v>13</v>
      </c>
      <c r="B60" s="80" t="s">
        <v>500</v>
      </c>
      <c r="C60" s="80" t="s">
        <v>10</v>
      </c>
      <c r="D60" s="80" t="s">
        <v>537</v>
      </c>
      <c r="E60" s="83" t="s">
        <v>14</v>
      </c>
      <c r="F60" s="82">
        <v>769682.14</v>
      </c>
      <c r="G60" s="82">
        <v>710242</v>
      </c>
      <c r="H60" s="82">
        <v>825175</v>
      </c>
      <c r="I60" s="96">
        <v>825175</v>
      </c>
      <c r="J60" s="129">
        <f t="shared" si="0"/>
        <v>0</v>
      </c>
      <c r="K60" s="129"/>
      <c r="L60" s="96">
        <v>825175</v>
      </c>
    </row>
    <row r="61" spans="1:12" ht="19.55" customHeight="1" outlineLevel="4" x14ac:dyDescent="0.25">
      <c r="A61" s="81" t="s">
        <v>698</v>
      </c>
      <c r="B61" s="80" t="s">
        <v>500</v>
      </c>
      <c r="C61" s="80" t="s">
        <v>695</v>
      </c>
      <c r="D61" s="80" t="s">
        <v>126</v>
      </c>
      <c r="E61" s="80" t="s">
        <v>6</v>
      </c>
      <c r="F61" s="82">
        <f>F62</f>
        <v>869164.66999999993</v>
      </c>
      <c r="G61" s="82">
        <f t="shared" ref="G61:I64" si="8">G62</f>
        <v>0</v>
      </c>
      <c r="H61" s="82">
        <f t="shared" si="8"/>
        <v>90000000</v>
      </c>
      <c r="I61" s="82">
        <f t="shared" si="8"/>
        <v>89999999.999999985</v>
      </c>
      <c r="J61" s="129">
        <f t="shared" si="0"/>
        <v>0</v>
      </c>
      <c r="K61" s="129"/>
      <c r="L61" s="82">
        <f>L62</f>
        <v>27868850</v>
      </c>
    </row>
    <row r="62" spans="1:12" ht="19.55" customHeight="1" outlineLevel="4" x14ac:dyDescent="0.25">
      <c r="A62" s="81" t="s">
        <v>132</v>
      </c>
      <c r="B62" s="80" t="s">
        <v>500</v>
      </c>
      <c r="C62" s="80" t="s">
        <v>695</v>
      </c>
      <c r="D62" s="80" t="s">
        <v>127</v>
      </c>
      <c r="E62" s="80" t="s">
        <v>6</v>
      </c>
      <c r="F62" s="82">
        <f>F63</f>
        <v>869164.66999999993</v>
      </c>
      <c r="G62" s="82">
        <f t="shared" si="8"/>
        <v>0</v>
      </c>
      <c r="H62" s="82">
        <f t="shared" si="8"/>
        <v>90000000</v>
      </c>
      <c r="I62" s="82">
        <f t="shared" si="8"/>
        <v>89999999.999999985</v>
      </c>
      <c r="J62" s="129">
        <f t="shared" si="0"/>
        <v>0</v>
      </c>
      <c r="K62" s="129"/>
      <c r="L62" s="82">
        <f>L63</f>
        <v>27868850</v>
      </c>
    </row>
    <row r="63" spans="1:12" ht="19.55" customHeight="1" outlineLevel="4" x14ac:dyDescent="0.25">
      <c r="A63" s="81" t="s">
        <v>697</v>
      </c>
      <c r="B63" s="80" t="s">
        <v>500</v>
      </c>
      <c r="C63" s="80" t="s">
        <v>695</v>
      </c>
      <c r="D63" s="80" t="s">
        <v>539</v>
      </c>
      <c r="E63" s="80" t="s">
        <v>6</v>
      </c>
      <c r="F63" s="82">
        <f>F64</f>
        <v>869164.66999999993</v>
      </c>
      <c r="G63" s="82">
        <f t="shared" si="8"/>
        <v>0</v>
      </c>
      <c r="H63" s="82">
        <f t="shared" si="8"/>
        <v>90000000</v>
      </c>
      <c r="I63" s="82">
        <f t="shared" si="8"/>
        <v>89999999.999999985</v>
      </c>
      <c r="J63" s="129">
        <f t="shared" si="0"/>
        <v>0</v>
      </c>
      <c r="K63" s="129"/>
      <c r="L63" s="82">
        <f>L64</f>
        <v>27868850</v>
      </c>
    </row>
    <row r="64" spans="1:12" ht="19.55" customHeight="1" outlineLevel="4" x14ac:dyDescent="0.25">
      <c r="A64" s="81" t="s">
        <v>19</v>
      </c>
      <c r="B64" s="80" t="s">
        <v>500</v>
      </c>
      <c r="C64" s="80" t="s">
        <v>695</v>
      </c>
      <c r="D64" s="80" t="s">
        <v>539</v>
      </c>
      <c r="E64" s="80" t="s">
        <v>20</v>
      </c>
      <c r="F64" s="82">
        <f>F65</f>
        <v>869164.66999999993</v>
      </c>
      <c r="G64" s="82">
        <f t="shared" si="8"/>
        <v>0</v>
      </c>
      <c r="H64" s="82">
        <f t="shared" si="8"/>
        <v>90000000</v>
      </c>
      <c r="I64" s="82">
        <f t="shared" si="8"/>
        <v>89999999.999999985</v>
      </c>
      <c r="J64" s="129">
        <f t="shared" si="0"/>
        <v>0</v>
      </c>
      <c r="K64" s="129"/>
      <c r="L64" s="82">
        <f>L65</f>
        <v>27868850</v>
      </c>
    </row>
    <row r="65" spans="1:12" ht="19.55" customHeight="1" outlineLevel="4" x14ac:dyDescent="0.25">
      <c r="A65" s="81" t="s">
        <v>696</v>
      </c>
      <c r="B65" s="80" t="s">
        <v>500</v>
      </c>
      <c r="C65" s="80" t="s">
        <v>695</v>
      </c>
      <c r="D65" s="80" t="s">
        <v>539</v>
      </c>
      <c r="E65" s="80" t="s">
        <v>694</v>
      </c>
      <c r="F65" s="82">
        <f>1049164.67-180000</f>
        <v>869164.66999999993</v>
      </c>
      <c r="G65" s="82">
        <v>0</v>
      </c>
      <c r="H65" s="82">
        <v>90000000</v>
      </c>
      <c r="I65" s="82">
        <f>40328000+38975547.04-102547.04-13653664.49+7500000+16952664.49</f>
        <v>89999999.999999985</v>
      </c>
      <c r="J65" s="129">
        <f t="shared" si="0"/>
        <v>0</v>
      </c>
      <c r="K65" s="129">
        <f>-69131150+7000000</f>
        <v>-62131150</v>
      </c>
      <c r="L65" s="82">
        <f>20868850+7000000</f>
        <v>27868850</v>
      </c>
    </row>
    <row r="66" spans="1:12" outlineLevel="7" x14ac:dyDescent="0.25">
      <c r="A66" s="81" t="s">
        <v>23</v>
      </c>
      <c r="B66" s="80" t="s">
        <v>500</v>
      </c>
      <c r="C66" s="80" t="s">
        <v>24</v>
      </c>
      <c r="D66" s="80" t="s">
        <v>126</v>
      </c>
      <c r="E66" s="83" t="s">
        <v>6</v>
      </c>
      <c r="F66" s="82">
        <f>F67+F90+F103+F95+F110</f>
        <v>75834610.310000002</v>
      </c>
      <c r="G66" s="82">
        <f>G67+G90+G103+G95+G110</f>
        <v>63400607.200000003</v>
      </c>
      <c r="H66" s="82">
        <f>H67+H90+H103+H95+H110</f>
        <v>70418776.420000002</v>
      </c>
      <c r="I66" s="96">
        <f>I67+I90+I103+I95+I110</f>
        <v>69048776.420000002</v>
      </c>
      <c r="J66" s="129">
        <f t="shared" si="0"/>
        <v>-1370000</v>
      </c>
      <c r="K66" s="129"/>
      <c r="L66" s="96">
        <f>L67+L90+L103+L95+L110</f>
        <v>69048776.420000002</v>
      </c>
    </row>
    <row r="67" spans="1:12" ht="73.400000000000006" outlineLevel="5" x14ac:dyDescent="0.25">
      <c r="A67" s="109" t="s">
        <v>379</v>
      </c>
      <c r="B67" s="110" t="s">
        <v>500</v>
      </c>
      <c r="C67" s="110" t="s">
        <v>24</v>
      </c>
      <c r="D67" s="110" t="s">
        <v>128</v>
      </c>
      <c r="E67" s="111" t="s">
        <v>6</v>
      </c>
      <c r="F67" s="85">
        <f>F68+F75+F83</f>
        <v>24574795.09</v>
      </c>
      <c r="G67" s="85">
        <f>G68+G75+G83</f>
        <v>18411025</v>
      </c>
      <c r="H67" s="85">
        <f>H68+H75+H83</f>
        <v>24417935</v>
      </c>
      <c r="I67" s="112">
        <f>I68+I75+I83</f>
        <v>23047935</v>
      </c>
      <c r="J67" s="129">
        <f t="shared" si="0"/>
        <v>-1370000</v>
      </c>
      <c r="K67" s="129"/>
      <c r="L67" s="112">
        <f>L68+L75+L83</f>
        <v>23047935</v>
      </c>
    </row>
    <row r="68" spans="1:12" ht="73.400000000000006" outlineLevel="6" x14ac:dyDescent="0.25">
      <c r="A68" s="81" t="s">
        <v>214</v>
      </c>
      <c r="B68" s="80" t="s">
        <v>500</v>
      </c>
      <c r="C68" s="80" t="s">
        <v>24</v>
      </c>
      <c r="D68" s="80" t="s">
        <v>315</v>
      </c>
      <c r="E68" s="83" t="s">
        <v>6</v>
      </c>
      <c r="F68" s="98">
        <f>F69+F72</f>
        <v>795385</v>
      </c>
      <c r="G68" s="98">
        <f>G69+G72</f>
        <v>262385</v>
      </c>
      <c r="H68" s="98">
        <f>H69+H72</f>
        <v>795385</v>
      </c>
      <c r="I68" s="108">
        <f>I69+I72</f>
        <v>795385</v>
      </c>
      <c r="J68" s="129">
        <f t="shared" si="0"/>
        <v>0</v>
      </c>
      <c r="K68" s="129"/>
      <c r="L68" s="108">
        <f>L69+L72</f>
        <v>795385</v>
      </c>
    </row>
    <row r="69" spans="1:12" ht="36.700000000000003" outlineLevel="7" x14ac:dyDescent="0.25">
      <c r="A69" s="81" t="s">
        <v>321</v>
      </c>
      <c r="B69" s="80" t="s">
        <v>500</v>
      </c>
      <c r="C69" s="80" t="s">
        <v>24</v>
      </c>
      <c r="D69" s="80" t="s">
        <v>316</v>
      </c>
      <c r="E69" s="83" t="s">
        <v>6</v>
      </c>
      <c r="F69" s="98">
        <f>F70</f>
        <v>745385</v>
      </c>
      <c r="G69" s="98">
        <f t="shared" ref="G69:I70" si="9">G70</f>
        <v>212385</v>
      </c>
      <c r="H69" s="98">
        <f t="shared" si="9"/>
        <v>745385</v>
      </c>
      <c r="I69" s="108">
        <f t="shared" si="9"/>
        <v>745385</v>
      </c>
      <c r="J69" s="129">
        <f t="shared" si="0"/>
        <v>0</v>
      </c>
      <c r="K69" s="129"/>
      <c r="L69" s="108">
        <f>L70</f>
        <v>745385</v>
      </c>
    </row>
    <row r="70" spans="1:12" ht="18.7" customHeight="1" outlineLevel="6" x14ac:dyDescent="0.25">
      <c r="A70" s="81" t="s">
        <v>15</v>
      </c>
      <c r="B70" s="80" t="s">
        <v>500</v>
      </c>
      <c r="C70" s="80" t="s">
        <v>24</v>
      </c>
      <c r="D70" s="80" t="s">
        <v>316</v>
      </c>
      <c r="E70" s="83" t="s">
        <v>16</v>
      </c>
      <c r="F70" s="82">
        <f>F71</f>
        <v>745385</v>
      </c>
      <c r="G70" s="82">
        <f t="shared" si="9"/>
        <v>212385</v>
      </c>
      <c r="H70" s="82">
        <f t="shared" si="9"/>
        <v>745385</v>
      </c>
      <c r="I70" s="96">
        <f t="shared" si="9"/>
        <v>745385</v>
      </c>
      <c r="J70" s="129">
        <f t="shared" si="0"/>
        <v>0</v>
      </c>
      <c r="K70" s="129"/>
      <c r="L70" s="96">
        <f>L71</f>
        <v>745385</v>
      </c>
    </row>
    <row r="71" spans="1:12" ht="55.05" outlineLevel="7" x14ac:dyDescent="0.25">
      <c r="A71" s="81" t="s">
        <v>17</v>
      </c>
      <c r="B71" s="80" t="s">
        <v>500</v>
      </c>
      <c r="C71" s="80" t="s">
        <v>24</v>
      </c>
      <c r="D71" s="80" t="s">
        <v>316</v>
      </c>
      <c r="E71" s="83" t="s">
        <v>18</v>
      </c>
      <c r="F71" s="82">
        <v>745385</v>
      </c>
      <c r="G71" s="82">
        <v>212385</v>
      </c>
      <c r="H71" s="98">
        <v>745385</v>
      </c>
      <c r="I71" s="108">
        <v>745385</v>
      </c>
      <c r="J71" s="129">
        <f t="shared" si="0"/>
        <v>0</v>
      </c>
      <c r="K71" s="129"/>
      <c r="L71" s="108">
        <v>745385</v>
      </c>
    </row>
    <row r="72" spans="1:12" ht="36.700000000000003" outlineLevel="6" x14ac:dyDescent="0.25">
      <c r="A72" s="81" t="s">
        <v>322</v>
      </c>
      <c r="B72" s="80" t="s">
        <v>500</v>
      </c>
      <c r="C72" s="80" t="s">
        <v>24</v>
      </c>
      <c r="D72" s="80" t="s">
        <v>323</v>
      </c>
      <c r="E72" s="83" t="s">
        <v>6</v>
      </c>
      <c r="F72" s="98">
        <f>F73</f>
        <v>50000</v>
      </c>
      <c r="G72" s="98">
        <f t="shared" ref="G72:I73" si="10">G73</f>
        <v>50000</v>
      </c>
      <c r="H72" s="98">
        <f t="shared" si="10"/>
        <v>50000</v>
      </c>
      <c r="I72" s="108">
        <f t="shared" si="10"/>
        <v>50000</v>
      </c>
      <c r="J72" s="129">
        <f t="shared" si="0"/>
        <v>0</v>
      </c>
      <c r="K72" s="129"/>
      <c r="L72" s="108">
        <f>L73</f>
        <v>50000</v>
      </c>
    </row>
    <row r="73" spans="1:12" ht="18.7" customHeight="1" outlineLevel="7" x14ac:dyDescent="0.25">
      <c r="A73" s="81" t="s">
        <v>15</v>
      </c>
      <c r="B73" s="80" t="s">
        <v>500</v>
      </c>
      <c r="C73" s="80" t="s">
        <v>24</v>
      </c>
      <c r="D73" s="80" t="s">
        <v>323</v>
      </c>
      <c r="E73" s="83" t="s">
        <v>16</v>
      </c>
      <c r="F73" s="82">
        <f>F74</f>
        <v>50000</v>
      </c>
      <c r="G73" s="82">
        <f t="shared" si="10"/>
        <v>50000</v>
      </c>
      <c r="H73" s="82">
        <f t="shared" si="10"/>
        <v>50000</v>
      </c>
      <c r="I73" s="96">
        <f t="shared" si="10"/>
        <v>50000</v>
      </c>
      <c r="J73" s="129">
        <f t="shared" si="0"/>
        <v>0</v>
      </c>
      <c r="K73" s="129"/>
      <c r="L73" s="96">
        <f>L74</f>
        <v>50000</v>
      </c>
    </row>
    <row r="74" spans="1:12" ht="55.05" outlineLevel="3" x14ac:dyDescent="0.25">
      <c r="A74" s="81" t="s">
        <v>17</v>
      </c>
      <c r="B74" s="80" t="s">
        <v>500</v>
      </c>
      <c r="C74" s="80" t="s">
        <v>24</v>
      </c>
      <c r="D74" s="80" t="s">
        <v>323</v>
      </c>
      <c r="E74" s="83" t="s">
        <v>18</v>
      </c>
      <c r="F74" s="82">
        <v>50000</v>
      </c>
      <c r="G74" s="82">
        <v>50000</v>
      </c>
      <c r="H74" s="82">
        <v>50000</v>
      </c>
      <c r="I74" s="96">
        <v>50000</v>
      </c>
      <c r="J74" s="129">
        <f t="shared" si="0"/>
        <v>0</v>
      </c>
      <c r="K74" s="129"/>
      <c r="L74" s="96">
        <v>50000</v>
      </c>
    </row>
    <row r="75" spans="1:12" ht="55.05" outlineLevel="5" x14ac:dyDescent="0.25">
      <c r="A75" s="81" t="s">
        <v>216</v>
      </c>
      <c r="B75" s="80" t="s">
        <v>500</v>
      </c>
      <c r="C75" s="80" t="s">
        <v>24</v>
      </c>
      <c r="D75" s="80" t="s">
        <v>231</v>
      </c>
      <c r="E75" s="83" t="s">
        <v>6</v>
      </c>
      <c r="F75" s="98">
        <f>F76</f>
        <v>20836310.09</v>
      </c>
      <c r="G75" s="98">
        <f>G76</f>
        <v>18148640</v>
      </c>
      <c r="H75" s="98">
        <f>H76</f>
        <v>22171450</v>
      </c>
      <c r="I75" s="108">
        <f>I76</f>
        <v>20801450</v>
      </c>
      <c r="J75" s="129">
        <f t="shared" si="0"/>
        <v>-1370000</v>
      </c>
      <c r="K75" s="129"/>
      <c r="L75" s="108">
        <f>L76</f>
        <v>20801450</v>
      </c>
    </row>
    <row r="76" spans="1:12" ht="55.05" outlineLevel="6" x14ac:dyDescent="0.25">
      <c r="A76" s="81" t="s">
        <v>33</v>
      </c>
      <c r="B76" s="80" t="s">
        <v>500</v>
      </c>
      <c r="C76" s="80" t="s">
        <v>24</v>
      </c>
      <c r="D76" s="80" t="s">
        <v>130</v>
      </c>
      <c r="E76" s="83" t="s">
        <v>6</v>
      </c>
      <c r="F76" s="82">
        <f>F77+F79+F81</f>
        <v>20836310.09</v>
      </c>
      <c r="G76" s="82">
        <f>G77+G79+G81</f>
        <v>18148640</v>
      </c>
      <c r="H76" s="82">
        <f>H77+H79+H81</f>
        <v>22171450</v>
      </c>
      <c r="I76" s="96">
        <f>I77+I79+I81</f>
        <v>20801450</v>
      </c>
      <c r="J76" s="129">
        <f t="shared" si="0"/>
        <v>-1370000</v>
      </c>
      <c r="K76" s="129"/>
      <c r="L76" s="96">
        <f>L77+L79+L81</f>
        <v>20801450</v>
      </c>
    </row>
    <row r="77" spans="1:12" ht="58.75" customHeight="1" outlineLevel="7" x14ac:dyDescent="0.25">
      <c r="A77" s="81" t="s">
        <v>11</v>
      </c>
      <c r="B77" s="80" t="s">
        <v>500</v>
      </c>
      <c r="C77" s="80" t="s">
        <v>24</v>
      </c>
      <c r="D77" s="80" t="s">
        <v>130</v>
      </c>
      <c r="E77" s="83" t="s">
        <v>12</v>
      </c>
      <c r="F77" s="82">
        <f>F78</f>
        <v>10065370</v>
      </c>
      <c r="G77" s="82">
        <f>G78</f>
        <v>9720370</v>
      </c>
      <c r="H77" s="82">
        <f>H78</f>
        <v>11370000</v>
      </c>
      <c r="I77" s="96">
        <f>I78</f>
        <v>11000000</v>
      </c>
      <c r="J77" s="129">
        <f t="shared" si="0"/>
        <v>-370000</v>
      </c>
      <c r="K77" s="129"/>
      <c r="L77" s="96">
        <f>L78</f>
        <v>11000000</v>
      </c>
    </row>
    <row r="78" spans="1:12" ht="36.700000000000003" outlineLevel="7" x14ac:dyDescent="0.25">
      <c r="A78" s="81" t="s">
        <v>34</v>
      </c>
      <c r="B78" s="80" t="s">
        <v>500</v>
      </c>
      <c r="C78" s="80" t="s">
        <v>24</v>
      </c>
      <c r="D78" s="80" t="s">
        <v>130</v>
      </c>
      <c r="E78" s="83" t="s">
        <v>35</v>
      </c>
      <c r="F78" s="82">
        <v>10065370</v>
      </c>
      <c r="G78" s="82">
        <v>9720370</v>
      </c>
      <c r="H78" s="98">
        <v>11370000</v>
      </c>
      <c r="I78" s="108">
        <v>11000000</v>
      </c>
      <c r="J78" s="129">
        <f t="shared" si="0"/>
        <v>-370000</v>
      </c>
      <c r="K78" s="129"/>
      <c r="L78" s="108">
        <v>11000000</v>
      </c>
    </row>
    <row r="79" spans="1:12" ht="18.7" customHeight="1" outlineLevel="7" x14ac:dyDescent="0.25">
      <c r="A79" s="81" t="s">
        <v>15</v>
      </c>
      <c r="B79" s="80" t="s">
        <v>500</v>
      </c>
      <c r="C79" s="80" t="s">
        <v>24</v>
      </c>
      <c r="D79" s="80" t="s">
        <v>130</v>
      </c>
      <c r="E79" s="83" t="s">
        <v>16</v>
      </c>
      <c r="F79" s="82">
        <f>F80</f>
        <v>9999670.0899999999</v>
      </c>
      <c r="G79" s="82">
        <f>G80</f>
        <v>7657000</v>
      </c>
      <c r="H79" s="82">
        <f>H80</f>
        <v>10000000</v>
      </c>
      <c r="I79" s="96">
        <f>I80</f>
        <v>9000000</v>
      </c>
      <c r="J79" s="129">
        <f t="shared" ref="J79:J142" si="11">I79-H79</f>
        <v>-1000000</v>
      </c>
      <c r="K79" s="129"/>
      <c r="L79" s="96">
        <f>L80</f>
        <v>9000000</v>
      </c>
    </row>
    <row r="80" spans="1:12" ht="55.05" outlineLevel="7" x14ac:dyDescent="0.25">
      <c r="A80" s="81" t="s">
        <v>17</v>
      </c>
      <c r="B80" s="80" t="s">
        <v>500</v>
      </c>
      <c r="C80" s="80" t="s">
        <v>24</v>
      </c>
      <c r="D80" s="80" t="s">
        <v>130</v>
      </c>
      <c r="E80" s="83" t="s">
        <v>18</v>
      </c>
      <c r="F80" s="82">
        <f>10141670.09-142000</f>
        <v>9999670.0899999999</v>
      </c>
      <c r="G80" s="82">
        <v>7657000</v>
      </c>
      <c r="H80" s="98">
        <v>10000000</v>
      </c>
      <c r="I80" s="108">
        <v>9000000</v>
      </c>
      <c r="J80" s="129">
        <f t="shared" si="11"/>
        <v>-1000000</v>
      </c>
      <c r="K80" s="129"/>
      <c r="L80" s="108">
        <v>9000000</v>
      </c>
    </row>
    <row r="81" spans="1:12" outlineLevel="7" x14ac:dyDescent="0.25">
      <c r="A81" s="81" t="s">
        <v>19</v>
      </c>
      <c r="B81" s="80" t="s">
        <v>500</v>
      </c>
      <c r="C81" s="80" t="s">
        <v>24</v>
      </c>
      <c r="D81" s="80" t="s">
        <v>130</v>
      </c>
      <c r="E81" s="83" t="s">
        <v>20</v>
      </c>
      <c r="F81" s="82">
        <f>F82</f>
        <v>771270</v>
      </c>
      <c r="G81" s="82">
        <f>G82</f>
        <v>771270</v>
      </c>
      <c r="H81" s="82">
        <f>H82</f>
        <v>801450</v>
      </c>
      <c r="I81" s="96">
        <f>I82</f>
        <v>801450</v>
      </c>
      <c r="J81" s="129">
        <f t="shared" si="11"/>
        <v>0</v>
      </c>
      <c r="K81" s="129"/>
      <c r="L81" s="96">
        <f>L82</f>
        <v>801450</v>
      </c>
    </row>
    <row r="82" spans="1:12" outlineLevel="7" x14ac:dyDescent="0.25">
      <c r="A82" s="81" t="s">
        <v>21</v>
      </c>
      <c r="B82" s="80" t="s">
        <v>500</v>
      </c>
      <c r="C82" s="80" t="s">
        <v>24</v>
      </c>
      <c r="D82" s="80" t="s">
        <v>130</v>
      </c>
      <c r="E82" s="83" t="s">
        <v>22</v>
      </c>
      <c r="F82" s="82">
        <v>771270</v>
      </c>
      <c r="G82" s="82">
        <v>771270</v>
      </c>
      <c r="H82" s="131">
        <v>801450</v>
      </c>
      <c r="I82" s="117">
        <v>801450</v>
      </c>
      <c r="J82" s="129">
        <f t="shared" si="11"/>
        <v>0</v>
      </c>
      <c r="K82" s="129"/>
      <c r="L82" s="117">
        <v>801450</v>
      </c>
    </row>
    <row r="83" spans="1:12" outlineLevel="7" x14ac:dyDescent="0.25">
      <c r="A83" s="81" t="s">
        <v>748</v>
      </c>
      <c r="B83" s="80" t="s">
        <v>500</v>
      </c>
      <c r="C83" s="80" t="s">
        <v>24</v>
      </c>
      <c r="D83" s="80" t="s">
        <v>692</v>
      </c>
      <c r="E83" s="80" t="s">
        <v>6</v>
      </c>
      <c r="F83" s="82">
        <f>F84+F87</f>
        <v>2943100</v>
      </c>
      <c r="G83" s="82">
        <f>G84+G87</f>
        <v>0</v>
      </c>
      <c r="H83" s="82">
        <f>H84+H87</f>
        <v>1451100</v>
      </c>
      <c r="I83" s="96">
        <f>I84+I87</f>
        <v>1451100</v>
      </c>
      <c r="J83" s="129">
        <f t="shared" si="11"/>
        <v>0</v>
      </c>
      <c r="K83" s="129"/>
      <c r="L83" s="96">
        <f>L84+L87</f>
        <v>1451100</v>
      </c>
    </row>
    <row r="84" spans="1:12" ht="55.05" outlineLevel="7" x14ac:dyDescent="0.25">
      <c r="A84" s="25" t="s">
        <v>717</v>
      </c>
      <c r="B84" s="80" t="s">
        <v>500</v>
      </c>
      <c r="C84" s="80" t="s">
        <v>24</v>
      </c>
      <c r="D84" s="80" t="s">
        <v>691</v>
      </c>
      <c r="E84" s="80" t="s">
        <v>6</v>
      </c>
      <c r="F84" s="82">
        <f t="shared" ref="F84:I85" si="12">F85</f>
        <v>1492000</v>
      </c>
      <c r="G84" s="82">
        <f t="shared" si="12"/>
        <v>0</v>
      </c>
      <c r="H84" s="82">
        <f t="shared" si="12"/>
        <v>0</v>
      </c>
      <c r="I84" s="82">
        <f t="shared" si="12"/>
        <v>0</v>
      </c>
      <c r="J84" s="129">
        <f t="shared" si="11"/>
        <v>0</v>
      </c>
      <c r="K84" s="129"/>
      <c r="L84" s="82">
        <f>L85</f>
        <v>0</v>
      </c>
    </row>
    <row r="85" spans="1:12" ht="36.700000000000003" outlineLevel="7" x14ac:dyDescent="0.25">
      <c r="A85" s="81" t="s">
        <v>15</v>
      </c>
      <c r="B85" s="80" t="s">
        <v>500</v>
      </c>
      <c r="C85" s="80" t="s">
        <v>24</v>
      </c>
      <c r="D85" s="80" t="s">
        <v>691</v>
      </c>
      <c r="E85" s="80" t="s">
        <v>16</v>
      </c>
      <c r="F85" s="82">
        <f t="shared" si="12"/>
        <v>1492000</v>
      </c>
      <c r="G85" s="82">
        <f t="shared" si="12"/>
        <v>0</v>
      </c>
      <c r="H85" s="82">
        <f t="shared" si="12"/>
        <v>0</v>
      </c>
      <c r="I85" s="96">
        <f t="shared" si="12"/>
        <v>0</v>
      </c>
      <c r="J85" s="129">
        <f t="shared" si="11"/>
        <v>0</v>
      </c>
      <c r="K85" s="129"/>
      <c r="L85" s="96">
        <f>L86</f>
        <v>0</v>
      </c>
    </row>
    <row r="86" spans="1:12" ht="55.05" outlineLevel="7" x14ac:dyDescent="0.25">
      <c r="A86" s="81" t="s">
        <v>17</v>
      </c>
      <c r="B86" s="80" t="s">
        <v>500</v>
      </c>
      <c r="C86" s="80" t="s">
        <v>24</v>
      </c>
      <c r="D86" s="80" t="s">
        <v>691</v>
      </c>
      <c r="E86" s="80" t="s">
        <v>18</v>
      </c>
      <c r="F86" s="82">
        <v>1492000</v>
      </c>
      <c r="G86" s="82">
        <v>0</v>
      </c>
      <c r="H86" s="131">
        <v>0</v>
      </c>
      <c r="I86" s="117">
        <v>0</v>
      </c>
      <c r="J86" s="129">
        <f t="shared" si="11"/>
        <v>0</v>
      </c>
      <c r="K86" s="129"/>
      <c r="L86" s="117">
        <v>0</v>
      </c>
    </row>
    <row r="87" spans="1:12" ht="55.05" outlineLevel="7" x14ac:dyDescent="0.25">
      <c r="A87" s="81" t="s">
        <v>690</v>
      </c>
      <c r="B87" s="80" t="s">
        <v>500</v>
      </c>
      <c r="C87" s="80" t="s">
        <v>24</v>
      </c>
      <c r="D87" s="80" t="s">
        <v>689</v>
      </c>
      <c r="E87" s="80" t="s">
        <v>6</v>
      </c>
      <c r="F87" s="82">
        <f t="shared" ref="F87:I88" si="13">F88</f>
        <v>1451100</v>
      </c>
      <c r="G87" s="82">
        <f t="shared" si="13"/>
        <v>0</v>
      </c>
      <c r="H87" s="82">
        <f t="shared" si="13"/>
        <v>1451100</v>
      </c>
      <c r="I87" s="96">
        <f t="shared" si="13"/>
        <v>1451100</v>
      </c>
      <c r="J87" s="129">
        <f t="shared" si="11"/>
        <v>0</v>
      </c>
      <c r="K87" s="129"/>
      <c r="L87" s="96">
        <f>L88</f>
        <v>1451100</v>
      </c>
    </row>
    <row r="88" spans="1:12" ht="36.700000000000003" outlineLevel="7" x14ac:dyDescent="0.25">
      <c r="A88" s="81" t="s">
        <v>15</v>
      </c>
      <c r="B88" s="80" t="s">
        <v>500</v>
      </c>
      <c r="C88" s="80" t="s">
        <v>24</v>
      </c>
      <c r="D88" s="80" t="s">
        <v>689</v>
      </c>
      <c r="E88" s="80" t="s">
        <v>16</v>
      </c>
      <c r="F88" s="82">
        <f t="shared" si="13"/>
        <v>1451100</v>
      </c>
      <c r="G88" s="82">
        <f t="shared" si="13"/>
        <v>0</v>
      </c>
      <c r="H88" s="82">
        <f t="shared" si="13"/>
        <v>1451100</v>
      </c>
      <c r="I88" s="96">
        <f t="shared" si="13"/>
        <v>1451100</v>
      </c>
      <c r="J88" s="129">
        <f t="shared" si="11"/>
        <v>0</v>
      </c>
      <c r="K88" s="129"/>
      <c r="L88" s="96">
        <f>L89</f>
        <v>1451100</v>
      </c>
    </row>
    <row r="89" spans="1:12" ht="55.05" outlineLevel="7" x14ac:dyDescent="0.25">
      <c r="A89" s="81" t="s">
        <v>17</v>
      </c>
      <c r="B89" s="80" t="s">
        <v>500</v>
      </c>
      <c r="C89" s="80" t="s">
        <v>24</v>
      </c>
      <c r="D89" s="80" t="s">
        <v>689</v>
      </c>
      <c r="E89" s="80" t="s">
        <v>18</v>
      </c>
      <c r="F89" s="82">
        <v>1451100</v>
      </c>
      <c r="G89" s="82">
        <v>0</v>
      </c>
      <c r="H89" s="131">
        <v>1451100</v>
      </c>
      <c r="I89" s="117">
        <v>1451100</v>
      </c>
      <c r="J89" s="129">
        <f t="shared" si="11"/>
        <v>0</v>
      </c>
      <c r="K89" s="129"/>
      <c r="L89" s="117">
        <v>1451100</v>
      </c>
    </row>
    <row r="90" spans="1:12" ht="55.05" outlineLevel="7" x14ac:dyDescent="0.25">
      <c r="A90" s="109" t="s">
        <v>426</v>
      </c>
      <c r="B90" s="110" t="s">
        <v>500</v>
      </c>
      <c r="C90" s="110" t="s">
        <v>24</v>
      </c>
      <c r="D90" s="110" t="s">
        <v>131</v>
      </c>
      <c r="E90" s="111" t="s">
        <v>6</v>
      </c>
      <c r="F90" s="85">
        <f>F91</f>
        <v>50000</v>
      </c>
      <c r="G90" s="85">
        <f t="shared" ref="G90:I93" si="14">G91</f>
        <v>50000</v>
      </c>
      <c r="H90" s="85">
        <f t="shared" si="14"/>
        <v>50000</v>
      </c>
      <c r="I90" s="112">
        <f t="shared" si="14"/>
        <v>50000</v>
      </c>
      <c r="J90" s="129">
        <f t="shared" si="11"/>
        <v>0</v>
      </c>
      <c r="K90" s="129"/>
      <c r="L90" s="112">
        <f>L91</f>
        <v>50000</v>
      </c>
    </row>
    <row r="91" spans="1:12" ht="36.700000000000003" outlineLevel="7" x14ac:dyDescent="0.25">
      <c r="A91" s="81" t="s">
        <v>324</v>
      </c>
      <c r="B91" s="80" t="s">
        <v>500</v>
      </c>
      <c r="C91" s="80" t="s">
        <v>24</v>
      </c>
      <c r="D91" s="80" t="s">
        <v>233</v>
      </c>
      <c r="E91" s="83" t="s">
        <v>6</v>
      </c>
      <c r="F91" s="82">
        <f>F92</f>
        <v>50000</v>
      </c>
      <c r="G91" s="82">
        <f t="shared" si="14"/>
        <v>50000</v>
      </c>
      <c r="H91" s="82">
        <f t="shared" si="14"/>
        <v>50000</v>
      </c>
      <c r="I91" s="96">
        <f t="shared" si="14"/>
        <v>50000</v>
      </c>
      <c r="J91" s="129">
        <f t="shared" si="11"/>
        <v>0</v>
      </c>
      <c r="K91" s="129"/>
      <c r="L91" s="96">
        <f>L92</f>
        <v>50000</v>
      </c>
    </row>
    <row r="92" spans="1:12" ht="36.700000000000003" outlineLevel="7" x14ac:dyDescent="0.25">
      <c r="A92" s="81" t="s">
        <v>325</v>
      </c>
      <c r="B92" s="80" t="s">
        <v>500</v>
      </c>
      <c r="C92" s="80" t="s">
        <v>24</v>
      </c>
      <c r="D92" s="80" t="s">
        <v>326</v>
      </c>
      <c r="E92" s="83" t="s">
        <v>6</v>
      </c>
      <c r="F92" s="82">
        <f>F93</f>
        <v>50000</v>
      </c>
      <c r="G92" s="82">
        <f t="shared" si="14"/>
        <v>50000</v>
      </c>
      <c r="H92" s="82">
        <f t="shared" si="14"/>
        <v>50000</v>
      </c>
      <c r="I92" s="96">
        <f t="shared" si="14"/>
        <v>50000</v>
      </c>
      <c r="J92" s="129">
        <f t="shared" si="11"/>
        <v>0</v>
      </c>
      <c r="K92" s="129"/>
      <c r="L92" s="96">
        <f>L93</f>
        <v>50000</v>
      </c>
    </row>
    <row r="93" spans="1:12" ht="21.25" customHeight="1" outlineLevel="7" x14ac:dyDescent="0.25">
      <c r="A93" s="81" t="s">
        <v>15</v>
      </c>
      <c r="B93" s="80" t="s">
        <v>500</v>
      </c>
      <c r="C93" s="80" t="s">
        <v>24</v>
      </c>
      <c r="D93" s="80" t="s">
        <v>326</v>
      </c>
      <c r="E93" s="83" t="s">
        <v>16</v>
      </c>
      <c r="F93" s="82">
        <f>F94</f>
        <v>50000</v>
      </c>
      <c r="G93" s="82">
        <f t="shared" si="14"/>
        <v>50000</v>
      </c>
      <c r="H93" s="82">
        <f t="shared" si="14"/>
        <v>50000</v>
      </c>
      <c r="I93" s="96">
        <f t="shared" si="14"/>
        <v>50000</v>
      </c>
      <c r="J93" s="129">
        <f t="shared" si="11"/>
        <v>0</v>
      </c>
      <c r="K93" s="129"/>
      <c r="L93" s="96">
        <f>L94</f>
        <v>50000</v>
      </c>
    </row>
    <row r="94" spans="1:12" ht="55.05" outlineLevel="7" x14ac:dyDescent="0.25">
      <c r="A94" s="81" t="s">
        <v>17</v>
      </c>
      <c r="B94" s="80" t="s">
        <v>500</v>
      </c>
      <c r="C94" s="80" t="s">
        <v>24</v>
      </c>
      <c r="D94" s="80" t="s">
        <v>326</v>
      </c>
      <c r="E94" s="83" t="s">
        <v>18</v>
      </c>
      <c r="F94" s="82">
        <v>50000</v>
      </c>
      <c r="G94" s="82">
        <v>50000</v>
      </c>
      <c r="H94" s="98">
        <v>50000</v>
      </c>
      <c r="I94" s="108">
        <v>50000</v>
      </c>
      <c r="J94" s="129">
        <f t="shared" si="11"/>
        <v>0</v>
      </c>
      <c r="K94" s="129"/>
      <c r="L94" s="108">
        <v>50000</v>
      </c>
    </row>
    <row r="95" spans="1:12" ht="40.75" customHeight="1" outlineLevel="7" x14ac:dyDescent="0.25">
      <c r="A95" s="109" t="s">
        <v>427</v>
      </c>
      <c r="B95" s="110" t="s">
        <v>500</v>
      </c>
      <c r="C95" s="110" t="s">
        <v>24</v>
      </c>
      <c r="D95" s="110" t="s">
        <v>317</v>
      </c>
      <c r="E95" s="111" t="s">
        <v>6</v>
      </c>
      <c r="F95" s="85">
        <f>F96</f>
        <v>1932970</v>
      </c>
      <c r="G95" s="85">
        <f>G96</f>
        <v>1032970</v>
      </c>
      <c r="H95" s="85">
        <f>H96</f>
        <v>1336498</v>
      </c>
      <c r="I95" s="112">
        <f>I96</f>
        <v>1336498</v>
      </c>
      <c r="J95" s="129">
        <f t="shared" si="11"/>
        <v>0</v>
      </c>
      <c r="K95" s="129"/>
      <c r="L95" s="112">
        <f>L96</f>
        <v>1336498</v>
      </c>
    </row>
    <row r="96" spans="1:12" ht="55.05" outlineLevel="7" x14ac:dyDescent="0.25">
      <c r="A96" s="113" t="s">
        <v>327</v>
      </c>
      <c r="B96" s="80" t="s">
        <v>500</v>
      </c>
      <c r="C96" s="80" t="s">
        <v>24</v>
      </c>
      <c r="D96" s="80" t="s">
        <v>318</v>
      </c>
      <c r="E96" s="83" t="s">
        <v>6</v>
      </c>
      <c r="F96" s="82">
        <f>F97+F100</f>
        <v>1932970</v>
      </c>
      <c r="G96" s="82">
        <f>G97+G100</f>
        <v>1032970</v>
      </c>
      <c r="H96" s="82">
        <f>H97+H100</f>
        <v>1336498</v>
      </c>
      <c r="I96" s="96">
        <f>I97+I100</f>
        <v>1336498</v>
      </c>
      <c r="J96" s="129">
        <f t="shared" si="11"/>
        <v>0</v>
      </c>
      <c r="K96" s="129"/>
      <c r="L96" s="96">
        <f>L97+L100</f>
        <v>1336498</v>
      </c>
    </row>
    <row r="97" spans="1:12" ht="73.400000000000006" outlineLevel="7" x14ac:dyDescent="0.25">
      <c r="A97" s="113" t="s">
        <v>328</v>
      </c>
      <c r="B97" s="80" t="s">
        <v>500</v>
      </c>
      <c r="C97" s="80" t="s">
        <v>24</v>
      </c>
      <c r="D97" s="80" t="s">
        <v>329</v>
      </c>
      <c r="E97" s="83" t="s">
        <v>6</v>
      </c>
      <c r="F97" s="82">
        <f>F98</f>
        <v>1890470</v>
      </c>
      <c r="G97" s="82">
        <f t="shared" ref="G97:I98" si="15">G98</f>
        <v>990470</v>
      </c>
      <c r="H97" s="82">
        <f t="shared" si="15"/>
        <v>1292340.5</v>
      </c>
      <c r="I97" s="96">
        <f t="shared" si="15"/>
        <v>1292340.5</v>
      </c>
      <c r="J97" s="129">
        <f t="shared" si="11"/>
        <v>0</v>
      </c>
      <c r="K97" s="129"/>
      <c r="L97" s="96">
        <f>L98</f>
        <v>1292340.5</v>
      </c>
    </row>
    <row r="98" spans="1:12" ht="21.25" customHeight="1" outlineLevel="7" x14ac:dyDescent="0.25">
      <c r="A98" s="81" t="s">
        <v>15</v>
      </c>
      <c r="B98" s="80" t="s">
        <v>500</v>
      </c>
      <c r="C98" s="80" t="s">
        <v>24</v>
      </c>
      <c r="D98" s="80" t="s">
        <v>329</v>
      </c>
      <c r="E98" s="83" t="s">
        <v>16</v>
      </c>
      <c r="F98" s="82">
        <f>F99</f>
        <v>1890470</v>
      </c>
      <c r="G98" s="82">
        <f t="shared" si="15"/>
        <v>990470</v>
      </c>
      <c r="H98" s="82">
        <f t="shared" si="15"/>
        <v>1292340.5</v>
      </c>
      <c r="I98" s="96">
        <f t="shared" si="15"/>
        <v>1292340.5</v>
      </c>
      <c r="J98" s="129">
        <f t="shared" si="11"/>
        <v>0</v>
      </c>
      <c r="K98" s="129"/>
      <c r="L98" s="96">
        <f>L99</f>
        <v>1292340.5</v>
      </c>
    </row>
    <row r="99" spans="1:12" ht="55.05" outlineLevel="7" x14ac:dyDescent="0.25">
      <c r="A99" s="81" t="s">
        <v>17</v>
      </c>
      <c r="B99" s="80" t="s">
        <v>500</v>
      </c>
      <c r="C99" s="80" t="s">
        <v>24</v>
      </c>
      <c r="D99" s="80" t="s">
        <v>329</v>
      </c>
      <c r="E99" s="83" t="s">
        <v>18</v>
      </c>
      <c r="F99" s="82">
        <v>1890470</v>
      </c>
      <c r="G99" s="82">
        <f>240000+750470</f>
        <v>990470</v>
      </c>
      <c r="H99" s="98">
        <v>1292340.5</v>
      </c>
      <c r="I99" s="108">
        <v>1292340.5</v>
      </c>
      <c r="J99" s="129">
        <f t="shared" si="11"/>
        <v>0</v>
      </c>
      <c r="K99" s="129"/>
      <c r="L99" s="108">
        <v>1292340.5</v>
      </c>
    </row>
    <row r="100" spans="1:12" ht="55.05" outlineLevel="7" x14ac:dyDescent="0.25">
      <c r="A100" s="113" t="s">
        <v>330</v>
      </c>
      <c r="B100" s="80" t="s">
        <v>500</v>
      </c>
      <c r="C100" s="80" t="s">
        <v>24</v>
      </c>
      <c r="D100" s="80" t="s">
        <v>319</v>
      </c>
      <c r="E100" s="83" t="s">
        <v>6</v>
      </c>
      <c r="F100" s="82">
        <f>F101</f>
        <v>42500</v>
      </c>
      <c r="G100" s="82">
        <f t="shared" ref="G100:I101" si="16">G101</f>
        <v>42500</v>
      </c>
      <c r="H100" s="82">
        <f t="shared" si="16"/>
        <v>44157.5</v>
      </c>
      <c r="I100" s="96">
        <f t="shared" si="16"/>
        <v>44157.5</v>
      </c>
      <c r="J100" s="129">
        <f t="shared" si="11"/>
        <v>0</v>
      </c>
      <c r="K100" s="129"/>
      <c r="L100" s="96">
        <f>L101</f>
        <v>44157.5</v>
      </c>
    </row>
    <row r="101" spans="1:12" ht="21.25" customHeight="1" outlineLevel="7" x14ac:dyDescent="0.25">
      <c r="A101" s="81" t="s">
        <v>15</v>
      </c>
      <c r="B101" s="80" t="s">
        <v>500</v>
      </c>
      <c r="C101" s="80" t="s">
        <v>24</v>
      </c>
      <c r="D101" s="80" t="s">
        <v>319</v>
      </c>
      <c r="E101" s="83" t="s">
        <v>16</v>
      </c>
      <c r="F101" s="82">
        <f>F102</f>
        <v>42500</v>
      </c>
      <c r="G101" s="82">
        <f t="shared" si="16"/>
        <v>42500</v>
      </c>
      <c r="H101" s="82">
        <f t="shared" si="16"/>
        <v>44157.5</v>
      </c>
      <c r="I101" s="96">
        <f t="shared" si="16"/>
        <v>44157.5</v>
      </c>
      <c r="J101" s="129">
        <f t="shared" si="11"/>
        <v>0</v>
      </c>
      <c r="K101" s="129"/>
      <c r="L101" s="96">
        <f>L102</f>
        <v>44157.5</v>
      </c>
    </row>
    <row r="102" spans="1:12" ht="55.05" outlineLevel="7" x14ac:dyDescent="0.25">
      <c r="A102" s="81" t="s">
        <v>17</v>
      </c>
      <c r="B102" s="80" t="s">
        <v>500</v>
      </c>
      <c r="C102" s="80" t="s">
        <v>24</v>
      </c>
      <c r="D102" s="80" t="s">
        <v>319</v>
      </c>
      <c r="E102" s="83" t="s">
        <v>18</v>
      </c>
      <c r="F102" s="82">
        <v>42500</v>
      </c>
      <c r="G102" s="82">
        <v>42500</v>
      </c>
      <c r="H102" s="82">
        <v>44157.5</v>
      </c>
      <c r="I102" s="96">
        <v>44157.5</v>
      </c>
      <c r="J102" s="129">
        <f t="shared" si="11"/>
        <v>0</v>
      </c>
      <c r="K102" s="129"/>
      <c r="L102" s="96">
        <v>44157.5</v>
      </c>
    </row>
    <row r="103" spans="1:12" ht="73.400000000000006" outlineLevel="7" x14ac:dyDescent="0.25">
      <c r="A103" s="109" t="s">
        <v>380</v>
      </c>
      <c r="B103" s="110" t="s">
        <v>500</v>
      </c>
      <c r="C103" s="110" t="s">
        <v>24</v>
      </c>
      <c r="D103" s="110" t="s">
        <v>331</v>
      </c>
      <c r="E103" s="111" t="s">
        <v>6</v>
      </c>
      <c r="F103" s="85">
        <f>F104</f>
        <v>5643392.1600000001</v>
      </c>
      <c r="G103" s="85">
        <f t="shared" ref="G103:I104" si="17">G104</f>
        <v>1140000</v>
      </c>
      <c r="H103" s="85">
        <f t="shared" si="17"/>
        <v>1600000</v>
      </c>
      <c r="I103" s="112">
        <f t="shared" si="17"/>
        <v>1600000</v>
      </c>
      <c r="J103" s="129">
        <f t="shared" si="11"/>
        <v>0</v>
      </c>
      <c r="K103" s="129"/>
      <c r="L103" s="112">
        <f>L104</f>
        <v>1600000</v>
      </c>
    </row>
    <row r="104" spans="1:12" ht="55.05" outlineLevel="7" x14ac:dyDescent="0.25">
      <c r="A104" s="81" t="s">
        <v>215</v>
      </c>
      <c r="B104" s="80" t="s">
        <v>500</v>
      </c>
      <c r="C104" s="80" t="s">
        <v>24</v>
      </c>
      <c r="D104" s="80" t="s">
        <v>332</v>
      </c>
      <c r="E104" s="83" t="s">
        <v>6</v>
      </c>
      <c r="F104" s="82">
        <f>F105</f>
        <v>5643392.1600000001</v>
      </c>
      <c r="G104" s="82">
        <f t="shared" si="17"/>
        <v>1140000</v>
      </c>
      <c r="H104" s="82">
        <f t="shared" si="17"/>
        <v>1600000</v>
      </c>
      <c r="I104" s="96">
        <f t="shared" si="17"/>
        <v>1600000</v>
      </c>
      <c r="J104" s="129">
        <f t="shared" si="11"/>
        <v>0</v>
      </c>
      <c r="K104" s="129"/>
      <c r="L104" s="96">
        <f>L105</f>
        <v>1600000</v>
      </c>
    </row>
    <row r="105" spans="1:12" ht="91.7" outlineLevel="7" x14ac:dyDescent="0.25">
      <c r="A105" s="81" t="s">
        <v>32</v>
      </c>
      <c r="B105" s="80" t="s">
        <v>500</v>
      </c>
      <c r="C105" s="80" t="s">
        <v>24</v>
      </c>
      <c r="D105" s="80" t="s">
        <v>333</v>
      </c>
      <c r="E105" s="83" t="s">
        <v>6</v>
      </c>
      <c r="F105" s="82">
        <f>F106+F108</f>
        <v>5643392.1600000001</v>
      </c>
      <c r="G105" s="82">
        <f>G106+G108</f>
        <v>1140000</v>
      </c>
      <c r="H105" s="82">
        <f>H106+H108</f>
        <v>1600000</v>
      </c>
      <c r="I105" s="96">
        <f>I106+I108</f>
        <v>1600000</v>
      </c>
      <c r="J105" s="129">
        <f t="shared" si="11"/>
        <v>0</v>
      </c>
      <c r="K105" s="129"/>
      <c r="L105" s="96">
        <f>L106+L108</f>
        <v>1600000</v>
      </c>
    </row>
    <row r="106" spans="1:12" ht="21.25" customHeight="1" outlineLevel="7" x14ac:dyDescent="0.25">
      <c r="A106" s="81" t="s">
        <v>15</v>
      </c>
      <c r="B106" s="80" t="s">
        <v>500</v>
      </c>
      <c r="C106" s="80" t="s">
        <v>24</v>
      </c>
      <c r="D106" s="80" t="s">
        <v>333</v>
      </c>
      <c r="E106" s="83" t="s">
        <v>16</v>
      </c>
      <c r="F106" s="82">
        <f>F107</f>
        <v>5503392.1600000001</v>
      </c>
      <c r="G106" s="82">
        <f>G107</f>
        <v>1000000</v>
      </c>
      <c r="H106" s="82">
        <f>H107</f>
        <v>1460000</v>
      </c>
      <c r="I106" s="96">
        <f>I107</f>
        <v>1460000</v>
      </c>
      <c r="J106" s="129">
        <f t="shared" si="11"/>
        <v>0</v>
      </c>
      <c r="K106" s="129"/>
      <c r="L106" s="96">
        <f>L107</f>
        <v>1460000</v>
      </c>
    </row>
    <row r="107" spans="1:12" ht="55.05" outlineLevel="7" x14ac:dyDescent="0.25">
      <c r="A107" s="81" t="s">
        <v>17</v>
      </c>
      <c r="B107" s="80" t="s">
        <v>500</v>
      </c>
      <c r="C107" s="80" t="s">
        <v>24</v>
      </c>
      <c r="D107" s="80" t="s">
        <v>333</v>
      </c>
      <c r="E107" s="83" t="s">
        <v>18</v>
      </c>
      <c r="F107" s="82">
        <v>5503392.1600000001</v>
      </c>
      <c r="G107" s="82">
        <v>1000000</v>
      </c>
      <c r="H107" s="82">
        <f>1460000</f>
        <v>1460000</v>
      </c>
      <c r="I107" s="96">
        <f>1460000</f>
        <v>1460000</v>
      </c>
      <c r="J107" s="129">
        <f t="shared" si="11"/>
        <v>0</v>
      </c>
      <c r="K107" s="129"/>
      <c r="L107" s="96">
        <f>1460000</f>
        <v>1460000</v>
      </c>
    </row>
    <row r="108" spans="1:12" outlineLevel="7" x14ac:dyDescent="0.25">
      <c r="A108" s="81" t="s">
        <v>19</v>
      </c>
      <c r="B108" s="80" t="s">
        <v>500</v>
      </c>
      <c r="C108" s="80" t="s">
        <v>24</v>
      </c>
      <c r="D108" s="80" t="s">
        <v>333</v>
      </c>
      <c r="E108" s="83" t="s">
        <v>20</v>
      </c>
      <c r="F108" s="82">
        <f>F109</f>
        <v>140000</v>
      </c>
      <c r="G108" s="82">
        <f>G109</f>
        <v>140000</v>
      </c>
      <c r="H108" s="82">
        <f>H109</f>
        <v>140000</v>
      </c>
      <c r="I108" s="96">
        <f>I109</f>
        <v>140000</v>
      </c>
      <c r="J108" s="129">
        <f t="shared" si="11"/>
        <v>0</v>
      </c>
      <c r="K108" s="129"/>
      <c r="L108" s="96">
        <f>L109</f>
        <v>140000</v>
      </c>
    </row>
    <row r="109" spans="1:12" outlineLevel="7" x14ac:dyDescent="0.25">
      <c r="A109" s="81" t="s">
        <v>21</v>
      </c>
      <c r="B109" s="80" t="s">
        <v>500</v>
      </c>
      <c r="C109" s="80" t="s">
        <v>24</v>
      </c>
      <c r="D109" s="80" t="s">
        <v>333</v>
      </c>
      <c r="E109" s="83" t="s">
        <v>22</v>
      </c>
      <c r="F109" s="82">
        <v>140000</v>
      </c>
      <c r="G109" s="82">
        <v>140000</v>
      </c>
      <c r="H109" s="98">
        <v>140000</v>
      </c>
      <c r="I109" s="108">
        <v>140000</v>
      </c>
      <c r="J109" s="129">
        <f t="shared" si="11"/>
        <v>0</v>
      </c>
      <c r="K109" s="129"/>
      <c r="L109" s="108">
        <v>140000</v>
      </c>
    </row>
    <row r="110" spans="1:12" ht="55.05" outlineLevel="7" x14ac:dyDescent="0.25">
      <c r="A110" s="81" t="s">
        <v>132</v>
      </c>
      <c r="B110" s="80" t="s">
        <v>500</v>
      </c>
      <c r="C110" s="80" t="s">
        <v>24</v>
      </c>
      <c r="D110" s="80" t="s">
        <v>127</v>
      </c>
      <c r="E110" s="83" t="s">
        <v>6</v>
      </c>
      <c r="F110" s="82">
        <f>F128+F120+F111+F125+F116</f>
        <v>43633453.060000002</v>
      </c>
      <c r="G110" s="82">
        <f>G128+G120+G111+G125+G116</f>
        <v>42766612.200000003</v>
      </c>
      <c r="H110" s="82">
        <f>H128+H120+H111+H125+H116</f>
        <v>43014343.420000002</v>
      </c>
      <c r="I110" s="82">
        <f>I128+I120+I111+I125+I116</f>
        <v>43014343.420000002</v>
      </c>
      <c r="J110" s="129">
        <f t="shared" si="11"/>
        <v>0</v>
      </c>
      <c r="K110" s="129"/>
      <c r="L110" s="82">
        <f>L128+L120+L111+L125+L116</f>
        <v>43014343.420000002</v>
      </c>
    </row>
    <row r="111" spans="1:12" ht="73.400000000000006" outlineLevel="7" x14ac:dyDescent="0.25">
      <c r="A111" s="81" t="s">
        <v>494</v>
      </c>
      <c r="B111" s="80" t="s">
        <v>500</v>
      </c>
      <c r="C111" s="80" t="s">
        <v>24</v>
      </c>
      <c r="D111" s="80" t="s">
        <v>495</v>
      </c>
      <c r="E111" s="83" t="s">
        <v>6</v>
      </c>
      <c r="F111" s="82">
        <f>F112+F114</f>
        <v>34085706.369999997</v>
      </c>
      <c r="G111" s="82">
        <f>G112+G114</f>
        <v>35762809</v>
      </c>
      <c r="H111" s="82">
        <f>H112+H114</f>
        <v>35005140.490000002</v>
      </c>
      <c r="I111" s="96">
        <f>I112+I114</f>
        <v>35005140.490000002</v>
      </c>
      <c r="J111" s="129">
        <f t="shared" si="11"/>
        <v>0</v>
      </c>
      <c r="K111" s="129"/>
      <c r="L111" s="96">
        <f>L112+L114</f>
        <v>35005140.490000002</v>
      </c>
    </row>
    <row r="112" spans="1:12" ht="59.3" customHeight="1" outlineLevel="1" x14ac:dyDescent="0.25">
      <c r="A112" s="81" t="s">
        <v>11</v>
      </c>
      <c r="B112" s="80" t="s">
        <v>500</v>
      </c>
      <c r="C112" s="80" t="s">
        <v>24</v>
      </c>
      <c r="D112" s="80" t="s">
        <v>495</v>
      </c>
      <c r="E112" s="83" t="s">
        <v>12</v>
      </c>
      <c r="F112" s="82">
        <f>F113</f>
        <v>34065706.369999997</v>
      </c>
      <c r="G112" s="82">
        <f>G113</f>
        <v>34882443</v>
      </c>
      <c r="H112" s="82">
        <f>H113</f>
        <v>34985140.490000002</v>
      </c>
      <c r="I112" s="96">
        <f>I113</f>
        <v>34985140.490000002</v>
      </c>
      <c r="J112" s="129">
        <f t="shared" si="11"/>
        <v>0</v>
      </c>
      <c r="K112" s="129"/>
      <c r="L112" s="96">
        <f>L113</f>
        <v>34985140.490000002</v>
      </c>
    </row>
    <row r="113" spans="1:12" ht="18.7" customHeight="1" outlineLevel="2" x14ac:dyDescent="0.25">
      <c r="A113" s="81" t="s">
        <v>13</v>
      </c>
      <c r="B113" s="80" t="s">
        <v>500</v>
      </c>
      <c r="C113" s="80" t="s">
        <v>24</v>
      </c>
      <c r="D113" s="80" t="s">
        <v>495</v>
      </c>
      <c r="E113" s="83" t="s">
        <v>14</v>
      </c>
      <c r="F113" s="82">
        <v>34065706.369999997</v>
      </c>
      <c r="G113" s="82">
        <v>34882443</v>
      </c>
      <c r="H113" s="82">
        <v>34985140.490000002</v>
      </c>
      <c r="I113" s="96">
        <f>34805469.49+247671-68000</f>
        <v>34985140.490000002</v>
      </c>
      <c r="J113" s="129">
        <f t="shared" si="11"/>
        <v>0</v>
      </c>
      <c r="K113" s="129"/>
      <c r="L113" s="96">
        <f>34805469.49+247671-68000</f>
        <v>34985140.490000002</v>
      </c>
    </row>
    <row r="114" spans="1:12" ht="20.25" customHeight="1" outlineLevel="4" x14ac:dyDescent="0.25">
      <c r="A114" s="81" t="s">
        <v>15</v>
      </c>
      <c r="B114" s="80" t="s">
        <v>500</v>
      </c>
      <c r="C114" s="80" t="s">
        <v>24</v>
      </c>
      <c r="D114" s="80" t="s">
        <v>495</v>
      </c>
      <c r="E114" s="83" t="s">
        <v>16</v>
      </c>
      <c r="F114" s="98">
        <f>F115</f>
        <v>20000</v>
      </c>
      <c r="G114" s="98">
        <f>G115</f>
        <v>880366</v>
      </c>
      <c r="H114" s="98">
        <f>H115</f>
        <v>20000</v>
      </c>
      <c r="I114" s="108">
        <f>I115</f>
        <v>20000</v>
      </c>
      <c r="J114" s="129">
        <f t="shared" si="11"/>
        <v>0</v>
      </c>
      <c r="K114" s="129"/>
      <c r="L114" s="108">
        <f>L115</f>
        <v>20000</v>
      </c>
    </row>
    <row r="115" spans="1:12" ht="55.05" outlineLevel="5" x14ac:dyDescent="0.25">
      <c r="A115" s="81" t="s">
        <v>17</v>
      </c>
      <c r="B115" s="80" t="s">
        <v>500</v>
      </c>
      <c r="C115" s="80" t="s">
        <v>24</v>
      </c>
      <c r="D115" s="80" t="s">
        <v>495</v>
      </c>
      <c r="E115" s="83" t="s">
        <v>18</v>
      </c>
      <c r="F115" s="82">
        <f>20000</f>
        <v>20000</v>
      </c>
      <c r="G115" s="82">
        <v>880366</v>
      </c>
      <c r="H115" s="82">
        <v>20000</v>
      </c>
      <c r="I115" s="96">
        <v>20000</v>
      </c>
      <c r="J115" s="129">
        <f t="shared" si="11"/>
        <v>0</v>
      </c>
      <c r="K115" s="129"/>
      <c r="L115" s="96">
        <v>20000</v>
      </c>
    </row>
    <row r="116" spans="1:12" ht="55.05" outlineLevel="5" x14ac:dyDescent="0.25">
      <c r="A116" s="81" t="s">
        <v>688</v>
      </c>
      <c r="B116" s="80" t="s">
        <v>500</v>
      </c>
      <c r="C116" s="80" t="s">
        <v>24</v>
      </c>
      <c r="D116" s="80" t="s">
        <v>686</v>
      </c>
      <c r="E116" s="80" t="s">
        <v>6</v>
      </c>
      <c r="F116" s="82">
        <f>F117</f>
        <v>454002.59</v>
      </c>
      <c r="G116" s="82">
        <f>G117</f>
        <v>0</v>
      </c>
      <c r="H116" s="82">
        <f>H117</f>
        <v>460000</v>
      </c>
      <c r="I116" s="82">
        <f>I117</f>
        <v>460000</v>
      </c>
      <c r="J116" s="129">
        <f t="shared" si="11"/>
        <v>0</v>
      </c>
      <c r="K116" s="129"/>
      <c r="L116" s="82">
        <f>L117</f>
        <v>460000</v>
      </c>
    </row>
    <row r="117" spans="1:12" outlineLevel="5" x14ac:dyDescent="0.25">
      <c r="A117" s="81" t="s">
        <v>19</v>
      </c>
      <c r="B117" s="80" t="s">
        <v>500</v>
      </c>
      <c r="C117" s="80" t="s">
        <v>24</v>
      </c>
      <c r="D117" s="80" t="s">
        <v>686</v>
      </c>
      <c r="E117" s="80" t="s">
        <v>20</v>
      </c>
      <c r="F117" s="82">
        <f>F119+F118</f>
        <v>454002.59</v>
      </c>
      <c r="G117" s="82">
        <f>G118+G119</f>
        <v>0</v>
      </c>
      <c r="H117" s="82">
        <f>H118+H119</f>
        <v>460000</v>
      </c>
      <c r="I117" s="96">
        <f>I118+I119</f>
        <v>460000</v>
      </c>
      <c r="J117" s="129">
        <f t="shared" si="11"/>
        <v>0</v>
      </c>
      <c r="K117" s="129"/>
      <c r="L117" s="96">
        <f>L118+L119</f>
        <v>460000</v>
      </c>
    </row>
    <row r="118" spans="1:12" ht="36.700000000000003" outlineLevel="5" x14ac:dyDescent="0.25">
      <c r="A118" s="81" t="s">
        <v>715</v>
      </c>
      <c r="B118" s="80" t="s">
        <v>500</v>
      </c>
      <c r="C118" s="80" t="s">
        <v>24</v>
      </c>
      <c r="D118" s="80" t="s">
        <v>686</v>
      </c>
      <c r="E118" s="118" t="s">
        <v>716</v>
      </c>
      <c r="F118" s="82">
        <v>61000</v>
      </c>
      <c r="G118" s="82">
        <v>0</v>
      </c>
      <c r="H118" s="82">
        <v>0</v>
      </c>
      <c r="I118" s="96">
        <v>0</v>
      </c>
      <c r="J118" s="129">
        <f t="shared" si="11"/>
        <v>0</v>
      </c>
      <c r="K118" s="129"/>
      <c r="L118" s="96">
        <v>0</v>
      </c>
    </row>
    <row r="119" spans="1:12" ht="27" customHeight="1" outlineLevel="5" x14ac:dyDescent="0.25">
      <c r="A119" s="81" t="s">
        <v>687</v>
      </c>
      <c r="B119" s="80" t="s">
        <v>500</v>
      </c>
      <c r="C119" s="80" t="s">
        <v>24</v>
      </c>
      <c r="D119" s="80" t="s">
        <v>686</v>
      </c>
      <c r="E119" s="80" t="s">
        <v>22</v>
      </c>
      <c r="F119" s="82">
        <v>393002.59</v>
      </c>
      <c r="G119" s="82">
        <v>0</v>
      </c>
      <c r="H119" s="82">
        <f>150000+310000</f>
        <v>460000</v>
      </c>
      <c r="I119" s="96">
        <f>150000+310000</f>
        <v>460000</v>
      </c>
      <c r="J119" s="129">
        <f t="shared" si="11"/>
        <v>0</v>
      </c>
      <c r="K119" s="129"/>
      <c r="L119" s="96">
        <f>150000+310000</f>
        <v>460000</v>
      </c>
    </row>
    <row r="120" spans="1:12" ht="36.700000000000003" outlineLevel="5" x14ac:dyDescent="0.25">
      <c r="A120" s="25" t="s">
        <v>600</v>
      </c>
      <c r="B120" s="80" t="s">
        <v>500</v>
      </c>
      <c r="C120" s="80" t="s">
        <v>24</v>
      </c>
      <c r="D120" s="80" t="s">
        <v>601</v>
      </c>
      <c r="E120" s="80" t="s">
        <v>6</v>
      </c>
      <c r="F120" s="82">
        <f>F121+F123</f>
        <v>1519678.9</v>
      </c>
      <c r="G120" s="82">
        <f t="shared" ref="G120:I121" si="18">G121</f>
        <v>0</v>
      </c>
      <c r="H120" s="82">
        <f t="shared" si="18"/>
        <v>0</v>
      </c>
      <c r="I120" s="96">
        <f t="shared" si="18"/>
        <v>0</v>
      </c>
      <c r="J120" s="129">
        <f t="shared" si="11"/>
        <v>0</v>
      </c>
      <c r="K120" s="129"/>
      <c r="L120" s="96">
        <f>L121</f>
        <v>0</v>
      </c>
    </row>
    <row r="121" spans="1:12" ht="36.700000000000003" outlineLevel="5" x14ac:dyDescent="0.25">
      <c r="A121" s="81" t="s">
        <v>15</v>
      </c>
      <c r="B121" s="80" t="s">
        <v>500</v>
      </c>
      <c r="C121" s="80" t="s">
        <v>24</v>
      </c>
      <c r="D121" s="80" t="s">
        <v>601</v>
      </c>
      <c r="E121" s="80" t="s">
        <v>16</v>
      </c>
      <c r="F121" s="82">
        <f>F122</f>
        <v>153000</v>
      </c>
      <c r="G121" s="82">
        <f t="shared" si="18"/>
        <v>0</v>
      </c>
      <c r="H121" s="82">
        <f t="shared" si="18"/>
        <v>0</v>
      </c>
      <c r="I121" s="96">
        <f t="shared" si="18"/>
        <v>0</v>
      </c>
      <c r="J121" s="129">
        <f t="shared" si="11"/>
        <v>0</v>
      </c>
      <c r="K121" s="129"/>
      <c r="L121" s="96">
        <f>L122</f>
        <v>0</v>
      </c>
    </row>
    <row r="122" spans="1:12" ht="55.05" outlineLevel="5" x14ac:dyDescent="0.25">
      <c r="A122" s="81" t="s">
        <v>17</v>
      </c>
      <c r="B122" s="80" t="s">
        <v>500</v>
      </c>
      <c r="C122" s="80" t="s">
        <v>24</v>
      </c>
      <c r="D122" s="80" t="s">
        <v>601</v>
      </c>
      <c r="E122" s="80" t="s">
        <v>18</v>
      </c>
      <c r="F122" s="82">
        <v>153000</v>
      </c>
      <c r="G122" s="82">
        <v>0</v>
      </c>
      <c r="H122" s="82">
        <v>0</v>
      </c>
      <c r="I122" s="96">
        <v>0</v>
      </c>
      <c r="J122" s="129">
        <f t="shared" si="11"/>
        <v>0</v>
      </c>
      <c r="K122" s="129"/>
      <c r="L122" s="96">
        <v>0</v>
      </c>
    </row>
    <row r="123" spans="1:12" ht="36.700000000000003" outlineLevel="5" x14ac:dyDescent="0.25">
      <c r="A123" s="81" t="s">
        <v>90</v>
      </c>
      <c r="B123" s="80" t="s">
        <v>500</v>
      </c>
      <c r="C123" s="80" t="s">
        <v>24</v>
      </c>
      <c r="D123" s="80" t="s">
        <v>601</v>
      </c>
      <c r="E123" s="80" t="s">
        <v>91</v>
      </c>
      <c r="F123" s="82">
        <f>F124</f>
        <v>1366678.9</v>
      </c>
      <c r="G123" s="82">
        <f>G124</f>
        <v>0</v>
      </c>
      <c r="H123" s="82">
        <f>H124</f>
        <v>0</v>
      </c>
      <c r="I123" s="96">
        <f>I124</f>
        <v>0</v>
      </c>
      <c r="J123" s="129">
        <f t="shared" si="11"/>
        <v>0</v>
      </c>
      <c r="K123" s="129"/>
      <c r="L123" s="96">
        <f>L124</f>
        <v>0</v>
      </c>
    </row>
    <row r="124" spans="1:12" ht="55.05" outlineLevel="5" x14ac:dyDescent="0.25">
      <c r="A124" s="81" t="s">
        <v>97</v>
      </c>
      <c r="B124" s="80" t="s">
        <v>500</v>
      </c>
      <c r="C124" s="80" t="s">
        <v>24</v>
      </c>
      <c r="D124" s="80" t="s">
        <v>601</v>
      </c>
      <c r="E124" s="80" t="s">
        <v>98</v>
      </c>
      <c r="F124" s="82">
        <v>1366678.9</v>
      </c>
      <c r="G124" s="82">
        <v>0</v>
      </c>
      <c r="H124" s="82">
        <v>0</v>
      </c>
      <c r="I124" s="96">
        <v>0</v>
      </c>
      <c r="J124" s="129">
        <f t="shared" si="11"/>
        <v>0</v>
      </c>
      <c r="K124" s="129"/>
      <c r="L124" s="96">
        <v>0</v>
      </c>
    </row>
    <row r="125" spans="1:12" ht="55.05" outlineLevel="6" x14ac:dyDescent="0.25">
      <c r="A125" s="81" t="s">
        <v>503</v>
      </c>
      <c r="B125" s="80" t="s">
        <v>500</v>
      </c>
      <c r="C125" s="80" t="s">
        <v>24</v>
      </c>
      <c r="D125" s="80" t="s">
        <v>502</v>
      </c>
      <c r="E125" s="83" t="s">
        <v>6</v>
      </c>
      <c r="F125" s="98">
        <f>F126</f>
        <v>200000</v>
      </c>
      <c r="G125" s="98">
        <f t="shared" ref="G125:I126" si="19">G126</f>
        <v>200000</v>
      </c>
      <c r="H125" s="98">
        <f t="shared" si="19"/>
        <v>200000</v>
      </c>
      <c r="I125" s="108">
        <f t="shared" si="19"/>
        <v>200000</v>
      </c>
      <c r="J125" s="129">
        <f t="shared" si="11"/>
        <v>0</v>
      </c>
      <c r="K125" s="129"/>
      <c r="L125" s="108">
        <f>L126</f>
        <v>200000</v>
      </c>
    </row>
    <row r="126" spans="1:12" ht="18" customHeight="1" outlineLevel="7" x14ac:dyDescent="0.25">
      <c r="A126" s="81" t="s">
        <v>15</v>
      </c>
      <c r="B126" s="80" t="s">
        <v>500</v>
      </c>
      <c r="C126" s="80" t="s">
        <v>24</v>
      </c>
      <c r="D126" s="80" t="s">
        <v>502</v>
      </c>
      <c r="E126" s="83" t="s">
        <v>16</v>
      </c>
      <c r="F126" s="98">
        <f>F127</f>
        <v>200000</v>
      </c>
      <c r="G126" s="98">
        <f t="shared" si="19"/>
        <v>200000</v>
      </c>
      <c r="H126" s="98">
        <f t="shared" si="19"/>
        <v>200000</v>
      </c>
      <c r="I126" s="98">
        <f t="shared" si="19"/>
        <v>200000</v>
      </c>
      <c r="J126" s="129">
        <f t="shared" si="11"/>
        <v>0</v>
      </c>
      <c r="K126" s="129"/>
      <c r="L126" s="98">
        <f>L127</f>
        <v>200000</v>
      </c>
    </row>
    <row r="127" spans="1:12" ht="55.05" outlineLevel="7" x14ac:dyDescent="0.25">
      <c r="A127" s="81" t="s">
        <v>17</v>
      </c>
      <c r="B127" s="80" t="s">
        <v>500</v>
      </c>
      <c r="C127" s="80" t="s">
        <v>24</v>
      </c>
      <c r="D127" s="80" t="s">
        <v>502</v>
      </c>
      <c r="E127" s="83" t="s">
        <v>18</v>
      </c>
      <c r="F127" s="82">
        <v>200000</v>
      </c>
      <c r="G127" s="82">
        <v>200000</v>
      </c>
      <c r="H127" s="82">
        <v>200000</v>
      </c>
      <c r="I127" s="96">
        <v>200000</v>
      </c>
      <c r="J127" s="129">
        <f t="shared" si="11"/>
        <v>0</v>
      </c>
      <c r="K127" s="129"/>
      <c r="L127" s="96">
        <v>200000</v>
      </c>
    </row>
    <row r="128" spans="1:12" ht="36.700000000000003" outlineLevel="7" x14ac:dyDescent="0.25">
      <c r="A128" s="81" t="s">
        <v>277</v>
      </c>
      <c r="B128" s="80" t="s">
        <v>500</v>
      </c>
      <c r="C128" s="80" t="s">
        <v>24</v>
      </c>
      <c r="D128" s="80" t="s">
        <v>276</v>
      </c>
      <c r="E128" s="83" t="s">
        <v>6</v>
      </c>
      <c r="F128" s="82">
        <f>F152+F129+F137+F142+F147+F134+307152</f>
        <v>7374065.2000000002</v>
      </c>
      <c r="G128" s="82">
        <f>G152+G129+G137+G142+G147+G134</f>
        <v>6803803.2000000002</v>
      </c>
      <c r="H128" s="82">
        <f>H152+H129+H137+H142+H147+H134</f>
        <v>7349202.9299999997</v>
      </c>
      <c r="I128" s="82">
        <f>I152+I129+I137+I142+I147+I134</f>
        <v>7349202.9299999997</v>
      </c>
      <c r="J128" s="129">
        <f t="shared" si="11"/>
        <v>0</v>
      </c>
      <c r="K128" s="129"/>
      <c r="L128" s="82">
        <f>L152+L129+L137+L142+L147+L134</f>
        <v>7349202.9299999997</v>
      </c>
    </row>
    <row r="129" spans="1:12" ht="57.75" customHeight="1" outlineLevel="7" x14ac:dyDescent="0.25">
      <c r="A129" s="100" t="s">
        <v>438</v>
      </c>
      <c r="B129" s="80" t="s">
        <v>500</v>
      </c>
      <c r="C129" s="80" t="s">
        <v>24</v>
      </c>
      <c r="D129" s="80" t="s">
        <v>278</v>
      </c>
      <c r="E129" s="83" t="s">
        <v>6</v>
      </c>
      <c r="F129" s="82">
        <f>F130+F132</f>
        <v>1395192</v>
      </c>
      <c r="G129" s="82">
        <f>G130+G132</f>
        <v>1361162</v>
      </c>
      <c r="H129" s="82">
        <f>H130+H132</f>
        <v>1414316</v>
      </c>
      <c r="I129" s="96">
        <f>I130+I132</f>
        <v>1414316</v>
      </c>
      <c r="J129" s="129">
        <f t="shared" si="11"/>
        <v>0</v>
      </c>
      <c r="K129" s="129"/>
      <c r="L129" s="96">
        <f>L130+L132</f>
        <v>1414316</v>
      </c>
    </row>
    <row r="130" spans="1:12" ht="58.75" customHeight="1" outlineLevel="7" x14ac:dyDescent="0.25">
      <c r="A130" s="81" t="s">
        <v>11</v>
      </c>
      <c r="B130" s="80" t="s">
        <v>500</v>
      </c>
      <c r="C130" s="80" t="s">
        <v>24</v>
      </c>
      <c r="D130" s="80" t="s">
        <v>278</v>
      </c>
      <c r="E130" s="83" t="s">
        <v>12</v>
      </c>
      <c r="F130" s="82">
        <f>F131</f>
        <v>1380192</v>
      </c>
      <c r="G130" s="82">
        <f>G131</f>
        <v>1346162</v>
      </c>
      <c r="H130" s="82">
        <f>H131</f>
        <v>1399316</v>
      </c>
      <c r="I130" s="96">
        <f>I131</f>
        <v>1399316</v>
      </c>
      <c r="J130" s="129">
        <f t="shared" si="11"/>
        <v>0</v>
      </c>
      <c r="K130" s="129"/>
      <c r="L130" s="96">
        <f>L131</f>
        <v>1399316</v>
      </c>
    </row>
    <row r="131" spans="1:12" ht="18.7" customHeight="1" outlineLevel="7" x14ac:dyDescent="0.25">
      <c r="A131" s="81" t="s">
        <v>13</v>
      </c>
      <c r="B131" s="80" t="s">
        <v>500</v>
      </c>
      <c r="C131" s="80" t="s">
        <v>24</v>
      </c>
      <c r="D131" s="80" t="s">
        <v>278</v>
      </c>
      <c r="E131" s="83" t="s">
        <v>14</v>
      </c>
      <c r="F131" s="82">
        <f>1346162+34030</f>
        <v>1380192</v>
      </c>
      <c r="G131" s="82">
        <v>1346162</v>
      </c>
      <c r="H131" s="82">
        <v>1399316</v>
      </c>
      <c r="I131" s="96">
        <v>1399316</v>
      </c>
      <c r="J131" s="129">
        <f t="shared" si="11"/>
        <v>0</v>
      </c>
      <c r="K131" s="129"/>
      <c r="L131" s="96">
        <v>1399316</v>
      </c>
    </row>
    <row r="132" spans="1:12" ht="19.55" customHeight="1" outlineLevel="7" x14ac:dyDescent="0.25">
      <c r="A132" s="81" t="s">
        <v>15</v>
      </c>
      <c r="B132" s="80" t="s">
        <v>500</v>
      </c>
      <c r="C132" s="80" t="s">
        <v>24</v>
      </c>
      <c r="D132" s="80" t="s">
        <v>278</v>
      </c>
      <c r="E132" s="83" t="s">
        <v>16</v>
      </c>
      <c r="F132" s="82">
        <f>F133</f>
        <v>15000</v>
      </c>
      <c r="G132" s="82">
        <f>G133</f>
        <v>15000</v>
      </c>
      <c r="H132" s="82">
        <f>H133</f>
        <v>15000</v>
      </c>
      <c r="I132" s="96">
        <f>I133</f>
        <v>15000</v>
      </c>
      <c r="J132" s="129">
        <f t="shared" si="11"/>
        <v>0</v>
      </c>
      <c r="K132" s="129"/>
      <c r="L132" s="96">
        <f>L133</f>
        <v>15000</v>
      </c>
    </row>
    <row r="133" spans="1:12" ht="55.05" outlineLevel="7" x14ac:dyDescent="0.25">
      <c r="A133" s="81" t="s">
        <v>17</v>
      </c>
      <c r="B133" s="80" t="s">
        <v>500</v>
      </c>
      <c r="C133" s="80" t="s">
        <v>24</v>
      </c>
      <c r="D133" s="80" t="s">
        <v>278</v>
      </c>
      <c r="E133" s="83" t="s">
        <v>18</v>
      </c>
      <c r="F133" s="82">
        <v>15000</v>
      </c>
      <c r="G133" s="82">
        <v>15000</v>
      </c>
      <c r="H133" s="82">
        <v>15000</v>
      </c>
      <c r="I133" s="96">
        <v>15000</v>
      </c>
      <c r="J133" s="129">
        <f t="shared" si="11"/>
        <v>0</v>
      </c>
      <c r="K133" s="129"/>
      <c r="L133" s="96">
        <v>15000</v>
      </c>
    </row>
    <row r="134" spans="1:12" ht="128.4" outlineLevel="7" x14ac:dyDescent="0.25">
      <c r="A134" s="81" t="s">
        <v>722</v>
      </c>
      <c r="B134" s="80" t="s">
        <v>500</v>
      </c>
      <c r="C134" s="80" t="s">
        <v>24</v>
      </c>
      <c r="D134" s="80" t="s">
        <v>721</v>
      </c>
      <c r="E134" s="80" t="s">
        <v>6</v>
      </c>
      <c r="F134" s="82">
        <f t="shared" ref="F134:I135" si="20">F135</f>
        <v>272232</v>
      </c>
      <c r="G134" s="82">
        <f t="shared" si="20"/>
        <v>0</v>
      </c>
      <c r="H134" s="82">
        <f t="shared" si="20"/>
        <v>353579</v>
      </c>
      <c r="I134" s="96">
        <f t="shared" si="20"/>
        <v>353579</v>
      </c>
      <c r="J134" s="129">
        <f t="shared" si="11"/>
        <v>0</v>
      </c>
      <c r="K134" s="129"/>
      <c r="L134" s="96">
        <f>L135</f>
        <v>353579</v>
      </c>
    </row>
    <row r="135" spans="1:12" ht="55.05" outlineLevel="7" x14ac:dyDescent="0.25">
      <c r="A135" s="81" t="s">
        <v>13</v>
      </c>
      <c r="B135" s="80" t="s">
        <v>500</v>
      </c>
      <c r="C135" s="80" t="s">
        <v>24</v>
      </c>
      <c r="D135" s="80" t="s">
        <v>721</v>
      </c>
      <c r="E135" s="80" t="s">
        <v>12</v>
      </c>
      <c r="F135" s="82">
        <f t="shared" si="20"/>
        <v>272232</v>
      </c>
      <c r="G135" s="82">
        <f t="shared" si="20"/>
        <v>0</v>
      </c>
      <c r="H135" s="82">
        <f t="shared" si="20"/>
        <v>353579</v>
      </c>
      <c r="I135" s="96">
        <f t="shared" si="20"/>
        <v>353579</v>
      </c>
      <c r="J135" s="129">
        <f t="shared" si="11"/>
        <v>0</v>
      </c>
      <c r="K135" s="129"/>
      <c r="L135" s="96">
        <f>L136</f>
        <v>353579</v>
      </c>
    </row>
    <row r="136" spans="1:12" ht="36.700000000000003" outlineLevel="7" x14ac:dyDescent="0.25">
      <c r="A136" s="81" t="s">
        <v>15</v>
      </c>
      <c r="B136" s="80" t="s">
        <v>500</v>
      </c>
      <c r="C136" s="80" t="s">
        <v>24</v>
      </c>
      <c r="D136" s="80" t="s">
        <v>721</v>
      </c>
      <c r="E136" s="80" t="s">
        <v>14</v>
      </c>
      <c r="F136" s="82">
        <v>272232</v>
      </c>
      <c r="G136" s="82">
        <v>0</v>
      </c>
      <c r="H136" s="82">
        <v>353579</v>
      </c>
      <c r="I136" s="96">
        <v>353579</v>
      </c>
      <c r="J136" s="129">
        <f t="shared" si="11"/>
        <v>0</v>
      </c>
      <c r="K136" s="129"/>
      <c r="L136" s="96">
        <v>353579</v>
      </c>
    </row>
    <row r="137" spans="1:12" ht="22.75" customHeight="1" outlineLevel="7" x14ac:dyDescent="0.25">
      <c r="A137" s="100" t="s">
        <v>573</v>
      </c>
      <c r="B137" s="80" t="s">
        <v>500</v>
      </c>
      <c r="C137" s="80" t="s">
        <v>24</v>
      </c>
      <c r="D137" s="80" t="s">
        <v>580</v>
      </c>
      <c r="E137" s="83" t="s">
        <v>6</v>
      </c>
      <c r="F137" s="82">
        <f>F138+F140</f>
        <v>1998463</v>
      </c>
      <c r="G137" s="82">
        <f>G138+G140</f>
        <v>2017233</v>
      </c>
      <c r="H137" s="82">
        <f>H138+H140</f>
        <v>2096028</v>
      </c>
      <c r="I137" s="96">
        <f>I138+I140</f>
        <v>2096028</v>
      </c>
      <c r="J137" s="129">
        <f t="shared" si="11"/>
        <v>0</v>
      </c>
      <c r="K137" s="129"/>
      <c r="L137" s="96">
        <f>L138+L140</f>
        <v>2096028</v>
      </c>
    </row>
    <row r="138" spans="1:12" ht="57.75" customHeight="1" outlineLevel="7" x14ac:dyDescent="0.25">
      <c r="A138" s="81" t="s">
        <v>11</v>
      </c>
      <c r="B138" s="80" t="s">
        <v>500</v>
      </c>
      <c r="C138" s="80" t="s">
        <v>24</v>
      </c>
      <c r="D138" s="80" t="s">
        <v>580</v>
      </c>
      <c r="E138" s="83" t="s">
        <v>12</v>
      </c>
      <c r="F138" s="82">
        <f>F139</f>
        <v>1983463</v>
      </c>
      <c r="G138" s="82">
        <f>G139</f>
        <v>2002233</v>
      </c>
      <c r="H138" s="82">
        <f>H139</f>
        <v>2081028</v>
      </c>
      <c r="I138" s="96">
        <f>I139</f>
        <v>2081028</v>
      </c>
      <c r="J138" s="129">
        <f t="shared" si="11"/>
        <v>0</v>
      </c>
      <c r="K138" s="129"/>
      <c r="L138" s="96">
        <f>L139</f>
        <v>2081028</v>
      </c>
    </row>
    <row r="139" spans="1:12" ht="19.55" customHeight="1" outlineLevel="7" x14ac:dyDescent="0.25">
      <c r="A139" s="81" t="s">
        <v>13</v>
      </c>
      <c r="B139" s="80" t="s">
        <v>500</v>
      </c>
      <c r="C139" s="80" t="s">
        <v>24</v>
      </c>
      <c r="D139" s="80" t="s">
        <v>580</v>
      </c>
      <c r="E139" s="83" t="s">
        <v>14</v>
      </c>
      <c r="F139" s="82">
        <v>1983463</v>
      </c>
      <c r="G139" s="82">
        <v>2002233</v>
      </c>
      <c r="H139" s="82">
        <v>2081028</v>
      </c>
      <c r="I139" s="96">
        <v>2081028</v>
      </c>
      <c r="J139" s="129">
        <f t="shared" si="11"/>
        <v>0</v>
      </c>
      <c r="K139" s="129"/>
      <c r="L139" s="96">
        <v>2081028</v>
      </c>
    </row>
    <row r="140" spans="1:12" ht="21.25" customHeight="1" outlineLevel="7" x14ac:dyDescent="0.25">
      <c r="A140" s="81" t="s">
        <v>15</v>
      </c>
      <c r="B140" s="80" t="s">
        <v>500</v>
      </c>
      <c r="C140" s="80" t="s">
        <v>24</v>
      </c>
      <c r="D140" s="80" t="s">
        <v>580</v>
      </c>
      <c r="E140" s="83" t="s">
        <v>16</v>
      </c>
      <c r="F140" s="82">
        <f>F141</f>
        <v>15000</v>
      </c>
      <c r="G140" s="82">
        <f>G141</f>
        <v>15000</v>
      </c>
      <c r="H140" s="82">
        <f>H141</f>
        <v>15000</v>
      </c>
      <c r="I140" s="96">
        <f>I141</f>
        <v>15000</v>
      </c>
      <c r="J140" s="129">
        <f t="shared" si="11"/>
        <v>0</v>
      </c>
      <c r="K140" s="129"/>
      <c r="L140" s="96">
        <f>L141</f>
        <v>15000</v>
      </c>
    </row>
    <row r="141" spans="1:12" ht="55.05" outlineLevel="7" x14ac:dyDescent="0.25">
      <c r="A141" s="81" t="s">
        <v>17</v>
      </c>
      <c r="B141" s="80" t="s">
        <v>500</v>
      </c>
      <c r="C141" s="80" t="s">
        <v>24</v>
      </c>
      <c r="D141" s="80" t="s">
        <v>580</v>
      </c>
      <c r="E141" s="83" t="s">
        <v>18</v>
      </c>
      <c r="F141" s="82">
        <v>15000</v>
      </c>
      <c r="G141" s="82">
        <v>15000</v>
      </c>
      <c r="H141" s="82">
        <v>15000</v>
      </c>
      <c r="I141" s="96">
        <v>15000</v>
      </c>
      <c r="J141" s="129">
        <f t="shared" si="11"/>
        <v>0</v>
      </c>
      <c r="K141" s="129"/>
      <c r="L141" s="96">
        <v>15000</v>
      </c>
    </row>
    <row r="142" spans="1:12" ht="91.7" outlineLevel="3" x14ac:dyDescent="0.25">
      <c r="A142" s="100" t="s">
        <v>382</v>
      </c>
      <c r="B142" s="80" t="s">
        <v>500</v>
      </c>
      <c r="C142" s="80" t="s">
        <v>24</v>
      </c>
      <c r="D142" s="80" t="s">
        <v>279</v>
      </c>
      <c r="E142" s="83" t="s">
        <v>6</v>
      </c>
      <c r="F142" s="82">
        <f>F143+F145</f>
        <v>794861</v>
      </c>
      <c r="G142" s="82">
        <f>G143+G145</f>
        <v>802160</v>
      </c>
      <c r="H142" s="82">
        <f>H143+H145</f>
        <v>830909</v>
      </c>
      <c r="I142" s="96">
        <f>I143+I145</f>
        <v>830909</v>
      </c>
      <c r="J142" s="129">
        <f t="shared" si="11"/>
        <v>0</v>
      </c>
      <c r="K142" s="129"/>
      <c r="L142" s="96">
        <f>L143+L145</f>
        <v>830909</v>
      </c>
    </row>
    <row r="143" spans="1:12" ht="57.75" customHeight="1" outlineLevel="3" x14ac:dyDescent="0.25">
      <c r="A143" s="81" t="s">
        <v>11</v>
      </c>
      <c r="B143" s="80" t="s">
        <v>500</v>
      </c>
      <c r="C143" s="80" t="s">
        <v>24</v>
      </c>
      <c r="D143" s="80" t="s">
        <v>279</v>
      </c>
      <c r="E143" s="83" t="s">
        <v>12</v>
      </c>
      <c r="F143" s="82">
        <f>F144</f>
        <v>749861</v>
      </c>
      <c r="G143" s="82">
        <f>G144</f>
        <v>757160</v>
      </c>
      <c r="H143" s="82">
        <f>H144</f>
        <v>785909</v>
      </c>
      <c r="I143" s="96">
        <f>I144</f>
        <v>785909</v>
      </c>
      <c r="J143" s="129">
        <f t="shared" ref="J143:J211" si="21">I143-H143</f>
        <v>0</v>
      </c>
      <c r="K143" s="129"/>
      <c r="L143" s="96">
        <f>L144</f>
        <v>785909</v>
      </c>
    </row>
    <row r="144" spans="1:12" ht="18.7" customHeight="1" outlineLevel="3" x14ac:dyDescent="0.25">
      <c r="A144" s="81" t="s">
        <v>13</v>
      </c>
      <c r="B144" s="80" t="s">
        <v>500</v>
      </c>
      <c r="C144" s="80" t="s">
        <v>24</v>
      </c>
      <c r="D144" s="80" t="s">
        <v>279</v>
      </c>
      <c r="E144" s="83" t="s">
        <v>14</v>
      </c>
      <c r="F144" s="82">
        <v>749861</v>
      </c>
      <c r="G144" s="82">
        <v>757160</v>
      </c>
      <c r="H144" s="131">
        <v>785909</v>
      </c>
      <c r="I144" s="117">
        <v>785909</v>
      </c>
      <c r="J144" s="129">
        <f t="shared" si="21"/>
        <v>0</v>
      </c>
      <c r="K144" s="129"/>
      <c r="L144" s="117">
        <v>785909</v>
      </c>
    </row>
    <row r="145" spans="1:12" ht="20.25" customHeight="1" outlineLevel="3" x14ac:dyDescent="0.25">
      <c r="A145" s="81" t="s">
        <v>15</v>
      </c>
      <c r="B145" s="80" t="s">
        <v>500</v>
      </c>
      <c r="C145" s="80" t="s">
        <v>24</v>
      </c>
      <c r="D145" s="80" t="s">
        <v>279</v>
      </c>
      <c r="E145" s="83" t="s">
        <v>16</v>
      </c>
      <c r="F145" s="82">
        <f>F146</f>
        <v>45000</v>
      </c>
      <c r="G145" s="82">
        <f>G146</f>
        <v>45000</v>
      </c>
      <c r="H145" s="82">
        <f>H146</f>
        <v>45000</v>
      </c>
      <c r="I145" s="82">
        <f>I146</f>
        <v>45000</v>
      </c>
      <c r="J145" s="129">
        <f t="shared" si="21"/>
        <v>0</v>
      </c>
      <c r="K145" s="129"/>
      <c r="L145" s="82">
        <f>L146</f>
        <v>45000</v>
      </c>
    </row>
    <row r="146" spans="1:12" ht="55.05" outlineLevel="5" x14ac:dyDescent="0.25">
      <c r="A146" s="81" t="s">
        <v>17</v>
      </c>
      <c r="B146" s="80" t="s">
        <v>500</v>
      </c>
      <c r="C146" s="80" t="s">
        <v>24</v>
      </c>
      <c r="D146" s="80" t="s">
        <v>279</v>
      </c>
      <c r="E146" s="83" t="s">
        <v>18</v>
      </c>
      <c r="F146" s="82">
        <v>45000</v>
      </c>
      <c r="G146" s="82">
        <v>45000</v>
      </c>
      <c r="H146" s="82">
        <v>45000</v>
      </c>
      <c r="I146" s="96">
        <v>45000</v>
      </c>
      <c r="J146" s="129">
        <f t="shared" si="21"/>
        <v>0</v>
      </c>
      <c r="K146" s="129"/>
      <c r="L146" s="96">
        <v>45000</v>
      </c>
    </row>
    <row r="147" spans="1:12" ht="73.400000000000006" outlineLevel="5" x14ac:dyDescent="0.25">
      <c r="A147" s="81" t="s">
        <v>406</v>
      </c>
      <c r="B147" s="80" t="s">
        <v>500</v>
      </c>
      <c r="C147" s="80" t="s">
        <v>24</v>
      </c>
      <c r="D147" s="80" t="s">
        <v>407</v>
      </c>
      <c r="E147" s="83" t="s">
        <v>6</v>
      </c>
      <c r="F147" s="82">
        <f>F148+F150</f>
        <v>1865848</v>
      </c>
      <c r="G147" s="82">
        <f>G148+G150</f>
        <v>1882931</v>
      </c>
      <c r="H147" s="82">
        <f>H148+H150</f>
        <v>1950219</v>
      </c>
      <c r="I147" s="96">
        <f>I148+I150</f>
        <v>1950219</v>
      </c>
      <c r="J147" s="129">
        <f t="shared" si="21"/>
        <v>0</v>
      </c>
      <c r="K147" s="129"/>
      <c r="L147" s="96">
        <f>L148+L150</f>
        <v>1950219</v>
      </c>
    </row>
    <row r="148" spans="1:12" ht="59.95" customHeight="1" outlineLevel="5" x14ac:dyDescent="0.25">
      <c r="A148" s="81" t="s">
        <v>11</v>
      </c>
      <c r="B148" s="80" t="s">
        <v>500</v>
      </c>
      <c r="C148" s="80" t="s">
        <v>24</v>
      </c>
      <c r="D148" s="80" t="s">
        <v>407</v>
      </c>
      <c r="E148" s="83" t="s">
        <v>12</v>
      </c>
      <c r="F148" s="82">
        <f>F149</f>
        <v>1708248</v>
      </c>
      <c r="G148" s="82">
        <f>G149</f>
        <v>1725331</v>
      </c>
      <c r="H148" s="82">
        <f>H149</f>
        <v>1792619</v>
      </c>
      <c r="I148" s="96">
        <f>I149</f>
        <v>1792619</v>
      </c>
      <c r="J148" s="129">
        <f t="shared" si="21"/>
        <v>0</v>
      </c>
      <c r="K148" s="129"/>
      <c r="L148" s="96">
        <f>L149</f>
        <v>1792619</v>
      </c>
    </row>
    <row r="149" spans="1:12" ht="18.7" customHeight="1" outlineLevel="5" x14ac:dyDescent="0.25">
      <c r="A149" s="81" t="s">
        <v>13</v>
      </c>
      <c r="B149" s="80" t="s">
        <v>500</v>
      </c>
      <c r="C149" s="80" t="s">
        <v>24</v>
      </c>
      <c r="D149" s="80" t="s">
        <v>407</v>
      </c>
      <c r="E149" s="83" t="s">
        <v>14</v>
      </c>
      <c r="F149" s="82">
        <v>1708248</v>
      </c>
      <c r="G149" s="82">
        <v>1725331</v>
      </c>
      <c r="H149" s="82">
        <v>1792619</v>
      </c>
      <c r="I149" s="96">
        <v>1792619</v>
      </c>
      <c r="J149" s="129">
        <f t="shared" si="21"/>
        <v>0</v>
      </c>
      <c r="K149" s="129"/>
      <c r="L149" s="96">
        <v>1792619</v>
      </c>
    </row>
    <row r="150" spans="1:12" ht="19.55" customHeight="1" outlineLevel="5" x14ac:dyDescent="0.25">
      <c r="A150" s="81" t="s">
        <v>15</v>
      </c>
      <c r="B150" s="80" t="s">
        <v>500</v>
      </c>
      <c r="C150" s="80" t="s">
        <v>24</v>
      </c>
      <c r="D150" s="80" t="s">
        <v>407</v>
      </c>
      <c r="E150" s="83" t="s">
        <v>16</v>
      </c>
      <c r="F150" s="82">
        <f>F151</f>
        <v>157600</v>
      </c>
      <c r="G150" s="82">
        <f>G151</f>
        <v>157600</v>
      </c>
      <c r="H150" s="82">
        <f>H151</f>
        <v>157600</v>
      </c>
      <c r="I150" s="82">
        <f>I151</f>
        <v>157600</v>
      </c>
      <c r="J150" s="129">
        <f t="shared" si="21"/>
        <v>0</v>
      </c>
      <c r="K150" s="129"/>
      <c r="L150" s="82">
        <f>L151</f>
        <v>157600</v>
      </c>
    </row>
    <row r="151" spans="1:12" ht="55.05" outlineLevel="5" x14ac:dyDescent="0.25">
      <c r="A151" s="81" t="s">
        <v>17</v>
      </c>
      <c r="B151" s="80" t="s">
        <v>500</v>
      </c>
      <c r="C151" s="80" t="s">
        <v>24</v>
      </c>
      <c r="D151" s="80" t="s">
        <v>407</v>
      </c>
      <c r="E151" s="83" t="s">
        <v>18</v>
      </c>
      <c r="F151" s="82">
        <v>157600</v>
      </c>
      <c r="G151" s="82">
        <v>157600</v>
      </c>
      <c r="H151" s="82">
        <v>157600</v>
      </c>
      <c r="I151" s="96">
        <v>157600</v>
      </c>
      <c r="J151" s="129">
        <f t="shared" si="21"/>
        <v>0</v>
      </c>
      <c r="K151" s="129"/>
      <c r="L151" s="96">
        <v>157600</v>
      </c>
    </row>
    <row r="152" spans="1:12" ht="119.25" customHeight="1" outlineLevel="7" x14ac:dyDescent="0.25">
      <c r="A152" s="100" t="s">
        <v>656</v>
      </c>
      <c r="B152" s="80" t="s">
        <v>500</v>
      </c>
      <c r="C152" s="80" t="s">
        <v>24</v>
      </c>
      <c r="D152" s="80" t="s">
        <v>295</v>
      </c>
      <c r="E152" s="83" t="s">
        <v>6</v>
      </c>
      <c r="F152" s="82">
        <f>F153+F155</f>
        <v>740317.2</v>
      </c>
      <c r="G152" s="82">
        <f>G153+G155</f>
        <v>740317.2</v>
      </c>
      <c r="H152" s="82">
        <f>H153+H155</f>
        <v>704151.93</v>
      </c>
      <c r="I152" s="96">
        <f>I153+I155</f>
        <v>704151.93</v>
      </c>
      <c r="J152" s="129">
        <f t="shared" si="21"/>
        <v>0</v>
      </c>
      <c r="K152" s="129"/>
      <c r="L152" s="96">
        <f>L153+L155</f>
        <v>704151.93</v>
      </c>
    </row>
    <row r="153" spans="1:12" ht="57.75" customHeight="1" outlineLevel="7" x14ac:dyDescent="0.25">
      <c r="A153" s="81" t="s">
        <v>11</v>
      </c>
      <c r="B153" s="80" t="s">
        <v>500</v>
      </c>
      <c r="C153" s="80" t="s">
        <v>24</v>
      </c>
      <c r="D153" s="80" t="s">
        <v>295</v>
      </c>
      <c r="E153" s="83" t="s">
        <v>12</v>
      </c>
      <c r="F153" s="82">
        <f>F154</f>
        <v>680317.2</v>
      </c>
      <c r="G153" s="82">
        <f>G154</f>
        <v>680317.2</v>
      </c>
      <c r="H153" s="82">
        <f>H154</f>
        <v>644151.93000000005</v>
      </c>
      <c r="I153" s="96">
        <f>I154</f>
        <v>644151.93000000005</v>
      </c>
      <c r="J153" s="129">
        <f t="shared" si="21"/>
        <v>0</v>
      </c>
      <c r="K153" s="129"/>
      <c r="L153" s="96">
        <f>L154</f>
        <v>644151.93000000005</v>
      </c>
    </row>
    <row r="154" spans="1:12" ht="18.7" customHeight="1" outlineLevel="7" x14ac:dyDescent="0.25">
      <c r="A154" s="81" t="s">
        <v>13</v>
      </c>
      <c r="B154" s="80" t="s">
        <v>500</v>
      </c>
      <c r="C154" s="80" t="s">
        <v>24</v>
      </c>
      <c r="D154" s="80" t="s">
        <v>295</v>
      </c>
      <c r="E154" s="83" t="s">
        <v>14</v>
      </c>
      <c r="F154" s="82">
        <v>680317.2</v>
      </c>
      <c r="G154" s="82">
        <v>680317.2</v>
      </c>
      <c r="H154" s="82">
        <v>644151.93000000005</v>
      </c>
      <c r="I154" s="96">
        <v>644151.93000000005</v>
      </c>
      <c r="J154" s="129">
        <f t="shared" si="21"/>
        <v>0</v>
      </c>
      <c r="K154" s="129"/>
      <c r="L154" s="96">
        <v>644151.93000000005</v>
      </c>
    </row>
    <row r="155" spans="1:12" ht="20.25" customHeight="1" outlineLevel="7" x14ac:dyDescent="0.25">
      <c r="A155" s="81" t="s">
        <v>15</v>
      </c>
      <c r="B155" s="80" t="s">
        <v>500</v>
      </c>
      <c r="C155" s="80" t="s">
        <v>24</v>
      </c>
      <c r="D155" s="80" t="s">
        <v>295</v>
      </c>
      <c r="E155" s="83" t="s">
        <v>16</v>
      </c>
      <c r="F155" s="82">
        <f>F156</f>
        <v>60000</v>
      </c>
      <c r="G155" s="82">
        <f>G156</f>
        <v>60000</v>
      </c>
      <c r="H155" s="82">
        <f>H156</f>
        <v>60000</v>
      </c>
      <c r="I155" s="96">
        <f>I156</f>
        <v>60000</v>
      </c>
      <c r="J155" s="129">
        <f t="shared" si="21"/>
        <v>0</v>
      </c>
      <c r="K155" s="129"/>
      <c r="L155" s="96">
        <f>L156</f>
        <v>60000</v>
      </c>
    </row>
    <row r="156" spans="1:12" ht="55.05" outlineLevel="7" x14ac:dyDescent="0.25">
      <c r="A156" s="81" t="s">
        <v>17</v>
      </c>
      <c r="B156" s="80" t="s">
        <v>500</v>
      </c>
      <c r="C156" s="80" t="s">
        <v>24</v>
      </c>
      <c r="D156" s="80" t="s">
        <v>295</v>
      </c>
      <c r="E156" s="83" t="s">
        <v>18</v>
      </c>
      <c r="F156" s="82">
        <v>60000</v>
      </c>
      <c r="G156" s="82">
        <v>60000</v>
      </c>
      <c r="H156" s="82">
        <v>60000</v>
      </c>
      <c r="I156" s="96">
        <v>60000</v>
      </c>
      <c r="J156" s="129">
        <f t="shared" si="21"/>
        <v>0</v>
      </c>
      <c r="K156" s="129"/>
      <c r="L156" s="96">
        <v>60000</v>
      </c>
    </row>
    <row r="157" spans="1:12" ht="19.55" customHeight="1" outlineLevel="7" x14ac:dyDescent="0.25">
      <c r="A157" s="109" t="s">
        <v>581</v>
      </c>
      <c r="B157" s="110" t="s">
        <v>500</v>
      </c>
      <c r="C157" s="110" t="s">
        <v>26</v>
      </c>
      <c r="D157" s="110" t="s">
        <v>126</v>
      </c>
      <c r="E157" s="111" t="s">
        <v>6</v>
      </c>
      <c r="F157" s="82">
        <f t="shared" ref="F157:I162" si="22">F158</f>
        <v>1465972.63</v>
      </c>
      <c r="G157" s="82">
        <f t="shared" si="22"/>
        <v>1348180</v>
      </c>
      <c r="H157" s="82">
        <f t="shared" si="22"/>
        <v>1591180</v>
      </c>
      <c r="I157" s="96">
        <f t="shared" si="22"/>
        <v>1591180</v>
      </c>
      <c r="J157" s="129">
        <f t="shared" si="21"/>
        <v>0</v>
      </c>
      <c r="K157" s="129"/>
      <c r="L157" s="96">
        <f t="shared" ref="L157:L162" si="23">L158</f>
        <v>1591180</v>
      </c>
    </row>
    <row r="158" spans="1:12" ht="19.55" customHeight="1" outlineLevel="7" x14ac:dyDescent="0.25">
      <c r="A158" s="81" t="s">
        <v>582</v>
      </c>
      <c r="B158" s="80" t="s">
        <v>500</v>
      </c>
      <c r="C158" s="80" t="s">
        <v>583</v>
      </c>
      <c r="D158" s="80" t="s">
        <v>126</v>
      </c>
      <c r="E158" s="83" t="s">
        <v>6</v>
      </c>
      <c r="F158" s="82">
        <f t="shared" si="22"/>
        <v>1465972.63</v>
      </c>
      <c r="G158" s="82">
        <f t="shared" si="22"/>
        <v>1348180</v>
      </c>
      <c r="H158" s="82">
        <f t="shared" si="22"/>
        <v>1591180</v>
      </c>
      <c r="I158" s="96">
        <f t="shared" si="22"/>
        <v>1591180</v>
      </c>
      <c r="J158" s="129">
        <f t="shared" si="21"/>
        <v>0</v>
      </c>
      <c r="K158" s="129"/>
      <c r="L158" s="96">
        <f t="shared" si="23"/>
        <v>1591180</v>
      </c>
    </row>
    <row r="159" spans="1:12" ht="55.05" outlineLevel="7" x14ac:dyDescent="0.25">
      <c r="A159" s="81" t="s">
        <v>132</v>
      </c>
      <c r="B159" s="80" t="s">
        <v>500</v>
      </c>
      <c r="C159" s="80" t="s">
        <v>583</v>
      </c>
      <c r="D159" s="80" t="s">
        <v>127</v>
      </c>
      <c r="E159" s="83" t="s">
        <v>6</v>
      </c>
      <c r="F159" s="82">
        <f>F160+F164</f>
        <v>1465972.63</v>
      </c>
      <c r="G159" s="82">
        <f>G160+G164</f>
        <v>1348180</v>
      </c>
      <c r="H159" s="82">
        <f>H160+H164</f>
        <v>1591180</v>
      </c>
      <c r="I159" s="96">
        <f>I160+I164</f>
        <v>1591180</v>
      </c>
      <c r="J159" s="129">
        <f t="shared" si="21"/>
        <v>0</v>
      </c>
      <c r="K159" s="129"/>
      <c r="L159" s="96">
        <f>L160+L164</f>
        <v>1591180</v>
      </c>
    </row>
    <row r="160" spans="1:12" ht="36.700000000000003" outlineLevel="7" x14ac:dyDescent="0.25">
      <c r="A160" s="81" t="s">
        <v>277</v>
      </c>
      <c r="B160" s="80" t="s">
        <v>500</v>
      </c>
      <c r="C160" s="80" t="s">
        <v>583</v>
      </c>
      <c r="D160" s="80" t="s">
        <v>276</v>
      </c>
      <c r="E160" s="83" t="s">
        <v>6</v>
      </c>
      <c r="F160" s="82">
        <f t="shared" si="22"/>
        <v>1334332</v>
      </c>
      <c r="G160" s="82">
        <f t="shared" si="22"/>
        <v>1348180</v>
      </c>
      <c r="H160" s="82">
        <f t="shared" si="22"/>
        <v>1348180</v>
      </c>
      <c r="I160" s="96">
        <f t="shared" si="22"/>
        <v>1348180</v>
      </c>
      <c r="J160" s="129">
        <f t="shared" si="21"/>
        <v>0</v>
      </c>
      <c r="K160" s="129"/>
      <c r="L160" s="96">
        <f t="shared" si="23"/>
        <v>1348180</v>
      </c>
    </row>
    <row r="161" spans="1:12" ht="55.05" outlineLevel="7" x14ac:dyDescent="0.25">
      <c r="A161" s="113" t="s">
        <v>584</v>
      </c>
      <c r="B161" s="80" t="s">
        <v>500</v>
      </c>
      <c r="C161" s="80" t="s">
        <v>583</v>
      </c>
      <c r="D161" s="80" t="s">
        <v>585</v>
      </c>
      <c r="E161" s="83" t="s">
        <v>6</v>
      </c>
      <c r="F161" s="82">
        <f>F162</f>
        <v>1334332</v>
      </c>
      <c r="G161" s="82">
        <f t="shared" si="22"/>
        <v>1348180</v>
      </c>
      <c r="H161" s="82">
        <f t="shared" si="22"/>
        <v>1348180</v>
      </c>
      <c r="I161" s="96">
        <f t="shared" si="22"/>
        <v>1348180</v>
      </c>
      <c r="J161" s="129">
        <f t="shared" si="21"/>
        <v>0</v>
      </c>
      <c r="K161" s="129"/>
      <c r="L161" s="96">
        <f t="shared" si="23"/>
        <v>1348180</v>
      </c>
    </row>
    <row r="162" spans="1:12" ht="57.25" customHeight="1" outlineLevel="7" x14ac:dyDescent="0.25">
      <c r="A162" s="81" t="s">
        <v>11</v>
      </c>
      <c r="B162" s="80" t="s">
        <v>500</v>
      </c>
      <c r="C162" s="80" t="s">
        <v>583</v>
      </c>
      <c r="D162" s="80" t="s">
        <v>585</v>
      </c>
      <c r="E162" s="83" t="s">
        <v>12</v>
      </c>
      <c r="F162" s="82">
        <f>F163</f>
        <v>1334332</v>
      </c>
      <c r="G162" s="82">
        <f t="shared" si="22"/>
        <v>1348180</v>
      </c>
      <c r="H162" s="82">
        <f t="shared" si="22"/>
        <v>1348180</v>
      </c>
      <c r="I162" s="96">
        <f t="shared" si="22"/>
        <v>1348180</v>
      </c>
      <c r="J162" s="129">
        <f t="shared" si="21"/>
        <v>0</v>
      </c>
      <c r="K162" s="129"/>
      <c r="L162" s="96">
        <f t="shared" si="23"/>
        <v>1348180</v>
      </c>
    </row>
    <row r="163" spans="1:12" ht="36.700000000000003" outlineLevel="7" x14ac:dyDescent="0.25">
      <c r="A163" s="81" t="s">
        <v>34</v>
      </c>
      <c r="B163" s="80" t="s">
        <v>500</v>
      </c>
      <c r="C163" s="80" t="s">
        <v>583</v>
      </c>
      <c r="D163" s="80" t="s">
        <v>585</v>
      </c>
      <c r="E163" s="83" t="s">
        <v>35</v>
      </c>
      <c r="F163" s="82">
        <v>1334332</v>
      </c>
      <c r="G163" s="82">
        <v>1348180</v>
      </c>
      <c r="H163" s="82">
        <v>1348180</v>
      </c>
      <c r="I163" s="96">
        <v>1348180</v>
      </c>
      <c r="J163" s="129">
        <f t="shared" si="21"/>
        <v>0</v>
      </c>
      <c r="K163" s="129"/>
      <c r="L163" s="96">
        <v>1348180</v>
      </c>
    </row>
    <row r="164" spans="1:12" ht="73.400000000000006" outlineLevel="7" x14ac:dyDescent="0.25">
      <c r="A164" s="113" t="s">
        <v>723</v>
      </c>
      <c r="B164" s="80" t="s">
        <v>500</v>
      </c>
      <c r="C164" s="80" t="s">
        <v>583</v>
      </c>
      <c r="D164" s="80" t="s">
        <v>728</v>
      </c>
      <c r="E164" s="80" t="s">
        <v>6</v>
      </c>
      <c r="F164" s="96">
        <f>F165</f>
        <v>131640.63</v>
      </c>
      <c r="G164" s="96">
        <f t="shared" ref="G164:I165" si="24">G165</f>
        <v>0</v>
      </c>
      <c r="H164" s="96">
        <f t="shared" si="24"/>
        <v>243000</v>
      </c>
      <c r="I164" s="96">
        <f t="shared" si="24"/>
        <v>243000</v>
      </c>
      <c r="J164" s="129">
        <f t="shared" si="21"/>
        <v>0</v>
      </c>
      <c r="K164" s="129"/>
      <c r="L164" s="96">
        <f>L165</f>
        <v>243000</v>
      </c>
    </row>
    <row r="165" spans="1:12" ht="110.05" outlineLevel="7" x14ac:dyDescent="0.25">
      <c r="A165" s="81" t="s">
        <v>11</v>
      </c>
      <c r="B165" s="80" t="s">
        <v>500</v>
      </c>
      <c r="C165" s="80" t="s">
        <v>583</v>
      </c>
      <c r="D165" s="80" t="s">
        <v>728</v>
      </c>
      <c r="E165" s="80" t="s">
        <v>12</v>
      </c>
      <c r="F165" s="96">
        <f>F166</f>
        <v>131640.63</v>
      </c>
      <c r="G165" s="96">
        <f t="shared" si="24"/>
        <v>0</v>
      </c>
      <c r="H165" s="96">
        <f t="shared" si="24"/>
        <v>243000</v>
      </c>
      <c r="I165" s="96">
        <f t="shared" si="24"/>
        <v>243000</v>
      </c>
      <c r="J165" s="129">
        <f t="shared" si="21"/>
        <v>0</v>
      </c>
      <c r="K165" s="129"/>
      <c r="L165" s="96">
        <f>L166</f>
        <v>243000</v>
      </c>
    </row>
    <row r="166" spans="1:12" ht="36.700000000000003" outlineLevel="7" x14ac:dyDescent="0.25">
      <c r="A166" s="81" t="s">
        <v>34</v>
      </c>
      <c r="B166" s="80" t="s">
        <v>500</v>
      </c>
      <c r="C166" s="80" t="s">
        <v>583</v>
      </c>
      <c r="D166" s="80" t="s">
        <v>728</v>
      </c>
      <c r="E166" s="80" t="s">
        <v>14</v>
      </c>
      <c r="F166" s="96">
        <v>131640.63</v>
      </c>
      <c r="G166" s="82">
        <v>0</v>
      </c>
      <c r="H166" s="82">
        <v>243000</v>
      </c>
      <c r="I166" s="96">
        <f>175000+68000</f>
        <v>243000</v>
      </c>
      <c r="J166" s="129">
        <f t="shared" si="21"/>
        <v>0</v>
      </c>
      <c r="K166" s="129"/>
      <c r="L166" s="96">
        <f>175000+68000</f>
        <v>243000</v>
      </c>
    </row>
    <row r="167" spans="1:12" ht="55.05" outlineLevel="6" x14ac:dyDescent="0.25">
      <c r="A167" s="109" t="s">
        <v>41</v>
      </c>
      <c r="B167" s="110" t="s">
        <v>500</v>
      </c>
      <c r="C167" s="110" t="s">
        <v>42</v>
      </c>
      <c r="D167" s="110" t="s">
        <v>126</v>
      </c>
      <c r="E167" s="111" t="s">
        <v>6</v>
      </c>
      <c r="F167" s="85">
        <f>F168+F173</f>
        <v>12285348.800000001</v>
      </c>
      <c r="G167" s="85">
        <f>G168+G173</f>
        <v>440000</v>
      </c>
      <c r="H167" s="85">
        <f>H168+H173</f>
        <v>1805000</v>
      </c>
      <c r="I167" s="112">
        <f>I168+I173</f>
        <v>991747.04</v>
      </c>
      <c r="J167" s="129">
        <f t="shared" si="21"/>
        <v>-813252.96</v>
      </c>
      <c r="K167" s="129"/>
      <c r="L167" s="112">
        <f>L168+L173</f>
        <v>991747.04</v>
      </c>
    </row>
    <row r="168" spans="1:12" ht="73.400000000000006" outlineLevel="7" x14ac:dyDescent="0.25">
      <c r="A168" s="81" t="s">
        <v>43</v>
      </c>
      <c r="B168" s="80" t="s">
        <v>500</v>
      </c>
      <c r="C168" s="80" t="s">
        <v>44</v>
      </c>
      <c r="D168" s="80" t="s">
        <v>126</v>
      </c>
      <c r="E168" s="83" t="s">
        <v>6</v>
      </c>
      <c r="F168" s="82">
        <f>F169</f>
        <v>11945348.800000001</v>
      </c>
      <c r="G168" s="82">
        <f t="shared" ref="G168:I171" si="25">G169</f>
        <v>100000</v>
      </c>
      <c r="H168" s="82">
        <f t="shared" si="25"/>
        <v>720000</v>
      </c>
      <c r="I168" s="82">
        <f t="shared" si="25"/>
        <v>406747.04000000004</v>
      </c>
      <c r="J168" s="129">
        <f t="shared" si="21"/>
        <v>-313252.95999999996</v>
      </c>
      <c r="K168" s="129"/>
      <c r="L168" s="82">
        <f>L169</f>
        <v>406747.04000000004</v>
      </c>
    </row>
    <row r="169" spans="1:12" ht="55.05" outlineLevel="1" x14ac:dyDescent="0.25">
      <c r="A169" s="81" t="s">
        <v>132</v>
      </c>
      <c r="B169" s="80" t="s">
        <v>500</v>
      </c>
      <c r="C169" s="80" t="s">
        <v>44</v>
      </c>
      <c r="D169" s="80" t="s">
        <v>127</v>
      </c>
      <c r="E169" s="83" t="s">
        <v>6</v>
      </c>
      <c r="F169" s="82">
        <f>F170</f>
        <v>11945348.800000001</v>
      </c>
      <c r="G169" s="82">
        <f t="shared" si="25"/>
        <v>100000</v>
      </c>
      <c r="H169" s="82">
        <f t="shared" si="25"/>
        <v>720000</v>
      </c>
      <c r="I169" s="82">
        <f t="shared" si="25"/>
        <v>406747.04000000004</v>
      </c>
      <c r="J169" s="129">
        <f t="shared" si="21"/>
        <v>-313252.95999999996</v>
      </c>
      <c r="K169" s="129"/>
      <c r="L169" s="82">
        <f>L170</f>
        <v>406747.04000000004</v>
      </c>
    </row>
    <row r="170" spans="1:12" ht="55.05" outlineLevel="1" x14ac:dyDescent="0.25">
      <c r="A170" s="81" t="s">
        <v>45</v>
      </c>
      <c r="B170" s="80" t="s">
        <v>500</v>
      </c>
      <c r="C170" s="80" t="s">
        <v>44</v>
      </c>
      <c r="D170" s="80" t="s">
        <v>133</v>
      </c>
      <c r="E170" s="83" t="s">
        <v>6</v>
      </c>
      <c r="F170" s="82">
        <f>F171</f>
        <v>11945348.800000001</v>
      </c>
      <c r="G170" s="82">
        <f t="shared" si="25"/>
        <v>100000</v>
      </c>
      <c r="H170" s="82">
        <f t="shared" si="25"/>
        <v>720000</v>
      </c>
      <c r="I170" s="82">
        <f t="shared" si="25"/>
        <v>406747.04000000004</v>
      </c>
      <c r="J170" s="129">
        <f t="shared" si="21"/>
        <v>-313252.95999999996</v>
      </c>
      <c r="K170" s="129"/>
      <c r="L170" s="82">
        <f>L171</f>
        <v>406747.04000000004</v>
      </c>
    </row>
    <row r="171" spans="1:12" ht="20.25" customHeight="1" outlineLevel="1" x14ac:dyDescent="0.25">
      <c r="A171" s="81" t="s">
        <v>15</v>
      </c>
      <c r="B171" s="80" t="s">
        <v>500</v>
      </c>
      <c r="C171" s="80" t="s">
        <v>44</v>
      </c>
      <c r="D171" s="80" t="s">
        <v>133</v>
      </c>
      <c r="E171" s="83" t="s">
        <v>16</v>
      </c>
      <c r="F171" s="82">
        <f>F172</f>
        <v>11945348.800000001</v>
      </c>
      <c r="G171" s="82">
        <f t="shared" si="25"/>
        <v>100000</v>
      </c>
      <c r="H171" s="82">
        <f t="shared" si="25"/>
        <v>720000</v>
      </c>
      <c r="I171" s="82">
        <f t="shared" si="25"/>
        <v>406747.04000000004</v>
      </c>
      <c r="J171" s="129">
        <f t="shared" si="21"/>
        <v>-313252.95999999996</v>
      </c>
      <c r="K171" s="129"/>
      <c r="L171" s="82">
        <f>L172</f>
        <v>406747.04000000004</v>
      </c>
    </row>
    <row r="172" spans="1:12" ht="55.05" outlineLevel="1" x14ac:dyDescent="0.25">
      <c r="A172" s="81" t="s">
        <v>17</v>
      </c>
      <c r="B172" s="80" t="s">
        <v>500</v>
      </c>
      <c r="C172" s="80" t="s">
        <v>44</v>
      </c>
      <c r="D172" s="80" t="s">
        <v>133</v>
      </c>
      <c r="E172" s="83" t="s">
        <v>18</v>
      </c>
      <c r="F172" s="82">
        <v>11945348.800000001</v>
      </c>
      <c r="G172" s="82">
        <v>100000</v>
      </c>
      <c r="H172" s="82">
        <v>720000</v>
      </c>
      <c r="I172" s="96">
        <f>612547.04-100000-105800</f>
        <v>406747.04000000004</v>
      </c>
      <c r="J172" s="129">
        <f t="shared" si="21"/>
        <v>-313252.95999999996</v>
      </c>
      <c r="K172" s="129"/>
      <c r="L172" s="96">
        <f>612547.04-100000-105800</f>
        <v>406747.04000000004</v>
      </c>
    </row>
    <row r="173" spans="1:12" outlineLevel="1" x14ac:dyDescent="0.25">
      <c r="A173" s="81" t="s">
        <v>504</v>
      </c>
      <c r="B173" s="80" t="s">
        <v>500</v>
      </c>
      <c r="C173" s="80" t="s">
        <v>505</v>
      </c>
      <c r="D173" s="80" t="s">
        <v>126</v>
      </c>
      <c r="E173" s="83" t="s">
        <v>6</v>
      </c>
      <c r="F173" s="82">
        <f>F174</f>
        <v>340000</v>
      </c>
      <c r="G173" s="82">
        <f t="shared" ref="G173:I176" si="26">G174</f>
        <v>340000</v>
      </c>
      <c r="H173" s="82">
        <f t="shared" si="26"/>
        <v>1085000</v>
      </c>
      <c r="I173" s="96">
        <f t="shared" si="26"/>
        <v>585000</v>
      </c>
      <c r="J173" s="129">
        <f t="shared" si="21"/>
        <v>-500000</v>
      </c>
      <c r="K173" s="129"/>
      <c r="L173" s="96">
        <f>L174</f>
        <v>585000</v>
      </c>
    </row>
    <row r="174" spans="1:12" ht="55.05" outlineLevel="1" x14ac:dyDescent="0.25">
      <c r="A174" s="81" t="s">
        <v>132</v>
      </c>
      <c r="B174" s="80" t="s">
        <v>500</v>
      </c>
      <c r="C174" s="80" t="s">
        <v>505</v>
      </c>
      <c r="D174" s="80" t="s">
        <v>127</v>
      </c>
      <c r="E174" s="83" t="s">
        <v>6</v>
      </c>
      <c r="F174" s="82">
        <f>F175</f>
        <v>340000</v>
      </c>
      <c r="G174" s="82">
        <f t="shared" si="26"/>
        <v>340000</v>
      </c>
      <c r="H174" s="82">
        <f t="shared" si="26"/>
        <v>1085000</v>
      </c>
      <c r="I174" s="96">
        <f t="shared" si="26"/>
        <v>585000</v>
      </c>
      <c r="J174" s="129">
        <f t="shared" si="21"/>
        <v>-500000</v>
      </c>
      <c r="K174" s="129"/>
      <c r="L174" s="96">
        <f>L175</f>
        <v>585000</v>
      </c>
    </row>
    <row r="175" spans="1:12" ht="55.05" outlineLevel="1" x14ac:dyDescent="0.25">
      <c r="A175" s="81" t="s">
        <v>506</v>
      </c>
      <c r="B175" s="80" t="s">
        <v>500</v>
      </c>
      <c r="C175" s="80" t="s">
        <v>505</v>
      </c>
      <c r="D175" s="80" t="s">
        <v>685</v>
      </c>
      <c r="E175" s="83" t="s">
        <v>6</v>
      </c>
      <c r="F175" s="82">
        <f>F176</f>
        <v>340000</v>
      </c>
      <c r="G175" s="82">
        <f t="shared" si="26"/>
        <v>340000</v>
      </c>
      <c r="H175" s="82">
        <f t="shared" si="26"/>
        <v>1085000</v>
      </c>
      <c r="I175" s="96">
        <f t="shared" si="26"/>
        <v>585000</v>
      </c>
      <c r="J175" s="129">
        <f t="shared" si="21"/>
        <v>-500000</v>
      </c>
      <c r="K175" s="129"/>
      <c r="L175" s="96">
        <f>L176</f>
        <v>585000</v>
      </c>
    </row>
    <row r="176" spans="1:12" ht="36.700000000000003" outlineLevel="1" x14ac:dyDescent="0.25">
      <c r="A176" s="81" t="s">
        <v>15</v>
      </c>
      <c r="B176" s="80" t="s">
        <v>500</v>
      </c>
      <c r="C176" s="80" t="s">
        <v>505</v>
      </c>
      <c r="D176" s="80" t="s">
        <v>685</v>
      </c>
      <c r="E176" s="83" t="s">
        <v>16</v>
      </c>
      <c r="F176" s="82">
        <f>F177</f>
        <v>340000</v>
      </c>
      <c r="G176" s="82">
        <f t="shared" si="26"/>
        <v>340000</v>
      </c>
      <c r="H176" s="82">
        <f t="shared" si="26"/>
        <v>1085000</v>
      </c>
      <c r="I176" s="96">
        <f t="shared" si="26"/>
        <v>585000</v>
      </c>
      <c r="J176" s="129">
        <f t="shared" si="21"/>
        <v>-500000</v>
      </c>
      <c r="K176" s="129"/>
      <c r="L176" s="96">
        <f>L177</f>
        <v>585000</v>
      </c>
    </row>
    <row r="177" spans="1:12" ht="55.05" outlineLevel="1" x14ac:dyDescent="0.25">
      <c r="A177" s="81" t="s">
        <v>17</v>
      </c>
      <c r="B177" s="80" t="s">
        <v>500</v>
      </c>
      <c r="C177" s="80" t="s">
        <v>505</v>
      </c>
      <c r="D177" s="80" t="s">
        <v>685</v>
      </c>
      <c r="E177" s="83" t="s">
        <v>18</v>
      </c>
      <c r="F177" s="82">
        <v>340000</v>
      </c>
      <c r="G177" s="82">
        <v>340000</v>
      </c>
      <c r="H177" s="82">
        <v>1085000</v>
      </c>
      <c r="I177" s="96">
        <f>1085000-500000</f>
        <v>585000</v>
      </c>
      <c r="J177" s="129">
        <f t="shared" si="21"/>
        <v>-500000</v>
      </c>
      <c r="K177" s="129"/>
      <c r="L177" s="96">
        <f>1085000-500000</f>
        <v>585000</v>
      </c>
    </row>
    <row r="178" spans="1:12" outlineLevel="1" x14ac:dyDescent="0.25">
      <c r="A178" s="109" t="s">
        <v>119</v>
      </c>
      <c r="B178" s="110" t="s">
        <v>500</v>
      </c>
      <c r="C178" s="110" t="s">
        <v>46</v>
      </c>
      <c r="D178" s="110" t="s">
        <v>126</v>
      </c>
      <c r="E178" s="111" t="s">
        <v>6</v>
      </c>
      <c r="F178" s="85">
        <f>F196+F185+F208+F179</f>
        <v>48019062.059999995</v>
      </c>
      <c r="G178" s="85">
        <f>G196+G185+G208+G179</f>
        <v>12961514.17</v>
      </c>
      <c r="H178" s="85">
        <f>H196+H185+H208+H179</f>
        <v>16011114.17</v>
      </c>
      <c r="I178" s="85">
        <f>I196+I185+I208+I179</f>
        <v>13211114.17</v>
      </c>
      <c r="J178" s="129">
        <f t="shared" si="21"/>
        <v>-2800000</v>
      </c>
      <c r="K178" s="129"/>
      <c r="L178" s="85">
        <f>L196+L185+L208+L179</f>
        <v>37422264.170000002</v>
      </c>
    </row>
    <row r="179" spans="1:12" outlineLevel="1" x14ac:dyDescent="0.25">
      <c r="A179" s="81" t="s">
        <v>121</v>
      </c>
      <c r="B179" s="80" t="s">
        <v>500</v>
      </c>
      <c r="C179" s="80" t="s">
        <v>122</v>
      </c>
      <c r="D179" s="80" t="s">
        <v>126</v>
      </c>
      <c r="E179" s="83" t="s">
        <v>6</v>
      </c>
      <c r="F179" s="82">
        <f>F180</f>
        <v>324127.09000000003</v>
      </c>
      <c r="G179" s="82">
        <f>G180</f>
        <v>324127.09000000003</v>
      </c>
      <c r="H179" s="82">
        <f>H180</f>
        <v>324127.09000000003</v>
      </c>
      <c r="I179" s="96">
        <f>I180</f>
        <v>324127.09000000003</v>
      </c>
      <c r="J179" s="129">
        <f t="shared" si="21"/>
        <v>0</v>
      </c>
      <c r="K179" s="129"/>
      <c r="L179" s="96">
        <f>L180</f>
        <v>324127.09000000003</v>
      </c>
    </row>
    <row r="180" spans="1:12" ht="55.05" outlineLevel="1" x14ac:dyDescent="0.25">
      <c r="A180" s="109" t="s">
        <v>132</v>
      </c>
      <c r="B180" s="80" t="s">
        <v>500</v>
      </c>
      <c r="C180" s="110" t="s">
        <v>122</v>
      </c>
      <c r="D180" s="110" t="s">
        <v>127</v>
      </c>
      <c r="E180" s="111" t="s">
        <v>6</v>
      </c>
      <c r="F180" s="82">
        <f>F182</f>
        <v>324127.09000000003</v>
      </c>
      <c r="G180" s="85">
        <f>G182</f>
        <v>324127.09000000003</v>
      </c>
      <c r="H180" s="85">
        <f>H182</f>
        <v>324127.09000000003</v>
      </c>
      <c r="I180" s="112">
        <f>I182</f>
        <v>324127.09000000003</v>
      </c>
      <c r="J180" s="129">
        <f t="shared" si="21"/>
        <v>0</v>
      </c>
      <c r="K180" s="129"/>
      <c r="L180" s="112">
        <f>L182</f>
        <v>324127.09000000003</v>
      </c>
    </row>
    <row r="181" spans="1:12" ht="36.700000000000003" outlineLevel="1" x14ac:dyDescent="0.25">
      <c r="A181" s="81" t="s">
        <v>277</v>
      </c>
      <c r="B181" s="80" t="s">
        <v>500</v>
      </c>
      <c r="C181" s="80" t="s">
        <v>122</v>
      </c>
      <c r="D181" s="80" t="s">
        <v>276</v>
      </c>
      <c r="E181" s="83" t="s">
        <v>6</v>
      </c>
      <c r="F181" s="82">
        <f>F182</f>
        <v>324127.09000000003</v>
      </c>
      <c r="G181" s="82">
        <f t="shared" ref="G181:I183" si="27">G182</f>
        <v>324127.09000000003</v>
      </c>
      <c r="H181" s="82">
        <f t="shared" si="27"/>
        <v>324127.09000000003</v>
      </c>
      <c r="I181" s="96">
        <f t="shared" si="27"/>
        <v>324127.09000000003</v>
      </c>
      <c r="J181" s="129">
        <f t="shared" si="21"/>
        <v>0</v>
      </c>
      <c r="K181" s="129"/>
      <c r="L181" s="96">
        <f>L182</f>
        <v>324127.09000000003</v>
      </c>
    </row>
    <row r="182" spans="1:12" ht="146.75" outlineLevel="1" x14ac:dyDescent="0.25">
      <c r="A182" s="113" t="s">
        <v>383</v>
      </c>
      <c r="B182" s="80" t="s">
        <v>500</v>
      </c>
      <c r="C182" s="80" t="s">
        <v>122</v>
      </c>
      <c r="D182" s="80" t="s">
        <v>286</v>
      </c>
      <c r="E182" s="83" t="s">
        <v>6</v>
      </c>
      <c r="F182" s="82">
        <f>F183</f>
        <v>324127.09000000003</v>
      </c>
      <c r="G182" s="82">
        <f t="shared" si="27"/>
        <v>324127.09000000003</v>
      </c>
      <c r="H182" s="82">
        <f t="shared" si="27"/>
        <v>324127.09000000003</v>
      </c>
      <c r="I182" s="96">
        <f t="shared" si="27"/>
        <v>324127.09000000003</v>
      </c>
      <c r="J182" s="129">
        <f t="shared" si="21"/>
        <v>0</v>
      </c>
      <c r="K182" s="129"/>
      <c r="L182" s="96">
        <f>L183</f>
        <v>324127.09000000003</v>
      </c>
    </row>
    <row r="183" spans="1:12" ht="21.25" customHeight="1" outlineLevel="1" x14ac:dyDescent="0.25">
      <c r="A183" s="81" t="s">
        <v>15</v>
      </c>
      <c r="B183" s="80" t="s">
        <v>500</v>
      </c>
      <c r="C183" s="80" t="s">
        <v>122</v>
      </c>
      <c r="D183" s="80" t="s">
        <v>286</v>
      </c>
      <c r="E183" s="83" t="s">
        <v>16</v>
      </c>
      <c r="F183" s="82">
        <f>F184</f>
        <v>324127.09000000003</v>
      </c>
      <c r="G183" s="82">
        <f t="shared" si="27"/>
        <v>324127.09000000003</v>
      </c>
      <c r="H183" s="82">
        <f t="shared" si="27"/>
        <v>324127.09000000003</v>
      </c>
      <c r="I183" s="96">
        <f t="shared" si="27"/>
        <v>324127.09000000003</v>
      </c>
      <c r="J183" s="129">
        <f t="shared" si="21"/>
        <v>0</v>
      </c>
      <c r="K183" s="129"/>
      <c r="L183" s="96">
        <f>L184</f>
        <v>324127.09000000003</v>
      </c>
    </row>
    <row r="184" spans="1:12" ht="55.05" outlineLevel="1" x14ac:dyDescent="0.25">
      <c r="A184" s="81" t="s">
        <v>17</v>
      </c>
      <c r="B184" s="80" t="s">
        <v>500</v>
      </c>
      <c r="C184" s="80" t="s">
        <v>122</v>
      </c>
      <c r="D184" s="80" t="s">
        <v>286</v>
      </c>
      <c r="E184" s="83" t="s">
        <v>18</v>
      </c>
      <c r="F184" s="82">
        <v>324127.09000000003</v>
      </c>
      <c r="G184" s="82">
        <v>324127.09000000003</v>
      </c>
      <c r="H184" s="82">
        <v>324127.09000000003</v>
      </c>
      <c r="I184" s="96">
        <v>324127.09000000003</v>
      </c>
      <c r="J184" s="129">
        <f t="shared" si="21"/>
        <v>0</v>
      </c>
      <c r="K184" s="129"/>
      <c r="L184" s="96">
        <v>324127.09000000003</v>
      </c>
    </row>
    <row r="185" spans="1:12" outlineLevel="1" x14ac:dyDescent="0.25">
      <c r="A185" s="81" t="s">
        <v>290</v>
      </c>
      <c r="B185" s="80" t="s">
        <v>500</v>
      </c>
      <c r="C185" s="80" t="s">
        <v>291</v>
      </c>
      <c r="D185" s="80" t="s">
        <v>126</v>
      </c>
      <c r="E185" s="83" t="s">
        <v>6</v>
      </c>
      <c r="F185" s="82">
        <f>F186+F193</f>
        <v>3387.08</v>
      </c>
      <c r="G185" s="82">
        <f>G186+G193</f>
        <v>3387.08</v>
      </c>
      <c r="H185" s="82">
        <f>H186+H193</f>
        <v>3387.08</v>
      </c>
      <c r="I185" s="82">
        <f>I186+I193</f>
        <v>103387.08</v>
      </c>
      <c r="J185" s="129">
        <f t="shared" si="21"/>
        <v>100000</v>
      </c>
      <c r="K185" s="129"/>
      <c r="L185" s="82">
        <f>L186+L193</f>
        <v>103387.08</v>
      </c>
    </row>
    <row r="186" spans="1:12" ht="55.05" outlineLevel="1" x14ac:dyDescent="0.25">
      <c r="A186" s="81" t="s">
        <v>132</v>
      </c>
      <c r="B186" s="80" t="s">
        <v>500</v>
      </c>
      <c r="C186" s="80" t="s">
        <v>291</v>
      </c>
      <c r="D186" s="80" t="s">
        <v>127</v>
      </c>
      <c r="E186" s="83" t="s">
        <v>6</v>
      </c>
      <c r="F186" s="82">
        <f>F188</f>
        <v>3387.08</v>
      </c>
      <c r="G186" s="82">
        <f>G188</f>
        <v>3387.08</v>
      </c>
      <c r="H186" s="82">
        <f>H188</f>
        <v>3387.08</v>
      </c>
      <c r="I186" s="96">
        <f>I188</f>
        <v>3387.08</v>
      </c>
      <c r="J186" s="129">
        <f t="shared" si="21"/>
        <v>0</v>
      </c>
      <c r="K186" s="129"/>
      <c r="L186" s="96">
        <f>L188</f>
        <v>3387.08</v>
      </c>
    </row>
    <row r="187" spans="1:12" ht="36.700000000000003" outlineLevel="1" x14ac:dyDescent="0.25">
      <c r="A187" s="81" t="s">
        <v>277</v>
      </c>
      <c r="B187" s="80" t="s">
        <v>500</v>
      </c>
      <c r="C187" s="80" t="s">
        <v>291</v>
      </c>
      <c r="D187" s="80" t="s">
        <v>276</v>
      </c>
      <c r="E187" s="83" t="s">
        <v>6</v>
      </c>
      <c r="F187" s="82">
        <f>F188</f>
        <v>3387.08</v>
      </c>
      <c r="G187" s="82">
        <f>G188</f>
        <v>3387.08</v>
      </c>
      <c r="H187" s="82">
        <f>H188</f>
        <v>3387.08</v>
      </c>
      <c r="I187" s="96">
        <f>I188</f>
        <v>3387.08</v>
      </c>
      <c r="J187" s="129">
        <f t="shared" si="21"/>
        <v>0</v>
      </c>
      <c r="K187" s="129"/>
      <c r="L187" s="96">
        <f>L188</f>
        <v>3387.08</v>
      </c>
    </row>
    <row r="188" spans="1:12" ht="93.75" customHeight="1" outlineLevel="1" x14ac:dyDescent="0.25">
      <c r="A188" s="100" t="s">
        <v>385</v>
      </c>
      <c r="B188" s="80" t="s">
        <v>500</v>
      </c>
      <c r="C188" s="80" t="s">
        <v>291</v>
      </c>
      <c r="D188" s="80" t="s">
        <v>384</v>
      </c>
      <c r="E188" s="83" t="s">
        <v>6</v>
      </c>
      <c r="F188" s="82">
        <f>F189</f>
        <v>3387.08</v>
      </c>
      <c r="G188" s="82">
        <f t="shared" ref="G188:I189" si="28">G189</f>
        <v>3387.08</v>
      </c>
      <c r="H188" s="82">
        <f t="shared" si="28"/>
        <v>3387.08</v>
      </c>
      <c r="I188" s="96">
        <f t="shared" si="28"/>
        <v>3387.08</v>
      </c>
      <c r="J188" s="129">
        <f t="shared" si="21"/>
        <v>0</v>
      </c>
      <c r="K188" s="129"/>
      <c r="L188" s="96">
        <f>L189</f>
        <v>3387.08</v>
      </c>
    </row>
    <row r="189" spans="1:12" ht="19.55" customHeight="1" outlineLevel="1" x14ac:dyDescent="0.25">
      <c r="A189" s="81" t="s">
        <v>15</v>
      </c>
      <c r="B189" s="80" t="s">
        <v>500</v>
      </c>
      <c r="C189" s="80" t="s">
        <v>291</v>
      </c>
      <c r="D189" s="80" t="s">
        <v>384</v>
      </c>
      <c r="E189" s="83" t="s">
        <v>16</v>
      </c>
      <c r="F189" s="82">
        <f>F190</f>
        <v>3387.08</v>
      </c>
      <c r="G189" s="82">
        <f t="shared" si="28"/>
        <v>3387.08</v>
      </c>
      <c r="H189" s="82">
        <f t="shared" si="28"/>
        <v>3387.08</v>
      </c>
      <c r="I189" s="96">
        <f t="shared" si="28"/>
        <v>3387.08</v>
      </c>
      <c r="J189" s="129">
        <f t="shared" si="21"/>
        <v>0</v>
      </c>
      <c r="K189" s="129"/>
      <c r="L189" s="96">
        <f>L190</f>
        <v>3387.08</v>
      </c>
    </row>
    <row r="190" spans="1:12" ht="55.05" outlineLevel="1" x14ac:dyDescent="0.25">
      <c r="A190" s="81" t="s">
        <v>17</v>
      </c>
      <c r="B190" s="80" t="s">
        <v>500</v>
      </c>
      <c r="C190" s="80" t="s">
        <v>291</v>
      </c>
      <c r="D190" s="80" t="s">
        <v>384</v>
      </c>
      <c r="E190" s="83" t="s">
        <v>18</v>
      </c>
      <c r="F190" s="82">
        <v>3387.08</v>
      </c>
      <c r="G190" s="82">
        <v>3387.08</v>
      </c>
      <c r="H190" s="131">
        <v>3387.08</v>
      </c>
      <c r="I190" s="117">
        <v>3387.08</v>
      </c>
      <c r="J190" s="129">
        <f t="shared" si="21"/>
        <v>0</v>
      </c>
      <c r="K190" s="129"/>
      <c r="L190" s="117">
        <v>3387.08</v>
      </c>
    </row>
    <row r="191" spans="1:12" ht="73.400000000000006" outlineLevel="1" x14ac:dyDescent="0.25">
      <c r="A191" s="109" t="s">
        <v>440</v>
      </c>
      <c r="B191" s="80" t="s">
        <v>500</v>
      </c>
      <c r="C191" s="80" t="s">
        <v>291</v>
      </c>
      <c r="D191" s="145" t="s">
        <v>129</v>
      </c>
      <c r="E191" s="83" t="s">
        <v>6</v>
      </c>
      <c r="F191" s="82">
        <f>F192</f>
        <v>0</v>
      </c>
      <c r="G191" s="82">
        <f t="shared" ref="G191:I192" si="29">G192</f>
        <v>0</v>
      </c>
      <c r="H191" s="82">
        <f t="shared" si="29"/>
        <v>0</v>
      </c>
      <c r="I191" s="82">
        <f t="shared" si="29"/>
        <v>100000</v>
      </c>
      <c r="J191" s="129">
        <f t="shared" si="21"/>
        <v>100000</v>
      </c>
      <c r="K191" s="129"/>
      <c r="L191" s="82">
        <f>L192</f>
        <v>100000</v>
      </c>
    </row>
    <row r="192" spans="1:12" ht="36.700000000000003" outlineLevel="1" x14ac:dyDescent="0.25">
      <c r="A192" s="144" t="s">
        <v>773</v>
      </c>
      <c r="B192" s="80" t="s">
        <v>500</v>
      </c>
      <c r="C192" s="80" t="s">
        <v>291</v>
      </c>
      <c r="D192" s="145" t="s">
        <v>785</v>
      </c>
      <c r="E192" s="83" t="s">
        <v>6</v>
      </c>
      <c r="F192" s="82">
        <f>F193</f>
        <v>0</v>
      </c>
      <c r="G192" s="82">
        <f t="shared" si="29"/>
        <v>0</v>
      </c>
      <c r="H192" s="82">
        <f t="shared" si="29"/>
        <v>0</v>
      </c>
      <c r="I192" s="82">
        <f t="shared" si="29"/>
        <v>100000</v>
      </c>
      <c r="J192" s="129">
        <f t="shared" si="21"/>
        <v>100000</v>
      </c>
      <c r="K192" s="129"/>
      <c r="L192" s="82">
        <f>L193</f>
        <v>100000</v>
      </c>
    </row>
    <row r="193" spans="1:12" ht="41.95" customHeight="1" outlineLevel="1" x14ac:dyDescent="0.25">
      <c r="A193" s="144" t="s">
        <v>786</v>
      </c>
      <c r="B193" s="80" t="s">
        <v>500</v>
      </c>
      <c r="C193" s="80" t="s">
        <v>291</v>
      </c>
      <c r="D193" s="145" t="s">
        <v>783</v>
      </c>
      <c r="E193" s="83" t="s">
        <v>6</v>
      </c>
      <c r="F193" s="82">
        <f>F194</f>
        <v>0</v>
      </c>
      <c r="G193" s="82">
        <f t="shared" ref="G193:I194" si="30">G194</f>
        <v>0</v>
      </c>
      <c r="H193" s="82">
        <f t="shared" si="30"/>
        <v>0</v>
      </c>
      <c r="I193" s="82">
        <f t="shared" si="30"/>
        <v>100000</v>
      </c>
      <c r="J193" s="129">
        <f t="shared" si="21"/>
        <v>100000</v>
      </c>
      <c r="K193" s="129"/>
      <c r="L193" s="82">
        <f>L194</f>
        <v>100000</v>
      </c>
    </row>
    <row r="194" spans="1:12" ht="55.05" outlineLevel="1" x14ac:dyDescent="0.25">
      <c r="A194" s="143" t="s">
        <v>772</v>
      </c>
      <c r="B194" s="80" t="s">
        <v>500</v>
      </c>
      <c r="C194" s="80" t="s">
        <v>291</v>
      </c>
      <c r="D194" s="145" t="s">
        <v>784</v>
      </c>
      <c r="E194" s="83" t="s">
        <v>20</v>
      </c>
      <c r="F194" s="82">
        <f>F195</f>
        <v>0</v>
      </c>
      <c r="G194" s="82">
        <f t="shared" si="30"/>
        <v>0</v>
      </c>
      <c r="H194" s="82">
        <f t="shared" si="30"/>
        <v>0</v>
      </c>
      <c r="I194" s="82">
        <f t="shared" si="30"/>
        <v>100000</v>
      </c>
      <c r="J194" s="129">
        <f t="shared" si="21"/>
        <v>100000</v>
      </c>
      <c r="K194" s="129"/>
      <c r="L194" s="82">
        <f>L195</f>
        <v>100000</v>
      </c>
    </row>
    <row r="195" spans="1:12" ht="73.400000000000006" outlineLevel="1" x14ac:dyDescent="0.25">
      <c r="A195" s="81" t="s">
        <v>47</v>
      </c>
      <c r="B195" s="80" t="s">
        <v>500</v>
      </c>
      <c r="C195" s="80" t="s">
        <v>291</v>
      </c>
      <c r="D195" s="145" t="s">
        <v>784</v>
      </c>
      <c r="E195" s="83" t="s">
        <v>48</v>
      </c>
      <c r="F195" s="82"/>
      <c r="G195" s="82"/>
      <c r="H195" s="131"/>
      <c r="I195" s="117">
        <v>100000</v>
      </c>
      <c r="J195" s="129">
        <f t="shared" si="21"/>
        <v>100000</v>
      </c>
      <c r="K195" s="129"/>
      <c r="L195" s="117">
        <v>100000</v>
      </c>
    </row>
    <row r="196" spans="1:12" outlineLevel="1" x14ac:dyDescent="0.25">
      <c r="A196" s="81" t="s">
        <v>49</v>
      </c>
      <c r="B196" s="80" t="s">
        <v>500</v>
      </c>
      <c r="C196" s="80" t="s">
        <v>50</v>
      </c>
      <c r="D196" s="80" t="s">
        <v>126</v>
      </c>
      <c r="E196" s="83" t="s">
        <v>6</v>
      </c>
      <c r="F196" s="82">
        <f>F197</f>
        <v>46731547.889999993</v>
      </c>
      <c r="G196" s="82">
        <f t="shared" ref="G196:I197" si="31">G197</f>
        <v>12014000</v>
      </c>
      <c r="H196" s="82">
        <f t="shared" si="31"/>
        <v>12340000</v>
      </c>
      <c r="I196" s="96">
        <f>I197</f>
        <v>12340000</v>
      </c>
      <c r="J196" s="129">
        <f t="shared" si="21"/>
        <v>0</v>
      </c>
      <c r="K196" s="129"/>
      <c r="L196" s="96">
        <f>L197</f>
        <v>36551150</v>
      </c>
    </row>
    <row r="197" spans="1:12" ht="91.7" outlineLevel="1" x14ac:dyDescent="0.25">
      <c r="A197" s="109" t="s">
        <v>334</v>
      </c>
      <c r="B197" s="110" t="s">
        <v>500</v>
      </c>
      <c r="C197" s="110" t="s">
        <v>50</v>
      </c>
      <c r="D197" s="110" t="s">
        <v>335</v>
      </c>
      <c r="E197" s="111" t="s">
        <v>6</v>
      </c>
      <c r="F197" s="85">
        <f>F198</f>
        <v>46731547.889999993</v>
      </c>
      <c r="G197" s="85">
        <f t="shared" si="31"/>
        <v>12014000</v>
      </c>
      <c r="H197" s="85">
        <f t="shared" si="31"/>
        <v>12340000</v>
      </c>
      <c r="I197" s="112">
        <f t="shared" si="31"/>
        <v>12340000</v>
      </c>
      <c r="J197" s="129">
        <f t="shared" si="21"/>
        <v>0</v>
      </c>
      <c r="K197" s="129"/>
      <c r="L197" s="112">
        <f>L198</f>
        <v>36551150</v>
      </c>
    </row>
    <row r="198" spans="1:12" ht="55.05" outlineLevel="1" x14ac:dyDescent="0.25">
      <c r="A198" s="81" t="s">
        <v>336</v>
      </c>
      <c r="B198" s="80" t="s">
        <v>500</v>
      </c>
      <c r="C198" s="80" t="s">
        <v>50</v>
      </c>
      <c r="D198" s="80" t="s">
        <v>337</v>
      </c>
      <c r="E198" s="83" t="s">
        <v>6</v>
      </c>
      <c r="F198" s="82">
        <f>F199+F202+F205</f>
        <v>46731547.889999993</v>
      </c>
      <c r="G198" s="82">
        <f>G199+G205</f>
        <v>12014000</v>
      </c>
      <c r="H198" s="82">
        <f>H199+H205</f>
        <v>12340000</v>
      </c>
      <c r="I198" s="96">
        <f>I199+I205</f>
        <v>12340000</v>
      </c>
      <c r="J198" s="129">
        <f t="shared" si="21"/>
        <v>0</v>
      </c>
      <c r="K198" s="129"/>
      <c r="L198" s="96">
        <f>L199+L205</f>
        <v>36551150</v>
      </c>
    </row>
    <row r="199" spans="1:12" ht="91.7" outlineLevel="1" x14ac:dyDescent="0.25">
      <c r="A199" s="119" t="s">
        <v>793</v>
      </c>
      <c r="B199" s="80" t="s">
        <v>500</v>
      </c>
      <c r="C199" s="80" t="s">
        <v>50</v>
      </c>
      <c r="D199" s="80" t="s">
        <v>339</v>
      </c>
      <c r="E199" s="83" t="s">
        <v>6</v>
      </c>
      <c r="F199" s="82">
        <f>F200</f>
        <v>10649073.66</v>
      </c>
      <c r="G199" s="82">
        <f t="shared" ref="G199:I200" si="32">G200</f>
        <v>11914000</v>
      </c>
      <c r="H199" s="82">
        <f t="shared" si="32"/>
        <v>12030000</v>
      </c>
      <c r="I199" s="96">
        <f t="shared" si="32"/>
        <v>12030000</v>
      </c>
      <c r="J199" s="129">
        <f t="shared" si="21"/>
        <v>0</v>
      </c>
      <c r="K199" s="129"/>
      <c r="L199" s="96">
        <f>L200</f>
        <v>36241150</v>
      </c>
    </row>
    <row r="200" spans="1:12" ht="21.25" customHeight="1" outlineLevel="1" x14ac:dyDescent="0.25">
      <c r="A200" s="81" t="s">
        <v>15</v>
      </c>
      <c r="B200" s="80" t="s">
        <v>500</v>
      </c>
      <c r="C200" s="80" t="s">
        <v>50</v>
      </c>
      <c r="D200" s="80" t="s">
        <v>339</v>
      </c>
      <c r="E200" s="83" t="s">
        <v>16</v>
      </c>
      <c r="F200" s="82">
        <f>F201</f>
        <v>10649073.66</v>
      </c>
      <c r="G200" s="82">
        <f t="shared" si="32"/>
        <v>11914000</v>
      </c>
      <c r="H200" s="82">
        <f t="shared" si="32"/>
        <v>12030000</v>
      </c>
      <c r="I200" s="96">
        <f t="shared" si="32"/>
        <v>12030000</v>
      </c>
      <c r="J200" s="129">
        <f t="shared" si="21"/>
        <v>0</v>
      </c>
      <c r="K200" s="129"/>
      <c r="L200" s="96">
        <f>L201</f>
        <v>36241150</v>
      </c>
    </row>
    <row r="201" spans="1:12" ht="55.05" outlineLevel="1" x14ac:dyDescent="0.25">
      <c r="A201" s="81" t="s">
        <v>17</v>
      </c>
      <c r="B201" s="80" t="s">
        <v>500</v>
      </c>
      <c r="C201" s="80" t="s">
        <v>50</v>
      </c>
      <c r="D201" s="80" t="s">
        <v>339</v>
      </c>
      <c r="E201" s="83" t="s">
        <v>18</v>
      </c>
      <c r="F201" s="82">
        <f>11431547.89-473195.88-309278.35</f>
        <v>10649073.66</v>
      </c>
      <c r="G201" s="82">
        <f>12488000-574000</f>
        <v>11914000</v>
      </c>
      <c r="H201" s="82">
        <f>12030000</f>
        <v>12030000</v>
      </c>
      <c r="I201" s="96">
        <v>12030000</v>
      </c>
      <c r="J201" s="129">
        <f t="shared" si="21"/>
        <v>0</v>
      </c>
      <c r="K201" s="129">
        <v>24211150</v>
      </c>
      <c r="L201" s="96">
        <f>12030000+24211150</f>
        <v>36241150</v>
      </c>
    </row>
    <row r="202" spans="1:12" ht="110.05" outlineLevel="1" x14ac:dyDescent="0.25">
      <c r="A202" s="81" t="s">
        <v>564</v>
      </c>
      <c r="B202" s="80" t="s">
        <v>500</v>
      </c>
      <c r="C202" s="80" t="s">
        <v>50</v>
      </c>
      <c r="D202" s="80" t="s">
        <v>586</v>
      </c>
      <c r="E202" s="80" t="s">
        <v>6</v>
      </c>
      <c r="F202" s="82">
        <f t="shared" ref="F202:I203" si="33">F203</f>
        <v>35000000</v>
      </c>
      <c r="G202" s="82">
        <f t="shared" si="33"/>
        <v>0</v>
      </c>
      <c r="H202" s="82">
        <f t="shared" si="33"/>
        <v>0</v>
      </c>
      <c r="I202" s="96">
        <f t="shared" si="33"/>
        <v>0</v>
      </c>
      <c r="J202" s="129">
        <f t="shared" si="21"/>
        <v>0</v>
      </c>
      <c r="K202" s="129"/>
      <c r="L202" s="96">
        <f>L203</f>
        <v>0</v>
      </c>
    </row>
    <row r="203" spans="1:12" ht="36.700000000000003" outlineLevel="1" x14ac:dyDescent="0.25">
      <c r="A203" s="81" t="s">
        <v>15</v>
      </c>
      <c r="B203" s="80" t="s">
        <v>500</v>
      </c>
      <c r="C203" s="80" t="s">
        <v>50</v>
      </c>
      <c r="D203" s="80" t="s">
        <v>586</v>
      </c>
      <c r="E203" s="80" t="s">
        <v>16</v>
      </c>
      <c r="F203" s="82">
        <f t="shared" si="33"/>
        <v>35000000</v>
      </c>
      <c r="G203" s="82">
        <f t="shared" si="33"/>
        <v>0</v>
      </c>
      <c r="H203" s="82">
        <f t="shared" si="33"/>
        <v>0</v>
      </c>
      <c r="I203" s="96">
        <f t="shared" si="33"/>
        <v>0</v>
      </c>
      <c r="J203" s="129">
        <f t="shared" si="21"/>
        <v>0</v>
      </c>
      <c r="K203" s="129"/>
      <c r="L203" s="96">
        <f>L204</f>
        <v>0</v>
      </c>
    </row>
    <row r="204" spans="1:12" ht="55.05" outlineLevel="1" x14ac:dyDescent="0.25">
      <c r="A204" s="81" t="s">
        <v>17</v>
      </c>
      <c r="B204" s="80" t="s">
        <v>500</v>
      </c>
      <c r="C204" s="80" t="s">
        <v>50</v>
      </c>
      <c r="D204" s="80" t="s">
        <v>586</v>
      </c>
      <c r="E204" s="80" t="s">
        <v>18</v>
      </c>
      <c r="F204" s="82">
        <v>35000000</v>
      </c>
      <c r="G204" s="82"/>
      <c r="H204" s="82"/>
      <c r="I204" s="96"/>
      <c r="J204" s="129">
        <f t="shared" si="21"/>
        <v>0</v>
      </c>
      <c r="K204" s="129"/>
      <c r="L204" s="96"/>
    </row>
    <row r="205" spans="1:12" ht="73.400000000000006" outlineLevel="1" x14ac:dyDescent="0.25">
      <c r="A205" s="81" t="s">
        <v>280</v>
      </c>
      <c r="B205" s="80" t="s">
        <v>500</v>
      </c>
      <c r="C205" s="80" t="s">
        <v>50</v>
      </c>
      <c r="D205" s="80" t="s">
        <v>409</v>
      </c>
      <c r="E205" s="83" t="s">
        <v>6</v>
      </c>
      <c r="F205" s="98">
        <f>F206</f>
        <v>1082474.23</v>
      </c>
      <c r="G205" s="98">
        <f t="shared" ref="G205:I206" si="34">G206</f>
        <v>100000</v>
      </c>
      <c r="H205" s="98">
        <f t="shared" si="34"/>
        <v>310000</v>
      </c>
      <c r="I205" s="108">
        <f t="shared" si="34"/>
        <v>310000</v>
      </c>
      <c r="J205" s="129">
        <f t="shared" si="21"/>
        <v>0</v>
      </c>
      <c r="K205" s="129"/>
      <c r="L205" s="108">
        <f>L206</f>
        <v>310000</v>
      </c>
    </row>
    <row r="206" spans="1:12" ht="20.25" customHeight="1" outlineLevel="1" x14ac:dyDescent="0.25">
      <c r="A206" s="81" t="s">
        <v>15</v>
      </c>
      <c r="B206" s="80" t="s">
        <v>500</v>
      </c>
      <c r="C206" s="80" t="s">
        <v>50</v>
      </c>
      <c r="D206" s="80" t="s">
        <v>409</v>
      </c>
      <c r="E206" s="83" t="s">
        <v>16</v>
      </c>
      <c r="F206" s="98">
        <f>F207</f>
        <v>1082474.23</v>
      </c>
      <c r="G206" s="98">
        <f t="shared" si="34"/>
        <v>100000</v>
      </c>
      <c r="H206" s="98">
        <f t="shared" si="34"/>
        <v>310000</v>
      </c>
      <c r="I206" s="108">
        <f t="shared" si="34"/>
        <v>310000</v>
      </c>
      <c r="J206" s="129">
        <f t="shared" si="21"/>
        <v>0</v>
      </c>
      <c r="K206" s="129"/>
      <c r="L206" s="108">
        <f>L207</f>
        <v>310000</v>
      </c>
    </row>
    <row r="207" spans="1:12" ht="55.05" outlineLevel="1" x14ac:dyDescent="0.25">
      <c r="A207" s="81" t="s">
        <v>17</v>
      </c>
      <c r="B207" s="80" t="s">
        <v>500</v>
      </c>
      <c r="C207" s="80" t="s">
        <v>50</v>
      </c>
      <c r="D207" s="80" t="s">
        <v>409</v>
      </c>
      <c r="E207" s="83" t="s">
        <v>18</v>
      </c>
      <c r="F207" s="82">
        <f>300000+473195.88+309278.35</f>
        <v>1082474.23</v>
      </c>
      <c r="G207" s="82">
        <v>100000</v>
      </c>
      <c r="H207" s="82">
        <v>310000</v>
      </c>
      <c r="I207" s="96">
        <v>310000</v>
      </c>
      <c r="J207" s="129">
        <f t="shared" si="21"/>
        <v>0</v>
      </c>
      <c r="K207" s="129"/>
      <c r="L207" s="96">
        <v>310000</v>
      </c>
    </row>
    <row r="208" spans="1:12" ht="36.700000000000003" outlineLevel="1" x14ac:dyDescent="0.25">
      <c r="A208" s="81" t="s">
        <v>52</v>
      </c>
      <c r="B208" s="80" t="s">
        <v>500</v>
      </c>
      <c r="C208" s="80" t="s">
        <v>53</v>
      </c>
      <c r="D208" s="80" t="s">
        <v>126</v>
      </c>
      <c r="E208" s="83" t="s">
        <v>6</v>
      </c>
      <c r="F208" s="82">
        <f>F218+F209+F213</f>
        <v>960000</v>
      </c>
      <c r="G208" s="82">
        <f>G218+G209+G213</f>
        <v>620000</v>
      </c>
      <c r="H208" s="82">
        <f>H218+H209+H213</f>
        <v>3343600</v>
      </c>
      <c r="I208" s="82">
        <f>I218+I209+I213</f>
        <v>443600</v>
      </c>
      <c r="J208" s="129">
        <f t="shared" si="21"/>
        <v>-2900000</v>
      </c>
      <c r="K208" s="129"/>
      <c r="L208" s="82">
        <f>L218+L209+L213</f>
        <v>443600</v>
      </c>
    </row>
    <row r="209" spans="1:12" ht="55.05" outlineLevel="1" x14ac:dyDescent="0.25">
      <c r="A209" s="81" t="s">
        <v>132</v>
      </c>
      <c r="B209" s="80" t="s">
        <v>500</v>
      </c>
      <c r="C209" s="80" t="s">
        <v>53</v>
      </c>
      <c r="D209" s="80" t="s">
        <v>127</v>
      </c>
      <c r="E209" s="80" t="s">
        <v>6</v>
      </c>
      <c r="F209" s="82">
        <f t="shared" ref="F209:G211" si="35">F210</f>
        <v>290000</v>
      </c>
      <c r="G209" s="82">
        <f t="shared" si="35"/>
        <v>0</v>
      </c>
      <c r="H209" s="82">
        <f t="shared" ref="H209:I211" si="36">H210</f>
        <v>0</v>
      </c>
      <c r="I209" s="96">
        <f t="shared" si="36"/>
        <v>0</v>
      </c>
      <c r="J209" s="129">
        <f t="shared" si="21"/>
        <v>0</v>
      </c>
      <c r="K209" s="129"/>
      <c r="L209" s="96">
        <f>L210</f>
        <v>0</v>
      </c>
    </row>
    <row r="210" spans="1:12" ht="91.7" outlineLevel="1" x14ac:dyDescent="0.25">
      <c r="A210" s="81" t="s">
        <v>684</v>
      </c>
      <c r="B210" s="80" t="s">
        <v>500</v>
      </c>
      <c r="C210" s="80" t="s">
        <v>53</v>
      </c>
      <c r="D210" s="80" t="s">
        <v>683</v>
      </c>
      <c r="E210" s="80" t="s">
        <v>6</v>
      </c>
      <c r="F210" s="82">
        <f t="shared" si="35"/>
        <v>290000</v>
      </c>
      <c r="G210" s="82">
        <f t="shared" si="35"/>
        <v>0</v>
      </c>
      <c r="H210" s="82">
        <f t="shared" si="36"/>
        <v>0</v>
      </c>
      <c r="I210" s="96">
        <f t="shared" si="36"/>
        <v>0</v>
      </c>
      <c r="J210" s="129">
        <f t="shared" si="21"/>
        <v>0</v>
      </c>
      <c r="K210" s="129"/>
      <c r="L210" s="96">
        <f>L211</f>
        <v>0</v>
      </c>
    </row>
    <row r="211" spans="1:12" ht="36.700000000000003" outlineLevel="1" x14ac:dyDescent="0.25">
      <c r="A211" s="81" t="s">
        <v>15</v>
      </c>
      <c r="B211" s="80" t="s">
        <v>500</v>
      </c>
      <c r="C211" s="80" t="s">
        <v>53</v>
      </c>
      <c r="D211" s="80" t="s">
        <v>683</v>
      </c>
      <c r="E211" s="80" t="s">
        <v>16</v>
      </c>
      <c r="F211" s="82">
        <f t="shared" si="35"/>
        <v>290000</v>
      </c>
      <c r="G211" s="82">
        <f t="shared" si="35"/>
        <v>0</v>
      </c>
      <c r="H211" s="82">
        <f t="shared" si="36"/>
        <v>0</v>
      </c>
      <c r="I211" s="96">
        <f t="shared" si="36"/>
        <v>0</v>
      </c>
      <c r="J211" s="129">
        <f t="shared" si="21"/>
        <v>0</v>
      </c>
      <c r="K211" s="129"/>
      <c r="L211" s="96">
        <f>L212</f>
        <v>0</v>
      </c>
    </row>
    <row r="212" spans="1:12" ht="55.05" outlineLevel="1" x14ac:dyDescent="0.25">
      <c r="A212" s="81" t="s">
        <v>17</v>
      </c>
      <c r="B212" s="80" t="s">
        <v>500</v>
      </c>
      <c r="C212" s="80" t="s">
        <v>53</v>
      </c>
      <c r="D212" s="80" t="s">
        <v>683</v>
      </c>
      <c r="E212" s="80" t="s">
        <v>18</v>
      </c>
      <c r="F212" s="82">
        <v>290000</v>
      </c>
      <c r="G212" s="82">
        <v>0</v>
      </c>
      <c r="H212" s="82">
        <v>0</v>
      </c>
      <c r="I212" s="96">
        <v>0</v>
      </c>
      <c r="J212" s="129">
        <f t="shared" ref="J212:J283" si="37">I212-H212</f>
        <v>0</v>
      </c>
      <c r="K212" s="129"/>
      <c r="L212" s="96">
        <v>0</v>
      </c>
    </row>
    <row r="213" spans="1:12" ht="91.7" outlineLevel="1" x14ac:dyDescent="0.25">
      <c r="A213" s="45" t="s">
        <v>779</v>
      </c>
      <c r="B213" s="39" t="s">
        <v>500</v>
      </c>
      <c r="C213" s="39" t="s">
        <v>53</v>
      </c>
      <c r="D213" s="39" t="s">
        <v>412</v>
      </c>
      <c r="E213" s="39" t="s">
        <v>6</v>
      </c>
      <c r="F213" s="82">
        <f>F214</f>
        <v>50000</v>
      </c>
      <c r="G213" s="82">
        <f t="shared" ref="G213:I216" si="38">G214</f>
        <v>0</v>
      </c>
      <c r="H213" s="82">
        <f t="shared" si="38"/>
        <v>0</v>
      </c>
      <c r="I213" s="82">
        <f t="shared" si="38"/>
        <v>100000</v>
      </c>
      <c r="J213" s="129">
        <f t="shared" si="37"/>
        <v>100000</v>
      </c>
      <c r="K213" s="129"/>
      <c r="L213" s="82">
        <f>L214</f>
        <v>100000</v>
      </c>
    </row>
    <row r="214" spans="1:12" ht="55.05" outlineLevel="1" x14ac:dyDescent="0.25">
      <c r="A214" s="34" t="s">
        <v>780</v>
      </c>
      <c r="B214" s="35" t="s">
        <v>500</v>
      </c>
      <c r="C214" s="35" t="s">
        <v>53</v>
      </c>
      <c r="D214" s="35" t="s">
        <v>414</v>
      </c>
      <c r="E214" s="35" t="s">
        <v>6</v>
      </c>
      <c r="F214" s="82">
        <f>F215</f>
        <v>50000</v>
      </c>
      <c r="G214" s="82">
        <f t="shared" si="38"/>
        <v>0</v>
      </c>
      <c r="H214" s="82">
        <f t="shared" si="38"/>
        <v>0</v>
      </c>
      <c r="I214" s="82">
        <f t="shared" si="38"/>
        <v>100000</v>
      </c>
      <c r="J214" s="129">
        <f t="shared" si="37"/>
        <v>100000</v>
      </c>
      <c r="K214" s="129"/>
      <c r="L214" s="82">
        <f>L215</f>
        <v>100000</v>
      </c>
    </row>
    <row r="215" spans="1:12" ht="128.4" outlineLevel="1" x14ac:dyDescent="0.25">
      <c r="A215" s="34" t="s">
        <v>781</v>
      </c>
      <c r="B215" s="35" t="s">
        <v>500</v>
      </c>
      <c r="C215" s="35" t="s">
        <v>53</v>
      </c>
      <c r="D215" s="35" t="s">
        <v>782</v>
      </c>
      <c r="E215" s="35" t="s">
        <v>6</v>
      </c>
      <c r="F215" s="82">
        <f>F216</f>
        <v>50000</v>
      </c>
      <c r="G215" s="82">
        <f t="shared" si="38"/>
        <v>0</v>
      </c>
      <c r="H215" s="82">
        <f t="shared" si="38"/>
        <v>0</v>
      </c>
      <c r="I215" s="82">
        <f t="shared" si="38"/>
        <v>100000</v>
      </c>
      <c r="J215" s="129">
        <f t="shared" si="37"/>
        <v>100000</v>
      </c>
      <c r="K215" s="129"/>
      <c r="L215" s="82">
        <f>L216</f>
        <v>100000</v>
      </c>
    </row>
    <row r="216" spans="1:12" outlineLevel="1" x14ac:dyDescent="0.25">
      <c r="A216" s="34"/>
      <c r="B216" s="35" t="s">
        <v>500</v>
      </c>
      <c r="C216" s="35" t="s">
        <v>53</v>
      </c>
      <c r="D216" s="35" t="s">
        <v>782</v>
      </c>
      <c r="E216" s="35" t="s">
        <v>20</v>
      </c>
      <c r="F216" s="82">
        <f>F217</f>
        <v>50000</v>
      </c>
      <c r="G216" s="82">
        <f t="shared" si="38"/>
        <v>0</v>
      </c>
      <c r="H216" s="82">
        <f t="shared" si="38"/>
        <v>0</v>
      </c>
      <c r="I216" s="82">
        <f t="shared" si="38"/>
        <v>100000</v>
      </c>
      <c r="J216" s="129">
        <f t="shared" si="37"/>
        <v>100000</v>
      </c>
      <c r="K216" s="129"/>
      <c r="L216" s="82">
        <f>L217</f>
        <v>100000</v>
      </c>
    </row>
    <row r="217" spans="1:12" outlineLevel="1" x14ac:dyDescent="0.25">
      <c r="A217" s="34"/>
      <c r="B217" s="35" t="s">
        <v>500</v>
      </c>
      <c r="C217" s="35" t="s">
        <v>53</v>
      </c>
      <c r="D217" s="35" t="s">
        <v>782</v>
      </c>
      <c r="E217" s="35" t="s">
        <v>48</v>
      </c>
      <c r="F217" s="82">
        <v>50000</v>
      </c>
      <c r="G217" s="82">
        <v>0</v>
      </c>
      <c r="H217" s="82">
        <v>0</v>
      </c>
      <c r="I217" s="96">
        <v>100000</v>
      </c>
      <c r="J217" s="129">
        <f t="shared" si="37"/>
        <v>100000</v>
      </c>
      <c r="K217" s="129"/>
      <c r="L217" s="96">
        <v>100000</v>
      </c>
    </row>
    <row r="218" spans="1:12" ht="110.05" outlineLevel="1" x14ac:dyDescent="0.25">
      <c r="A218" s="109" t="s">
        <v>389</v>
      </c>
      <c r="B218" s="110" t="s">
        <v>500</v>
      </c>
      <c r="C218" s="110" t="s">
        <v>53</v>
      </c>
      <c r="D218" s="110" t="s">
        <v>340</v>
      </c>
      <c r="E218" s="111" t="s">
        <v>6</v>
      </c>
      <c r="F218" s="85">
        <f>F219+F223</f>
        <v>620000</v>
      </c>
      <c r="G218" s="85">
        <f>G219+G223</f>
        <v>620000</v>
      </c>
      <c r="H218" s="85">
        <f>H219+H223</f>
        <v>3343600</v>
      </c>
      <c r="I218" s="112">
        <f>I219+I223</f>
        <v>343600</v>
      </c>
      <c r="J218" s="129">
        <f t="shared" si="37"/>
        <v>-3000000</v>
      </c>
      <c r="K218" s="129"/>
      <c r="L218" s="112">
        <f>L219+L223</f>
        <v>343600</v>
      </c>
    </row>
    <row r="219" spans="1:12" ht="36.700000000000003" outlineLevel="1" x14ac:dyDescent="0.25">
      <c r="A219" s="81" t="s">
        <v>386</v>
      </c>
      <c r="B219" s="80" t="s">
        <v>500</v>
      </c>
      <c r="C219" s="80" t="s">
        <v>53</v>
      </c>
      <c r="D219" s="80" t="s">
        <v>341</v>
      </c>
      <c r="E219" s="83" t="s">
        <v>6</v>
      </c>
      <c r="F219" s="98">
        <f>F220</f>
        <v>300000</v>
      </c>
      <c r="G219" s="98">
        <f>G220</f>
        <v>300000</v>
      </c>
      <c r="H219" s="98">
        <f>H220</f>
        <v>3213600</v>
      </c>
      <c r="I219" s="108">
        <f>I220</f>
        <v>213600</v>
      </c>
      <c r="J219" s="129">
        <f t="shared" si="37"/>
        <v>-3000000</v>
      </c>
      <c r="K219" s="129"/>
      <c r="L219" s="108">
        <f>L220</f>
        <v>213600</v>
      </c>
    </row>
    <row r="220" spans="1:12" ht="36.700000000000003" outlineLevel="1" x14ac:dyDescent="0.25">
      <c r="A220" s="81" t="s">
        <v>342</v>
      </c>
      <c r="B220" s="80" t="s">
        <v>500</v>
      </c>
      <c r="C220" s="80" t="s">
        <v>53</v>
      </c>
      <c r="D220" s="80" t="s">
        <v>343</v>
      </c>
      <c r="E220" s="83" t="s">
        <v>6</v>
      </c>
      <c r="F220" s="98">
        <f>F221</f>
        <v>300000</v>
      </c>
      <c r="G220" s="98">
        <f t="shared" ref="G220:I221" si="39">G221</f>
        <v>300000</v>
      </c>
      <c r="H220" s="98">
        <f t="shared" si="39"/>
        <v>3213600</v>
      </c>
      <c r="I220" s="108">
        <f t="shared" si="39"/>
        <v>213600</v>
      </c>
      <c r="J220" s="129">
        <f t="shared" si="37"/>
        <v>-3000000</v>
      </c>
      <c r="K220" s="129"/>
      <c r="L220" s="108">
        <f>L221</f>
        <v>213600</v>
      </c>
    </row>
    <row r="221" spans="1:12" ht="19.55" customHeight="1" outlineLevel="1" x14ac:dyDescent="0.25">
      <c r="A221" s="81" t="s">
        <v>15</v>
      </c>
      <c r="B221" s="80" t="s">
        <v>500</v>
      </c>
      <c r="C221" s="80" t="s">
        <v>53</v>
      </c>
      <c r="D221" s="80" t="s">
        <v>343</v>
      </c>
      <c r="E221" s="83" t="s">
        <v>16</v>
      </c>
      <c r="F221" s="98">
        <f>F222</f>
        <v>300000</v>
      </c>
      <c r="G221" s="98">
        <f t="shared" si="39"/>
        <v>300000</v>
      </c>
      <c r="H221" s="98">
        <f t="shared" si="39"/>
        <v>3213600</v>
      </c>
      <c r="I221" s="108">
        <f t="shared" si="39"/>
        <v>213600</v>
      </c>
      <c r="J221" s="129">
        <f t="shared" si="37"/>
        <v>-3000000</v>
      </c>
      <c r="K221" s="129"/>
      <c r="L221" s="108">
        <f>L222</f>
        <v>213600</v>
      </c>
    </row>
    <row r="222" spans="1:12" ht="55.05" outlineLevel="2" x14ac:dyDescent="0.25">
      <c r="A222" s="81" t="s">
        <v>17</v>
      </c>
      <c r="B222" s="80" t="s">
        <v>500</v>
      </c>
      <c r="C222" s="80" t="s">
        <v>53</v>
      </c>
      <c r="D222" s="80" t="s">
        <v>343</v>
      </c>
      <c r="E222" s="83" t="s">
        <v>18</v>
      </c>
      <c r="F222" s="82">
        <v>300000</v>
      </c>
      <c r="G222" s="82">
        <v>300000</v>
      </c>
      <c r="H222" s="82">
        <v>3213600</v>
      </c>
      <c r="I222" s="96">
        <v>213600</v>
      </c>
      <c r="J222" s="129">
        <f t="shared" si="37"/>
        <v>-3000000</v>
      </c>
      <c r="K222" s="129"/>
      <c r="L222" s="96">
        <v>213600</v>
      </c>
    </row>
    <row r="223" spans="1:12" ht="55.05" outlineLevel="3" x14ac:dyDescent="0.25">
      <c r="A223" s="113" t="s">
        <v>388</v>
      </c>
      <c r="B223" s="80" t="s">
        <v>500</v>
      </c>
      <c r="C223" s="80" t="s">
        <v>53</v>
      </c>
      <c r="D223" s="80" t="s">
        <v>387</v>
      </c>
      <c r="E223" s="83" t="s">
        <v>6</v>
      </c>
      <c r="F223" s="82">
        <f>F224</f>
        <v>320000</v>
      </c>
      <c r="G223" s="82">
        <f>G224</f>
        <v>320000</v>
      </c>
      <c r="H223" s="82">
        <f>H224</f>
        <v>130000</v>
      </c>
      <c r="I223" s="96">
        <f>I224</f>
        <v>130000</v>
      </c>
      <c r="J223" s="129">
        <f t="shared" si="37"/>
        <v>0</v>
      </c>
      <c r="K223" s="129"/>
      <c r="L223" s="96">
        <f>L224</f>
        <v>130000</v>
      </c>
    </row>
    <row r="224" spans="1:12" ht="36.700000000000003" outlineLevel="3" x14ac:dyDescent="0.25">
      <c r="A224" s="81" t="s">
        <v>344</v>
      </c>
      <c r="B224" s="80" t="s">
        <v>500</v>
      </c>
      <c r="C224" s="80" t="s">
        <v>53</v>
      </c>
      <c r="D224" s="80" t="s">
        <v>439</v>
      </c>
      <c r="E224" s="83" t="s">
        <v>6</v>
      </c>
      <c r="F224" s="82">
        <f>F225</f>
        <v>320000</v>
      </c>
      <c r="G224" s="82">
        <f t="shared" ref="G224:I225" si="40">G225</f>
        <v>320000</v>
      </c>
      <c r="H224" s="82">
        <f t="shared" si="40"/>
        <v>130000</v>
      </c>
      <c r="I224" s="96">
        <f t="shared" si="40"/>
        <v>130000</v>
      </c>
      <c r="J224" s="129">
        <f t="shared" si="37"/>
        <v>0</v>
      </c>
      <c r="K224" s="129"/>
      <c r="L224" s="96">
        <f>L225</f>
        <v>130000</v>
      </c>
    </row>
    <row r="225" spans="1:12" ht="21.75" customHeight="1" outlineLevel="3" x14ac:dyDescent="0.25">
      <c r="A225" s="81" t="s">
        <v>15</v>
      </c>
      <c r="B225" s="80" t="s">
        <v>500</v>
      </c>
      <c r="C225" s="80" t="s">
        <v>53</v>
      </c>
      <c r="D225" s="80" t="s">
        <v>439</v>
      </c>
      <c r="E225" s="83" t="s">
        <v>16</v>
      </c>
      <c r="F225" s="82">
        <f>F226</f>
        <v>320000</v>
      </c>
      <c r="G225" s="82">
        <f t="shared" si="40"/>
        <v>320000</v>
      </c>
      <c r="H225" s="82">
        <f t="shared" si="40"/>
        <v>130000</v>
      </c>
      <c r="I225" s="96">
        <f t="shared" si="40"/>
        <v>130000</v>
      </c>
      <c r="J225" s="129">
        <f t="shared" si="37"/>
        <v>0</v>
      </c>
      <c r="K225" s="129"/>
      <c r="L225" s="96">
        <f>L226</f>
        <v>130000</v>
      </c>
    </row>
    <row r="226" spans="1:12" ht="55.05" outlineLevel="3" x14ac:dyDescent="0.25">
      <c r="A226" s="81" t="s">
        <v>17</v>
      </c>
      <c r="B226" s="80" t="s">
        <v>500</v>
      </c>
      <c r="C226" s="80" t="s">
        <v>53</v>
      </c>
      <c r="D226" s="80" t="s">
        <v>439</v>
      </c>
      <c r="E226" s="83" t="s">
        <v>18</v>
      </c>
      <c r="F226" s="82">
        <v>320000</v>
      </c>
      <c r="G226" s="82">
        <v>320000</v>
      </c>
      <c r="H226" s="82">
        <v>130000</v>
      </c>
      <c r="I226" s="96">
        <v>130000</v>
      </c>
      <c r="J226" s="129">
        <f t="shared" si="37"/>
        <v>0</v>
      </c>
      <c r="K226" s="129"/>
      <c r="L226" s="96">
        <v>130000</v>
      </c>
    </row>
    <row r="227" spans="1:12" ht="36.700000000000003" outlineLevel="3" x14ac:dyDescent="0.25">
      <c r="A227" s="109" t="s">
        <v>54</v>
      </c>
      <c r="B227" s="110" t="s">
        <v>500</v>
      </c>
      <c r="C227" s="110" t="s">
        <v>55</v>
      </c>
      <c r="D227" s="110" t="s">
        <v>126</v>
      </c>
      <c r="E227" s="111" t="s">
        <v>6</v>
      </c>
      <c r="F227" s="132">
        <f>F228+F239+F271+F317</f>
        <v>224194693.03</v>
      </c>
      <c r="G227" s="132">
        <f>G228+G239+G271+G317</f>
        <v>30324715.140000001</v>
      </c>
      <c r="H227" s="132">
        <f>H228+H239+H271+H317</f>
        <v>47118494.18</v>
      </c>
      <c r="I227" s="120">
        <f>I228+I239+I271+I317</f>
        <v>41846494.18</v>
      </c>
      <c r="J227" s="129">
        <f t="shared" si="37"/>
        <v>-5272000</v>
      </c>
      <c r="K227" s="129"/>
      <c r="L227" s="120">
        <f>L228+L239+L271+L317</f>
        <v>76906494.180000007</v>
      </c>
    </row>
    <row r="228" spans="1:12" outlineLevel="5" x14ac:dyDescent="0.25">
      <c r="A228" s="81" t="s">
        <v>56</v>
      </c>
      <c r="B228" s="80" t="s">
        <v>500</v>
      </c>
      <c r="C228" s="80" t="s">
        <v>57</v>
      </c>
      <c r="D228" s="80" t="s">
        <v>126</v>
      </c>
      <c r="E228" s="83" t="s">
        <v>6</v>
      </c>
      <c r="F228" s="82">
        <f>F229+F234</f>
        <v>3143000</v>
      </c>
      <c r="G228" s="82">
        <f>G229+G235</f>
        <v>500000</v>
      </c>
      <c r="H228" s="82">
        <f>H229+H235</f>
        <v>2500000</v>
      </c>
      <c r="I228" s="96">
        <f>I229+I235</f>
        <v>2500000</v>
      </c>
      <c r="J228" s="129">
        <f t="shared" si="37"/>
        <v>0</v>
      </c>
      <c r="K228" s="129"/>
      <c r="L228" s="96">
        <f>L229+L235</f>
        <v>2500000</v>
      </c>
    </row>
    <row r="229" spans="1:12" ht="26.5" customHeight="1" outlineLevel="6" x14ac:dyDescent="0.25">
      <c r="A229" s="109" t="s">
        <v>547</v>
      </c>
      <c r="B229" s="110" t="s">
        <v>500</v>
      </c>
      <c r="C229" s="110" t="s">
        <v>57</v>
      </c>
      <c r="D229" s="110" t="s">
        <v>331</v>
      </c>
      <c r="E229" s="111" t="s">
        <v>6</v>
      </c>
      <c r="F229" s="85">
        <f>F230</f>
        <v>3143000</v>
      </c>
      <c r="G229" s="85">
        <f>G230</f>
        <v>500000</v>
      </c>
      <c r="H229" s="85">
        <f>H230</f>
        <v>2500000</v>
      </c>
      <c r="I229" s="112">
        <f>I230</f>
        <v>2500000</v>
      </c>
      <c r="J229" s="129">
        <f t="shared" si="37"/>
        <v>0</v>
      </c>
      <c r="K229" s="129"/>
      <c r="L229" s="112">
        <f>L230</f>
        <v>2500000</v>
      </c>
    </row>
    <row r="230" spans="1:12" ht="37.549999999999997" customHeight="1" outlineLevel="7" x14ac:dyDescent="0.25">
      <c r="A230" s="81" t="s">
        <v>345</v>
      </c>
      <c r="B230" s="80" t="s">
        <v>500</v>
      </c>
      <c r="C230" s="80" t="s">
        <v>57</v>
      </c>
      <c r="D230" s="80" t="s">
        <v>332</v>
      </c>
      <c r="E230" s="83" t="s">
        <v>6</v>
      </c>
      <c r="F230" s="82">
        <f>F231</f>
        <v>3143000</v>
      </c>
      <c r="G230" s="82">
        <f t="shared" ref="G230:I232" si="41">G231</f>
        <v>500000</v>
      </c>
      <c r="H230" s="82">
        <f t="shared" si="41"/>
        <v>2500000</v>
      </c>
      <c r="I230" s="96">
        <f t="shared" si="41"/>
        <v>2500000</v>
      </c>
      <c r="J230" s="129">
        <f t="shared" si="37"/>
        <v>0</v>
      </c>
      <c r="K230" s="129"/>
      <c r="L230" s="96">
        <f>L231</f>
        <v>2500000</v>
      </c>
    </row>
    <row r="231" spans="1:12" ht="36.700000000000003" outlineLevel="5" x14ac:dyDescent="0.25">
      <c r="A231" s="81" t="s">
        <v>346</v>
      </c>
      <c r="B231" s="80" t="s">
        <v>500</v>
      </c>
      <c r="C231" s="80" t="s">
        <v>57</v>
      </c>
      <c r="D231" s="80" t="s">
        <v>347</v>
      </c>
      <c r="E231" s="83" t="s">
        <v>6</v>
      </c>
      <c r="F231" s="82">
        <f>F232</f>
        <v>3143000</v>
      </c>
      <c r="G231" s="82">
        <f t="shared" si="41"/>
        <v>500000</v>
      </c>
      <c r="H231" s="82">
        <f t="shared" si="41"/>
        <v>2500000</v>
      </c>
      <c r="I231" s="96">
        <f t="shared" si="41"/>
        <v>2500000</v>
      </c>
      <c r="J231" s="129">
        <f t="shared" si="37"/>
        <v>0</v>
      </c>
      <c r="K231" s="129"/>
      <c r="L231" s="96">
        <f>L232</f>
        <v>2500000</v>
      </c>
    </row>
    <row r="232" spans="1:12" ht="20.25" customHeight="1" outlineLevel="6" x14ac:dyDescent="0.25">
      <c r="A232" s="81" t="s">
        <v>15</v>
      </c>
      <c r="B232" s="80" t="s">
        <v>500</v>
      </c>
      <c r="C232" s="80" t="s">
        <v>57</v>
      </c>
      <c r="D232" s="80" t="s">
        <v>347</v>
      </c>
      <c r="E232" s="83" t="s">
        <v>16</v>
      </c>
      <c r="F232" s="82">
        <f>F233</f>
        <v>3143000</v>
      </c>
      <c r="G232" s="82">
        <f t="shared" si="41"/>
        <v>500000</v>
      </c>
      <c r="H232" s="82">
        <f t="shared" si="41"/>
        <v>2500000</v>
      </c>
      <c r="I232" s="96">
        <f t="shared" si="41"/>
        <v>2500000</v>
      </c>
      <c r="J232" s="129">
        <f t="shared" si="37"/>
        <v>0</v>
      </c>
      <c r="K232" s="129"/>
      <c r="L232" s="96">
        <f>L233</f>
        <v>2500000</v>
      </c>
    </row>
    <row r="233" spans="1:12" ht="41.95" customHeight="1" outlineLevel="7" x14ac:dyDescent="0.25">
      <c r="A233" s="81" t="s">
        <v>17</v>
      </c>
      <c r="B233" s="80" t="s">
        <v>500</v>
      </c>
      <c r="C233" s="80" t="s">
        <v>57</v>
      </c>
      <c r="D233" s="80" t="s">
        <v>347</v>
      </c>
      <c r="E233" s="83" t="s">
        <v>18</v>
      </c>
      <c r="F233" s="82">
        <v>3143000</v>
      </c>
      <c r="G233" s="82">
        <v>500000</v>
      </c>
      <c r="H233" s="98">
        <v>2500000</v>
      </c>
      <c r="I233" s="108">
        <v>2500000</v>
      </c>
      <c r="J233" s="129">
        <f t="shared" si="37"/>
        <v>0</v>
      </c>
      <c r="K233" s="129"/>
      <c r="L233" s="108">
        <v>2500000</v>
      </c>
    </row>
    <row r="234" spans="1:12" ht="55.05" outlineLevel="7" x14ac:dyDescent="0.25">
      <c r="A234" s="81" t="s">
        <v>132</v>
      </c>
      <c r="B234" s="80" t="s">
        <v>500</v>
      </c>
      <c r="C234" s="80" t="s">
        <v>57</v>
      </c>
      <c r="D234" s="80" t="s">
        <v>127</v>
      </c>
      <c r="E234" s="83" t="s">
        <v>6</v>
      </c>
      <c r="F234" s="82">
        <f>F235</f>
        <v>0</v>
      </c>
      <c r="G234" s="82">
        <f t="shared" ref="G234:I237" si="42">G235</f>
        <v>0</v>
      </c>
      <c r="H234" s="82">
        <f t="shared" si="42"/>
        <v>0</v>
      </c>
      <c r="I234" s="96">
        <f t="shared" si="42"/>
        <v>0</v>
      </c>
      <c r="J234" s="129">
        <f t="shared" si="37"/>
        <v>0</v>
      </c>
      <c r="K234" s="129"/>
      <c r="L234" s="96">
        <f>L235</f>
        <v>0</v>
      </c>
    </row>
    <row r="235" spans="1:12" ht="36.700000000000003" outlineLevel="7" x14ac:dyDescent="0.25">
      <c r="A235" s="81" t="s">
        <v>277</v>
      </c>
      <c r="B235" s="80" t="s">
        <v>500</v>
      </c>
      <c r="C235" s="80" t="s">
        <v>57</v>
      </c>
      <c r="D235" s="80" t="s">
        <v>276</v>
      </c>
      <c r="E235" s="83" t="s">
        <v>6</v>
      </c>
      <c r="F235" s="82">
        <f>F236</f>
        <v>0</v>
      </c>
      <c r="G235" s="82">
        <f t="shared" si="42"/>
        <v>0</v>
      </c>
      <c r="H235" s="82">
        <f t="shared" si="42"/>
        <v>0</v>
      </c>
      <c r="I235" s="96">
        <f t="shared" si="42"/>
        <v>0</v>
      </c>
      <c r="J235" s="129">
        <f t="shared" si="37"/>
        <v>0</v>
      </c>
      <c r="K235" s="129"/>
      <c r="L235" s="96">
        <f>L236</f>
        <v>0</v>
      </c>
    </row>
    <row r="236" spans="1:12" ht="91.7" outlineLevel="7" x14ac:dyDescent="0.25">
      <c r="A236" s="100" t="s">
        <v>381</v>
      </c>
      <c r="B236" s="80" t="s">
        <v>500</v>
      </c>
      <c r="C236" s="80" t="s">
        <v>57</v>
      </c>
      <c r="D236" s="80" t="s">
        <v>507</v>
      </c>
      <c r="E236" s="83" t="s">
        <v>6</v>
      </c>
      <c r="F236" s="82">
        <f>F237</f>
        <v>0</v>
      </c>
      <c r="G236" s="82">
        <f t="shared" si="42"/>
        <v>0</v>
      </c>
      <c r="H236" s="82">
        <f t="shared" si="42"/>
        <v>0</v>
      </c>
      <c r="I236" s="96">
        <f t="shared" si="42"/>
        <v>0</v>
      </c>
      <c r="J236" s="129">
        <f t="shared" si="37"/>
        <v>0</v>
      </c>
      <c r="K236" s="129"/>
      <c r="L236" s="96">
        <f>L237</f>
        <v>0</v>
      </c>
    </row>
    <row r="237" spans="1:12" ht="21.25" customHeight="1" outlineLevel="7" x14ac:dyDescent="0.25">
      <c r="A237" s="81" t="s">
        <v>15</v>
      </c>
      <c r="B237" s="80" t="s">
        <v>500</v>
      </c>
      <c r="C237" s="80" t="s">
        <v>57</v>
      </c>
      <c r="D237" s="80" t="s">
        <v>507</v>
      </c>
      <c r="E237" s="83" t="s">
        <v>16</v>
      </c>
      <c r="F237" s="82">
        <f>F238</f>
        <v>0</v>
      </c>
      <c r="G237" s="82">
        <f t="shared" si="42"/>
        <v>0</v>
      </c>
      <c r="H237" s="82">
        <f t="shared" si="42"/>
        <v>0</v>
      </c>
      <c r="I237" s="96">
        <f t="shared" si="42"/>
        <v>0</v>
      </c>
      <c r="J237" s="129">
        <f t="shared" si="37"/>
        <v>0</v>
      </c>
      <c r="K237" s="129"/>
      <c r="L237" s="96">
        <f>L238</f>
        <v>0</v>
      </c>
    </row>
    <row r="238" spans="1:12" ht="23.3" customHeight="1" outlineLevel="7" x14ac:dyDescent="0.25">
      <c r="A238" s="81" t="s">
        <v>17</v>
      </c>
      <c r="B238" s="80" t="s">
        <v>500</v>
      </c>
      <c r="C238" s="80" t="s">
        <v>57</v>
      </c>
      <c r="D238" s="80" t="s">
        <v>507</v>
      </c>
      <c r="E238" s="83" t="s">
        <v>18</v>
      </c>
      <c r="F238" s="82">
        <v>0</v>
      </c>
      <c r="G238" s="82">
        <v>0</v>
      </c>
      <c r="H238" s="98">
        <v>0</v>
      </c>
      <c r="I238" s="108">
        <v>0</v>
      </c>
      <c r="J238" s="129">
        <f t="shared" si="37"/>
        <v>0</v>
      </c>
      <c r="K238" s="129"/>
      <c r="L238" s="108">
        <v>0</v>
      </c>
    </row>
    <row r="239" spans="1:12" ht="24.8" customHeight="1" outlineLevel="1" x14ac:dyDescent="0.25">
      <c r="A239" s="81" t="s">
        <v>58</v>
      </c>
      <c r="B239" s="80" t="s">
        <v>500</v>
      </c>
      <c r="C239" s="80" t="s">
        <v>59</v>
      </c>
      <c r="D239" s="80" t="s">
        <v>126</v>
      </c>
      <c r="E239" s="83" t="s">
        <v>6</v>
      </c>
      <c r="F239" s="82">
        <f t="shared" ref="F239:I240" si="43">F240</f>
        <v>192790081.63999999</v>
      </c>
      <c r="G239" s="82">
        <f t="shared" si="43"/>
        <v>1925000</v>
      </c>
      <c r="H239" s="82">
        <f t="shared" si="43"/>
        <v>10350000</v>
      </c>
      <c r="I239" s="96">
        <f t="shared" si="43"/>
        <v>6128000</v>
      </c>
      <c r="J239" s="129">
        <f t="shared" si="37"/>
        <v>-4222000</v>
      </c>
      <c r="K239" s="129"/>
      <c r="L239" s="96">
        <f>L240</f>
        <v>30388000</v>
      </c>
    </row>
    <row r="240" spans="1:12" ht="41.3" customHeight="1" outlineLevel="2" x14ac:dyDescent="0.25">
      <c r="A240" s="109" t="s">
        <v>348</v>
      </c>
      <c r="B240" s="110" t="s">
        <v>500</v>
      </c>
      <c r="C240" s="110" t="s">
        <v>59</v>
      </c>
      <c r="D240" s="110" t="s">
        <v>134</v>
      </c>
      <c r="E240" s="111" t="s">
        <v>6</v>
      </c>
      <c r="F240" s="85">
        <f t="shared" si="43"/>
        <v>192790081.63999999</v>
      </c>
      <c r="G240" s="85">
        <f t="shared" si="43"/>
        <v>1925000</v>
      </c>
      <c r="H240" s="85">
        <f t="shared" si="43"/>
        <v>10350000</v>
      </c>
      <c r="I240" s="112">
        <f t="shared" si="43"/>
        <v>6128000</v>
      </c>
      <c r="J240" s="129">
        <f t="shared" si="37"/>
        <v>-4222000</v>
      </c>
      <c r="K240" s="129"/>
      <c r="L240" s="112">
        <f>L241</f>
        <v>30388000</v>
      </c>
    </row>
    <row r="241" spans="1:12" ht="36" customHeight="1" outlineLevel="3" x14ac:dyDescent="0.25">
      <c r="A241" s="81" t="s">
        <v>349</v>
      </c>
      <c r="B241" s="80" t="s">
        <v>500</v>
      </c>
      <c r="C241" s="80" t="s">
        <v>59</v>
      </c>
      <c r="D241" s="80" t="s">
        <v>350</v>
      </c>
      <c r="E241" s="83" t="s">
        <v>6</v>
      </c>
      <c r="F241" s="82">
        <f>F242+F259+F262+F256+F268+F265+F249+F252</f>
        <v>192790081.63999999</v>
      </c>
      <c r="G241" s="82">
        <f>G242+G249+G252+G258+G255</f>
        <v>1925000</v>
      </c>
      <c r="H241" s="82">
        <f>H242+H249+H252+H258+H255</f>
        <v>10350000</v>
      </c>
      <c r="I241" s="96">
        <f>I242+I249+I252+I258+I255</f>
        <v>6128000</v>
      </c>
      <c r="J241" s="129">
        <f t="shared" si="37"/>
        <v>-4222000</v>
      </c>
      <c r="K241" s="129"/>
      <c r="L241" s="96">
        <f>L242+L249+L252+L258+L255</f>
        <v>30388000</v>
      </c>
    </row>
    <row r="242" spans="1:12" ht="128.4" outlineLevel="5" x14ac:dyDescent="0.25">
      <c r="A242" s="81" t="s">
        <v>60</v>
      </c>
      <c r="B242" s="80" t="s">
        <v>500</v>
      </c>
      <c r="C242" s="80" t="s">
        <v>59</v>
      </c>
      <c r="D242" s="80" t="s">
        <v>351</v>
      </c>
      <c r="E242" s="83" t="s">
        <v>6</v>
      </c>
      <c r="F242" s="82">
        <f>F243+F245+F247</f>
        <v>19234000</v>
      </c>
      <c r="G242" s="82">
        <f>G243+G245+G247</f>
        <v>455000</v>
      </c>
      <c r="H242" s="82">
        <f>H243+H245+H247</f>
        <v>650000</v>
      </c>
      <c r="I242" s="82">
        <f>I243+I245+I247</f>
        <v>650000</v>
      </c>
      <c r="J242" s="129">
        <f t="shared" si="37"/>
        <v>0</v>
      </c>
      <c r="K242" s="129"/>
      <c r="L242" s="82">
        <f>L243+L245+L247</f>
        <v>14910000</v>
      </c>
    </row>
    <row r="243" spans="1:12" ht="20.25" customHeight="1" outlineLevel="6" x14ac:dyDescent="0.25">
      <c r="A243" s="81" t="s">
        <v>15</v>
      </c>
      <c r="B243" s="80" t="s">
        <v>500</v>
      </c>
      <c r="C243" s="80" t="s">
        <v>59</v>
      </c>
      <c r="D243" s="80" t="s">
        <v>351</v>
      </c>
      <c r="E243" s="83" t="s">
        <v>16</v>
      </c>
      <c r="F243" s="82">
        <f>F244</f>
        <v>5940123.6200000001</v>
      </c>
      <c r="G243" s="82">
        <f>G244</f>
        <v>455000</v>
      </c>
      <c r="H243" s="82">
        <f>H244</f>
        <v>650000</v>
      </c>
      <c r="I243" s="96">
        <f>I244</f>
        <v>650000</v>
      </c>
      <c r="J243" s="129">
        <f t="shared" si="37"/>
        <v>0</v>
      </c>
      <c r="K243" s="129"/>
      <c r="L243" s="96">
        <f>L244</f>
        <v>4910000</v>
      </c>
    </row>
    <row r="244" spans="1:12" ht="55.05" outlineLevel="7" x14ac:dyDescent="0.25">
      <c r="A244" s="81" t="s">
        <v>17</v>
      </c>
      <c r="B244" s="80" t="s">
        <v>500</v>
      </c>
      <c r="C244" s="80" t="s">
        <v>59</v>
      </c>
      <c r="D244" s="80" t="s">
        <v>351</v>
      </c>
      <c r="E244" s="83" t="s">
        <v>18</v>
      </c>
      <c r="F244" s="82">
        <v>5940123.6200000001</v>
      </c>
      <c r="G244" s="82">
        <v>455000</v>
      </c>
      <c r="H244" s="98">
        <v>650000</v>
      </c>
      <c r="I244" s="108">
        <v>650000</v>
      </c>
      <c r="J244" s="129">
        <f t="shared" si="37"/>
        <v>0</v>
      </c>
      <c r="K244" s="129">
        <v>4260000</v>
      </c>
      <c r="L244" s="108">
        <f>650000+4260000</f>
        <v>4910000</v>
      </c>
    </row>
    <row r="245" spans="1:12" ht="55.05" outlineLevel="7" x14ac:dyDescent="0.25">
      <c r="A245" s="81" t="s">
        <v>264</v>
      </c>
      <c r="B245" s="80" t="s">
        <v>500</v>
      </c>
      <c r="C245" s="80" t="s">
        <v>59</v>
      </c>
      <c r="D245" s="80" t="s">
        <v>351</v>
      </c>
      <c r="E245" s="80" t="s">
        <v>265</v>
      </c>
      <c r="F245" s="82">
        <f>F246</f>
        <v>1362876.38</v>
      </c>
      <c r="G245" s="82">
        <f>G246</f>
        <v>0</v>
      </c>
      <c r="H245" s="82">
        <f>H246</f>
        <v>0</v>
      </c>
      <c r="I245" s="82">
        <f>I246</f>
        <v>0</v>
      </c>
      <c r="J245" s="129">
        <f t="shared" si="37"/>
        <v>0</v>
      </c>
      <c r="K245" s="129"/>
      <c r="L245" s="82">
        <f>L246</f>
        <v>0</v>
      </c>
    </row>
    <row r="246" spans="1:12" outlineLevel="7" x14ac:dyDescent="0.25">
      <c r="A246" s="81" t="s">
        <v>266</v>
      </c>
      <c r="B246" s="80" t="s">
        <v>500</v>
      </c>
      <c r="C246" s="80" t="s">
        <v>59</v>
      </c>
      <c r="D246" s="80" t="s">
        <v>351</v>
      </c>
      <c r="E246" s="80" t="s">
        <v>267</v>
      </c>
      <c r="F246" s="82">
        <v>1362876.38</v>
      </c>
      <c r="G246" s="82"/>
      <c r="H246" s="98"/>
      <c r="I246" s="108"/>
      <c r="J246" s="129">
        <f t="shared" si="37"/>
        <v>0</v>
      </c>
      <c r="K246" s="129"/>
      <c r="L246" s="108"/>
    </row>
    <row r="247" spans="1:12" outlineLevel="7" x14ac:dyDescent="0.25">
      <c r="A247" s="81" t="s">
        <v>19</v>
      </c>
      <c r="B247" s="80" t="s">
        <v>500</v>
      </c>
      <c r="C247" s="80" t="s">
        <v>59</v>
      </c>
      <c r="D247" s="80" t="s">
        <v>351</v>
      </c>
      <c r="E247" s="80" t="s">
        <v>20</v>
      </c>
      <c r="F247" s="82">
        <f>F248</f>
        <v>11931000</v>
      </c>
      <c r="G247" s="82">
        <f>G248</f>
        <v>0</v>
      </c>
      <c r="H247" s="82">
        <f>H248</f>
        <v>0</v>
      </c>
      <c r="I247" s="82">
        <f>I248</f>
        <v>0</v>
      </c>
      <c r="J247" s="129">
        <f t="shared" si="37"/>
        <v>0</v>
      </c>
      <c r="K247" s="129"/>
      <c r="L247" s="82">
        <f>L248</f>
        <v>10000000</v>
      </c>
    </row>
    <row r="248" spans="1:12" ht="73.400000000000006" outlineLevel="7" x14ac:dyDescent="0.25">
      <c r="A248" s="81" t="s">
        <v>47</v>
      </c>
      <c r="B248" s="80" t="s">
        <v>500</v>
      </c>
      <c r="C248" s="80" t="s">
        <v>59</v>
      </c>
      <c r="D248" s="80" t="s">
        <v>351</v>
      </c>
      <c r="E248" s="80" t="s">
        <v>48</v>
      </c>
      <c r="F248" s="82">
        <v>11931000</v>
      </c>
      <c r="G248" s="82"/>
      <c r="H248" s="98"/>
      <c r="I248" s="108"/>
      <c r="J248" s="129">
        <f t="shared" si="37"/>
        <v>0</v>
      </c>
      <c r="K248" s="129">
        <v>10000000</v>
      </c>
      <c r="L248" s="108">
        <v>10000000</v>
      </c>
    </row>
    <row r="249" spans="1:12" ht="73.400000000000006" outlineLevel="3" x14ac:dyDescent="0.25">
      <c r="A249" s="81" t="s">
        <v>250</v>
      </c>
      <c r="B249" s="80" t="s">
        <v>500</v>
      </c>
      <c r="C249" s="80" t="s">
        <v>59</v>
      </c>
      <c r="D249" s="80" t="s">
        <v>352</v>
      </c>
      <c r="E249" s="83" t="s">
        <v>6</v>
      </c>
      <c r="F249" s="98">
        <f>F250</f>
        <v>500000</v>
      </c>
      <c r="G249" s="98">
        <f t="shared" ref="G249:I250" si="44">G250</f>
        <v>500000</v>
      </c>
      <c r="H249" s="98">
        <f t="shared" si="44"/>
        <v>4000000</v>
      </c>
      <c r="I249" s="108">
        <f t="shared" si="44"/>
        <v>4000000</v>
      </c>
      <c r="J249" s="129">
        <f t="shared" si="37"/>
        <v>0</v>
      </c>
      <c r="K249" s="129"/>
      <c r="L249" s="108">
        <f>L250</f>
        <v>4000000</v>
      </c>
    </row>
    <row r="250" spans="1:12" outlineLevel="7" x14ac:dyDescent="0.25">
      <c r="A250" s="81" t="s">
        <v>19</v>
      </c>
      <c r="B250" s="80" t="s">
        <v>500</v>
      </c>
      <c r="C250" s="80" t="s">
        <v>59</v>
      </c>
      <c r="D250" s="80" t="s">
        <v>352</v>
      </c>
      <c r="E250" s="83" t="s">
        <v>20</v>
      </c>
      <c r="F250" s="98">
        <f>F251</f>
        <v>500000</v>
      </c>
      <c r="G250" s="98">
        <f t="shared" si="44"/>
        <v>500000</v>
      </c>
      <c r="H250" s="98">
        <f t="shared" si="44"/>
        <v>4000000</v>
      </c>
      <c r="I250" s="108">
        <f t="shared" si="44"/>
        <v>4000000</v>
      </c>
      <c r="J250" s="129">
        <f t="shared" si="37"/>
        <v>0</v>
      </c>
      <c r="K250" s="129"/>
      <c r="L250" s="108">
        <f>L251</f>
        <v>4000000</v>
      </c>
    </row>
    <row r="251" spans="1:12" ht="73.400000000000006" outlineLevel="7" x14ac:dyDescent="0.25">
      <c r="A251" s="81" t="s">
        <v>47</v>
      </c>
      <c r="B251" s="80" t="s">
        <v>500</v>
      </c>
      <c r="C251" s="80" t="s">
        <v>59</v>
      </c>
      <c r="D251" s="80" t="s">
        <v>352</v>
      </c>
      <c r="E251" s="83" t="s">
        <v>48</v>
      </c>
      <c r="F251" s="82">
        <v>500000</v>
      </c>
      <c r="G251" s="82">
        <v>500000</v>
      </c>
      <c r="H251" s="82">
        <v>4000000</v>
      </c>
      <c r="I251" s="96">
        <v>4000000</v>
      </c>
      <c r="J251" s="129">
        <f t="shared" si="37"/>
        <v>0</v>
      </c>
      <c r="K251" s="129"/>
      <c r="L251" s="96">
        <v>4000000</v>
      </c>
    </row>
    <row r="252" spans="1:12" ht="73.400000000000006" outlineLevel="7" x14ac:dyDescent="0.25">
      <c r="A252" s="81" t="s">
        <v>262</v>
      </c>
      <c r="B252" s="80" t="s">
        <v>500</v>
      </c>
      <c r="C252" s="80" t="s">
        <v>59</v>
      </c>
      <c r="D252" s="80" t="s">
        <v>353</v>
      </c>
      <c r="E252" s="83" t="s">
        <v>6</v>
      </c>
      <c r="F252" s="98">
        <f>F253</f>
        <v>11000000</v>
      </c>
      <c r="G252" s="98">
        <f t="shared" ref="G252:I253" si="45">G253</f>
        <v>500000</v>
      </c>
      <c r="H252" s="98">
        <f t="shared" si="45"/>
        <v>5000000</v>
      </c>
      <c r="I252" s="108">
        <f t="shared" si="45"/>
        <v>778000</v>
      </c>
      <c r="J252" s="129">
        <f t="shared" si="37"/>
        <v>-4222000</v>
      </c>
      <c r="K252" s="129"/>
      <c r="L252" s="108">
        <f>L253</f>
        <v>10778000</v>
      </c>
    </row>
    <row r="253" spans="1:12" outlineLevel="5" x14ac:dyDescent="0.25">
      <c r="A253" s="81" t="s">
        <v>19</v>
      </c>
      <c r="B253" s="80" t="s">
        <v>500</v>
      </c>
      <c r="C253" s="80" t="s">
        <v>59</v>
      </c>
      <c r="D253" s="80" t="s">
        <v>353</v>
      </c>
      <c r="E253" s="83" t="s">
        <v>20</v>
      </c>
      <c r="F253" s="98">
        <f>F254</f>
        <v>11000000</v>
      </c>
      <c r="G253" s="98">
        <f t="shared" si="45"/>
        <v>500000</v>
      </c>
      <c r="H253" s="98">
        <f t="shared" si="45"/>
        <v>5000000</v>
      </c>
      <c r="I253" s="108">
        <f t="shared" si="45"/>
        <v>778000</v>
      </c>
      <c r="J253" s="129">
        <f t="shared" si="37"/>
        <v>-4222000</v>
      </c>
      <c r="K253" s="129"/>
      <c r="L253" s="108">
        <f>L254</f>
        <v>10778000</v>
      </c>
    </row>
    <row r="254" spans="1:12" ht="73.400000000000006" outlineLevel="6" x14ac:dyDescent="0.25">
      <c r="A254" s="81" t="s">
        <v>47</v>
      </c>
      <c r="B254" s="80" t="s">
        <v>500</v>
      </c>
      <c r="C254" s="80" t="s">
        <v>59</v>
      </c>
      <c r="D254" s="80" t="s">
        <v>353</v>
      </c>
      <c r="E254" s="83" t="s">
        <v>48</v>
      </c>
      <c r="F254" s="82">
        <v>11000000</v>
      </c>
      <c r="G254" s="82">
        <v>500000</v>
      </c>
      <c r="H254" s="82">
        <v>5000000</v>
      </c>
      <c r="I254" s="82">
        <f>500000+278000</f>
        <v>778000</v>
      </c>
      <c r="J254" s="129">
        <f t="shared" si="37"/>
        <v>-4222000</v>
      </c>
      <c r="K254" s="129">
        <v>10000000</v>
      </c>
      <c r="L254" s="82">
        <f>500000+278000+10000000</f>
        <v>10778000</v>
      </c>
    </row>
    <row r="255" spans="1:12" ht="91.7" outlineLevel="6" x14ac:dyDescent="0.25">
      <c r="A255" s="81" t="s">
        <v>299</v>
      </c>
      <c r="B255" s="80" t="s">
        <v>500</v>
      </c>
      <c r="C255" s="80" t="s">
        <v>59</v>
      </c>
      <c r="D255" s="80" t="s">
        <v>390</v>
      </c>
      <c r="E255" s="83" t="s">
        <v>6</v>
      </c>
      <c r="F255" s="83"/>
      <c r="G255" s="82">
        <f t="shared" ref="G255:I256" si="46">G256</f>
        <v>270000</v>
      </c>
      <c r="H255" s="82">
        <f t="shared" si="46"/>
        <v>500000</v>
      </c>
      <c r="I255" s="96">
        <f t="shared" si="46"/>
        <v>500000</v>
      </c>
      <c r="J255" s="129">
        <f t="shared" si="37"/>
        <v>0</v>
      </c>
      <c r="K255" s="129"/>
      <c r="L255" s="96">
        <f>L256</f>
        <v>500000</v>
      </c>
    </row>
    <row r="256" spans="1:12" ht="36.700000000000003" outlineLevel="6" x14ac:dyDescent="0.25">
      <c r="A256" s="81" t="s">
        <v>15</v>
      </c>
      <c r="B256" s="80" t="s">
        <v>500</v>
      </c>
      <c r="C256" s="80" t="s">
        <v>59</v>
      </c>
      <c r="D256" s="80" t="s">
        <v>390</v>
      </c>
      <c r="E256" s="83" t="s">
        <v>16</v>
      </c>
      <c r="F256" s="83"/>
      <c r="G256" s="82">
        <f t="shared" si="46"/>
        <v>270000</v>
      </c>
      <c r="H256" s="82">
        <f t="shared" si="46"/>
        <v>500000</v>
      </c>
      <c r="I256" s="96">
        <f t="shared" si="46"/>
        <v>500000</v>
      </c>
      <c r="J256" s="129">
        <f t="shared" si="37"/>
        <v>0</v>
      </c>
      <c r="K256" s="129"/>
      <c r="L256" s="96">
        <f>L257</f>
        <v>500000</v>
      </c>
    </row>
    <row r="257" spans="1:12" ht="55.05" outlineLevel="6" x14ac:dyDescent="0.25">
      <c r="A257" s="81" t="s">
        <v>17</v>
      </c>
      <c r="B257" s="80" t="s">
        <v>500</v>
      </c>
      <c r="C257" s="80" t="s">
        <v>59</v>
      </c>
      <c r="D257" s="80" t="s">
        <v>390</v>
      </c>
      <c r="E257" s="83" t="s">
        <v>18</v>
      </c>
      <c r="F257" s="83"/>
      <c r="G257" s="82">
        <v>270000</v>
      </c>
      <c r="H257" s="82">
        <v>500000</v>
      </c>
      <c r="I257" s="96">
        <v>500000</v>
      </c>
      <c r="J257" s="129">
        <f t="shared" si="37"/>
        <v>0</v>
      </c>
      <c r="K257" s="129"/>
      <c r="L257" s="96">
        <v>500000</v>
      </c>
    </row>
    <row r="258" spans="1:12" ht="91.7" outlineLevel="7" x14ac:dyDescent="0.25">
      <c r="A258" s="81" t="s">
        <v>263</v>
      </c>
      <c r="B258" s="80" t="s">
        <v>500</v>
      </c>
      <c r="C258" s="80" t="s">
        <v>59</v>
      </c>
      <c r="D258" s="80" t="s">
        <v>391</v>
      </c>
      <c r="E258" s="83" t="s">
        <v>6</v>
      </c>
      <c r="F258" s="83"/>
      <c r="G258" s="82">
        <f t="shared" ref="G258:I259" si="47">G259</f>
        <v>200000</v>
      </c>
      <c r="H258" s="82">
        <f t="shared" si="47"/>
        <v>200000</v>
      </c>
      <c r="I258" s="96">
        <f t="shared" si="47"/>
        <v>200000</v>
      </c>
      <c r="J258" s="129">
        <f t="shared" si="37"/>
        <v>0</v>
      </c>
      <c r="K258" s="129"/>
      <c r="L258" s="96">
        <f>L259</f>
        <v>200000</v>
      </c>
    </row>
    <row r="259" spans="1:12" ht="21.25" customHeight="1" outlineLevel="7" x14ac:dyDescent="0.25">
      <c r="A259" s="81" t="s">
        <v>15</v>
      </c>
      <c r="B259" s="80" t="s">
        <v>500</v>
      </c>
      <c r="C259" s="80" t="s">
        <v>59</v>
      </c>
      <c r="D259" s="80" t="s">
        <v>391</v>
      </c>
      <c r="E259" s="83" t="s">
        <v>16</v>
      </c>
      <c r="F259" s="83"/>
      <c r="G259" s="82">
        <f t="shared" si="47"/>
        <v>200000</v>
      </c>
      <c r="H259" s="82">
        <f t="shared" si="47"/>
        <v>200000</v>
      </c>
      <c r="I259" s="82">
        <f t="shared" si="47"/>
        <v>200000</v>
      </c>
      <c r="J259" s="129">
        <f t="shared" si="37"/>
        <v>0</v>
      </c>
      <c r="K259" s="129"/>
      <c r="L259" s="82">
        <f>L260</f>
        <v>200000</v>
      </c>
    </row>
    <row r="260" spans="1:12" ht="55.05" outlineLevel="7" x14ac:dyDescent="0.25">
      <c r="A260" s="81" t="s">
        <v>17</v>
      </c>
      <c r="B260" s="80" t="s">
        <v>500</v>
      </c>
      <c r="C260" s="80" t="s">
        <v>59</v>
      </c>
      <c r="D260" s="80" t="s">
        <v>391</v>
      </c>
      <c r="E260" s="83" t="s">
        <v>18</v>
      </c>
      <c r="F260" s="83"/>
      <c r="G260" s="82">
        <v>200000</v>
      </c>
      <c r="H260" s="82">
        <v>200000</v>
      </c>
      <c r="I260" s="96">
        <v>200000</v>
      </c>
      <c r="J260" s="129">
        <f t="shared" si="37"/>
        <v>0</v>
      </c>
      <c r="K260" s="129"/>
      <c r="L260" s="96">
        <v>200000</v>
      </c>
    </row>
    <row r="261" spans="1:12" ht="73.400000000000006" outlineLevel="7" x14ac:dyDescent="0.25">
      <c r="A261" s="81" t="s">
        <v>709</v>
      </c>
      <c r="B261" s="80" t="s">
        <v>500</v>
      </c>
      <c r="C261" s="80" t="s">
        <v>59</v>
      </c>
      <c r="D261" s="80" t="s">
        <v>708</v>
      </c>
      <c r="E261" s="80" t="s">
        <v>6</v>
      </c>
      <c r="F261" s="82">
        <f t="shared" ref="F261:I262" si="48">F262</f>
        <v>6000000</v>
      </c>
      <c r="G261" s="82">
        <f t="shared" si="48"/>
        <v>0</v>
      </c>
      <c r="H261" s="82">
        <f t="shared" si="48"/>
        <v>0</v>
      </c>
      <c r="I261" s="96">
        <f t="shared" si="48"/>
        <v>0</v>
      </c>
      <c r="J261" s="129">
        <f t="shared" si="37"/>
        <v>0</v>
      </c>
      <c r="K261" s="129"/>
      <c r="L261" s="96">
        <f>L262</f>
        <v>0</v>
      </c>
    </row>
    <row r="262" spans="1:12" ht="36.700000000000003" outlineLevel="7" x14ac:dyDescent="0.25">
      <c r="A262" s="81" t="s">
        <v>15</v>
      </c>
      <c r="B262" s="80" t="s">
        <v>500</v>
      </c>
      <c r="C262" s="80" t="s">
        <v>59</v>
      </c>
      <c r="D262" s="80" t="s">
        <v>708</v>
      </c>
      <c r="E262" s="80" t="s">
        <v>16</v>
      </c>
      <c r="F262" s="82">
        <f t="shared" si="48"/>
        <v>6000000</v>
      </c>
      <c r="G262" s="82">
        <f t="shared" si="48"/>
        <v>0</v>
      </c>
      <c r="H262" s="82">
        <f t="shared" si="48"/>
        <v>0</v>
      </c>
      <c r="I262" s="96">
        <f t="shared" si="48"/>
        <v>0</v>
      </c>
      <c r="J262" s="129">
        <f t="shared" si="37"/>
        <v>0</v>
      </c>
      <c r="K262" s="129"/>
      <c r="L262" s="96">
        <f>L263</f>
        <v>0</v>
      </c>
    </row>
    <row r="263" spans="1:12" ht="55.05" outlineLevel="7" x14ac:dyDescent="0.25">
      <c r="A263" s="81" t="s">
        <v>17</v>
      </c>
      <c r="B263" s="80" t="s">
        <v>500</v>
      </c>
      <c r="C263" s="80" t="s">
        <v>59</v>
      </c>
      <c r="D263" s="80" t="s">
        <v>708</v>
      </c>
      <c r="E263" s="80" t="s">
        <v>18</v>
      </c>
      <c r="F263" s="82">
        <v>6000000</v>
      </c>
      <c r="G263" s="82"/>
      <c r="H263" s="82"/>
      <c r="I263" s="96"/>
      <c r="J263" s="129">
        <f t="shared" si="37"/>
        <v>0</v>
      </c>
      <c r="K263" s="129"/>
      <c r="L263" s="96"/>
    </row>
    <row r="264" spans="1:12" ht="55.05" outlineLevel="7" x14ac:dyDescent="0.25">
      <c r="A264" s="81" t="s">
        <v>682</v>
      </c>
      <c r="B264" s="80" t="s">
        <v>500</v>
      </c>
      <c r="C264" s="80" t="s">
        <v>59</v>
      </c>
      <c r="D264" s="80" t="s">
        <v>681</v>
      </c>
      <c r="E264" s="80" t="s">
        <v>6</v>
      </c>
      <c r="F264" s="82">
        <f t="shared" ref="F264:I265" si="49">F265</f>
        <v>62000</v>
      </c>
      <c r="G264" s="82">
        <f t="shared" si="49"/>
        <v>0</v>
      </c>
      <c r="H264" s="82">
        <f t="shared" si="49"/>
        <v>0</v>
      </c>
      <c r="I264" s="96">
        <f t="shared" si="49"/>
        <v>0</v>
      </c>
      <c r="J264" s="129">
        <f t="shared" si="37"/>
        <v>0</v>
      </c>
      <c r="K264" s="129"/>
      <c r="L264" s="96">
        <f>L265</f>
        <v>0</v>
      </c>
    </row>
    <row r="265" spans="1:12" ht="36.700000000000003" outlineLevel="7" x14ac:dyDescent="0.25">
      <c r="A265" s="81" t="s">
        <v>15</v>
      </c>
      <c r="B265" s="80" t="s">
        <v>500</v>
      </c>
      <c r="C265" s="80" t="s">
        <v>59</v>
      </c>
      <c r="D265" s="80" t="s">
        <v>681</v>
      </c>
      <c r="E265" s="80" t="s">
        <v>16</v>
      </c>
      <c r="F265" s="82">
        <f t="shared" si="49"/>
        <v>62000</v>
      </c>
      <c r="G265" s="82">
        <f t="shared" si="49"/>
        <v>0</v>
      </c>
      <c r="H265" s="82">
        <f t="shared" si="49"/>
        <v>0</v>
      </c>
      <c r="I265" s="96">
        <f t="shared" si="49"/>
        <v>0</v>
      </c>
      <c r="J265" s="129">
        <f t="shared" si="37"/>
        <v>0</v>
      </c>
      <c r="K265" s="129"/>
      <c r="L265" s="96">
        <f>L266</f>
        <v>0</v>
      </c>
    </row>
    <row r="266" spans="1:12" ht="55.05" outlineLevel="7" x14ac:dyDescent="0.25">
      <c r="A266" s="81" t="s">
        <v>17</v>
      </c>
      <c r="B266" s="80" t="s">
        <v>500</v>
      </c>
      <c r="C266" s="80" t="s">
        <v>59</v>
      </c>
      <c r="D266" s="80" t="s">
        <v>681</v>
      </c>
      <c r="E266" s="80" t="s">
        <v>18</v>
      </c>
      <c r="F266" s="82">
        <v>62000</v>
      </c>
      <c r="G266" s="82"/>
      <c r="H266" s="82"/>
      <c r="I266" s="96"/>
      <c r="J266" s="129">
        <f t="shared" si="37"/>
        <v>0</v>
      </c>
      <c r="K266" s="129"/>
      <c r="L266" s="96"/>
    </row>
    <row r="267" spans="1:12" outlineLevel="7" x14ac:dyDescent="0.25">
      <c r="A267" s="113" t="s">
        <v>455</v>
      </c>
      <c r="B267" s="80" t="s">
        <v>500</v>
      </c>
      <c r="C267" s="80" t="s">
        <v>59</v>
      </c>
      <c r="D267" s="80" t="s">
        <v>700</v>
      </c>
      <c r="E267" s="80" t="s">
        <v>6</v>
      </c>
      <c r="F267" s="82">
        <f>F268</f>
        <v>155994081.63999999</v>
      </c>
      <c r="G267" s="82"/>
      <c r="H267" s="82"/>
      <c r="I267" s="96"/>
      <c r="J267" s="129">
        <f t="shared" si="37"/>
        <v>0</v>
      </c>
      <c r="K267" s="129"/>
      <c r="L267" s="96"/>
    </row>
    <row r="268" spans="1:12" ht="91.7" outlineLevel="7" x14ac:dyDescent="0.25">
      <c r="A268" s="81" t="s">
        <v>460</v>
      </c>
      <c r="B268" s="80" t="s">
        <v>500</v>
      </c>
      <c r="C268" s="80" t="s">
        <v>59</v>
      </c>
      <c r="D268" s="80" t="s">
        <v>701</v>
      </c>
      <c r="E268" s="80" t="s">
        <v>6</v>
      </c>
      <c r="F268" s="82">
        <f>F269</f>
        <v>155994081.63999999</v>
      </c>
      <c r="G268" s="82"/>
      <c r="H268" s="82"/>
      <c r="I268" s="96"/>
      <c r="J268" s="129">
        <f t="shared" si="37"/>
        <v>0</v>
      </c>
      <c r="K268" s="129"/>
      <c r="L268" s="96"/>
    </row>
    <row r="269" spans="1:12" ht="55.05" outlineLevel="7" x14ac:dyDescent="0.25">
      <c r="A269" s="81" t="s">
        <v>264</v>
      </c>
      <c r="B269" s="80" t="s">
        <v>500</v>
      </c>
      <c r="C269" s="80" t="s">
        <v>59</v>
      </c>
      <c r="D269" s="80" t="s">
        <v>701</v>
      </c>
      <c r="E269" s="80" t="s">
        <v>265</v>
      </c>
      <c r="F269" s="82">
        <f>F270</f>
        <v>155994081.63999999</v>
      </c>
      <c r="G269" s="82"/>
      <c r="H269" s="82"/>
      <c r="I269" s="96"/>
      <c r="J269" s="129">
        <f t="shared" si="37"/>
        <v>0</v>
      </c>
      <c r="K269" s="129"/>
      <c r="L269" s="96"/>
    </row>
    <row r="270" spans="1:12" outlineLevel="7" x14ac:dyDescent="0.25">
      <c r="A270" s="81" t="s">
        <v>266</v>
      </c>
      <c r="B270" s="80" t="s">
        <v>500</v>
      </c>
      <c r="C270" s="80" t="s">
        <v>59</v>
      </c>
      <c r="D270" s="80" t="s">
        <v>701</v>
      </c>
      <c r="E270" s="80" t="s">
        <v>267</v>
      </c>
      <c r="F270" s="82">
        <f>143460299.73+12533781.91</f>
        <v>155994081.63999999</v>
      </c>
      <c r="G270" s="82"/>
      <c r="H270" s="82"/>
      <c r="I270" s="96"/>
      <c r="J270" s="129">
        <f t="shared" si="37"/>
        <v>0</v>
      </c>
      <c r="K270" s="129"/>
      <c r="L270" s="96"/>
    </row>
    <row r="271" spans="1:12" outlineLevel="7" x14ac:dyDescent="0.25">
      <c r="A271" s="81" t="s">
        <v>61</v>
      </c>
      <c r="B271" s="80" t="s">
        <v>500</v>
      </c>
      <c r="C271" s="80" t="s">
        <v>62</v>
      </c>
      <c r="D271" s="80" t="s">
        <v>126</v>
      </c>
      <c r="E271" s="83" t="s">
        <v>6</v>
      </c>
      <c r="F271" s="82">
        <f>F272+F283+F294</f>
        <v>27421266.550000001</v>
      </c>
      <c r="G271" s="82">
        <f>G272+G283+G294</f>
        <v>26909370.300000001</v>
      </c>
      <c r="H271" s="82">
        <f>H272+H283+H294</f>
        <v>26807625.420000002</v>
      </c>
      <c r="I271" s="96">
        <f>I272+I283+I294</f>
        <v>25757625.420000002</v>
      </c>
      <c r="J271" s="129">
        <f t="shared" si="37"/>
        <v>-1050000</v>
      </c>
      <c r="K271" s="129"/>
      <c r="L271" s="96">
        <f>L272+L283+L294</f>
        <v>36557625.420000002</v>
      </c>
    </row>
    <row r="272" spans="1:12" ht="81.7" customHeight="1" outlineLevel="7" x14ac:dyDescent="0.25">
      <c r="A272" s="109" t="s">
        <v>348</v>
      </c>
      <c r="B272" s="80" t="s">
        <v>500</v>
      </c>
      <c r="C272" s="110" t="s">
        <v>62</v>
      </c>
      <c r="D272" s="110" t="s">
        <v>134</v>
      </c>
      <c r="E272" s="111" t="s">
        <v>6</v>
      </c>
      <c r="F272" s="85">
        <f>F273</f>
        <v>550000</v>
      </c>
      <c r="G272" s="82">
        <f>G273</f>
        <v>550000</v>
      </c>
      <c r="H272" s="82">
        <f>H273</f>
        <v>3492316</v>
      </c>
      <c r="I272" s="96">
        <f>I273</f>
        <v>2992316</v>
      </c>
      <c r="J272" s="129">
        <f t="shared" si="37"/>
        <v>-500000</v>
      </c>
      <c r="K272" s="129"/>
      <c r="L272" s="96">
        <f>L273</f>
        <v>2992316</v>
      </c>
    </row>
    <row r="273" spans="1:12" ht="36.700000000000003" outlineLevel="7" x14ac:dyDescent="0.25">
      <c r="A273" s="81" t="s">
        <v>354</v>
      </c>
      <c r="B273" s="80" t="s">
        <v>500</v>
      </c>
      <c r="C273" s="80" t="s">
        <v>62</v>
      </c>
      <c r="D273" s="80" t="s">
        <v>232</v>
      </c>
      <c r="E273" s="83" t="s">
        <v>6</v>
      </c>
      <c r="F273" s="82">
        <f>F274+F280+F277</f>
        <v>550000</v>
      </c>
      <c r="G273" s="82">
        <f>G274+G280+G277</f>
        <v>550000</v>
      </c>
      <c r="H273" s="82">
        <f>H274+H280+H277</f>
        <v>3492316</v>
      </c>
      <c r="I273" s="82">
        <f>I274+I280+I277</f>
        <v>2992316</v>
      </c>
      <c r="J273" s="129">
        <f t="shared" si="37"/>
        <v>-500000</v>
      </c>
      <c r="K273" s="129"/>
      <c r="L273" s="82">
        <f>L274+L280+L277</f>
        <v>2992316</v>
      </c>
    </row>
    <row r="274" spans="1:12" ht="36.700000000000003" outlineLevel="7" x14ac:dyDescent="0.25">
      <c r="A274" s="81" t="s">
        <v>360</v>
      </c>
      <c r="B274" s="80" t="s">
        <v>500</v>
      </c>
      <c r="C274" s="80" t="s">
        <v>62</v>
      </c>
      <c r="D274" s="80" t="s">
        <v>461</v>
      </c>
      <c r="E274" s="83" t="s">
        <v>6</v>
      </c>
      <c r="F274" s="82">
        <f>F275</f>
        <v>200000</v>
      </c>
      <c r="G274" s="82">
        <f t="shared" ref="G274:I275" si="50">G275</f>
        <v>200000</v>
      </c>
      <c r="H274" s="82">
        <f t="shared" si="50"/>
        <v>200000</v>
      </c>
      <c r="I274" s="96">
        <f t="shared" si="50"/>
        <v>200000</v>
      </c>
      <c r="J274" s="129">
        <f t="shared" si="37"/>
        <v>0</v>
      </c>
      <c r="K274" s="129"/>
      <c r="L274" s="96">
        <f>L275</f>
        <v>200000</v>
      </c>
    </row>
    <row r="275" spans="1:12" ht="20.25" customHeight="1" outlineLevel="7" x14ac:dyDescent="0.25">
      <c r="A275" s="25" t="s">
        <v>15</v>
      </c>
      <c r="B275" s="80" t="s">
        <v>500</v>
      </c>
      <c r="C275" s="80" t="s">
        <v>62</v>
      </c>
      <c r="D275" s="80" t="s">
        <v>461</v>
      </c>
      <c r="E275" s="83" t="s">
        <v>16</v>
      </c>
      <c r="F275" s="82">
        <f>F276</f>
        <v>200000</v>
      </c>
      <c r="G275" s="82">
        <f t="shared" si="50"/>
        <v>200000</v>
      </c>
      <c r="H275" s="82">
        <f t="shared" si="50"/>
        <v>200000</v>
      </c>
      <c r="I275" s="96">
        <f t="shared" si="50"/>
        <v>200000</v>
      </c>
      <c r="J275" s="129">
        <f t="shared" si="37"/>
        <v>0</v>
      </c>
      <c r="K275" s="129"/>
      <c r="L275" s="96">
        <f>L276</f>
        <v>200000</v>
      </c>
    </row>
    <row r="276" spans="1:12" ht="55.05" outlineLevel="7" x14ac:dyDescent="0.25">
      <c r="A276" s="25" t="s">
        <v>17</v>
      </c>
      <c r="B276" s="80" t="s">
        <v>500</v>
      </c>
      <c r="C276" s="80" t="s">
        <v>62</v>
      </c>
      <c r="D276" s="80" t="s">
        <v>461</v>
      </c>
      <c r="E276" s="83" t="s">
        <v>18</v>
      </c>
      <c r="F276" s="82">
        <v>200000</v>
      </c>
      <c r="G276" s="82">
        <v>200000</v>
      </c>
      <c r="H276" s="82">
        <v>200000</v>
      </c>
      <c r="I276" s="96">
        <v>200000</v>
      </c>
      <c r="J276" s="129">
        <f t="shared" si="37"/>
        <v>0</v>
      </c>
      <c r="K276" s="129"/>
      <c r="L276" s="96">
        <v>200000</v>
      </c>
    </row>
    <row r="277" spans="1:12" ht="73.400000000000006" outlineLevel="7" x14ac:dyDescent="0.25">
      <c r="A277" s="25" t="s">
        <v>767</v>
      </c>
      <c r="B277" s="80" t="s">
        <v>500</v>
      </c>
      <c r="C277" s="80" t="s">
        <v>62</v>
      </c>
      <c r="D277" s="80" t="s">
        <v>766</v>
      </c>
      <c r="E277" s="83" t="s">
        <v>6</v>
      </c>
      <c r="F277" s="82">
        <f>F278</f>
        <v>0</v>
      </c>
      <c r="G277" s="82">
        <f t="shared" ref="G277:I278" si="51">G278</f>
        <v>0</v>
      </c>
      <c r="H277" s="82">
        <f t="shared" si="51"/>
        <v>2292316</v>
      </c>
      <c r="I277" s="82">
        <f>I278</f>
        <v>2292316</v>
      </c>
      <c r="J277" s="129">
        <f t="shared" si="37"/>
        <v>0</v>
      </c>
      <c r="K277" s="129"/>
      <c r="L277" s="82">
        <f>L278</f>
        <v>2292316</v>
      </c>
    </row>
    <row r="278" spans="1:12" ht="36.700000000000003" outlineLevel="7" x14ac:dyDescent="0.25">
      <c r="A278" s="25" t="s">
        <v>15</v>
      </c>
      <c r="B278" s="80" t="s">
        <v>500</v>
      </c>
      <c r="C278" s="80" t="s">
        <v>62</v>
      </c>
      <c r="D278" s="80" t="s">
        <v>766</v>
      </c>
      <c r="E278" s="83" t="s">
        <v>16</v>
      </c>
      <c r="F278" s="82">
        <f>F279</f>
        <v>0</v>
      </c>
      <c r="G278" s="82">
        <f t="shared" si="51"/>
        <v>0</v>
      </c>
      <c r="H278" s="82">
        <f t="shared" si="51"/>
        <v>2292316</v>
      </c>
      <c r="I278" s="82">
        <f t="shared" si="51"/>
        <v>2292316</v>
      </c>
      <c r="J278" s="129">
        <f t="shared" si="37"/>
        <v>0</v>
      </c>
      <c r="K278" s="129"/>
      <c r="L278" s="82">
        <f>L279</f>
        <v>2292316</v>
      </c>
    </row>
    <row r="279" spans="1:12" ht="55.05" outlineLevel="7" x14ac:dyDescent="0.25">
      <c r="A279" s="25" t="s">
        <v>17</v>
      </c>
      <c r="B279" s="80" t="s">
        <v>500</v>
      </c>
      <c r="C279" s="80" t="s">
        <v>62</v>
      </c>
      <c r="D279" s="80" t="s">
        <v>766</v>
      </c>
      <c r="E279" s="83" t="s">
        <v>18</v>
      </c>
      <c r="F279" s="82">
        <v>0</v>
      </c>
      <c r="G279" s="82">
        <v>0</v>
      </c>
      <c r="H279" s="82">
        <v>2292316</v>
      </c>
      <c r="I279" s="96">
        <v>2292316</v>
      </c>
      <c r="J279" s="129">
        <f t="shared" si="37"/>
        <v>0</v>
      </c>
      <c r="K279" s="129"/>
      <c r="L279" s="96">
        <v>2292316</v>
      </c>
    </row>
    <row r="280" spans="1:12" ht="18.7" customHeight="1" outlineLevel="7" x14ac:dyDescent="0.25">
      <c r="A280" s="81" t="s">
        <v>63</v>
      </c>
      <c r="B280" s="80" t="s">
        <v>500</v>
      </c>
      <c r="C280" s="80" t="s">
        <v>62</v>
      </c>
      <c r="D280" s="80" t="s">
        <v>355</v>
      </c>
      <c r="E280" s="83" t="s">
        <v>6</v>
      </c>
      <c r="F280" s="82">
        <f>F281</f>
        <v>350000</v>
      </c>
      <c r="G280" s="82">
        <f t="shared" ref="G280:I281" si="52">G281</f>
        <v>350000</v>
      </c>
      <c r="H280" s="82">
        <f t="shared" si="52"/>
        <v>1000000</v>
      </c>
      <c r="I280" s="96">
        <f t="shared" si="52"/>
        <v>500000</v>
      </c>
      <c r="J280" s="129">
        <f t="shared" si="37"/>
        <v>-500000</v>
      </c>
      <c r="K280" s="129"/>
      <c r="L280" s="96">
        <f>L281</f>
        <v>500000</v>
      </c>
    </row>
    <row r="281" spans="1:12" ht="19.55" customHeight="1" outlineLevel="7" x14ac:dyDescent="0.25">
      <c r="A281" s="81" t="s">
        <v>15</v>
      </c>
      <c r="B281" s="80" t="s">
        <v>500</v>
      </c>
      <c r="C281" s="80" t="s">
        <v>62</v>
      </c>
      <c r="D281" s="80" t="s">
        <v>355</v>
      </c>
      <c r="E281" s="83" t="s">
        <v>16</v>
      </c>
      <c r="F281" s="82">
        <f>F282</f>
        <v>350000</v>
      </c>
      <c r="G281" s="82">
        <f t="shared" si="52"/>
        <v>350000</v>
      </c>
      <c r="H281" s="82">
        <f t="shared" si="52"/>
        <v>1000000</v>
      </c>
      <c r="I281" s="96">
        <f t="shared" si="52"/>
        <v>500000</v>
      </c>
      <c r="J281" s="129">
        <f t="shared" si="37"/>
        <v>-500000</v>
      </c>
      <c r="K281" s="129"/>
      <c r="L281" s="96">
        <f>L282</f>
        <v>500000</v>
      </c>
    </row>
    <row r="282" spans="1:12" ht="55.05" outlineLevel="1" x14ac:dyDescent="0.25">
      <c r="A282" s="81" t="s">
        <v>17</v>
      </c>
      <c r="B282" s="80" t="s">
        <v>500</v>
      </c>
      <c r="C282" s="80" t="s">
        <v>62</v>
      </c>
      <c r="D282" s="80" t="s">
        <v>355</v>
      </c>
      <c r="E282" s="83" t="s">
        <v>18</v>
      </c>
      <c r="F282" s="82">
        <v>350000</v>
      </c>
      <c r="G282" s="82">
        <v>350000</v>
      </c>
      <c r="H282" s="98">
        <v>1000000</v>
      </c>
      <c r="I282" s="108">
        <v>500000</v>
      </c>
      <c r="J282" s="129">
        <f t="shared" si="37"/>
        <v>-500000</v>
      </c>
      <c r="K282" s="129"/>
      <c r="L282" s="108">
        <v>500000</v>
      </c>
    </row>
    <row r="283" spans="1:12" ht="73.400000000000006" outlineLevel="1" x14ac:dyDescent="0.25">
      <c r="A283" s="109" t="s">
        <v>508</v>
      </c>
      <c r="B283" s="110" t="s">
        <v>500</v>
      </c>
      <c r="C283" s="110" t="s">
        <v>62</v>
      </c>
      <c r="D283" s="110" t="s">
        <v>509</v>
      </c>
      <c r="E283" s="111" t="s">
        <v>6</v>
      </c>
      <c r="F283" s="85">
        <f>F284</f>
        <v>10960858.32</v>
      </c>
      <c r="G283" s="82">
        <f>G284</f>
        <v>5896668.3799999999</v>
      </c>
      <c r="H283" s="82">
        <f>H284</f>
        <v>8347000</v>
      </c>
      <c r="I283" s="96">
        <f>I284</f>
        <v>7797000</v>
      </c>
      <c r="J283" s="129">
        <f t="shared" si="37"/>
        <v>-550000</v>
      </c>
      <c r="K283" s="129"/>
      <c r="L283" s="96">
        <f>L284</f>
        <v>10797000</v>
      </c>
    </row>
    <row r="284" spans="1:12" ht="36.700000000000003" outlineLevel="1" x14ac:dyDescent="0.25">
      <c r="A284" s="81" t="s">
        <v>510</v>
      </c>
      <c r="B284" s="80" t="s">
        <v>500</v>
      </c>
      <c r="C284" s="80" t="s">
        <v>62</v>
      </c>
      <c r="D284" s="80" t="s">
        <v>511</v>
      </c>
      <c r="E284" s="83" t="s">
        <v>6</v>
      </c>
      <c r="F284" s="82">
        <f>F285+F288+F291</f>
        <v>10960858.32</v>
      </c>
      <c r="G284" s="82">
        <f>G285+G288+G291</f>
        <v>5896668.3799999999</v>
      </c>
      <c r="H284" s="82">
        <f>H285+H288+H291</f>
        <v>8347000</v>
      </c>
      <c r="I284" s="96">
        <f>I285+I288+I291</f>
        <v>7797000</v>
      </c>
      <c r="J284" s="129">
        <f t="shared" ref="J284:J350" si="53">I284-H284</f>
        <v>-550000</v>
      </c>
      <c r="K284" s="129"/>
      <c r="L284" s="96">
        <f>L285+L288+L291</f>
        <v>10797000</v>
      </c>
    </row>
    <row r="285" spans="1:12" ht="91.7" outlineLevel="1" x14ac:dyDescent="0.25">
      <c r="A285" s="81" t="s">
        <v>512</v>
      </c>
      <c r="B285" s="80" t="s">
        <v>500</v>
      </c>
      <c r="C285" s="80" t="s">
        <v>62</v>
      </c>
      <c r="D285" s="80" t="s">
        <v>513</v>
      </c>
      <c r="E285" s="83" t="s">
        <v>6</v>
      </c>
      <c r="F285" s="82">
        <f>F286</f>
        <v>2000000</v>
      </c>
      <c r="G285" s="82">
        <f t="shared" ref="G285:I286" si="54">G286</f>
        <v>1896668.38</v>
      </c>
      <c r="H285" s="82">
        <f t="shared" si="54"/>
        <v>2050000</v>
      </c>
      <c r="I285" s="96">
        <f t="shared" si="54"/>
        <v>1500000</v>
      </c>
      <c r="J285" s="129">
        <f t="shared" si="53"/>
        <v>-550000</v>
      </c>
      <c r="K285" s="129"/>
      <c r="L285" s="96">
        <f>L286</f>
        <v>1500000</v>
      </c>
    </row>
    <row r="286" spans="1:12" ht="19.55" customHeight="1" outlineLevel="1" x14ac:dyDescent="0.25">
      <c r="A286" s="81" t="s">
        <v>15</v>
      </c>
      <c r="B286" s="80" t="s">
        <v>500</v>
      </c>
      <c r="C286" s="80" t="s">
        <v>62</v>
      </c>
      <c r="D286" s="80" t="s">
        <v>513</v>
      </c>
      <c r="E286" s="83" t="s">
        <v>16</v>
      </c>
      <c r="F286" s="82">
        <f>F287</f>
        <v>2000000</v>
      </c>
      <c r="G286" s="82">
        <f t="shared" si="54"/>
        <v>1896668.38</v>
      </c>
      <c r="H286" s="82">
        <f t="shared" si="54"/>
        <v>2050000</v>
      </c>
      <c r="I286" s="96">
        <f t="shared" si="54"/>
        <v>1500000</v>
      </c>
      <c r="J286" s="129">
        <f t="shared" si="53"/>
        <v>-550000</v>
      </c>
      <c r="K286" s="129"/>
      <c r="L286" s="96">
        <f>L287</f>
        <v>1500000</v>
      </c>
    </row>
    <row r="287" spans="1:12" ht="55.05" outlineLevel="1" x14ac:dyDescent="0.25">
      <c r="A287" s="81" t="s">
        <v>17</v>
      </c>
      <c r="B287" s="80" t="s">
        <v>500</v>
      </c>
      <c r="C287" s="80" t="s">
        <v>62</v>
      </c>
      <c r="D287" s="80" t="s">
        <v>513</v>
      </c>
      <c r="E287" s="83" t="s">
        <v>18</v>
      </c>
      <c r="F287" s="82">
        <v>2000000</v>
      </c>
      <c r="G287" s="82">
        <v>1896668.38</v>
      </c>
      <c r="H287" s="98">
        <v>2050000</v>
      </c>
      <c r="I287" s="108">
        <f>1500000</f>
        <v>1500000</v>
      </c>
      <c r="J287" s="129">
        <f t="shared" si="53"/>
        <v>-550000</v>
      </c>
      <c r="K287" s="129"/>
      <c r="L287" s="108">
        <f>1500000</f>
        <v>1500000</v>
      </c>
    </row>
    <row r="288" spans="1:12" ht="73.400000000000006" outlineLevel="1" x14ac:dyDescent="0.25">
      <c r="A288" s="81" t="s">
        <v>514</v>
      </c>
      <c r="B288" s="80" t="s">
        <v>500</v>
      </c>
      <c r="C288" s="80" t="s">
        <v>62</v>
      </c>
      <c r="D288" s="80" t="s">
        <v>515</v>
      </c>
      <c r="E288" s="83" t="s">
        <v>6</v>
      </c>
      <c r="F288" s="82">
        <f>F289</f>
        <v>3751000</v>
      </c>
      <c r="G288" s="82">
        <f t="shared" ref="G288:I289" si="55">G289</f>
        <v>1500000</v>
      </c>
      <c r="H288" s="82">
        <f t="shared" si="55"/>
        <v>3621000</v>
      </c>
      <c r="I288" s="96">
        <f t="shared" si="55"/>
        <v>3621000</v>
      </c>
      <c r="J288" s="129">
        <f t="shared" si="53"/>
        <v>0</v>
      </c>
      <c r="K288" s="129"/>
      <c r="L288" s="96">
        <f>L289</f>
        <v>3621000</v>
      </c>
    </row>
    <row r="289" spans="1:12" ht="21.25" customHeight="1" outlineLevel="1" x14ac:dyDescent="0.25">
      <c r="A289" s="81" t="s">
        <v>15</v>
      </c>
      <c r="B289" s="80" t="s">
        <v>500</v>
      </c>
      <c r="C289" s="80" t="s">
        <v>62</v>
      </c>
      <c r="D289" s="80" t="s">
        <v>515</v>
      </c>
      <c r="E289" s="83" t="s">
        <v>16</v>
      </c>
      <c r="F289" s="82">
        <f>F290</f>
        <v>3751000</v>
      </c>
      <c r="G289" s="82">
        <f t="shared" si="55"/>
        <v>1500000</v>
      </c>
      <c r="H289" s="82">
        <f t="shared" si="55"/>
        <v>3621000</v>
      </c>
      <c r="I289" s="96">
        <f t="shared" si="55"/>
        <v>3621000</v>
      </c>
      <c r="J289" s="129">
        <f t="shared" si="53"/>
        <v>0</v>
      </c>
      <c r="K289" s="129"/>
      <c r="L289" s="96">
        <f>L290</f>
        <v>3621000</v>
      </c>
    </row>
    <row r="290" spans="1:12" ht="55.05" outlineLevel="1" x14ac:dyDescent="0.25">
      <c r="A290" s="81" t="s">
        <v>17</v>
      </c>
      <c r="B290" s="80" t="s">
        <v>500</v>
      </c>
      <c r="C290" s="80" t="s">
        <v>62</v>
      </c>
      <c r="D290" s="80" t="s">
        <v>515</v>
      </c>
      <c r="E290" s="83" t="s">
        <v>18</v>
      </c>
      <c r="F290" s="82">
        <f>1500000+1951000+300000</f>
        <v>3751000</v>
      </c>
      <c r="G290" s="82">
        <v>1500000</v>
      </c>
      <c r="H290" s="98">
        <v>3621000</v>
      </c>
      <c r="I290" s="108">
        <v>3621000</v>
      </c>
      <c r="J290" s="129">
        <f t="shared" si="53"/>
        <v>0</v>
      </c>
      <c r="K290" s="129"/>
      <c r="L290" s="108">
        <v>3621000</v>
      </c>
    </row>
    <row r="291" spans="1:12" ht="47.25" customHeight="1" outlineLevel="1" x14ac:dyDescent="0.25">
      <c r="A291" s="81" t="s">
        <v>516</v>
      </c>
      <c r="B291" s="80" t="s">
        <v>500</v>
      </c>
      <c r="C291" s="80" t="s">
        <v>62</v>
      </c>
      <c r="D291" s="80" t="s">
        <v>517</v>
      </c>
      <c r="E291" s="83" t="s">
        <v>6</v>
      </c>
      <c r="F291" s="82">
        <f>F292</f>
        <v>5209858.32</v>
      </c>
      <c r="G291" s="82">
        <f t="shared" ref="G291:I292" si="56">G292</f>
        <v>2500000</v>
      </c>
      <c r="H291" s="82">
        <f t="shared" si="56"/>
        <v>2676000</v>
      </c>
      <c r="I291" s="96">
        <f t="shared" si="56"/>
        <v>2676000</v>
      </c>
      <c r="J291" s="129">
        <f t="shared" si="53"/>
        <v>0</v>
      </c>
      <c r="K291" s="129"/>
      <c r="L291" s="96">
        <f>L292</f>
        <v>5676000</v>
      </c>
    </row>
    <row r="292" spans="1:12" ht="21.75" customHeight="1" outlineLevel="1" x14ac:dyDescent="0.25">
      <c r="A292" s="81" t="s">
        <v>15</v>
      </c>
      <c r="B292" s="80" t="s">
        <v>500</v>
      </c>
      <c r="C292" s="80" t="s">
        <v>62</v>
      </c>
      <c r="D292" s="80" t="s">
        <v>517</v>
      </c>
      <c r="E292" s="83" t="s">
        <v>16</v>
      </c>
      <c r="F292" s="82">
        <f>F293</f>
        <v>5209858.32</v>
      </c>
      <c r="G292" s="82">
        <f t="shared" si="56"/>
        <v>2500000</v>
      </c>
      <c r="H292" s="82">
        <f t="shared" si="56"/>
        <v>2676000</v>
      </c>
      <c r="I292" s="96">
        <f t="shared" si="56"/>
        <v>2676000</v>
      </c>
      <c r="J292" s="129">
        <f t="shared" si="53"/>
        <v>0</v>
      </c>
      <c r="K292" s="129"/>
      <c r="L292" s="96">
        <f>L293</f>
        <v>5676000</v>
      </c>
    </row>
    <row r="293" spans="1:12" ht="55.05" outlineLevel="1" x14ac:dyDescent="0.25">
      <c r="A293" s="81" t="s">
        <v>17</v>
      </c>
      <c r="B293" s="80" t="s">
        <v>500</v>
      </c>
      <c r="C293" s="80" t="s">
        <v>62</v>
      </c>
      <c r="D293" s="80" t="s">
        <v>517</v>
      </c>
      <c r="E293" s="83" t="s">
        <v>18</v>
      </c>
      <c r="F293" s="82">
        <v>5209858.32</v>
      </c>
      <c r="G293" s="82">
        <v>2500000</v>
      </c>
      <c r="H293" s="98">
        <v>2676000</v>
      </c>
      <c r="I293" s="108">
        <f>2676000</f>
        <v>2676000</v>
      </c>
      <c r="J293" s="129">
        <f t="shared" si="53"/>
        <v>0</v>
      </c>
      <c r="K293" s="129">
        <v>3000000</v>
      </c>
      <c r="L293" s="108">
        <f>2676000+3000000</f>
        <v>5676000</v>
      </c>
    </row>
    <row r="294" spans="1:12" ht="37.549999999999997" customHeight="1" outlineLevel="1" x14ac:dyDescent="0.25">
      <c r="A294" s="109" t="s">
        <v>518</v>
      </c>
      <c r="B294" s="110" t="s">
        <v>500</v>
      </c>
      <c r="C294" s="110" t="s">
        <v>62</v>
      </c>
      <c r="D294" s="110" t="s">
        <v>519</v>
      </c>
      <c r="E294" s="111" t="s">
        <v>6</v>
      </c>
      <c r="F294" s="85">
        <f>F295+F303</f>
        <v>15910408.23</v>
      </c>
      <c r="G294" s="82">
        <f>G295+G303</f>
        <v>20462701.920000002</v>
      </c>
      <c r="H294" s="82">
        <f>H295+H303</f>
        <v>14968309.42</v>
      </c>
      <c r="I294" s="96">
        <f>I295+I303</f>
        <v>14968309.42</v>
      </c>
      <c r="J294" s="129">
        <f t="shared" si="53"/>
        <v>0</v>
      </c>
      <c r="K294" s="129"/>
      <c r="L294" s="96">
        <f>L295+L303</f>
        <v>22768309.420000002</v>
      </c>
    </row>
    <row r="295" spans="1:12" ht="37.549999999999997" customHeight="1" outlineLevel="1" x14ac:dyDescent="0.25">
      <c r="A295" s="109" t="s">
        <v>550</v>
      </c>
      <c r="B295" s="110" t="s">
        <v>500</v>
      </c>
      <c r="C295" s="110" t="s">
        <v>62</v>
      </c>
      <c r="D295" s="110" t="s">
        <v>551</v>
      </c>
      <c r="E295" s="111" t="s">
        <v>6</v>
      </c>
      <c r="F295" s="85">
        <f>F296</f>
        <v>8282327.9500000002</v>
      </c>
      <c r="G295" s="82">
        <f>G296+G300</f>
        <v>7018314.5600000005</v>
      </c>
      <c r="H295" s="82">
        <f>H296+H300</f>
        <v>6967934.4000000004</v>
      </c>
      <c r="I295" s="96">
        <f>I296+I300</f>
        <v>6967934.4000000004</v>
      </c>
      <c r="J295" s="129">
        <f t="shared" si="53"/>
        <v>0</v>
      </c>
      <c r="K295" s="129"/>
      <c r="L295" s="96">
        <f>L296+L300</f>
        <v>6967934.4000000004</v>
      </c>
    </row>
    <row r="296" spans="1:12" ht="20.25" customHeight="1" outlineLevel="1" x14ac:dyDescent="0.25">
      <c r="A296" s="81" t="s">
        <v>549</v>
      </c>
      <c r="B296" s="80" t="s">
        <v>500</v>
      </c>
      <c r="C296" s="80" t="s">
        <v>62</v>
      </c>
      <c r="D296" s="80" t="s">
        <v>552</v>
      </c>
      <c r="E296" s="83" t="s">
        <v>6</v>
      </c>
      <c r="F296" s="82">
        <f>F297+F300</f>
        <v>8282327.9500000002</v>
      </c>
      <c r="G296" s="82">
        <f t="shared" ref="G296:I298" si="57">G297</f>
        <v>6752074.9400000004</v>
      </c>
      <c r="H296" s="82">
        <f t="shared" si="57"/>
        <v>6752074.9400000004</v>
      </c>
      <c r="I296" s="96">
        <f t="shared" si="57"/>
        <v>6642788.6500000004</v>
      </c>
      <c r="J296" s="129">
        <f t="shared" si="53"/>
        <v>-109286.29000000004</v>
      </c>
      <c r="K296" s="129"/>
      <c r="L296" s="96">
        <f>L297</f>
        <v>6642788.6500000004</v>
      </c>
    </row>
    <row r="297" spans="1:12" ht="20.25" customHeight="1" outlineLevel="1" x14ac:dyDescent="0.25">
      <c r="A297" s="81" t="s">
        <v>548</v>
      </c>
      <c r="B297" s="80" t="s">
        <v>500</v>
      </c>
      <c r="C297" s="80" t="s">
        <v>62</v>
      </c>
      <c r="D297" s="80" t="s">
        <v>553</v>
      </c>
      <c r="E297" s="83" t="s">
        <v>6</v>
      </c>
      <c r="F297" s="82">
        <f>F298</f>
        <v>6850012.1100000003</v>
      </c>
      <c r="G297" s="82">
        <f t="shared" si="57"/>
        <v>6752074.9400000004</v>
      </c>
      <c r="H297" s="82">
        <f t="shared" si="57"/>
        <v>6752074.9400000004</v>
      </c>
      <c r="I297" s="96">
        <f t="shared" si="57"/>
        <v>6642788.6500000004</v>
      </c>
      <c r="J297" s="129">
        <f t="shared" si="53"/>
        <v>-109286.29000000004</v>
      </c>
      <c r="K297" s="129"/>
      <c r="L297" s="96">
        <f>L298</f>
        <v>6642788.6500000004</v>
      </c>
    </row>
    <row r="298" spans="1:12" ht="21.25" customHeight="1" outlineLevel="1" x14ac:dyDescent="0.25">
      <c r="A298" s="81" t="s">
        <v>15</v>
      </c>
      <c r="B298" s="80" t="s">
        <v>500</v>
      </c>
      <c r="C298" s="80" t="s">
        <v>62</v>
      </c>
      <c r="D298" s="80" t="s">
        <v>553</v>
      </c>
      <c r="E298" s="83" t="s">
        <v>16</v>
      </c>
      <c r="F298" s="82">
        <f>F299</f>
        <v>6850012.1100000003</v>
      </c>
      <c r="G298" s="82">
        <f t="shared" si="57"/>
        <v>6752074.9400000004</v>
      </c>
      <c r="H298" s="82">
        <f t="shared" si="57"/>
        <v>6752074.9400000004</v>
      </c>
      <c r="I298" s="96">
        <f t="shared" si="57"/>
        <v>6642788.6500000004</v>
      </c>
      <c r="J298" s="129">
        <f t="shared" si="53"/>
        <v>-109286.29000000004</v>
      </c>
      <c r="K298" s="129"/>
      <c r="L298" s="96">
        <f>L299</f>
        <v>6642788.6500000004</v>
      </c>
    </row>
    <row r="299" spans="1:12" ht="20.25" customHeight="1" outlineLevel="1" x14ac:dyDescent="0.25">
      <c r="A299" s="81" t="s">
        <v>17</v>
      </c>
      <c r="B299" s="80" t="s">
        <v>500</v>
      </c>
      <c r="C299" s="80" t="s">
        <v>62</v>
      </c>
      <c r="D299" s="80" t="s">
        <v>553</v>
      </c>
      <c r="E299" s="83" t="s">
        <v>18</v>
      </c>
      <c r="F299" s="82">
        <v>6850012.1100000003</v>
      </c>
      <c r="G299" s="82">
        <v>6752074.9400000004</v>
      </c>
      <c r="H299" s="82">
        <v>6752074.9400000004</v>
      </c>
      <c r="I299" s="96">
        <v>6642788.6500000004</v>
      </c>
      <c r="J299" s="129">
        <f t="shared" si="53"/>
        <v>-109286.29000000004</v>
      </c>
      <c r="K299" s="129"/>
      <c r="L299" s="96">
        <v>6642788.6500000004</v>
      </c>
    </row>
    <row r="300" spans="1:12" ht="20.25" customHeight="1" outlineLevel="1" x14ac:dyDescent="0.25">
      <c r="A300" s="25" t="s">
        <v>680</v>
      </c>
      <c r="B300" s="80" t="s">
        <v>500</v>
      </c>
      <c r="C300" s="80" t="s">
        <v>62</v>
      </c>
      <c r="D300" s="80" t="s">
        <v>724</v>
      </c>
      <c r="E300" s="80" t="s">
        <v>6</v>
      </c>
      <c r="F300" s="82">
        <f t="shared" ref="F300:I301" si="58">F301</f>
        <v>1432315.84</v>
      </c>
      <c r="G300" s="82">
        <f t="shared" si="58"/>
        <v>266239.62</v>
      </c>
      <c r="H300" s="82">
        <f t="shared" si="58"/>
        <v>215859.46</v>
      </c>
      <c r="I300" s="96">
        <f t="shared" si="58"/>
        <v>325145.75</v>
      </c>
      <c r="J300" s="129">
        <f t="shared" si="53"/>
        <v>109286.29000000001</v>
      </c>
      <c r="K300" s="129"/>
      <c r="L300" s="96">
        <f>L301</f>
        <v>325145.75</v>
      </c>
    </row>
    <row r="301" spans="1:12" ht="20.25" customHeight="1" outlineLevel="1" x14ac:dyDescent="0.25">
      <c r="A301" s="81" t="s">
        <v>15</v>
      </c>
      <c r="B301" s="80" t="s">
        <v>500</v>
      </c>
      <c r="C301" s="80" t="s">
        <v>62</v>
      </c>
      <c r="D301" s="80" t="s">
        <v>724</v>
      </c>
      <c r="E301" s="80" t="s">
        <v>16</v>
      </c>
      <c r="F301" s="82">
        <f t="shared" si="58"/>
        <v>1432315.84</v>
      </c>
      <c r="G301" s="82">
        <f t="shared" si="58"/>
        <v>266239.62</v>
      </c>
      <c r="H301" s="82">
        <f t="shared" si="58"/>
        <v>215859.46</v>
      </c>
      <c r="I301" s="96">
        <f t="shared" si="58"/>
        <v>325145.75</v>
      </c>
      <c r="J301" s="129">
        <f t="shared" si="53"/>
        <v>109286.29000000001</v>
      </c>
      <c r="K301" s="129"/>
      <c r="L301" s="96">
        <f>L302</f>
        <v>325145.75</v>
      </c>
    </row>
    <row r="302" spans="1:12" ht="20.25" customHeight="1" outlineLevel="1" x14ac:dyDescent="0.25">
      <c r="A302" s="81" t="s">
        <v>17</v>
      </c>
      <c r="B302" s="80" t="s">
        <v>500</v>
      </c>
      <c r="C302" s="80" t="s">
        <v>62</v>
      </c>
      <c r="D302" s="80" t="s">
        <v>724</v>
      </c>
      <c r="E302" s="80" t="s">
        <v>18</v>
      </c>
      <c r="F302" s="82">
        <v>1432315.84</v>
      </c>
      <c r="G302" s="82">
        <v>266239.62</v>
      </c>
      <c r="H302" s="82">
        <v>215859.46</v>
      </c>
      <c r="I302" s="96">
        <f>215859.46+109286.29</f>
        <v>325145.75</v>
      </c>
      <c r="J302" s="129">
        <f t="shared" si="53"/>
        <v>109286.29000000001</v>
      </c>
      <c r="K302" s="129"/>
      <c r="L302" s="96">
        <f>215859.46+109286.29</f>
        <v>325145.75</v>
      </c>
    </row>
    <row r="303" spans="1:12" ht="73.400000000000006" outlineLevel="1" x14ac:dyDescent="0.25">
      <c r="A303" s="121" t="s">
        <v>554</v>
      </c>
      <c r="B303" s="80" t="s">
        <v>500</v>
      </c>
      <c r="C303" s="80" t="s">
        <v>62</v>
      </c>
      <c r="D303" s="110" t="s">
        <v>556</v>
      </c>
      <c r="E303" s="111" t="s">
        <v>6</v>
      </c>
      <c r="F303" s="85">
        <f>F304</f>
        <v>7628080.2799999993</v>
      </c>
      <c r="G303" s="82">
        <f>G304</f>
        <v>13444387.359999999</v>
      </c>
      <c r="H303" s="82">
        <f>H304</f>
        <v>8000375.0199999996</v>
      </c>
      <c r="I303" s="96">
        <f>I304</f>
        <v>8000375.0199999996</v>
      </c>
      <c r="J303" s="129">
        <f t="shared" si="53"/>
        <v>0</v>
      </c>
      <c r="K303" s="129"/>
      <c r="L303" s="96">
        <f t="shared" ref="L303:L309" si="59">L304</f>
        <v>15800375.02</v>
      </c>
    </row>
    <row r="304" spans="1:12" ht="55.05" outlineLevel="1" x14ac:dyDescent="0.25">
      <c r="A304" s="121" t="s">
        <v>555</v>
      </c>
      <c r="B304" s="80" t="s">
        <v>500</v>
      </c>
      <c r="C304" s="80" t="s">
        <v>62</v>
      </c>
      <c r="D304" s="110" t="s">
        <v>557</v>
      </c>
      <c r="E304" s="111" t="s">
        <v>6</v>
      </c>
      <c r="F304" s="85">
        <f>F305+F308+F311+F314</f>
        <v>7628080.2799999993</v>
      </c>
      <c r="G304" s="85">
        <f>G305+G308+G311+G314</f>
        <v>13444387.359999999</v>
      </c>
      <c r="H304" s="85">
        <f>H305+H308+H311+H314</f>
        <v>8000375.0199999996</v>
      </c>
      <c r="I304" s="85">
        <f>I305+I308+I311+I314</f>
        <v>8000375.0199999996</v>
      </c>
      <c r="J304" s="129">
        <f t="shared" si="53"/>
        <v>0</v>
      </c>
      <c r="K304" s="129"/>
      <c r="L304" s="85">
        <f>L305+L308+L311+L314</f>
        <v>15800375.02</v>
      </c>
    </row>
    <row r="305" spans="1:12" ht="110.05" outlineLevel="1" x14ac:dyDescent="0.25">
      <c r="A305" s="25" t="s">
        <v>565</v>
      </c>
      <c r="B305" s="80" t="s">
        <v>500</v>
      </c>
      <c r="C305" s="80" t="s">
        <v>62</v>
      </c>
      <c r="D305" s="80" t="s">
        <v>587</v>
      </c>
      <c r="E305" s="83" t="s">
        <v>6</v>
      </c>
      <c r="F305" s="85">
        <f>F306</f>
        <v>6501429.3700000001</v>
      </c>
      <c r="G305" s="82">
        <f t="shared" ref="G305:I306" si="60">G306</f>
        <v>13041055.74</v>
      </c>
      <c r="H305" s="82">
        <f t="shared" si="60"/>
        <v>6855579.5599999996</v>
      </c>
      <c r="I305" s="96">
        <f t="shared" si="60"/>
        <v>6855579.5599999996</v>
      </c>
      <c r="J305" s="129">
        <f t="shared" si="53"/>
        <v>0</v>
      </c>
      <c r="K305" s="129"/>
      <c r="L305" s="96">
        <f>L306</f>
        <v>6855579.5599999996</v>
      </c>
    </row>
    <row r="306" spans="1:12" ht="21.25" customHeight="1" outlineLevel="1" x14ac:dyDescent="0.25">
      <c r="A306" s="81" t="s">
        <v>15</v>
      </c>
      <c r="B306" s="80" t="s">
        <v>500</v>
      </c>
      <c r="C306" s="80" t="s">
        <v>62</v>
      </c>
      <c r="D306" s="80" t="s">
        <v>587</v>
      </c>
      <c r="E306" s="83" t="s">
        <v>16</v>
      </c>
      <c r="F306" s="85">
        <f>F307</f>
        <v>6501429.3700000001</v>
      </c>
      <c r="G306" s="82">
        <f t="shared" si="60"/>
        <v>13041055.74</v>
      </c>
      <c r="H306" s="82">
        <f t="shared" si="60"/>
        <v>6855579.5599999996</v>
      </c>
      <c r="I306" s="96">
        <f t="shared" si="60"/>
        <v>6855579.5599999996</v>
      </c>
      <c r="J306" s="129">
        <f t="shared" si="53"/>
        <v>0</v>
      </c>
      <c r="K306" s="129"/>
      <c r="L306" s="96">
        <f>L307</f>
        <v>6855579.5599999996</v>
      </c>
    </row>
    <row r="307" spans="1:12" ht="55.05" outlineLevel="1" x14ac:dyDescent="0.25">
      <c r="A307" s="81" t="s">
        <v>17</v>
      </c>
      <c r="B307" s="80" t="s">
        <v>500</v>
      </c>
      <c r="C307" s="80" t="s">
        <v>62</v>
      </c>
      <c r="D307" s="80" t="s">
        <v>587</v>
      </c>
      <c r="E307" s="83" t="s">
        <v>18</v>
      </c>
      <c r="F307" s="85">
        <v>6501429.3700000001</v>
      </c>
      <c r="G307" s="82">
        <v>13041055.74</v>
      </c>
      <c r="H307" s="82">
        <v>6855579.5599999996</v>
      </c>
      <c r="I307" s="96">
        <v>6855579.5599999996</v>
      </c>
      <c r="J307" s="129">
        <f t="shared" si="53"/>
        <v>0</v>
      </c>
      <c r="K307" s="129"/>
      <c r="L307" s="96">
        <v>6855579.5599999996</v>
      </c>
    </row>
    <row r="308" spans="1:12" ht="39.75" customHeight="1" outlineLevel="1" x14ac:dyDescent="0.25">
      <c r="A308" s="25" t="s">
        <v>559</v>
      </c>
      <c r="B308" s="80" t="s">
        <v>500</v>
      </c>
      <c r="C308" s="80" t="s">
        <v>62</v>
      </c>
      <c r="D308" s="80" t="s">
        <v>558</v>
      </c>
      <c r="E308" s="83" t="s">
        <v>6</v>
      </c>
      <c r="F308" s="82">
        <f t="shared" ref="F308:I309" si="61">F309</f>
        <v>201075.14</v>
      </c>
      <c r="G308" s="82">
        <f t="shared" si="61"/>
        <v>403331.62</v>
      </c>
      <c r="H308" s="82">
        <f t="shared" si="61"/>
        <v>403331.62</v>
      </c>
      <c r="I308" s="96">
        <f t="shared" si="61"/>
        <v>403331.62</v>
      </c>
      <c r="J308" s="129">
        <f t="shared" si="53"/>
        <v>0</v>
      </c>
      <c r="K308" s="129"/>
      <c r="L308" s="96">
        <f t="shared" si="59"/>
        <v>403331.62</v>
      </c>
    </row>
    <row r="309" spans="1:12" ht="21.75" customHeight="1" outlineLevel="1" x14ac:dyDescent="0.25">
      <c r="A309" s="81" t="s">
        <v>15</v>
      </c>
      <c r="B309" s="80" t="s">
        <v>500</v>
      </c>
      <c r="C309" s="80" t="s">
        <v>62</v>
      </c>
      <c r="D309" s="80" t="s">
        <v>558</v>
      </c>
      <c r="E309" s="83" t="s">
        <v>16</v>
      </c>
      <c r="F309" s="82">
        <f t="shared" si="61"/>
        <v>201075.14</v>
      </c>
      <c r="G309" s="82">
        <f t="shared" si="61"/>
        <v>403331.62</v>
      </c>
      <c r="H309" s="82">
        <f t="shared" si="61"/>
        <v>403331.62</v>
      </c>
      <c r="I309" s="96">
        <f t="shared" si="61"/>
        <v>403331.62</v>
      </c>
      <c r="J309" s="129">
        <f t="shared" si="53"/>
        <v>0</v>
      </c>
      <c r="K309" s="129"/>
      <c r="L309" s="96">
        <f t="shared" si="59"/>
        <v>403331.62</v>
      </c>
    </row>
    <row r="310" spans="1:12" ht="39.75" customHeight="1" outlineLevel="1" x14ac:dyDescent="0.25">
      <c r="A310" s="81" t="s">
        <v>17</v>
      </c>
      <c r="B310" s="80" t="s">
        <v>500</v>
      </c>
      <c r="C310" s="80" t="s">
        <v>62</v>
      </c>
      <c r="D310" s="80" t="s">
        <v>558</v>
      </c>
      <c r="E310" s="83" t="s">
        <v>18</v>
      </c>
      <c r="F310" s="82">
        <v>201075.14</v>
      </c>
      <c r="G310" s="82">
        <v>403331.62</v>
      </c>
      <c r="H310" s="98">
        <v>403331.62</v>
      </c>
      <c r="I310" s="108">
        <v>403331.62</v>
      </c>
      <c r="J310" s="129">
        <f t="shared" si="53"/>
        <v>0</v>
      </c>
      <c r="K310" s="129"/>
      <c r="L310" s="108">
        <v>403331.62</v>
      </c>
    </row>
    <row r="311" spans="1:12" ht="39.75" customHeight="1" outlineLevel="1" x14ac:dyDescent="0.25">
      <c r="A311" s="81" t="s">
        <v>680</v>
      </c>
      <c r="B311" s="80" t="s">
        <v>500</v>
      </c>
      <c r="C311" s="80" t="s">
        <v>62</v>
      </c>
      <c r="D311" s="80" t="s">
        <v>679</v>
      </c>
      <c r="E311" s="80" t="s">
        <v>6</v>
      </c>
      <c r="F311" s="82">
        <f t="shared" ref="F311:I312" si="62">F312</f>
        <v>925575.77</v>
      </c>
      <c r="G311" s="82">
        <f t="shared" si="62"/>
        <v>0</v>
      </c>
      <c r="H311" s="82">
        <f t="shared" si="62"/>
        <v>679463.84</v>
      </c>
      <c r="I311" s="96">
        <f t="shared" si="62"/>
        <v>679463.84</v>
      </c>
      <c r="J311" s="129">
        <f t="shared" si="53"/>
        <v>0</v>
      </c>
      <c r="K311" s="129"/>
      <c r="L311" s="96">
        <f>L312</f>
        <v>8479463.8399999999</v>
      </c>
    </row>
    <row r="312" spans="1:12" ht="39.75" customHeight="1" outlineLevel="1" x14ac:dyDescent="0.25">
      <c r="A312" s="81" t="s">
        <v>15</v>
      </c>
      <c r="B312" s="80" t="s">
        <v>500</v>
      </c>
      <c r="C312" s="80" t="s">
        <v>62</v>
      </c>
      <c r="D312" s="80" t="s">
        <v>679</v>
      </c>
      <c r="E312" s="80" t="s">
        <v>16</v>
      </c>
      <c r="F312" s="82">
        <f t="shared" si="62"/>
        <v>925575.77</v>
      </c>
      <c r="G312" s="82">
        <f t="shared" si="62"/>
        <v>0</v>
      </c>
      <c r="H312" s="82">
        <f t="shared" si="62"/>
        <v>679463.84</v>
      </c>
      <c r="I312" s="96">
        <f t="shared" si="62"/>
        <v>679463.84</v>
      </c>
      <c r="J312" s="129">
        <f t="shared" si="53"/>
        <v>0</v>
      </c>
      <c r="K312" s="129"/>
      <c r="L312" s="96">
        <f>L313</f>
        <v>8479463.8399999999</v>
      </c>
    </row>
    <row r="313" spans="1:12" ht="39.75" customHeight="1" outlineLevel="1" x14ac:dyDescent="0.25">
      <c r="A313" s="81" t="s">
        <v>17</v>
      </c>
      <c r="B313" s="80" t="s">
        <v>500</v>
      </c>
      <c r="C313" s="80" t="s">
        <v>62</v>
      </c>
      <c r="D313" s="80" t="s">
        <v>679</v>
      </c>
      <c r="E313" s="80" t="s">
        <v>18</v>
      </c>
      <c r="F313" s="82">
        <v>925575.77</v>
      </c>
      <c r="G313" s="82">
        <v>0</v>
      </c>
      <c r="H313" s="98">
        <v>679463.84</v>
      </c>
      <c r="I313" s="108">
        <f>679463.84</f>
        <v>679463.84</v>
      </c>
      <c r="J313" s="129">
        <f t="shared" si="53"/>
        <v>0</v>
      </c>
      <c r="K313" s="129">
        <v>7800000</v>
      </c>
      <c r="L313" s="108">
        <f>679463.84+7800000</f>
        <v>8479463.8399999999</v>
      </c>
    </row>
    <row r="314" spans="1:12" ht="58.75" customHeight="1" outlineLevel="1" x14ac:dyDescent="0.25">
      <c r="A314" s="81" t="s">
        <v>682</v>
      </c>
      <c r="B314" s="80" t="s">
        <v>500</v>
      </c>
      <c r="C314" s="80" t="s">
        <v>62</v>
      </c>
      <c r="D314" s="80" t="s">
        <v>765</v>
      </c>
      <c r="E314" s="80" t="s">
        <v>6</v>
      </c>
      <c r="F314" s="82">
        <f>F315</f>
        <v>0</v>
      </c>
      <c r="G314" s="82">
        <f t="shared" ref="G314:I315" si="63">G315</f>
        <v>0</v>
      </c>
      <c r="H314" s="82">
        <f t="shared" si="63"/>
        <v>62000</v>
      </c>
      <c r="I314" s="82">
        <f t="shared" si="63"/>
        <v>62000</v>
      </c>
      <c r="J314" s="129">
        <f t="shared" si="53"/>
        <v>0</v>
      </c>
      <c r="K314" s="129"/>
      <c r="L314" s="82">
        <f>L315</f>
        <v>62000</v>
      </c>
    </row>
    <row r="315" spans="1:12" ht="39.75" customHeight="1" outlineLevel="1" x14ac:dyDescent="0.25">
      <c r="A315" s="81" t="s">
        <v>15</v>
      </c>
      <c r="B315" s="80" t="s">
        <v>500</v>
      </c>
      <c r="C315" s="80" t="s">
        <v>62</v>
      </c>
      <c r="D315" s="80" t="s">
        <v>765</v>
      </c>
      <c r="E315" s="80" t="s">
        <v>16</v>
      </c>
      <c r="F315" s="82">
        <f>F316</f>
        <v>0</v>
      </c>
      <c r="G315" s="82">
        <f t="shared" si="63"/>
        <v>0</v>
      </c>
      <c r="H315" s="82">
        <f t="shared" si="63"/>
        <v>62000</v>
      </c>
      <c r="I315" s="82">
        <f t="shared" si="63"/>
        <v>62000</v>
      </c>
      <c r="J315" s="129">
        <f t="shared" si="53"/>
        <v>0</v>
      </c>
      <c r="K315" s="129"/>
      <c r="L315" s="82">
        <f>L316</f>
        <v>62000</v>
      </c>
    </row>
    <row r="316" spans="1:12" ht="39.75" customHeight="1" outlineLevel="1" x14ac:dyDescent="0.25">
      <c r="A316" s="81" t="s">
        <v>17</v>
      </c>
      <c r="B316" s="80" t="s">
        <v>500</v>
      </c>
      <c r="C316" s="80" t="s">
        <v>62</v>
      </c>
      <c r="D316" s="80" t="s">
        <v>765</v>
      </c>
      <c r="E316" s="80" t="s">
        <v>18</v>
      </c>
      <c r="F316" s="82">
        <v>0</v>
      </c>
      <c r="G316" s="82">
        <v>0</v>
      </c>
      <c r="H316" s="98">
        <v>62000</v>
      </c>
      <c r="I316" s="108">
        <v>62000</v>
      </c>
      <c r="J316" s="129">
        <f t="shared" si="53"/>
        <v>0</v>
      </c>
      <c r="K316" s="129"/>
      <c r="L316" s="108">
        <v>62000</v>
      </c>
    </row>
    <row r="317" spans="1:12" ht="36.700000000000003" outlineLevel="7" x14ac:dyDescent="0.25">
      <c r="A317" s="81" t="s">
        <v>292</v>
      </c>
      <c r="B317" s="80" t="s">
        <v>500</v>
      </c>
      <c r="C317" s="80" t="s">
        <v>293</v>
      </c>
      <c r="D317" s="80" t="s">
        <v>126</v>
      </c>
      <c r="E317" s="83" t="s">
        <v>6</v>
      </c>
      <c r="F317" s="98">
        <f>F318</f>
        <v>840344.84</v>
      </c>
      <c r="G317" s="98">
        <f t="shared" ref="G317:I318" si="64">G318</f>
        <v>990344.84</v>
      </c>
      <c r="H317" s="98">
        <f t="shared" si="64"/>
        <v>7460868.7599999998</v>
      </c>
      <c r="I317" s="98">
        <f t="shared" si="64"/>
        <v>7460868.7599999998</v>
      </c>
      <c r="J317" s="129">
        <f t="shared" si="53"/>
        <v>0</v>
      </c>
      <c r="K317" s="129"/>
      <c r="L317" s="98">
        <f>L318</f>
        <v>7460868.7599999998</v>
      </c>
    </row>
    <row r="318" spans="1:12" ht="38.25" customHeight="1" outlineLevel="7" x14ac:dyDescent="0.25">
      <c r="A318" s="109" t="s">
        <v>421</v>
      </c>
      <c r="B318" s="110" t="s">
        <v>500</v>
      </c>
      <c r="C318" s="110" t="s">
        <v>293</v>
      </c>
      <c r="D318" s="110" t="s">
        <v>134</v>
      </c>
      <c r="E318" s="111" t="s">
        <v>6</v>
      </c>
      <c r="F318" s="122">
        <f>F319</f>
        <v>840344.84</v>
      </c>
      <c r="G318" s="122">
        <f t="shared" si="64"/>
        <v>990344.84</v>
      </c>
      <c r="H318" s="122">
        <f t="shared" si="64"/>
        <v>7460868.7599999998</v>
      </c>
      <c r="I318" s="122">
        <f t="shared" si="64"/>
        <v>7460868.7599999998</v>
      </c>
      <c r="J318" s="129">
        <f t="shared" si="53"/>
        <v>0</v>
      </c>
      <c r="K318" s="129"/>
      <c r="L318" s="122">
        <f>L319</f>
        <v>7460868.7599999998</v>
      </c>
    </row>
    <row r="319" spans="1:12" ht="55.05" outlineLevel="7" x14ac:dyDescent="0.25">
      <c r="A319" s="81" t="s">
        <v>356</v>
      </c>
      <c r="B319" s="80" t="s">
        <v>500</v>
      </c>
      <c r="C319" s="80" t="s">
        <v>293</v>
      </c>
      <c r="D319" s="80" t="s">
        <v>350</v>
      </c>
      <c r="E319" s="83" t="s">
        <v>6</v>
      </c>
      <c r="F319" s="98">
        <f>F320+F323</f>
        <v>840344.84</v>
      </c>
      <c r="G319" s="98">
        <f>G320+G323</f>
        <v>990344.84</v>
      </c>
      <c r="H319" s="98">
        <f>H320+H323</f>
        <v>7460868.7599999998</v>
      </c>
      <c r="I319" s="98">
        <f>I320+I323</f>
        <v>7460868.7599999998</v>
      </c>
      <c r="J319" s="129">
        <f t="shared" si="53"/>
        <v>0</v>
      </c>
      <c r="K319" s="129"/>
      <c r="L319" s="98">
        <f>L320+L323</f>
        <v>7460868.7599999998</v>
      </c>
    </row>
    <row r="320" spans="1:12" ht="55.05" outlineLevel="7" x14ac:dyDescent="0.25">
      <c r="A320" s="100" t="s">
        <v>563</v>
      </c>
      <c r="B320" s="80" t="s">
        <v>500</v>
      </c>
      <c r="C320" s="80" t="s">
        <v>293</v>
      </c>
      <c r="D320" s="80" t="s">
        <v>588</v>
      </c>
      <c r="E320" s="80" t="s">
        <v>6</v>
      </c>
      <c r="F320" s="98">
        <f>F321</f>
        <v>690344.84</v>
      </c>
      <c r="G320" s="98">
        <f t="shared" ref="G320:I321" si="65">G321</f>
        <v>690344.84</v>
      </c>
      <c r="H320" s="98">
        <f t="shared" si="65"/>
        <v>7160868.7599999998</v>
      </c>
      <c r="I320" s="98">
        <f t="shared" si="65"/>
        <v>7160868.7599999998</v>
      </c>
      <c r="J320" s="129">
        <f t="shared" si="53"/>
        <v>0</v>
      </c>
      <c r="K320" s="129"/>
      <c r="L320" s="98">
        <f>L321</f>
        <v>7160868.7599999998</v>
      </c>
    </row>
    <row r="321" spans="1:12" outlineLevel="7" x14ac:dyDescent="0.25">
      <c r="A321" s="81" t="s">
        <v>19</v>
      </c>
      <c r="B321" s="80" t="s">
        <v>500</v>
      </c>
      <c r="C321" s="80" t="s">
        <v>293</v>
      </c>
      <c r="D321" s="80" t="s">
        <v>588</v>
      </c>
      <c r="E321" s="80" t="s">
        <v>20</v>
      </c>
      <c r="F321" s="98">
        <f>F322</f>
        <v>690344.84</v>
      </c>
      <c r="G321" s="98">
        <f t="shared" si="65"/>
        <v>690344.84</v>
      </c>
      <c r="H321" s="98">
        <f t="shared" si="65"/>
        <v>7160868.7599999998</v>
      </c>
      <c r="I321" s="98">
        <f t="shared" si="65"/>
        <v>7160868.7599999998</v>
      </c>
      <c r="J321" s="129">
        <f t="shared" si="53"/>
        <v>0</v>
      </c>
      <c r="K321" s="129"/>
      <c r="L321" s="98">
        <f>L322</f>
        <v>7160868.7599999998</v>
      </c>
    </row>
    <row r="322" spans="1:12" ht="73.400000000000006" outlineLevel="7" x14ac:dyDescent="0.25">
      <c r="A322" s="81" t="s">
        <v>47</v>
      </c>
      <c r="B322" s="80" t="s">
        <v>500</v>
      </c>
      <c r="C322" s="80" t="s">
        <v>293</v>
      </c>
      <c r="D322" s="80" t="s">
        <v>588</v>
      </c>
      <c r="E322" s="80" t="s">
        <v>48</v>
      </c>
      <c r="F322" s="98">
        <v>690344.84</v>
      </c>
      <c r="G322" s="98">
        <v>690344.84</v>
      </c>
      <c r="H322" s="98">
        <v>7160868.7599999998</v>
      </c>
      <c r="I322" s="98">
        <v>7160868.7599999998</v>
      </c>
      <c r="J322" s="129">
        <f t="shared" si="53"/>
        <v>0</v>
      </c>
      <c r="K322" s="129"/>
      <c r="L322" s="98">
        <v>7160868.7599999998</v>
      </c>
    </row>
    <row r="323" spans="1:12" ht="73.400000000000006" outlineLevel="7" x14ac:dyDescent="0.25">
      <c r="A323" s="81" t="s">
        <v>306</v>
      </c>
      <c r="B323" s="80" t="s">
        <v>500</v>
      </c>
      <c r="C323" s="80" t="s">
        <v>293</v>
      </c>
      <c r="D323" s="80" t="s">
        <v>357</v>
      </c>
      <c r="E323" s="83" t="s">
        <v>6</v>
      </c>
      <c r="F323" s="98">
        <f>F324</f>
        <v>150000</v>
      </c>
      <c r="G323" s="98">
        <f t="shared" ref="G323:I324" si="66">G324</f>
        <v>300000</v>
      </c>
      <c r="H323" s="98">
        <f t="shared" si="66"/>
        <v>300000</v>
      </c>
      <c r="I323" s="108">
        <f t="shared" si="66"/>
        <v>300000</v>
      </c>
      <c r="J323" s="129">
        <f t="shared" si="53"/>
        <v>0</v>
      </c>
      <c r="K323" s="129"/>
      <c r="L323" s="108">
        <f>L324</f>
        <v>300000</v>
      </c>
    </row>
    <row r="324" spans="1:12" outlineLevel="7" x14ac:dyDescent="0.25">
      <c r="A324" s="81" t="s">
        <v>19</v>
      </c>
      <c r="B324" s="80" t="s">
        <v>500</v>
      </c>
      <c r="C324" s="80" t="s">
        <v>293</v>
      </c>
      <c r="D324" s="80" t="s">
        <v>357</v>
      </c>
      <c r="E324" s="83" t="s">
        <v>20</v>
      </c>
      <c r="F324" s="98">
        <f>F325</f>
        <v>150000</v>
      </c>
      <c r="G324" s="98">
        <f t="shared" si="66"/>
        <v>300000</v>
      </c>
      <c r="H324" s="98">
        <f t="shared" si="66"/>
        <v>300000</v>
      </c>
      <c r="I324" s="108">
        <f t="shared" si="66"/>
        <v>300000</v>
      </c>
      <c r="J324" s="129">
        <f t="shared" si="53"/>
        <v>0</v>
      </c>
      <c r="K324" s="129"/>
      <c r="L324" s="108">
        <f>L325</f>
        <v>300000</v>
      </c>
    </row>
    <row r="325" spans="1:12" ht="73.400000000000006" outlineLevel="7" x14ac:dyDescent="0.25">
      <c r="A325" s="81" t="s">
        <v>47</v>
      </c>
      <c r="B325" s="80" t="s">
        <v>500</v>
      </c>
      <c r="C325" s="80" t="s">
        <v>293</v>
      </c>
      <c r="D325" s="80" t="s">
        <v>357</v>
      </c>
      <c r="E325" s="83" t="s">
        <v>48</v>
      </c>
      <c r="F325" s="82">
        <v>150000</v>
      </c>
      <c r="G325" s="82">
        <v>300000</v>
      </c>
      <c r="H325" s="131">
        <v>300000</v>
      </c>
      <c r="I325" s="117">
        <v>300000</v>
      </c>
      <c r="J325" s="129">
        <f t="shared" si="53"/>
        <v>0</v>
      </c>
      <c r="K325" s="129"/>
      <c r="L325" s="117">
        <v>300000</v>
      </c>
    </row>
    <row r="326" spans="1:12" outlineLevel="3" x14ac:dyDescent="0.25">
      <c r="A326" s="109" t="s">
        <v>64</v>
      </c>
      <c r="B326" s="80" t="s">
        <v>500</v>
      </c>
      <c r="C326" s="110" t="s">
        <v>65</v>
      </c>
      <c r="D326" s="110" t="s">
        <v>126</v>
      </c>
      <c r="E326" s="111" t="s">
        <v>6</v>
      </c>
      <c r="F326" s="85">
        <f>F327</f>
        <v>515000</v>
      </c>
      <c r="G326" s="85">
        <f>G327</f>
        <v>515000</v>
      </c>
      <c r="H326" s="85">
        <f>H327</f>
        <v>515000</v>
      </c>
      <c r="I326" s="112">
        <f>I327</f>
        <v>515000</v>
      </c>
      <c r="J326" s="129">
        <f t="shared" si="53"/>
        <v>0</v>
      </c>
      <c r="K326" s="129"/>
      <c r="L326" s="112">
        <f>L327</f>
        <v>515000</v>
      </c>
    </row>
    <row r="327" spans="1:12" ht="36.700000000000003" outlineLevel="4" x14ac:dyDescent="0.25">
      <c r="A327" s="81" t="s">
        <v>66</v>
      </c>
      <c r="B327" s="80" t="s">
        <v>500</v>
      </c>
      <c r="C327" s="80" t="s">
        <v>67</v>
      </c>
      <c r="D327" s="80" t="s">
        <v>126</v>
      </c>
      <c r="E327" s="83" t="s">
        <v>6</v>
      </c>
      <c r="F327" s="82">
        <f>F328+F337</f>
        <v>515000</v>
      </c>
      <c r="G327" s="82">
        <f>G328+G337</f>
        <v>515000</v>
      </c>
      <c r="H327" s="82">
        <f>H328+H337</f>
        <v>515000</v>
      </c>
      <c r="I327" s="96">
        <f>I328+I337</f>
        <v>515000</v>
      </c>
      <c r="J327" s="129">
        <f t="shared" si="53"/>
        <v>0</v>
      </c>
      <c r="K327" s="129"/>
      <c r="L327" s="96">
        <f>L328+L337</f>
        <v>515000</v>
      </c>
    </row>
    <row r="328" spans="1:12" ht="73.400000000000006" outlineLevel="5" x14ac:dyDescent="0.25">
      <c r="A328" s="109" t="s">
        <v>358</v>
      </c>
      <c r="B328" s="110" t="s">
        <v>500</v>
      </c>
      <c r="C328" s="110" t="s">
        <v>67</v>
      </c>
      <c r="D328" s="110" t="s">
        <v>135</v>
      </c>
      <c r="E328" s="111" t="s">
        <v>6</v>
      </c>
      <c r="F328" s="85">
        <f>F329+F333</f>
        <v>470000</v>
      </c>
      <c r="G328" s="85">
        <f>G329+G333</f>
        <v>470000</v>
      </c>
      <c r="H328" s="85">
        <f>H329+H333</f>
        <v>470000</v>
      </c>
      <c r="I328" s="112">
        <f>I329+I333</f>
        <v>470000</v>
      </c>
      <c r="J328" s="129">
        <f t="shared" si="53"/>
        <v>0</v>
      </c>
      <c r="K328" s="129"/>
      <c r="L328" s="112">
        <f>L329+L333</f>
        <v>470000</v>
      </c>
    </row>
    <row r="329" spans="1:12" ht="39.75" customHeight="1" outlineLevel="6" x14ac:dyDescent="0.25">
      <c r="A329" s="81" t="s">
        <v>359</v>
      </c>
      <c r="B329" s="80" t="s">
        <v>500</v>
      </c>
      <c r="C329" s="80" t="s">
        <v>67</v>
      </c>
      <c r="D329" s="80" t="s">
        <v>392</v>
      </c>
      <c r="E329" s="83" t="s">
        <v>6</v>
      </c>
      <c r="F329" s="82">
        <f>F330</f>
        <v>440000</v>
      </c>
      <c r="G329" s="82">
        <f>G330</f>
        <v>440000</v>
      </c>
      <c r="H329" s="82">
        <f>H330</f>
        <v>440000</v>
      </c>
      <c r="I329" s="96">
        <f>I330</f>
        <v>440000</v>
      </c>
      <c r="J329" s="129">
        <f t="shared" si="53"/>
        <v>0</v>
      </c>
      <c r="K329" s="129"/>
      <c r="L329" s="96">
        <f>L330</f>
        <v>440000</v>
      </c>
    </row>
    <row r="330" spans="1:12" ht="36.700000000000003" outlineLevel="2" x14ac:dyDescent="0.25">
      <c r="A330" s="81" t="s">
        <v>244</v>
      </c>
      <c r="B330" s="80" t="s">
        <v>500</v>
      </c>
      <c r="C330" s="80" t="s">
        <v>67</v>
      </c>
      <c r="D330" s="80" t="s">
        <v>361</v>
      </c>
      <c r="E330" s="83" t="s">
        <v>6</v>
      </c>
      <c r="F330" s="82">
        <f>F331</f>
        <v>440000</v>
      </c>
      <c r="G330" s="82">
        <f t="shared" ref="G330:I331" si="67">G331</f>
        <v>440000</v>
      </c>
      <c r="H330" s="82">
        <f t="shared" si="67"/>
        <v>440000</v>
      </c>
      <c r="I330" s="96">
        <f t="shared" si="67"/>
        <v>440000</v>
      </c>
      <c r="J330" s="129">
        <f t="shared" si="53"/>
        <v>0</v>
      </c>
      <c r="K330" s="129"/>
      <c r="L330" s="96">
        <f>L331</f>
        <v>440000</v>
      </c>
    </row>
    <row r="331" spans="1:12" ht="21.25" customHeight="1" outlineLevel="4" x14ac:dyDescent="0.25">
      <c r="A331" s="81" t="s">
        <v>15</v>
      </c>
      <c r="B331" s="80" t="s">
        <v>500</v>
      </c>
      <c r="C331" s="80" t="s">
        <v>67</v>
      </c>
      <c r="D331" s="80" t="s">
        <v>361</v>
      </c>
      <c r="E331" s="83" t="s">
        <v>16</v>
      </c>
      <c r="F331" s="82">
        <f>F332</f>
        <v>440000</v>
      </c>
      <c r="G331" s="82">
        <f t="shared" si="67"/>
        <v>440000</v>
      </c>
      <c r="H331" s="82">
        <f t="shared" si="67"/>
        <v>440000</v>
      </c>
      <c r="I331" s="96">
        <f t="shared" si="67"/>
        <v>440000</v>
      </c>
      <c r="J331" s="129">
        <f t="shared" si="53"/>
        <v>0</v>
      </c>
      <c r="K331" s="129"/>
      <c r="L331" s="96">
        <f>L332</f>
        <v>440000</v>
      </c>
    </row>
    <row r="332" spans="1:12" ht="55.05" outlineLevel="5" x14ac:dyDescent="0.25">
      <c r="A332" s="81" t="s">
        <v>17</v>
      </c>
      <c r="B332" s="80" t="s">
        <v>500</v>
      </c>
      <c r="C332" s="80" t="s">
        <v>67</v>
      </c>
      <c r="D332" s="80" t="s">
        <v>361</v>
      </c>
      <c r="E332" s="83" t="s">
        <v>18</v>
      </c>
      <c r="F332" s="82">
        <v>440000</v>
      </c>
      <c r="G332" s="82">
        <v>440000</v>
      </c>
      <c r="H332" s="82">
        <v>440000</v>
      </c>
      <c r="I332" s="96">
        <v>440000</v>
      </c>
      <c r="J332" s="129">
        <f t="shared" si="53"/>
        <v>0</v>
      </c>
      <c r="K332" s="129"/>
      <c r="L332" s="96">
        <v>440000</v>
      </c>
    </row>
    <row r="333" spans="1:12" ht="36.700000000000003" outlineLevel="6" x14ac:dyDescent="0.25">
      <c r="A333" s="81" t="s">
        <v>362</v>
      </c>
      <c r="B333" s="80" t="s">
        <v>500</v>
      </c>
      <c r="C333" s="80" t="s">
        <v>67</v>
      </c>
      <c r="D333" s="80" t="s">
        <v>246</v>
      </c>
      <c r="E333" s="83" t="s">
        <v>6</v>
      </c>
      <c r="F333" s="98">
        <f>F334</f>
        <v>30000</v>
      </c>
      <c r="G333" s="98">
        <f>G334</f>
        <v>30000</v>
      </c>
      <c r="H333" s="98">
        <f>H334</f>
        <v>30000</v>
      </c>
      <c r="I333" s="108">
        <f>I334</f>
        <v>30000</v>
      </c>
      <c r="J333" s="129">
        <f t="shared" si="53"/>
        <v>0</v>
      </c>
      <c r="K333" s="129"/>
      <c r="L333" s="108">
        <f>L334</f>
        <v>30000</v>
      </c>
    </row>
    <row r="334" spans="1:12" ht="36.700000000000003" outlineLevel="7" x14ac:dyDescent="0.25">
      <c r="A334" s="81" t="s">
        <v>68</v>
      </c>
      <c r="B334" s="80" t="s">
        <v>500</v>
      </c>
      <c r="C334" s="80" t="s">
        <v>67</v>
      </c>
      <c r="D334" s="80" t="s">
        <v>245</v>
      </c>
      <c r="E334" s="83" t="s">
        <v>6</v>
      </c>
      <c r="F334" s="82">
        <f>F335</f>
        <v>30000</v>
      </c>
      <c r="G334" s="82">
        <f t="shared" ref="G334:I335" si="68">G335</f>
        <v>30000</v>
      </c>
      <c r="H334" s="82">
        <f t="shared" si="68"/>
        <v>30000</v>
      </c>
      <c r="I334" s="96">
        <f t="shared" si="68"/>
        <v>30000</v>
      </c>
      <c r="J334" s="129">
        <f t="shared" si="53"/>
        <v>0</v>
      </c>
      <c r="K334" s="129"/>
      <c r="L334" s="96">
        <f>L335</f>
        <v>30000</v>
      </c>
    </row>
    <row r="335" spans="1:12" ht="19.55" customHeight="1" outlineLevel="5" x14ac:dyDescent="0.25">
      <c r="A335" s="81" t="s">
        <v>15</v>
      </c>
      <c r="B335" s="80" t="s">
        <v>500</v>
      </c>
      <c r="C335" s="80" t="s">
        <v>67</v>
      </c>
      <c r="D335" s="80" t="s">
        <v>245</v>
      </c>
      <c r="E335" s="83" t="s">
        <v>16</v>
      </c>
      <c r="F335" s="82">
        <f>F336</f>
        <v>30000</v>
      </c>
      <c r="G335" s="82">
        <f t="shared" si="68"/>
        <v>30000</v>
      </c>
      <c r="H335" s="82">
        <f t="shared" si="68"/>
        <v>30000</v>
      </c>
      <c r="I335" s="96">
        <f t="shared" si="68"/>
        <v>30000</v>
      </c>
      <c r="J335" s="129">
        <f t="shared" si="53"/>
        <v>0</v>
      </c>
      <c r="K335" s="129"/>
      <c r="L335" s="96">
        <f>L336</f>
        <v>30000</v>
      </c>
    </row>
    <row r="336" spans="1:12" ht="55.05" outlineLevel="6" x14ac:dyDescent="0.25">
      <c r="A336" s="81" t="s">
        <v>17</v>
      </c>
      <c r="B336" s="80" t="s">
        <v>500</v>
      </c>
      <c r="C336" s="80" t="s">
        <v>67</v>
      </c>
      <c r="D336" s="80" t="s">
        <v>245</v>
      </c>
      <c r="E336" s="83" t="s">
        <v>18</v>
      </c>
      <c r="F336" s="82">
        <v>30000</v>
      </c>
      <c r="G336" s="82">
        <v>30000</v>
      </c>
      <c r="H336" s="82">
        <v>30000</v>
      </c>
      <c r="I336" s="96">
        <v>30000</v>
      </c>
      <c r="J336" s="129">
        <f t="shared" si="53"/>
        <v>0</v>
      </c>
      <c r="K336" s="129"/>
      <c r="L336" s="96">
        <v>30000</v>
      </c>
    </row>
    <row r="337" spans="1:12" ht="128.4" outlineLevel="7" x14ac:dyDescent="0.25">
      <c r="A337" s="109" t="s">
        <v>428</v>
      </c>
      <c r="B337" s="110" t="s">
        <v>500</v>
      </c>
      <c r="C337" s="110" t="s">
        <v>67</v>
      </c>
      <c r="D337" s="110" t="s">
        <v>363</v>
      </c>
      <c r="E337" s="111" t="s">
        <v>6</v>
      </c>
      <c r="F337" s="85">
        <f>F338</f>
        <v>45000</v>
      </c>
      <c r="G337" s="85">
        <f>G338</f>
        <v>45000</v>
      </c>
      <c r="H337" s="85">
        <f>H338</f>
        <v>45000</v>
      </c>
      <c r="I337" s="112">
        <f>I338</f>
        <v>45000</v>
      </c>
      <c r="J337" s="129">
        <f t="shared" si="53"/>
        <v>0</v>
      </c>
      <c r="K337" s="129"/>
      <c r="L337" s="112">
        <f>L338</f>
        <v>45000</v>
      </c>
    </row>
    <row r="338" spans="1:12" ht="36.700000000000003" outlineLevel="6" x14ac:dyDescent="0.25">
      <c r="A338" s="81" t="s">
        <v>364</v>
      </c>
      <c r="B338" s="80" t="s">
        <v>500</v>
      </c>
      <c r="C338" s="80" t="s">
        <v>67</v>
      </c>
      <c r="D338" s="80" t="s">
        <v>365</v>
      </c>
      <c r="E338" s="83" t="s">
        <v>6</v>
      </c>
      <c r="F338" s="82">
        <f>F340</f>
        <v>45000</v>
      </c>
      <c r="G338" s="82">
        <f>G340</f>
        <v>45000</v>
      </c>
      <c r="H338" s="82">
        <f>H340</f>
        <v>45000</v>
      </c>
      <c r="I338" s="96">
        <f>I340</f>
        <v>45000</v>
      </c>
      <c r="J338" s="129">
        <f t="shared" si="53"/>
        <v>0</v>
      </c>
      <c r="K338" s="129"/>
      <c r="L338" s="96">
        <f>L340</f>
        <v>45000</v>
      </c>
    </row>
    <row r="339" spans="1:12" ht="36.700000000000003" outlineLevel="7" x14ac:dyDescent="0.25">
      <c r="A339" s="81" t="s">
        <v>366</v>
      </c>
      <c r="B339" s="80" t="s">
        <v>500</v>
      </c>
      <c r="C339" s="80" t="s">
        <v>67</v>
      </c>
      <c r="D339" s="80" t="s">
        <v>367</v>
      </c>
      <c r="E339" s="83" t="s">
        <v>6</v>
      </c>
      <c r="F339" s="82">
        <f t="shared" ref="F339:I340" si="69">F340</f>
        <v>45000</v>
      </c>
      <c r="G339" s="82">
        <f t="shared" si="69"/>
        <v>45000</v>
      </c>
      <c r="H339" s="82">
        <f t="shared" si="69"/>
        <v>45000</v>
      </c>
      <c r="I339" s="96">
        <f t="shared" si="69"/>
        <v>45000</v>
      </c>
      <c r="J339" s="129">
        <f t="shared" si="53"/>
        <v>0</v>
      </c>
      <c r="K339" s="129"/>
      <c r="L339" s="96">
        <f>L340</f>
        <v>45000</v>
      </c>
    </row>
    <row r="340" spans="1:12" ht="18.7" customHeight="1" outlineLevel="6" x14ac:dyDescent="0.25">
      <c r="A340" s="81" t="s">
        <v>15</v>
      </c>
      <c r="B340" s="80" t="s">
        <v>500</v>
      </c>
      <c r="C340" s="80" t="s">
        <v>67</v>
      </c>
      <c r="D340" s="80" t="s">
        <v>367</v>
      </c>
      <c r="E340" s="83" t="s">
        <v>16</v>
      </c>
      <c r="F340" s="82">
        <f t="shared" si="69"/>
        <v>45000</v>
      </c>
      <c r="G340" s="82">
        <f t="shared" si="69"/>
        <v>45000</v>
      </c>
      <c r="H340" s="82">
        <f t="shared" si="69"/>
        <v>45000</v>
      </c>
      <c r="I340" s="96">
        <f t="shared" si="69"/>
        <v>45000</v>
      </c>
      <c r="J340" s="129">
        <f t="shared" si="53"/>
        <v>0</v>
      </c>
      <c r="K340" s="129"/>
      <c r="L340" s="96">
        <f>L341</f>
        <v>45000</v>
      </c>
    </row>
    <row r="341" spans="1:12" ht="55.05" outlineLevel="7" x14ac:dyDescent="0.25">
      <c r="A341" s="81" t="s">
        <v>17</v>
      </c>
      <c r="B341" s="80" t="s">
        <v>500</v>
      </c>
      <c r="C341" s="80" t="s">
        <v>67</v>
      </c>
      <c r="D341" s="80" t="s">
        <v>367</v>
      </c>
      <c r="E341" s="83" t="s">
        <v>18</v>
      </c>
      <c r="F341" s="82">
        <v>45000</v>
      </c>
      <c r="G341" s="82">
        <v>45000</v>
      </c>
      <c r="H341" s="98">
        <v>45000</v>
      </c>
      <c r="I341" s="108">
        <v>45000</v>
      </c>
      <c r="J341" s="129">
        <f t="shared" si="53"/>
        <v>0</v>
      </c>
      <c r="K341" s="129"/>
      <c r="L341" s="108">
        <v>45000</v>
      </c>
    </row>
    <row r="342" spans="1:12" outlineLevel="5" x14ac:dyDescent="0.25">
      <c r="A342" s="109" t="s">
        <v>69</v>
      </c>
      <c r="B342" s="110" t="s">
        <v>500</v>
      </c>
      <c r="C342" s="110" t="s">
        <v>70</v>
      </c>
      <c r="D342" s="110" t="s">
        <v>126</v>
      </c>
      <c r="E342" s="111" t="s">
        <v>6</v>
      </c>
      <c r="F342" s="85">
        <f>F343</f>
        <v>16105024.539999999</v>
      </c>
      <c r="G342" s="85">
        <f t="shared" ref="G342:I347" si="70">G343</f>
        <v>12942789.18</v>
      </c>
      <c r="H342" s="85">
        <f t="shared" si="70"/>
        <v>18741462.579999998</v>
      </c>
      <c r="I342" s="112">
        <f t="shared" si="70"/>
        <v>18291462.579999998</v>
      </c>
      <c r="J342" s="129">
        <f t="shared" si="53"/>
        <v>-450000</v>
      </c>
      <c r="K342" s="129"/>
      <c r="L342" s="112">
        <f t="shared" ref="L342:L347" si="71">L343</f>
        <v>18291462.579999998</v>
      </c>
    </row>
    <row r="343" spans="1:12" outlineLevel="6" x14ac:dyDescent="0.25">
      <c r="A343" s="81" t="s">
        <v>257</v>
      </c>
      <c r="B343" s="80" t="s">
        <v>500</v>
      </c>
      <c r="C343" s="80" t="s">
        <v>256</v>
      </c>
      <c r="D343" s="80" t="s">
        <v>126</v>
      </c>
      <c r="E343" s="83" t="s">
        <v>6</v>
      </c>
      <c r="F343" s="82">
        <f>F344</f>
        <v>16105024.539999999</v>
      </c>
      <c r="G343" s="82">
        <f t="shared" si="70"/>
        <v>12942789.18</v>
      </c>
      <c r="H343" s="82">
        <f t="shared" si="70"/>
        <v>18741462.579999998</v>
      </c>
      <c r="I343" s="96">
        <f t="shared" si="70"/>
        <v>18291462.579999998</v>
      </c>
      <c r="J343" s="129">
        <f t="shared" si="53"/>
        <v>-450000</v>
      </c>
      <c r="K343" s="129"/>
      <c r="L343" s="96">
        <f t="shared" si="71"/>
        <v>18291462.579999998</v>
      </c>
    </row>
    <row r="344" spans="1:12" ht="73.400000000000006" outlineLevel="7" x14ac:dyDescent="0.25">
      <c r="A344" s="109" t="s">
        <v>369</v>
      </c>
      <c r="B344" s="110" t="s">
        <v>500</v>
      </c>
      <c r="C344" s="110" t="s">
        <v>256</v>
      </c>
      <c r="D344" s="110" t="s">
        <v>136</v>
      </c>
      <c r="E344" s="111" t="s">
        <v>6</v>
      </c>
      <c r="F344" s="85">
        <f>F345+F349+F353</f>
        <v>16105024.539999999</v>
      </c>
      <c r="G344" s="85">
        <f>G345+G352</f>
        <v>12942789.18</v>
      </c>
      <c r="H344" s="85">
        <f>H345+H352</f>
        <v>18741462.579999998</v>
      </c>
      <c r="I344" s="112">
        <f>I345+I352</f>
        <v>18291462.579999998</v>
      </c>
      <c r="J344" s="129">
        <f t="shared" si="53"/>
        <v>-450000</v>
      </c>
      <c r="K344" s="129"/>
      <c r="L344" s="112">
        <f>L345+L352</f>
        <v>18291462.579999998</v>
      </c>
    </row>
    <row r="345" spans="1:12" ht="55.05" outlineLevel="2" x14ac:dyDescent="0.3">
      <c r="A345" s="123" t="s">
        <v>368</v>
      </c>
      <c r="B345" s="80" t="s">
        <v>500</v>
      </c>
      <c r="C345" s="80" t="s">
        <v>256</v>
      </c>
      <c r="D345" s="80" t="s">
        <v>228</v>
      </c>
      <c r="E345" s="83" t="s">
        <v>6</v>
      </c>
      <c r="F345" s="82">
        <f>F346</f>
        <v>16000000</v>
      </c>
      <c r="G345" s="82">
        <f>G346+G349</f>
        <v>12942789.18</v>
      </c>
      <c r="H345" s="82">
        <f>H346+H349</f>
        <v>18741462.579999998</v>
      </c>
      <c r="I345" s="96">
        <f>I346+I349</f>
        <v>18291462.579999998</v>
      </c>
      <c r="J345" s="129">
        <f t="shared" si="53"/>
        <v>-450000</v>
      </c>
      <c r="K345" s="129"/>
      <c r="L345" s="96">
        <f>L346+L349</f>
        <v>18291462.579999998</v>
      </c>
    </row>
    <row r="346" spans="1:12" ht="73.400000000000006" outlineLevel="4" x14ac:dyDescent="0.25">
      <c r="A346" s="81" t="s">
        <v>73</v>
      </c>
      <c r="B346" s="80" t="s">
        <v>500</v>
      </c>
      <c r="C346" s="80" t="s">
        <v>256</v>
      </c>
      <c r="D346" s="80" t="s">
        <v>137</v>
      </c>
      <c r="E346" s="83" t="s">
        <v>6</v>
      </c>
      <c r="F346" s="82">
        <f>F347</f>
        <v>16000000</v>
      </c>
      <c r="G346" s="82">
        <f t="shared" si="70"/>
        <v>12844429.18</v>
      </c>
      <c r="H346" s="82">
        <f t="shared" si="70"/>
        <v>18643102.579999998</v>
      </c>
      <c r="I346" s="96">
        <f t="shared" si="70"/>
        <v>18193102.579999998</v>
      </c>
      <c r="J346" s="129">
        <f t="shared" si="53"/>
        <v>-450000</v>
      </c>
      <c r="K346" s="129"/>
      <c r="L346" s="96">
        <f t="shared" si="71"/>
        <v>18193102.579999998</v>
      </c>
    </row>
    <row r="347" spans="1:12" ht="55.05" outlineLevel="5" x14ac:dyDescent="0.25">
      <c r="A347" s="81" t="s">
        <v>37</v>
      </c>
      <c r="B347" s="80" t="s">
        <v>500</v>
      </c>
      <c r="C347" s="80" t="s">
        <v>256</v>
      </c>
      <c r="D347" s="80" t="s">
        <v>137</v>
      </c>
      <c r="E347" s="83" t="s">
        <v>38</v>
      </c>
      <c r="F347" s="82">
        <f>F348</f>
        <v>16000000</v>
      </c>
      <c r="G347" s="82">
        <f t="shared" si="70"/>
        <v>12844429.18</v>
      </c>
      <c r="H347" s="82">
        <f t="shared" si="70"/>
        <v>18643102.579999998</v>
      </c>
      <c r="I347" s="96">
        <f t="shared" si="70"/>
        <v>18193102.579999998</v>
      </c>
      <c r="J347" s="129">
        <f t="shared" si="53"/>
        <v>-450000</v>
      </c>
      <c r="K347" s="129"/>
      <c r="L347" s="96">
        <f t="shared" si="71"/>
        <v>18193102.579999998</v>
      </c>
    </row>
    <row r="348" spans="1:12" outlineLevel="6" x14ac:dyDescent="0.3">
      <c r="A348" s="123" t="s">
        <v>74</v>
      </c>
      <c r="B348" s="80" t="s">
        <v>500</v>
      </c>
      <c r="C348" s="80" t="s">
        <v>256</v>
      </c>
      <c r="D348" s="80" t="s">
        <v>137</v>
      </c>
      <c r="E348" s="83" t="s">
        <v>75</v>
      </c>
      <c r="F348" s="82">
        <v>16000000</v>
      </c>
      <c r="G348" s="82">
        <v>12844429.18</v>
      </c>
      <c r="H348" s="82">
        <v>18643102.579999998</v>
      </c>
      <c r="I348" s="96">
        <f>18643102.58-450000</f>
        <v>18193102.579999998</v>
      </c>
      <c r="J348" s="129">
        <f t="shared" si="53"/>
        <v>-450000</v>
      </c>
      <c r="K348" s="129"/>
      <c r="L348" s="96">
        <f>18643102.58-450000</f>
        <v>18193102.579999998</v>
      </c>
    </row>
    <row r="349" spans="1:12" ht="81.7" customHeight="1" outlineLevel="6" x14ac:dyDescent="0.3">
      <c r="A349" s="123" t="s">
        <v>710</v>
      </c>
      <c r="B349" s="80" t="s">
        <v>500</v>
      </c>
      <c r="C349" s="80" t="s">
        <v>256</v>
      </c>
      <c r="D349" s="80" t="s">
        <v>711</v>
      </c>
      <c r="E349" s="83" t="s">
        <v>6</v>
      </c>
      <c r="F349" s="83"/>
      <c r="G349" s="82">
        <f t="shared" ref="G349:I350" si="72">G350</f>
        <v>98360</v>
      </c>
      <c r="H349" s="82">
        <f t="shared" si="72"/>
        <v>98360</v>
      </c>
      <c r="I349" s="96">
        <f>I350</f>
        <v>98360</v>
      </c>
      <c r="J349" s="129">
        <f t="shared" si="53"/>
        <v>0</v>
      </c>
      <c r="K349" s="129"/>
      <c r="L349" s="96">
        <f>L350</f>
        <v>98360</v>
      </c>
    </row>
    <row r="350" spans="1:12" ht="55.05" outlineLevel="6" x14ac:dyDescent="0.25">
      <c r="A350" s="81" t="s">
        <v>37</v>
      </c>
      <c r="B350" s="80" t="s">
        <v>500</v>
      </c>
      <c r="C350" s="80" t="s">
        <v>256</v>
      </c>
      <c r="D350" s="80" t="s">
        <v>711</v>
      </c>
      <c r="E350" s="83" t="s">
        <v>38</v>
      </c>
      <c r="F350" s="83"/>
      <c r="G350" s="82">
        <f t="shared" si="72"/>
        <v>98360</v>
      </c>
      <c r="H350" s="82">
        <f t="shared" si="72"/>
        <v>98360</v>
      </c>
      <c r="I350" s="96">
        <f t="shared" si="72"/>
        <v>98360</v>
      </c>
      <c r="J350" s="129">
        <f t="shared" si="53"/>
        <v>0</v>
      </c>
      <c r="K350" s="129"/>
      <c r="L350" s="96">
        <f>L351</f>
        <v>98360</v>
      </c>
    </row>
    <row r="351" spans="1:12" outlineLevel="6" x14ac:dyDescent="0.3">
      <c r="A351" s="123" t="s">
        <v>74</v>
      </c>
      <c r="B351" s="80" t="s">
        <v>500</v>
      </c>
      <c r="C351" s="80" t="s">
        <v>256</v>
      </c>
      <c r="D351" s="80" t="s">
        <v>711</v>
      </c>
      <c r="E351" s="83" t="s">
        <v>75</v>
      </c>
      <c r="F351" s="83"/>
      <c r="G351" s="82">
        <v>98360</v>
      </c>
      <c r="H351" s="82">
        <v>98360</v>
      </c>
      <c r="I351" s="96">
        <v>98360</v>
      </c>
      <c r="J351" s="129">
        <f t="shared" ref="J351:J414" si="73">I351-H351</f>
        <v>0</v>
      </c>
      <c r="K351" s="129"/>
      <c r="L351" s="96">
        <v>98360</v>
      </c>
    </row>
    <row r="352" spans="1:12" ht="36.700000000000003" outlineLevel="6" x14ac:dyDescent="0.25">
      <c r="A352" s="121" t="s">
        <v>597</v>
      </c>
      <c r="B352" s="110" t="s">
        <v>500</v>
      </c>
      <c r="C352" s="110" t="s">
        <v>256</v>
      </c>
      <c r="D352" s="110" t="s">
        <v>598</v>
      </c>
      <c r="E352" s="111" t="s">
        <v>6</v>
      </c>
      <c r="F352" s="111"/>
      <c r="G352" s="82">
        <f t="shared" ref="G352:I354" si="74">G353</f>
        <v>0</v>
      </c>
      <c r="H352" s="82">
        <f t="shared" si="74"/>
        <v>0</v>
      </c>
      <c r="I352" s="96">
        <f t="shared" si="74"/>
        <v>0</v>
      </c>
      <c r="J352" s="129">
        <f t="shared" si="73"/>
        <v>0</v>
      </c>
      <c r="K352" s="129"/>
      <c r="L352" s="96">
        <f>L353</f>
        <v>0</v>
      </c>
    </row>
    <row r="353" spans="1:12" ht="110.05" outlineLevel="6" x14ac:dyDescent="0.25">
      <c r="A353" s="81" t="s">
        <v>520</v>
      </c>
      <c r="B353" s="80" t="s">
        <v>500</v>
      </c>
      <c r="C353" s="80" t="s">
        <v>256</v>
      </c>
      <c r="D353" s="80" t="s">
        <v>521</v>
      </c>
      <c r="E353" s="80" t="s">
        <v>6</v>
      </c>
      <c r="F353" s="82">
        <f>F354</f>
        <v>105024.54</v>
      </c>
      <c r="G353" s="82">
        <f t="shared" si="74"/>
        <v>0</v>
      </c>
      <c r="H353" s="82">
        <f t="shared" si="74"/>
        <v>0</v>
      </c>
      <c r="I353" s="96">
        <f t="shared" si="74"/>
        <v>0</v>
      </c>
      <c r="J353" s="129">
        <f t="shared" si="73"/>
        <v>0</v>
      </c>
      <c r="K353" s="129"/>
      <c r="L353" s="96">
        <f>L354</f>
        <v>0</v>
      </c>
    </row>
    <row r="354" spans="1:12" ht="55.05" outlineLevel="6" x14ac:dyDescent="0.25">
      <c r="A354" s="81" t="s">
        <v>37</v>
      </c>
      <c r="B354" s="80" t="s">
        <v>500</v>
      </c>
      <c r="C354" s="80" t="s">
        <v>256</v>
      </c>
      <c r="D354" s="80" t="s">
        <v>521</v>
      </c>
      <c r="E354" s="80" t="s">
        <v>38</v>
      </c>
      <c r="F354" s="82">
        <f>F355</f>
        <v>105024.54</v>
      </c>
      <c r="G354" s="82">
        <f t="shared" si="74"/>
        <v>0</v>
      </c>
      <c r="H354" s="82">
        <f t="shared" si="74"/>
        <v>0</v>
      </c>
      <c r="I354" s="96">
        <f t="shared" si="74"/>
        <v>0</v>
      </c>
      <c r="J354" s="129">
        <f t="shared" si="73"/>
        <v>0</v>
      </c>
      <c r="K354" s="129"/>
      <c r="L354" s="96">
        <f>L355</f>
        <v>0</v>
      </c>
    </row>
    <row r="355" spans="1:12" outlineLevel="6" x14ac:dyDescent="0.25">
      <c r="A355" s="81" t="s">
        <v>74</v>
      </c>
      <c r="B355" s="80" t="s">
        <v>500</v>
      </c>
      <c r="C355" s="80" t="s">
        <v>256</v>
      </c>
      <c r="D355" s="80" t="s">
        <v>521</v>
      </c>
      <c r="E355" s="80" t="s">
        <v>75</v>
      </c>
      <c r="F355" s="82">
        <v>105024.54</v>
      </c>
      <c r="G355" s="82">
        <v>0</v>
      </c>
      <c r="H355" s="82">
        <v>0</v>
      </c>
      <c r="I355" s="96"/>
      <c r="J355" s="129">
        <f t="shared" si="73"/>
        <v>0</v>
      </c>
      <c r="K355" s="129"/>
      <c r="L355" s="96"/>
    </row>
    <row r="356" spans="1:12" outlineLevel="7" x14ac:dyDescent="0.25">
      <c r="A356" s="109" t="s">
        <v>79</v>
      </c>
      <c r="B356" s="110" t="s">
        <v>500</v>
      </c>
      <c r="C356" s="110" t="s">
        <v>80</v>
      </c>
      <c r="D356" s="110" t="s">
        <v>126</v>
      </c>
      <c r="E356" s="111" t="s">
        <v>6</v>
      </c>
      <c r="F356" s="85">
        <f>F357+F378+F381</f>
        <v>35763006.280000001</v>
      </c>
      <c r="G356" s="85">
        <f>G357+G378+G381</f>
        <v>25799948.490000002</v>
      </c>
      <c r="H356" s="85">
        <f>H357+H381</f>
        <v>33962060.940000005</v>
      </c>
      <c r="I356" s="85">
        <f>I357+I381</f>
        <v>34062060.940000005</v>
      </c>
      <c r="J356" s="129">
        <f t="shared" si="73"/>
        <v>100000</v>
      </c>
      <c r="K356" s="129"/>
      <c r="L356" s="85">
        <f>L357+L381</f>
        <v>34522060.940000005</v>
      </c>
    </row>
    <row r="357" spans="1:12" outlineLevel="2" x14ac:dyDescent="0.25">
      <c r="A357" s="81" t="s">
        <v>81</v>
      </c>
      <c r="B357" s="80" t="s">
        <v>500</v>
      </c>
      <c r="C357" s="80" t="s">
        <v>82</v>
      </c>
      <c r="D357" s="80" t="s">
        <v>126</v>
      </c>
      <c r="E357" s="83" t="s">
        <v>6</v>
      </c>
      <c r="F357" s="82">
        <f>F358</f>
        <v>33612506.280000001</v>
      </c>
      <c r="G357" s="82">
        <f>G358</f>
        <v>25128948.490000002</v>
      </c>
      <c r="H357" s="82">
        <f>H358</f>
        <v>33759913.550000004</v>
      </c>
      <c r="I357" s="96">
        <f>I358</f>
        <v>33859913.550000004</v>
      </c>
      <c r="J357" s="129">
        <f t="shared" si="73"/>
        <v>100000</v>
      </c>
      <c r="K357" s="129"/>
      <c r="L357" s="96">
        <f>L358</f>
        <v>34319913.550000004</v>
      </c>
    </row>
    <row r="358" spans="1:12" ht="73.400000000000006" outlineLevel="3" x14ac:dyDescent="0.25">
      <c r="A358" s="109" t="s">
        <v>369</v>
      </c>
      <c r="B358" s="110" t="s">
        <v>500</v>
      </c>
      <c r="C358" s="110" t="s">
        <v>82</v>
      </c>
      <c r="D358" s="110" t="s">
        <v>136</v>
      </c>
      <c r="E358" s="111" t="s">
        <v>6</v>
      </c>
      <c r="F358" s="85">
        <f>F359+F373+F363</f>
        <v>33612506.280000001</v>
      </c>
      <c r="G358" s="85">
        <f>G359+G376+G363</f>
        <v>25128948.490000002</v>
      </c>
      <c r="H358" s="85">
        <f>H359+H376+H363</f>
        <v>33759913.550000004</v>
      </c>
      <c r="I358" s="112">
        <f>I359+I376+I363</f>
        <v>33859913.550000004</v>
      </c>
      <c r="J358" s="129">
        <f t="shared" si="73"/>
        <v>100000</v>
      </c>
      <c r="K358" s="129"/>
      <c r="L358" s="112">
        <f>L359+L376+L363</f>
        <v>34319913.550000004</v>
      </c>
    </row>
    <row r="359" spans="1:12" ht="55.05" outlineLevel="4" x14ac:dyDescent="0.25">
      <c r="A359" s="81" t="s">
        <v>370</v>
      </c>
      <c r="B359" s="80" t="s">
        <v>500</v>
      </c>
      <c r="C359" s="80" t="s">
        <v>82</v>
      </c>
      <c r="D359" s="80" t="s">
        <v>227</v>
      </c>
      <c r="E359" s="83" t="s">
        <v>6</v>
      </c>
      <c r="F359" s="82">
        <f>F370+F367+F360</f>
        <v>8599942.8900000006</v>
      </c>
      <c r="G359" s="82">
        <f>G373+G370+G360</f>
        <v>7913005</v>
      </c>
      <c r="H359" s="82">
        <f>H373+H370+H360</f>
        <v>9234070.6100000013</v>
      </c>
      <c r="I359" s="96">
        <f>I373+I370+I360</f>
        <v>9334070.6100000013</v>
      </c>
      <c r="J359" s="129">
        <f t="shared" si="73"/>
        <v>100000</v>
      </c>
      <c r="K359" s="129"/>
      <c r="L359" s="96">
        <f>L373+L370+L360</f>
        <v>9334070.6100000013</v>
      </c>
    </row>
    <row r="360" spans="1:12" ht="55.05" outlineLevel="7" x14ac:dyDescent="0.25">
      <c r="A360" s="25" t="s">
        <v>84</v>
      </c>
      <c r="B360" s="80" t="s">
        <v>500</v>
      </c>
      <c r="C360" s="80" t="s">
        <v>82</v>
      </c>
      <c r="D360" s="80" t="s">
        <v>141</v>
      </c>
      <c r="E360" s="83" t="s">
        <v>6</v>
      </c>
      <c r="F360" s="82">
        <f>F361</f>
        <v>8373500</v>
      </c>
      <c r="G360" s="82">
        <f t="shared" ref="G360:I361" si="75">G361</f>
        <v>7740500</v>
      </c>
      <c r="H360" s="82">
        <f t="shared" si="75"/>
        <v>9229030.4600000009</v>
      </c>
      <c r="I360" s="96">
        <f t="shared" si="75"/>
        <v>9329030.4600000009</v>
      </c>
      <c r="J360" s="129">
        <f t="shared" si="73"/>
        <v>100000</v>
      </c>
      <c r="K360" s="129"/>
      <c r="L360" s="96">
        <f>L361</f>
        <v>9329030.4600000009</v>
      </c>
    </row>
    <row r="361" spans="1:12" ht="55.05" outlineLevel="7" x14ac:dyDescent="0.25">
      <c r="A361" s="81" t="s">
        <v>37</v>
      </c>
      <c r="B361" s="80" t="s">
        <v>500</v>
      </c>
      <c r="C361" s="80" t="s">
        <v>82</v>
      </c>
      <c r="D361" s="80" t="s">
        <v>141</v>
      </c>
      <c r="E361" s="83" t="s">
        <v>38</v>
      </c>
      <c r="F361" s="82">
        <f>F362</f>
        <v>8373500</v>
      </c>
      <c r="G361" s="82">
        <f t="shared" si="75"/>
        <v>7740500</v>
      </c>
      <c r="H361" s="82">
        <f t="shared" si="75"/>
        <v>9229030.4600000009</v>
      </c>
      <c r="I361" s="96">
        <f t="shared" si="75"/>
        <v>9329030.4600000009</v>
      </c>
      <c r="J361" s="129">
        <f t="shared" si="73"/>
        <v>100000</v>
      </c>
      <c r="K361" s="129"/>
      <c r="L361" s="96">
        <f>L362</f>
        <v>9329030.4600000009</v>
      </c>
    </row>
    <row r="362" spans="1:12" outlineLevel="7" x14ac:dyDescent="0.25">
      <c r="A362" s="81" t="s">
        <v>74</v>
      </c>
      <c r="B362" s="80" t="s">
        <v>500</v>
      </c>
      <c r="C362" s="80" t="s">
        <v>82</v>
      </c>
      <c r="D362" s="80" t="s">
        <v>141</v>
      </c>
      <c r="E362" s="83" t="s">
        <v>75</v>
      </c>
      <c r="F362" s="82">
        <v>8373500</v>
      </c>
      <c r="G362" s="82">
        <v>7740500</v>
      </c>
      <c r="H362" s="131">
        <v>9229030.4600000009</v>
      </c>
      <c r="I362" s="117">
        <f>9229030.46+100000</f>
        <v>9329030.4600000009</v>
      </c>
      <c r="J362" s="129">
        <f t="shared" si="73"/>
        <v>100000</v>
      </c>
      <c r="K362" s="129"/>
      <c r="L362" s="117">
        <f>9229030.46+100000</f>
        <v>9329030.4600000009</v>
      </c>
    </row>
    <row r="363" spans="1:12" ht="36.700000000000003" outlineLevel="7" x14ac:dyDescent="0.25">
      <c r="A363" s="81" t="s">
        <v>678</v>
      </c>
      <c r="B363" s="80" t="s">
        <v>500</v>
      </c>
      <c r="C363" s="80" t="s">
        <v>82</v>
      </c>
      <c r="D363" s="80" t="s">
        <v>677</v>
      </c>
      <c r="E363" s="83" t="s">
        <v>6</v>
      </c>
      <c r="F363" s="82">
        <f>F364</f>
        <v>25005560</v>
      </c>
      <c r="G363" s="82">
        <f>G364+G367</f>
        <v>16544943.49</v>
      </c>
      <c r="H363" s="82">
        <f>H364+H367</f>
        <v>23779342.940000001</v>
      </c>
      <c r="I363" s="96">
        <f>I364+I367</f>
        <v>23779342.940000001</v>
      </c>
      <c r="J363" s="129">
        <f t="shared" si="73"/>
        <v>0</v>
      </c>
      <c r="K363" s="129"/>
      <c r="L363" s="96">
        <f>L364+L367</f>
        <v>24239342.940000001</v>
      </c>
    </row>
    <row r="364" spans="1:12" ht="55.05" outlineLevel="7" x14ac:dyDescent="0.25">
      <c r="A364" s="25" t="s">
        <v>84</v>
      </c>
      <c r="B364" s="80" t="s">
        <v>500</v>
      </c>
      <c r="C364" s="80" t="s">
        <v>82</v>
      </c>
      <c r="D364" s="80" t="s">
        <v>676</v>
      </c>
      <c r="E364" s="83" t="s">
        <v>6</v>
      </c>
      <c r="F364" s="82">
        <f>F365</f>
        <v>25005560</v>
      </c>
      <c r="G364" s="82">
        <f t="shared" ref="G364:I365" si="76">G365</f>
        <v>16544943.49</v>
      </c>
      <c r="H364" s="82">
        <f t="shared" si="76"/>
        <v>23779342.940000001</v>
      </c>
      <c r="I364" s="96">
        <f t="shared" si="76"/>
        <v>23779342.940000001</v>
      </c>
      <c r="J364" s="129">
        <f t="shared" si="73"/>
        <v>0</v>
      </c>
      <c r="K364" s="129"/>
      <c r="L364" s="96">
        <f>L365</f>
        <v>24239342.940000001</v>
      </c>
    </row>
    <row r="365" spans="1:12" ht="55.05" outlineLevel="7" x14ac:dyDescent="0.25">
      <c r="A365" s="81" t="s">
        <v>37</v>
      </c>
      <c r="B365" s="80" t="s">
        <v>500</v>
      </c>
      <c r="C365" s="80" t="s">
        <v>82</v>
      </c>
      <c r="D365" s="80" t="s">
        <v>676</v>
      </c>
      <c r="E365" s="83" t="s">
        <v>38</v>
      </c>
      <c r="F365" s="82">
        <f>F366</f>
        <v>25005560</v>
      </c>
      <c r="G365" s="82">
        <f t="shared" si="76"/>
        <v>16544943.49</v>
      </c>
      <c r="H365" s="82">
        <f t="shared" si="76"/>
        <v>23779342.940000001</v>
      </c>
      <c r="I365" s="96">
        <f t="shared" si="76"/>
        <v>23779342.940000001</v>
      </c>
      <c r="J365" s="129">
        <f t="shared" si="73"/>
        <v>0</v>
      </c>
      <c r="K365" s="129"/>
      <c r="L365" s="96">
        <f>L366</f>
        <v>24239342.940000001</v>
      </c>
    </row>
    <row r="366" spans="1:12" outlineLevel="7" x14ac:dyDescent="0.25">
      <c r="A366" s="81" t="s">
        <v>74</v>
      </c>
      <c r="B366" s="80" t="s">
        <v>500</v>
      </c>
      <c r="C366" s="80" t="s">
        <v>82</v>
      </c>
      <c r="D366" s="80" t="s">
        <v>676</v>
      </c>
      <c r="E366" s="83" t="s">
        <v>75</v>
      </c>
      <c r="F366" s="82">
        <v>25005560</v>
      </c>
      <c r="G366" s="82">
        <f>16530943.49+14000</f>
        <v>16544943.49</v>
      </c>
      <c r="H366" s="131">
        <v>23779342.940000001</v>
      </c>
      <c r="I366" s="117">
        <v>23779342.940000001</v>
      </c>
      <c r="J366" s="129">
        <f t="shared" si="73"/>
        <v>0</v>
      </c>
      <c r="K366" s="129">
        <v>460000</v>
      </c>
      <c r="L366" s="117">
        <f>23779342.94+460000</f>
        <v>24239342.940000001</v>
      </c>
    </row>
    <row r="367" spans="1:12" ht="128.4" outlineLevel="7" x14ac:dyDescent="0.3">
      <c r="A367" s="123" t="s">
        <v>710</v>
      </c>
      <c r="B367" s="80" t="s">
        <v>500</v>
      </c>
      <c r="C367" s="80" t="s">
        <v>82</v>
      </c>
      <c r="D367" s="80" t="s">
        <v>712</v>
      </c>
      <c r="E367" s="83" t="s">
        <v>6</v>
      </c>
      <c r="F367" s="83"/>
      <c r="G367" s="82">
        <f t="shared" ref="G367:I368" si="77">G368</f>
        <v>0</v>
      </c>
      <c r="H367" s="82">
        <f t="shared" si="77"/>
        <v>0</v>
      </c>
      <c r="I367" s="96">
        <f t="shared" si="77"/>
        <v>0</v>
      </c>
      <c r="J367" s="129">
        <f t="shared" si="73"/>
        <v>0</v>
      </c>
      <c r="K367" s="129"/>
      <c r="L367" s="96">
        <f>L368</f>
        <v>0</v>
      </c>
    </row>
    <row r="368" spans="1:12" ht="55.05" outlineLevel="7" x14ac:dyDescent="0.25">
      <c r="A368" s="81" t="s">
        <v>37</v>
      </c>
      <c r="B368" s="80" t="s">
        <v>500</v>
      </c>
      <c r="C368" s="80" t="s">
        <v>82</v>
      </c>
      <c r="D368" s="80" t="s">
        <v>712</v>
      </c>
      <c r="E368" s="83" t="s">
        <v>38</v>
      </c>
      <c r="F368" s="83"/>
      <c r="G368" s="82">
        <f t="shared" si="77"/>
        <v>0</v>
      </c>
      <c r="H368" s="82">
        <f t="shared" si="77"/>
        <v>0</v>
      </c>
      <c r="I368" s="96">
        <f t="shared" si="77"/>
        <v>0</v>
      </c>
      <c r="J368" s="129">
        <f t="shared" si="73"/>
        <v>0</v>
      </c>
      <c r="K368" s="129"/>
      <c r="L368" s="96">
        <f>L369</f>
        <v>0</v>
      </c>
    </row>
    <row r="369" spans="1:12" outlineLevel="7" x14ac:dyDescent="0.3">
      <c r="A369" s="123" t="s">
        <v>74</v>
      </c>
      <c r="B369" s="80" t="s">
        <v>500</v>
      </c>
      <c r="C369" s="80" t="s">
        <v>82</v>
      </c>
      <c r="D369" s="80" t="s">
        <v>712</v>
      </c>
      <c r="E369" s="83" t="s">
        <v>75</v>
      </c>
      <c r="F369" s="83"/>
      <c r="G369" s="82">
        <v>0</v>
      </c>
      <c r="H369" s="131">
        <v>0</v>
      </c>
      <c r="I369" s="117"/>
      <c r="J369" s="129">
        <f t="shared" si="73"/>
        <v>0</v>
      </c>
      <c r="K369" s="129"/>
      <c r="L369" s="117"/>
    </row>
    <row r="370" spans="1:12" ht="110.05" outlineLevel="7" x14ac:dyDescent="0.25">
      <c r="A370" s="100" t="s">
        <v>393</v>
      </c>
      <c r="B370" s="80" t="s">
        <v>500</v>
      </c>
      <c r="C370" s="80" t="s">
        <v>82</v>
      </c>
      <c r="D370" s="80" t="s">
        <v>294</v>
      </c>
      <c r="E370" s="83" t="s">
        <v>6</v>
      </c>
      <c r="F370" s="82">
        <f>F371</f>
        <v>226442.89</v>
      </c>
      <c r="G370" s="82">
        <f t="shared" ref="G370:I371" si="78">G371</f>
        <v>168005</v>
      </c>
      <c r="H370" s="82">
        <f t="shared" si="78"/>
        <v>0</v>
      </c>
      <c r="I370" s="96">
        <f t="shared" si="78"/>
        <v>0</v>
      </c>
      <c r="J370" s="129">
        <f t="shared" si="73"/>
        <v>0</v>
      </c>
      <c r="K370" s="129"/>
      <c r="L370" s="96">
        <f>L371</f>
        <v>0</v>
      </c>
    </row>
    <row r="371" spans="1:12" ht="55.05" outlineLevel="7" x14ac:dyDescent="0.25">
      <c r="A371" s="81" t="s">
        <v>37</v>
      </c>
      <c r="B371" s="80" t="s">
        <v>500</v>
      </c>
      <c r="C371" s="80" t="s">
        <v>82</v>
      </c>
      <c r="D371" s="80" t="s">
        <v>294</v>
      </c>
      <c r="E371" s="83" t="s">
        <v>38</v>
      </c>
      <c r="F371" s="82">
        <f>F372</f>
        <v>226442.89</v>
      </c>
      <c r="G371" s="82">
        <f t="shared" si="78"/>
        <v>168005</v>
      </c>
      <c r="H371" s="82">
        <f t="shared" si="78"/>
        <v>0</v>
      </c>
      <c r="I371" s="96">
        <f t="shared" si="78"/>
        <v>0</v>
      </c>
      <c r="J371" s="129">
        <f t="shared" si="73"/>
        <v>0</v>
      </c>
      <c r="K371" s="129"/>
      <c r="L371" s="96">
        <f>L372</f>
        <v>0</v>
      </c>
    </row>
    <row r="372" spans="1:12" outlineLevel="7" x14ac:dyDescent="0.25">
      <c r="A372" s="81" t="s">
        <v>74</v>
      </c>
      <c r="B372" s="80" t="s">
        <v>500</v>
      </c>
      <c r="C372" s="80" t="s">
        <v>82</v>
      </c>
      <c r="D372" s="80" t="s">
        <v>294</v>
      </c>
      <c r="E372" s="83" t="s">
        <v>75</v>
      </c>
      <c r="F372" s="82">
        <v>226442.89</v>
      </c>
      <c r="G372" s="82">
        <v>168005</v>
      </c>
      <c r="H372" s="131"/>
      <c r="I372" s="117"/>
      <c r="J372" s="129">
        <f t="shared" si="73"/>
        <v>0</v>
      </c>
      <c r="K372" s="129"/>
      <c r="L372" s="117"/>
    </row>
    <row r="373" spans="1:12" ht="91.7" outlineLevel="5" x14ac:dyDescent="0.25">
      <c r="A373" s="81" t="s">
        <v>307</v>
      </c>
      <c r="B373" s="80" t="s">
        <v>500</v>
      </c>
      <c r="C373" s="80" t="s">
        <v>82</v>
      </c>
      <c r="D373" s="80" t="s">
        <v>308</v>
      </c>
      <c r="E373" s="83" t="s">
        <v>6</v>
      </c>
      <c r="F373" s="82">
        <f>F374</f>
        <v>7003.39</v>
      </c>
      <c r="G373" s="82">
        <f t="shared" ref="G373:I374" si="79">G374</f>
        <v>4500</v>
      </c>
      <c r="H373" s="82">
        <f t="shared" si="79"/>
        <v>5040.1499999999996</v>
      </c>
      <c r="I373" s="96">
        <f t="shared" si="79"/>
        <v>5040.1499999999996</v>
      </c>
      <c r="J373" s="129">
        <f t="shared" si="73"/>
        <v>0</v>
      </c>
      <c r="K373" s="129"/>
      <c r="L373" s="96">
        <f>L374</f>
        <v>5040.1499999999996</v>
      </c>
    </row>
    <row r="374" spans="1:12" ht="55.05" outlineLevel="6" x14ac:dyDescent="0.25">
      <c r="A374" s="81" t="s">
        <v>37</v>
      </c>
      <c r="B374" s="80" t="s">
        <v>500</v>
      </c>
      <c r="C374" s="80" t="s">
        <v>82</v>
      </c>
      <c r="D374" s="80" t="s">
        <v>308</v>
      </c>
      <c r="E374" s="83" t="s">
        <v>38</v>
      </c>
      <c r="F374" s="82">
        <f>F375</f>
        <v>7003.39</v>
      </c>
      <c r="G374" s="82">
        <f t="shared" si="79"/>
        <v>4500</v>
      </c>
      <c r="H374" s="82">
        <f t="shared" si="79"/>
        <v>5040.1499999999996</v>
      </c>
      <c r="I374" s="96">
        <f t="shared" si="79"/>
        <v>5040.1499999999996</v>
      </c>
      <c r="J374" s="129">
        <f t="shared" si="73"/>
        <v>0</v>
      </c>
      <c r="K374" s="129"/>
      <c r="L374" s="96">
        <f>L375</f>
        <v>5040.1499999999996</v>
      </c>
    </row>
    <row r="375" spans="1:12" outlineLevel="7" x14ac:dyDescent="0.25">
      <c r="A375" s="81" t="s">
        <v>74</v>
      </c>
      <c r="B375" s="80" t="s">
        <v>500</v>
      </c>
      <c r="C375" s="80" t="s">
        <v>82</v>
      </c>
      <c r="D375" s="80" t="s">
        <v>308</v>
      </c>
      <c r="E375" s="83" t="s">
        <v>75</v>
      </c>
      <c r="F375" s="82">
        <v>7003.39</v>
      </c>
      <c r="G375" s="82">
        <v>4500</v>
      </c>
      <c r="H375" s="98">
        <v>5040.1499999999996</v>
      </c>
      <c r="I375" s="108">
        <v>5040.1499999999996</v>
      </c>
      <c r="J375" s="129">
        <f t="shared" si="73"/>
        <v>0</v>
      </c>
      <c r="K375" s="129"/>
      <c r="L375" s="108">
        <v>5040.1499999999996</v>
      </c>
    </row>
    <row r="376" spans="1:12" ht="36.700000000000003" outlineLevel="2" x14ac:dyDescent="0.25">
      <c r="A376" s="81" t="s">
        <v>211</v>
      </c>
      <c r="B376" s="80" t="s">
        <v>500</v>
      </c>
      <c r="C376" s="80" t="s">
        <v>82</v>
      </c>
      <c r="D376" s="80" t="s">
        <v>229</v>
      </c>
      <c r="E376" s="83" t="s">
        <v>6</v>
      </c>
      <c r="F376" s="98">
        <f>F377</f>
        <v>1970500</v>
      </c>
      <c r="G376" s="98">
        <f t="shared" ref="G376:I377" si="80">G377</f>
        <v>671000</v>
      </c>
      <c r="H376" s="98">
        <f t="shared" si="80"/>
        <v>746500</v>
      </c>
      <c r="I376" s="108">
        <f t="shared" si="80"/>
        <v>746500</v>
      </c>
      <c r="J376" s="129">
        <f t="shared" si="73"/>
        <v>0</v>
      </c>
      <c r="K376" s="129"/>
      <c r="L376" s="108">
        <f>L377</f>
        <v>746500</v>
      </c>
    </row>
    <row r="377" spans="1:12" ht="36.700000000000003" outlineLevel="3" x14ac:dyDescent="0.25">
      <c r="A377" s="81" t="s">
        <v>83</v>
      </c>
      <c r="B377" s="80" t="s">
        <v>500</v>
      </c>
      <c r="C377" s="80" t="s">
        <v>82</v>
      </c>
      <c r="D377" s="80" t="s">
        <v>140</v>
      </c>
      <c r="E377" s="83" t="s">
        <v>6</v>
      </c>
      <c r="F377" s="82">
        <f>F378</f>
        <v>1970500</v>
      </c>
      <c r="G377" s="82">
        <f t="shared" si="80"/>
        <v>671000</v>
      </c>
      <c r="H377" s="82">
        <f t="shared" si="80"/>
        <v>746500</v>
      </c>
      <c r="I377" s="96">
        <f t="shared" si="80"/>
        <v>746500</v>
      </c>
      <c r="J377" s="129">
        <f t="shared" si="73"/>
        <v>0</v>
      </c>
      <c r="K377" s="129"/>
      <c r="L377" s="96">
        <f>L378</f>
        <v>746500</v>
      </c>
    </row>
    <row r="378" spans="1:12" ht="55.05" outlineLevel="4" x14ac:dyDescent="0.25">
      <c r="A378" s="81" t="s">
        <v>37</v>
      </c>
      <c r="B378" s="80" t="s">
        <v>500</v>
      </c>
      <c r="C378" s="80" t="s">
        <v>82</v>
      </c>
      <c r="D378" s="80" t="s">
        <v>140</v>
      </c>
      <c r="E378" s="83" t="s">
        <v>38</v>
      </c>
      <c r="F378" s="82">
        <f>F379+F380</f>
        <v>1970500</v>
      </c>
      <c r="G378" s="82">
        <f>G379+G380</f>
        <v>671000</v>
      </c>
      <c r="H378" s="82">
        <f>H379+H380</f>
        <v>746500</v>
      </c>
      <c r="I378" s="96">
        <f>I379+I380</f>
        <v>746500</v>
      </c>
      <c r="J378" s="129">
        <f t="shared" si="73"/>
        <v>0</v>
      </c>
      <c r="K378" s="129"/>
      <c r="L378" s="96">
        <f>L379+L380</f>
        <v>746500</v>
      </c>
    </row>
    <row r="379" spans="1:12" outlineLevel="5" x14ac:dyDescent="0.25">
      <c r="A379" s="81" t="s">
        <v>74</v>
      </c>
      <c r="B379" s="80" t="s">
        <v>500</v>
      </c>
      <c r="C379" s="80" t="s">
        <v>82</v>
      </c>
      <c r="D379" s="80" t="s">
        <v>140</v>
      </c>
      <c r="E379" s="83" t="s">
        <v>75</v>
      </c>
      <c r="F379" s="82">
        <v>1856500</v>
      </c>
      <c r="G379" s="82">
        <v>557000</v>
      </c>
      <c r="H379" s="82">
        <v>632500</v>
      </c>
      <c r="I379" s="96">
        <v>632500</v>
      </c>
      <c r="J379" s="129">
        <f t="shared" si="73"/>
        <v>0</v>
      </c>
      <c r="K379" s="129"/>
      <c r="L379" s="96">
        <v>632500</v>
      </c>
    </row>
    <row r="380" spans="1:12" ht="55.05" outlineLevel="6" x14ac:dyDescent="0.25">
      <c r="A380" s="81" t="s">
        <v>371</v>
      </c>
      <c r="B380" s="80" t="s">
        <v>500</v>
      </c>
      <c r="C380" s="80" t="s">
        <v>82</v>
      </c>
      <c r="D380" s="80" t="s">
        <v>140</v>
      </c>
      <c r="E380" s="83" t="s">
        <v>252</v>
      </c>
      <c r="F380" s="82">
        <v>114000</v>
      </c>
      <c r="G380" s="82">
        <v>114000</v>
      </c>
      <c r="H380" s="82">
        <v>114000</v>
      </c>
      <c r="I380" s="96">
        <v>114000</v>
      </c>
      <c r="J380" s="129">
        <f t="shared" si="73"/>
        <v>0</v>
      </c>
      <c r="K380" s="129"/>
      <c r="L380" s="96">
        <v>114000</v>
      </c>
    </row>
    <row r="381" spans="1:12" ht="36.700000000000003" outlineLevel="6" x14ac:dyDescent="0.25">
      <c r="A381" s="81" t="s">
        <v>522</v>
      </c>
      <c r="B381" s="80" t="s">
        <v>500</v>
      </c>
      <c r="C381" s="80" t="s">
        <v>523</v>
      </c>
      <c r="D381" s="80" t="s">
        <v>126</v>
      </c>
      <c r="E381" s="80" t="s">
        <v>6</v>
      </c>
      <c r="F381" s="82">
        <f>F382</f>
        <v>180000</v>
      </c>
      <c r="G381" s="82">
        <f t="shared" ref="G381:I385" si="81">G382</f>
        <v>0</v>
      </c>
      <c r="H381" s="82">
        <f t="shared" si="81"/>
        <v>202147.39</v>
      </c>
      <c r="I381" s="96">
        <f t="shared" si="81"/>
        <v>202147.39</v>
      </c>
      <c r="J381" s="129">
        <f t="shared" si="73"/>
        <v>0</v>
      </c>
      <c r="K381" s="129"/>
      <c r="L381" s="96">
        <f>L382</f>
        <v>202147.39</v>
      </c>
    </row>
    <row r="382" spans="1:12" ht="73.400000000000006" outlineLevel="6" x14ac:dyDescent="0.25">
      <c r="A382" s="81" t="s">
        <v>369</v>
      </c>
      <c r="B382" s="80" t="s">
        <v>500</v>
      </c>
      <c r="C382" s="80" t="s">
        <v>523</v>
      </c>
      <c r="D382" s="80" t="s">
        <v>136</v>
      </c>
      <c r="E382" s="80" t="s">
        <v>6</v>
      </c>
      <c r="F382" s="82">
        <f>F383</f>
        <v>180000</v>
      </c>
      <c r="G382" s="82">
        <f t="shared" si="81"/>
        <v>0</v>
      </c>
      <c r="H382" s="82">
        <f t="shared" si="81"/>
        <v>202147.39</v>
      </c>
      <c r="I382" s="96">
        <f t="shared" si="81"/>
        <v>202147.39</v>
      </c>
      <c r="J382" s="129">
        <f t="shared" si="73"/>
        <v>0</v>
      </c>
      <c r="K382" s="129"/>
      <c r="L382" s="96">
        <f>L383</f>
        <v>202147.39</v>
      </c>
    </row>
    <row r="383" spans="1:12" ht="36.700000000000003" outlineLevel="6" x14ac:dyDescent="0.25">
      <c r="A383" s="81" t="s">
        <v>211</v>
      </c>
      <c r="B383" s="80" t="s">
        <v>500</v>
      </c>
      <c r="C383" s="80" t="s">
        <v>523</v>
      </c>
      <c r="D383" s="80" t="s">
        <v>229</v>
      </c>
      <c r="E383" s="80" t="s">
        <v>6</v>
      </c>
      <c r="F383" s="82">
        <f>F384</f>
        <v>180000</v>
      </c>
      <c r="G383" s="82">
        <f t="shared" si="81"/>
        <v>0</v>
      </c>
      <c r="H383" s="82">
        <f t="shared" si="81"/>
        <v>202147.39</v>
      </c>
      <c r="I383" s="96">
        <f t="shared" si="81"/>
        <v>202147.39</v>
      </c>
      <c r="J383" s="129">
        <f t="shared" si="73"/>
        <v>0</v>
      </c>
      <c r="K383" s="129"/>
      <c r="L383" s="96">
        <f>L384</f>
        <v>202147.39</v>
      </c>
    </row>
    <row r="384" spans="1:12" ht="73.400000000000006" outlineLevel="6" x14ac:dyDescent="0.25">
      <c r="A384" s="81" t="s">
        <v>524</v>
      </c>
      <c r="B384" s="80" t="s">
        <v>500</v>
      </c>
      <c r="C384" s="80" t="s">
        <v>523</v>
      </c>
      <c r="D384" s="80" t="s">
        <v>525</v>
      </c>
      <c r="E384" s="80" t="s">
        <v>6</v>
      </c>
      <c r="F384" s="82">
        <f>F385</f>
        <v>180000</v>
      </c>
      <c r="G384" s="82">
        <f t="shared" si="81"/>
        <v>0</v>
      </c>
      <c r="H384" s="82">
        <f t="shared" si="81"/>
        <v>202147.39</v>
      </c>
      <c r="I384" s="96">
        <f t="shared" si="81"/>
        <v>202147.39</v>
      </c>
      <c r="J384" s="129">
        <f t="shared" si="73"/>
        <v>0</v>
      </c>
      <c r="K384" s="129"/>
      <c r="L384" s="96">
        <f>L385</f>
        <v>202147.39</v>
      </c>
    </row>
    <row r="385" spans="1:12" ht="55.05" outlineLevel="6" x14ac:dyDescent="0.25">
      <c r="A385" s="81" t="s">
        <v>37</v>
      </c>
      <c r="B385" s="80" t="s">
        <v>500</v>
      </c>
      <c r="C385" s="80" t="s">
        <v>523</v>
      </c>
      <c r="D385" s="80" t="s">
        <v>525</v>
      </c>
      <c r="E385" s="80" t="s">
        <v>38</v>
      </c>
      <c r="F385" s="82">
        <f>F386</f>
        <v>180000</v>
      </c>
      <c r="G385" s="82">
        <f t="shared" si="81"/>
        <v>0</v>
      </c>
      <c r="H385" s="82">
        <f t="shared" si="81"/>
        <v>202147.39</v>
      </c>
      <c r="I385" s="96">
        <f t="shared" si="81"/>
        <v>202147.39</v>
      </c>
      <c r="J385" s="129">
        <f t="shared" si="73"/>
        <v>0</v>
      </c>
      <c r="K385" s="129"/>
      <c r="L385" s="96">
        <f>L386</f>
        <v>202147.39</v>
      </c>
    </row>
    <row r="386" spans="1:12" outlineLevel="6" x14ac:dyDescent="0.25">
      <c r="A386" s="81" t="s">
        <v>74</v>
      </c>
      <c r="B386" s="80" t="s">
        <v>500</v>
      </c>
      <c r="C386" s="80" t="s">
        <v>523</v>
      </c>
      <c r="D386" s="80" t="s">
        <v>525</v>
      </c>
      <c r="E386" s="80" t="s">
        <v>75</v>
      </c>
      <c r="F386" s="82">
        <v>180000</v>
      </c>
      <c r="G386" s="82">
        <v>0</v>
      </c>
      <c r="H386" s="82">
        <v>202147.39</v>
      </c>
      <c r="I386" s="96">
        <v>202147.39</v>
      </c>
      <c r="J386" s="129">
        <f t="shared" si="73"/>
        <v>0</v>
      </c>
      <c r="K386" s="129"/>
      <c r="L386" s="96">
        <v>202147.39</v>
      </c>
    </row>
    <row r="387" spans="1:12" outlineLevel="7" x14ac:dyDescent="0.25">
      <c r="A387" s="109" t="s">
        <v>85</v>
      </c>
      <c r="B387" s="110" t="s">
        <v>500</v>
      </c>
      <c r="C387" s="110" t="s">
        <v>86</v>
      </c>
      <c r="D387" s="110" t="s">
        <v>126</v>
      </c>
      <c r="E387" s="111" t="s">
        <v>6</v>
      </c>
      <c r="F387" s="85">
        <f>F388+F393+F408</f>
        <v>40237941.520000003</v>
      </c>
      <c r="G387" s="85">
        <f>G388+G393+G408</f>
        <v>22024638.98</v>
      </c>
      <c r="H387" s="85">
        <f>H388+H393+H408</f>
        <v>42323719.289999999</v>
      </c>
      <c r="I387" s="112">
        <f>I388+I393+I408</f>
        <v>42323719.289999999</v>
      </c>
      <c r="J387" s="129">
        <f t="shared" si="73"/>
        <v>0</v>
      </c>
      <c r="K387" s="129"/>
      <c r="L387" s="112">
        <f>L388+L393+L408</f>
        <v>42323719.289999999</v>
      </c>
    </row>
    <row r="388" spans="1:12" outlineLevel="7" x14ac:dyDescent="0.25">
      <c r="A388" s="81" t="s">
        <v>87</v>
      </c>
      <c r="B388" s="80" t="s">
        <v>500</v>
      </c>
      <c r="C388" s="80" t="s">
        <v>88</v>
      </c>
      <c r="D388" s="80" t="s">
        <v>126</v>
      </c>
      <c r="E388" s="83" t="s">
        <v>6</v>
      </c>
      <c r="F388" s="82">
        <f>F389</f>
        <v>5559675.2400000002</v>
      </c>
      <c r="G388" s="82">
        <f t="shared" ref="G388:I391" si="82">G389</f>
        <v>5301675.24</v>
      </c>
      <c r="H388" s="82">
        <f t="shared" si="82"/>
        <v>5386176</v>
      </c>
      <c r="I388" s="96">
        <f t="shared" si="82"/>
        <v>5386176</v>
      </c>
      <c r="J388" s="129">
        <f t="shared" si="73"/>
        <v>0</v>
      </c>
      <c r="K388" s="129"/>
      <c r="L388" s="96">
        <f>L389</f>
        <v>5386176</v>
      </c>
    </row>
    <row r="389" spans="1:12" ht="55.05" outlineLevel="7" x14ac:dyDescent="0.25">
      <c r="A389" s="109" t="s">
        <v>132</v>
      </c>
      <c r="B389" s="110" t="s">
        <v>500</v>
      </c>
      <c r="C389" s="110" t="s">
        <v>88</v>
      </c>
      <c r="D389" s="110" t="s">
        <v>127</v>
      </c>
      <c r="E389" s="111" t="s">
        <v>6</v>
      </c>
      <c r="F389" s="82">
        <f>F390</f>
        <v>5559675.2400000002</v>
      </c>
      <c r="G389" s="85">
        <f t="shared" si="82"/>
        <v>5301675.24</v>
      </c>
      <c r="H389" s="85">
        <f t="shared" si="82"/>
        <v>5386176</v>
      </c>
      <c r="I389" s="112">
        <f t="shared" si="82"/>
        <v>5386176</v>
      </c>
      <c r="J389" s="129">
        <f t="shared" si="73"/>
        <v>0</v>
      </c>
      <c r="K389" s="129"/>
      <c r="L389" s="112">
        <f>L390</f>
        <v>5386176</v>
      </c>
    </row>
    <row r="390" spans="1:12" ht="36.700000000000003" outlineLevel="7" x14ac:dyDescent="0.25">
      <c r="A390" s="81" t="s">
        <v>89</v>
      </c>
      <c r="B390" s="80" t="s">
        <v>500</v>
      </c>
      <c r="C390" s="80" t="s">
        <v>88</v>
      </c>
      <c r="D390" s="80" t="s">
        <v>142</v>
      </c>
      <c r="E390" s="83" t="s">
        <v>6</v>
      </c>
      <c r="F390" s="82">
        <f>F391</f>
        <v>5559675.2400000002</v>
      </c>
      <c r="G390" s="82">
        <f t="shared" si="82"/>
        <v>5301675.24</v>
      </c>
      <c r="H390" s="82">
        <f t="shared" si="82"/>
        <v>5386176</v>
      </c>
      <c r="I390" s="96">
        <f t="shared" si="82"/>
        <v>5386176</v>
      </c>
      <c r="J390" s="129">
        <f t="shared" si="73"/>
        <v>0</v>
      </c>
      <c r="K390" s="129"/>
      <c r="L390" s="96">
        <f>L391</f>
        <v>5386176</v>
      </c>
    </row>
    <row r="391" spans="1:12" ht="36.700000000000003" outlineLevel="7" x14ac:dyDescent="0.25">
      <c r="A391" s="81" t="s">
        <v>90</v>
      </c>
      <c r="B391" s="80" t="s">
        <v>500</v>
      </c>
      <c r="C391" s="80" t="s">
        <v>88</v>
      </c>
      <c r="D391" s="80" t="s">
        <v>142</v>
      </c>
      <c r="E391" s="83" t="s">
        <v>91</v>
      </c>
      <c r="F391" s="82">
        <f>F392</f>
        <v>5559675.2400000002</v>
      </c>
      <c r="G391" s="82">
        <f t="shared" si="82"/>
        <v>5301675.24</v>
      </c>
      <c r="H391" s="82">
        <f t="shared" si="82"/>
        <v>5386176</v>
      </c>
      <c r="I391" s="96">
        <f t="shared" si="82"/>
        <v>5386176</v>
      </c>
      <c r="J391" s="129">
        <f t="shared" si="73"/>
        <v>0</v>
      </c>
      <c r="K391" s="129"/>
      <c r="L391" s="96">
        <f>L392</f>
        <v>5386176</v>
      </c>
    </row>
    <row r="392" spans="1:12" ht="36.700000000000003" outlineLevel="7" x14ac:dyDescent="0.25">
      <c r="A392" s="81" t="s">
        <v>92</v>
      </c>
      <c r="B392" s="80" t="s">
        <v>500</v>
      </c>
      <c r="C392" s="80" t="s">
        <v>88</v>
      </c>
      <c r="D392" s="80" t="s">
        <v>142</v>
      </c>
      <c r="E392" s="83" t="s">
        <v>93</v>
      </c>
      <c r="F392" s="82">
        <v>5559675.2400000002</v>
      </c>
      <c r="G392" s="82">
        <v>5301675.24</v>
      </c>
      <c r="H392" s="131">
        <v>5386176</v>
      </c>
      <c r="I392" s="117">
        <v>5386176</v>
      </c>
      <c r="J392" s="129">
        <f t="shared" si="73"/>
        <v>0</v>
      </c>
      <c r="K392" s="129"/>
      <c r="L392" s="117">
        <v>5386176</v>
      </c>
    </row>
    <row r="393" spans="1:12" outlineLevel="7" x14ac:dyDescent="0.25">
      <c r="A393" s="81" t="s">
        <v>94</v>
      </c>
      <c r="B393" s="80" t="s">
        <v>500</v>
      </c>
      <c r="C393" s="80" t="s">
        <v>95</v>
      </c>
      <c r="D393" s="80" t="s">
        <v>126</v>
      </c>
      <c r="E393" s="83" t="s">
        <v>6</v>
      </c>
      <c r="F393" s="82">
        <f>F394+F404+F399</f>
        <v>858600</v>
      </c>
      <c r="G393" s="82">
        <f>G394+G404+G399</f>
        <v>994383.02999999991</v>
      </c>
      <c r="H393" s="82">
        <f>H394+H404+H399</f>
        <v>1003343.25</v>
      </c>
      <c r="I393" s="96">
        <f>I394+I404+I399</f>
        <v>1003343.25</v>
      </c>
      <c r="J393" s="129">
        <f t="shared" si="73"/>
        <v>0</v>
      </c>
      <c r="K393" s="129"/>
      <c r="L393" s="96">
        <f>L394+L404+L399</f>
        <v>1003343.25</v>
      </c>
    </row>
    <row r="394" spans="1:12" ht="73.400000000000006" outlineLevel="7" x14ac:dyDescent="0.25">
      <c r="A394" s="109" t="s">
        <v>440</v>
      </c>
      <c r="B394" s="80" t="s">
        <v>500</v>
      </c>
      <c r="C394" s="110" t="s">
        <v>95</v>
      </c>
      <c r="D394" s="110" t="s">
        <v>129</v>
      </c>
      <c r="E394" s="111" t="s">
        <v>6</v>
      </c>
      <c r="F394" s="85">
        <f t="shared" ref="F394:I395" si="83">F395</f>
        <v>200000</v>
      </c>
      <c r="G394" s="85">
        <f t="shared" si="83"/>
        <v>200000</v>
      </c>
      <c r="H394" s="85">
        <f t="shared" si="83"/>
        <v>150000</v>
      </c>
      <c r="I394" s="112">
        <f t="shared" si="83"/>
        <v>150000</v>
      </c>
      <c r="J394" s="129">
        <f t="shared" si="73"/>
        <v>0</v>
      </c>
      <c r="K394" s="129"/>
      <c r="L394" s="112">
        <f>L395</f>
        <v>150000</v>
      </c>
    </row>
    <row r="395" spans="1:12" ht="55.05" outlineLevel="7" x14ac:dyDescent="0.25">
      <c r="A395" s="81" t="s">
        <v>372</v>
      </c>
      <c r="B395" s="80" t="s">
        <v>500</v>
      </c>
      <c r="C395" s="80" t="s">
        <v>95</v>
      </c>
      <c r="D395" s="80" t="s">
        <v>441</v>
      </c>
      <c r="E395" s="83" t="s">
        <v>6</v>
      </c>
      <c r="F395" s="82">
        <f t="shared" si="83"/>
        <v>200000</v>
      </c>
      <c r="G395" s="82">
        <f t="shared" si="83"/>
        <v>200000</v>
      </c>
      <c r="H395" s="82">
        <f t="shared" si="83"/>
        <v>150000</v>
      </c>
      <c r="I395" s="96">
        <f t="shared" si="83"/>
        <v>150000</v>
      </c>
      <c r="J395" s="129">
        <f t="shared" si="73"/>
        <v>0</v>
      </c>
      <c r="K395" s="129"/>
      <c r="L395" s="96">
        <f>L396</f>
        <v>150000</v>
      </c>
    </row>
    <row r="396" spans="1:12" ht="55.05" outlineLevel="7" x14ac:dyDescent="0.25">
      <c r="A396" s="81" t="s">
        <v>99</v>
      </c>
      <c r="B396" s="80" t="s">
        <v>500</v>
      </c>
      <c r="C396" s="80" t="s">
        <v>95</v>
      </c>
      <c r="D396" s="80" t="s">
        <v>416</v>
      </c>
      <c r="E396" s="83" t="s">
        <v>6</v>
      </c>
      <c r="F396" s="82">
        <f>F397</f>
        <v>200000</v>
      </c>
      <c r="G396" s="82">
        <f t="shared" ref="G396:I397" si="84">G397</f>
        <v>200000</v>
      </c>
      <c r="H396" s="82">
        <f t="shared" si="84"/>
        <v>150000</v>
      </c>
      <c r="I396" s="96">
        <f t="shared" si="84"/>
        <v>150000</v>
      </c>
      <c r="J396" s="129">
        <f t="shared" si="73"/>
        <v>0</v>
      </c>
      <c r="K396" s="129"/>
      <c r="L396" s="96">
        <f>L397</f>
        <v>150000</v>
      </c>
    </row>
    <row r="397" spans="1:12" ht="36.700000000000003" outlineLevel="7" x14ac:dyDescent="0.25">
      <c r="A397" s="81" t="s">
        <v>90</v>
      </c>
      <c r="B397" s="80" t="s">
        <v>500</v>
      </c>
      <c r="C397" s="80" t="s">
        <v>95</v>
      </c>
      <c r="D397" s="80" t="s">
        <v>416</v>
      </c>
      <c r="E397" s="83" t="s">
        <v>91</v>
      </c>
      <c r="F397" s="82">
        <f>F398</f>
        <v>200000</v>
      </c>
      <c r="G397" s="82">
        <f t="shared" si="84"/>
        <v>200000</v>
      </c>
      <c r="H397" s="82">
        <f t="shared" si="84"/>
        <v>150000</v>
      </c>
      <c r="I397" s="96">
        <f t="shared" si="84"/>
        <v>150000</v>
      </c>
      <c r="J397" s="129">
        <f t="shared" si="73"/>
        <v>0</v>
      </c>
      <c r="K397" s="129"/>
      <c r="L397" s="96">
        <f>L398</f>
        <v>150000</v>
      </c>
    </row>
    <row r="398" spans="1:12" ht="55.05" outlineLevel="7" x14ac:dyDescent="0.25">
      <c r="A398" s="81" t="s">
        <v>97</v>
      </c>
      <c r="B398" s="80" t="s">
        <v>500</v>
      </c>
      <c r="C398" s="80" t="s">
        <v>95</v>
      </c>
      <c r="D398" s="80" t="s">
        <v>416</v>
      </c>
      <c r="E398" s="83" t="s">
        <v>98</v>
      </c>
      <c r="F398" s="82">
        <v>200000</v>
      </c>
      <c r="G398" s="82">
        <v>200000</v>
      </c>
      <c r="H398" s="131">
        <v>150000</v>
      </c>
      <c r="I398" s="117">
        <v>150000</v>
      </c>
      <c r="J398" s="129">
        <f t="shared" si="73"/>
        <v>0</v>
      </c>
      <c r="K398" s="129"/>
      <c r="L398" s="117">
        <v>150000</v>
      </c>
    </row>
    <row r="399" spans="1:12" ht="73.400000000000006" outlineLevel="7" x14ac:dyDescent="0.25">
      <c r="A399" s="109" t="s">
        <v>373</v>
      </c>
      <c r="B399" s="80" t="s">
        <v>500</v>
      </c>
      <c r="C399" s="110" t="s">
        <v>95</v>
      </c>
      <c r="D399" s="110" t="s">
        <v>374</v>
      </c>
      <c r="E399" s="111" t="s">
        <v>6</v>
      </c>
      <c r="F399" s="122">
        <f>F400</f>
        <v>558600</v>
      </c>
      <c r="G399" s="122">
        <f>G400</f>
        <v>763383.02999999991</v>
      </c>
      <c r="H399" s="122">
        <f>H400</f>
        <v>753343.25</v>
      </c>
      <c r="I399" s="115">
        <f>I400</f>
        <v>753343.25</v>
      </c>
      <c r="J399" s="129">
        <f t="shared" si="73"/>
        <v>0</v>
      </c>
      <c r="K399" s="129"/>
      <c r="L399" s="115">
        <f>L400</f>
        <v>753343.25</v>
      </c>
    </row>
    <row r="400" spans="1:12" ht="73.400000000000006" outlineLevel="2" x14ac:dyDescent="0.25">
      <c r="A400" s="81" t="s">
        <v>394</v>
      </c>
      <c r="B400" s="80" t="s">
        <v>500</v>
      </c>
      <c r="C400" s="80" t="s">
        <v>95</v>
      </c>
      <c r="D400" s="80" t="s">
        <v>375</v>
      </c>
      <c r="E400" s="83" t="s">
        <v>6</v>
      </c>
      <c r="F400" s="98">
        <f>F401</f>
        <v>558600</v>
      </c>
      <c r="G400" s="98">
        <f t="shared" ref="G400:I401" si="85">G401</f>
        <v>763383.02999999991</v>
      </c>
      <c r="H400" s="98">
        <f t="shared" si="85"/>
        <v>753343.25</v>
      </c>
      <c r="I400" s="108">
        <f t="shared" si="85"/>
        <v>753343.25</v>
      </c>
      <c r="J400" s="129">
        <f t="shared" si="73"/>
        <v>0</v>
      </c>
      <c r="K400" s="129"/>
      <c r="L400" s="108">
        <f>L401</f>
        <v>753343.25</v>
      </c>
    </row>
    <row r="401" spans="1:12" ht="55.05" outlineLevel="3" x14ac:dyDescent="0.25">
      <c r="A401" s="81" t="s">
        <v>96</v>
      </c>
      <c r="B401" s="80" t="s">
        <v>500</v>
      </c>
      <c r="C401" s="80" t="s">
        <v>95</v>
      </c>
      <c r="D401" s="80" t="s">
        <v>376</v>
      </c>
      <c r="E401" s="83" t="s">
        <v>6</v>
      </c>
      <c r="F401" s="82">
        <f>F402</f>
        <v>558600</v>
      </c>
      <c r="G401" s="82">
        <f t="shared" si="85"/>
        <v>763383.02999999991</v>
      </c>
      <c r="H401" s="82">
        <f t="shared" si="85"/>
        <v>753343.25</v>
      </c>
      <c r="I401" s="96">
        <f t="shared" si="85"/>
        <v>753343.25</v>
      </c>
      <c r="J401" s="129">
        <f t="shared" si="73"/>
        <v>0</v>
      </c>
      <c r="K401" s="129"/>
      <c r="L401" s="96">
        <f>L402</f>
        <v>753343.25</v>
      </c>
    </row>
    <row r="402" spans="1:12" ht="36.700000000000003" outlineLevel="4" x14ac:dyDescent="0.25">
      <c r="A402" s="81" t="s">
        <v>90</v>
      </c>
      <c r="B402" s="80" t="s">
        <v>500</v>
      </c>
      <c r="C402" s="80" t="s">
        <v>95</v>
      </c>
      <c r="D402" s="80" t="s">
        <v>442</v>
      </c>
      <c r="E402" s="83" t="s">
        <v>91</v>
      </c>
      <c r="F402" s="98">
        <f>F403</f>
        <v>558600</v>
      </c>
      <c r="G402" s="98">
        <f>G403</f>
        <v>763383.02999999991</v>
      </c>
      <c r="H402" s="98">
        <f>H403</f>
        <v>753343.25</v>
      </c>
      <c r="I402" s="108">
        <f>I403</f>
        <v>753343.25</v>
      </c>
      <c r="J402" s="129">
        <f t="shared" si="73"/>
        <v>0</v>
      </c>
      <c r="K402" s="129"/>
      <c r="L402" s="108">
        <f>L403</f>
        <v>753343.25</v>
      </c>
    </row>
    <row r="403" spans="1:12" ht="55.05" outlineLevel="5" x14ac:dyDescent="0.25">
      <c r="A403" s="81" t="s">
        <v>97</v>
      </c>
      <c r="B403" s="80" t="s">
        <v>500</v>
      </c>
      <c r="C403" s="80" t="s">
        <v>95</v>
      </c>
      <c r="D403" s="80" t="s">
        <v>442</v>
      </c>
      <c r="E403" s="83" t="s">
        <v>98</v>
      </c>
      <c r="F403" s="82">
        <v>558600</v>
      </c>
      <c r="G403" s="82">
        <f>750536.94+12846.09</f>
        <v>763383.02999999991</v>
      </c>
      <c r="H403" s="82">
        <f>579843.25+173500</f>
        <v>753343.25</v>
      </c>
      <c r="I403" s="96">
        <v>753343.25</v>
      </c>
      <c r="J403" s="129">
        <f t="shared" si="73"/>
        <v>0</v>
      </c>
      <c r="K403" s="129"/>
      <c r="L403" s="96">
        <v>753343.25</v>
      </c>
    </row>
    <row r="404" spans="1:12" ht="55.05" outlineLevel="6" x14ac:dyDescent="0.25">
      <c r="A404" s="109" t="s">
        <v>132</v>
      </c>
      <c r="B404" s="110" t="s">
        <v>500</v>
      </c>
      <c r="C404" s="110" t="s">
        <v>95</v>
      </c>
      <c r="D404" s="110" t="s">
        <v>127</v>
      </c>
      <c r="E404" s="111" t="s">
        <v>6</v>
      </c>
      <c r="F404" s="98">
        <f>F405</f>
        <v>100000</v>
      </c>
      <c r="G404" s="122">
        <f t="shared" ref="G404:I406" si="86">G405</f>
        <v>31000</v>
      </c>
      <c r="H404" s="122">
        <f t="shared" si="86"/>
        <v>100000</v>
      </c>
      <c r="I404" s="115">
        <f t="shared" si="86"/>
        <v>100000</v>
      </c>
      <c r="J404" s="129">
        <f t="shared" si="73"/>
        <v>0</v>
      </c>
      <c r="K404" s="129"/>
      <c r="L404" s="115">
        <f>L405</f>
        <v>100000</v>
      </c>
    </row>
    <row r="405" spans="1:12" ht="18.7" customHeight="1" outlineLevel="7" x14ac:dyDescent="0.25">
      <c r="A405" s="81" t="s">
        <v>526</v>
      </c>
      <c r="B405" s="80" t="s">
        <v>500</v>
      </c>
      <c r="C405" s="80" t="s">
        <v>95</v>
      </c>
      <c r="D405" s="80" t="s">
        <v>539</v>
      </c>
      <c r="E405" s="83" t="s">
        <v>6</v>
      </c>
      <c r="F405" s="98">
        <f>F406</f>
        <v>100000</v>
      </c>
      <c r="G405" s="98">
        <f t="shared" si="86"/>
        <v>31000</v>
      </c>
      <c r="H405" s="98">
        <f t="shared" si="86"/>
        <v>100000</v>
      </c>
      <c r="I405" s="108">
        <f t="shared" si="86"/>
        <v>100000</v>
      </c>
      <c r="J405" s="129">
        <f t="shared" si="73"/>
        <v>0</v>
      </c>
      <c r="K405" s="129"/>
      <c r="L405" s="108">
        <f>L406</f>
        <v>100000</v>
      </c>
    </row>
    <row r="406" spans="1:12" ht="36.700000000000003" outlineLevel="5" x14ac:dyDescent="0.25">
      <c r="A406" s="81" t="s">
        <v>90</v>
      </c>
      <c r="B406" s="80" t="s">
        <v>500</v>
      </c>
      <c r="C406" s="80" t="s">
        <v>95</v>
      </c>
      <c r="D406" s="80" t="s">
        <v>539</v>
      </c>
      <c r="E406" s="83" t="s">
        <v>91</v>
      </c>
      <c r="F406" s="98">
        <f>F407</f>
        <v>100000</v>
      </c>
      <c r="G406" s="98">
        <f t="shared" si="86"/>
        <v>31000</v>
      </c>
      <c r="H406" s="98">
        <f t="shared" si="86"/>
        <v>100000</v>
      </c>
      <c r="I406" s="108">
        <f t="shared" si="86"/>
        <v>100000</v>
      </c>
      <c r="J406" s="129">
        <f t="shared" si="73"/>
        <v>0</v>
      </c>
      <c r="K406" s="129"/>
      <c r="L406" s="108">
        <f>L407</f>
        <v>100000</v>
      </c>
    </row>
    <row r="407" spans="1:12" outlineLevel="5" x14ac:dyDescent="0.25">
      <c r="A407" s="81" t="s">
        <v>309</v>
      </c>
      <c r="B407" s="80" t="s">
        <v>500</v>
      </c>
      <c r="C407" s="80" t="s">
        <v>95</v>
      </c>
      <c r="D407" s="80" t="s">
        <v>539</v>
      </c>
      <c r="E407" s="83" t="s">
        <v>310</v>
      </c>
      <c r="F407" s="82">
        <v>100000</v>
      </c>
      <c r="G407" s="82">
        <v>31000</v>
      </c>
      <c r="H407" s="82">
        <v>100000</v>
      </c>
      <c r="I407" s="96">
        <v>100000</v>
      </c>
      <c r="J407" s="129">
        <f t="shared" si="73"/>
        <v>0</v>
      </c>
      <c r="K407" s="129"/>
      <c r="L407" s="96">
        <v>100000</v>
      </c>
    </row>
    <row r="408" spans="1:12" outlineLevel="5" x14ac:dyDescent="0.25">
      <c r="A408" s="81" t="s">
        <v>123</v>
      </c>
      <c r="B408" s="80" t="s">
        <v>500</v>
      </c>
      <c r="C408" s="80" t="s">
        <v>124</v>
      </c>
      <c r="D408" s="80" t="s">
        <v>126</v>
      </c>
      <c r="E408" s="83" t="s">
        <v>6</v>
      </c>
      <c r="F408" s="98">
        <f>F409</f>
        <v>33819666.280000001</v>
      </c>
      <c r="G408" s="98">
        <f t="shared" ref="G408:I409" si="87">G409</f>
        <v>15728580.709999999</v>
      </c>
      <c r="H408" s="98">
        <f t="shared" si="87"/>
        <v>35934200.039999999</v>
      </c>
      <c r="I408" s="108">
        <f t="shared" si="87"/>
        <v>35934200.039999999</v>
      </c>
      <c r="J408" s="129">
        <f t="shared" si="73"/>
        <v>0</v>
      </c>
      <c r="K408" s="129"/>
      <c r="L408" s="108">
        <f>L409</f>
        <v>35934200.039999999</v>
      </c>
    </row>
    <row r="409" spans="1:12" ht="55.05" outlineLevel="5" x14ac:dyDescent="0.25">
      <c r="A409" s="109" t="s">
        <v>132</v>
      </c>
      <c r="B409" s="110" t="s">
        <v>500</v>
      </c>
      <c r="C409" s="110" t="s">
        <v>124</v>
      </c>
      <c r="D409" s="110" t="s">
        <v>127</v>
      </c>
      <c r="E409" s="111" t="s">
        <v>6</v>
      </c>
      <c r="F409" s="98">
        <f>F410</f>
        <v>33819666.280000001</v>
      </c>
      <c r="G409" s="122">
        <f t="shared" si="87"/>
        <v>15728580.709999999</v>
      </c>
      <c r="H409" s="122">
        <f t="shared" si="87"/>
        <v>35934200.039999999</v>
      </c>
      <c r="I409" s="115">
        <f t="shared" si="87"/>
        <v>35934200.039999999</v>
      </c>
      <c r="J409" s="129">
        <f t="shared" si="73"/>
        <v>0</v>
      </c>
      <c r="K409" s="129"/>
      <c r="L409" s="115">
        <f>L410</f>
        <v>35934200.039999999</v>
      </c>
    </row>
    <row r="410" spans="1:12" ht="36.700000000000003" outlineLevel="5" x14ac:dyDescent="0.25">
      <c r="A410" s="81" t="s">
        <v>277</v>
      </c>
      <c r="B410" s="80" t="s">
        <v>500</v>
      </c>
      <c r="C410" s="80" t="s">
        <v>124</v>
      </c>
      <c r="D410" s="80" t="s">
        <v>276</v>
      </c>
      <c r="E410" s="83" t="s">
        <v>6</v>
      </c>
      <c r="F410" s="98">
        <f>F423+F411+F414+F420</f>
        <v>33819666.280000001</v>
      </c>
      <c r="G410" s="98">
        <f>G423+G411+G414+G420</f>
        <v>15728580.709999999</v>
      </c>
      <c r="H410" s="98">
        <f>H423+H411+H414+H420</f>
        <v>35934200.039999999</v>
      </c>
      <c r="I410" s="98">
        <f>I423+I411+I414+I420</f>
        <v>35934200.039999999</v>
      </c>
      <c r="J410" s="129">
        <f t="shared" si="73"/>
        <v>0</v>
      </c>
      <c r="K410" s="129"/>
      <c r="L410" s="98">
        <f>L423+L411+L414+L420</f>
        <v>35934200.039999999</v>
      </c>
    </row>
    <row r="411" spans="1:12" ht="110.05" outlineLevel="5" x14ac:dyDescent="0.25">
      <c r="A411" s="81" t="s">
        <v>429</v>
      </c>
      <c r="B411" s="80" t="s">
        <v>500</v>
      </c>
      <c r="C411" s="80" t="s">
        <v>124</v>
      </c>
      <c r="D411" s="80" t="s">
        <v>430</v>
      </c>
      <c r="E411" s="83" t="s">
        <v>6</v>
      </c>
      <c r="F411" s="82">
        <f>F412</f>
        <v>1021243.89</v>
      </c>
      <c r="G411" s="82">
        <f t="shared" ref="G411:I412" si="88">G412</f>
        <v>1077196.26</v>
      </c>
      <c r="H411" s="82">
        <f t="shared" si="88"/>
        <v>1035455.64</v>
      </c>
      <c r="I411" s="96">
        <f t="shared" si="88"/>
        <v>1035455.64</v>
      </c>
      <c r="J411" s="129">
        <f t="shared" si="73"/>
        <v>0</v>
      </c>
      <c r="K411" s="129"/>
      <c r="L411" s="96">
        <f>L412</f>
        <v>1035455.64</v>
      </c>
    </row>
    <row r="412" spans="1:12" ht="36.700000000000003" outlineLevel="5" x14ac:dyDescent="0.25">
      <c r="A412" s="81" t="s">
        <v>90</v>
      </c>
      <c r="B412" s="80" t="s">
        <v>500</v>
      </c>
      <c r="C412" s="80" t="s">
        <v>124</v>
      </c>
      <c r="D412" s="80" t="s">
        <v>430</v>
      </c>
      <c r="E412" s="83" t="s">
        <v>91</v>
      </c>
      <c r="F412" s="82">
        <f>F413</f>
        <v>1021243.89</v>
      </c>
      <c r="G412" s="82">
        <f t="shared" si="88"/>
        <v>1077196.26</v>
      </c>
      <c r="H412" s="82">
        <f t="shared" si="88"/>
        <v>1035455.64</v>
      </c>
      <c r="I412" s="96">
        <f t="shared" si="88"/>
        <v>1035455.64</v>
      </c>
      <c r="J412" s="129">
        <f t="shared" si="73"/>
        <v>0</v>
      </c>
      <c r="K412" s="129"/>
      <c r="L412" s="96">
        <f>L413</f>
        <v>1035455.64</v>
      </c>
    </row>
    <row r="413" spans="1:12" ht="36.700000000000003" outlineLevel="5" x14ac:dyDescent="0.25">
      <c r="A413" s="81" t="s">
        <v>92</v>
      </c>
      <c r="B413" s="80" t="s">
        <v>500</v>
      </c>
      <c r="C413" s="80" t="s">
        <v>124</v>
      </c>
      <c r="D413" s="80" t="s">
        <v>430</v>
      </c>
      <c r="E413" s="83" t="s">
        <v>93</v>
      </c>
      <c r="F413" s="82">
        <v>1021243.89</v>
      </c>
      <c r="G413" s="82">
        <v>1077196.26</v>
      </c>
      <c r="H413" s="82">
        <v>1035455.64</v>
      </c>
      <c r="I413" s="96">
        <v>1035455.64</v>
      </c>
      <c r="J413" s="129">
        <f t="shared" si="73"/>
        <v>0</v>
      </c>
      <c r="K413" s="129"/>
      <c r="L413" s="96">
        <v>1035455.64</v>
      </c>
    </row>
    <row r="414" spans="1:12" ht="76.75" customHeight="1" outlineLevel="5" x14ac:dyDescent="0.25">
      <c r="A414" s="100" t="s">
        <v>431</v>
      </c>
      <c r="B414" s="80" t="s">
        <v>500</v>
      </c>
      <c r="C414" s="80" t="s">
        <v>124</v>
      </c>
      <c r="D414" s="80" t="s">
        <v>432</v>
      </c>
      <c r="E414" s="83" t="s">
        <v>6</v>
      </c>
      <c r="F414" s="82">
        <f>F415+F417</f>
        <v>14290492.390000001</v>
      </c>
      <c r="G414" s="82">
        <f>G415+G417</f>
        <v>14651384.449999999</v>
      </c>
      <c r="H414" s="82">
        <f>H415+H417</f>
        <v>21927344.399999999</v>
      </c>
      <c r="I414" s="96">
        <f>I415+I417</f>
        <v>21927344.399999999</v>
      </c>
      <c r="J414" s="129">
        <f t="shared" si="73"/>
        <v>0</v>
      </c>
      <c r="K414" s="129"/>
      <c r="L414" s="96">
        <f>L415+L417</f>
        <v>21927344.399999999</v>
      </c>
    </row>
    <row r="415" spans="1:12" ht="18.7" customHeight="1" outlineLevel="5" x14ac:dyDescent="0.25">
      <c r="A415" s="81" t="s">
        <v>15</v>
      </c>
      <c r="B415" s="80" t="s">
        <v>500</v>
      </c>
      <c r="C415" s="80" t="s">
        <v>124</v>
      </c>
      <c r="D415" s="80" t="s">
        <v>432</v>
      </c>
      <c r="E415" s="83" t="s">
        <v>16</v>
      </c>
      <c r="F415" s="82">
        <f>F416</f>
        <v>130000</v>
      </c>
      <c r="G415" s="82">
        <f>G416</f>
        <v>130000</v>
      </c>
      <c r="H415" s="82">
        <f>H416</f>
        <v>130000</v>
      </c>
      <c r="I415" s="96">
        <f>I416</f>
        <v>130000</v>
      </c>
      <c r="J415" s="129">
        <f t="shared" ref="J415:J487" si="89">I415-H415</f>
        <v>0</v>
      </c>
      <c r="K415" s="129"/>
      <c r="L415" s="96">
        <f>L416</f>
        <v>130000</v>
      </c>
    </row>
    <row r="416" spans="1:12" ht="55.05" outlineLevel="5" x14ac:dyDescent="0.25">
      <c r="A416" s="81" t="s">
        <v>17</v>
      </c>
      <c r="B416" s="80" t="s">
        <v>500</v>
      </c>
      <c r="C416" s="80" t="s">
        <v>124</v>
      </c>
      <c r="D416" s="80" t="s">
        <v>432</v>
      </c>
      <c r="E416" s="83" t="s">
        <v>18</v>
      </c>
      <c r="F416" s="82">
        <v>130000</v>
      </c>
      <c r="G416" s="82">
        <v>130000</v>
      </c>
      <c r="H416" s="82">
        <v>130000</v>
      </c>
      <c r="I416" s="96">
        <v>130000</v>
      </c>
      <c r="J416" s="129">
        <f t="shared" si="89"/>
        <v>0</v>
      </c>
      <c r="K416" s="129"/>
      <c r="L416" s="96">
        <v>130000</v>
      </c>
    </row>
    <row r="417" spans="1:12" ht="36.700000000000003" outlineLevel="5" x14ac:dyDescent="0.25">
      <c r="A417" s="81" t="s">
        <v>90</v>
      </c>
      <c r="B417" s="80" t="s">
        <v>500</v>
      </c>
      <c r="C417" s="80" t="s">
        <v>124</v>
      </c>
      <c r="D417" s="80" t="s">
        <v>432</v>
      </c>
      <c r="E417" s="83" t="s">
        <v>91</v>
      </c>
      <c r="F417" s="82">
        <f>F418+F419</f>
        <v>14160492.390000001</v>
      </c>
      <c r="G417" s="82">
        <f>G418+G419</f>
        <v>14521384.449999999</v>
      </c>
      <c r="H417" s="82">
        <f>H418+H419</f>
        <v>21797344.399999999</v>
      </c>
      <c r="I417" s="96">
        <f>I418+I419</f>
        <v>21797344.399999999</v>
      </c>
      <c r="J417" s="129">
        <f t="shared" si="89"/>
        <v>0</v>
      </c>
      <c r="K417" s="129"/>
      <c r="L417" s="96">
        <f>L418+L419</f>
        <v>21797344.399999999</v>
      </c>
    </row>
    <row r="418" spans="1:12" ht="36.700000000000003" outlineLevel="5" x14ac:dyDescent="0.25">
      <c r="A418" s="81" t="s">
        <v>92</v>
      </c>
      <c r="B418" s="80" t="s">
        <v>500</v>
      </c>
      <c r="C418" s="80" t="s">
        <v>124</v>
      </c>
      <c r="D418" s="80" t="s">
        <v>432</v>
      </c>
      <c r="E418" s="83" t="s">
        <v>93</v>
      </c>
      <c r="F418" s="82">
        <v>12360492.390000001</v>
      </c>
      <c r="G418" s="82">
        <v>12721384.449999999</v>
      </c>
      <c r="H418" s="82">
        <v>19797344.399999999</v>
      </c>
      <c r="I418" s="96">
        <v>19797344.399999999</v>
      </c>
      <c r="J418" s="129">
        <f t="shared" si="89"/>
        <v>0</v>
      </c>
      <c r="K418" s="129"/>
      <c r="L418" s="96">
        <v>19797344.399999999</v>
      </c>
    </row>
    <row r="419" spans="1:12" ht="35.5" customHeight="1" outlineLevel="5" x14ac:dyDescent="0.25">
      <c r="A419" s="81" t="s">
        <v>97</v>
      </c>
      <c r="B419" s="80" t="s">
        <v>500</v>
      </c>
      <c r="C419" s="80" t="s">
        <v>124</v>
      </c>
      <c r="D419" s="80" t="s">
        <v>432</v>
      </c>
      <c r="E419" s="83" t="s">
        <v>98</v>
      </c>
      <c r="F419" s="82">
        <v>1800000</v>
      </c>
      <c r="G419" s="82">
        <v>1800000</v>
      </c>
      <c r="H419" s="82">
        <v>2000000</v>
      </c>
      <c r="I419" s="96">
        <v>2000000</v>
      </c>
      <c r="J419" s="129">
        <f t="shared" si="89"/>
        <v>0</v>
      </c>
      <c r="K419" s="129"/>
      <c r="L419" s="96">
        <v>2000000</v>
      </c>
    </row>
    <row r="420" spans="1:12" ht="120.75" customHeight="1" outlineLevel="5" x14ac:dyDescent="0.25">
      <c r="A420" s="100" t="s">
        <v>760</v>
      </c>
      <c r="B420" s="80" t="s">
        <v>500</v>
      </c>
      <c r="C420" s="80" t="s">
        <v>124</v>
      </c>
      <c r="D420" s="80" t="s">
        <v>295</v>
      </c>
      <c r="E420" s="83" t="s">
        <v>6</v>
      </c>
      <c r="F420" s="82">
        <f>F421</f>
        <v>0</v>
      </c>
      <c r="G420" s="82">
        <f t="shared" ref="G420:I421" si="90">G421</f>
        <v>0</v>
      </c>
      <c r="H420" s="82">
        <f t="shared" si="90"/>
        <v>0</v>
      </c>
      <c r="I420" s="82">
        <f t="shared" si="90"/>
        <v>0</v>
      </c>
      <c r="J420" s="129">
        <f t="shared" si="89"/>
        <v>0</v>
      </c>
      <c r="K420" s="129"/>
      <c r="L420" s="82">
        <f>L421</f>
        <v>0</v>
      </c>
    </row>
    <row r="421" spans="1:12" ht="55.05" outlineLevel="5" x14ac:dyDescent="0.25">
      <c r="A421" s="81" t="s">
        <v>264</v>
      </c>
      <c r="B421" s="80" t="s">
        <v>500</v>
      </c>
      <c r="C421" s="80" t="s">
        <v>124</v>
      </c>
      <c r="D421" s="80" t="s">
        <v>295</v>
      </c>
      <c r="E421" s="83" t="s">
        <v>265</v>
      </c>
      <c r="F421" s="82">
        <f>F422</f>
        <v>0</v>
      </c>
      <c r="G421" s="82">
        <f t="shared" si="90"/>
        <v>0</v>
      </c>
      <c r="H421" s="82">
        <f t="shared" si="90"/>
        <v>0</v>
      </c>
      <c r="I421" s="82">
        <f t="shared" si="90"/>
        <v>0</v>
      </c>
      <c r="J421" s="129">
        <f t="shared" si="89"/>
        <v>0</v>
      </c>
      <c r="K421" s="129"/>
      <c r="L421" s="82">
        <f>L422</f>
        <v>0</v>
      </c>
    </row>
    <row r="422" spans="1:12" outlineLevel="5" x14ac:dyDescent="0.25">
      <c r="A422" s="81" t="s">
        <v>266</v>
      </c>
      <c r="B422" s="80" t="s">
        <v>500</v>
      </c>
      <c r="C422" s="80" t="s">
        <v>124</v>
      </c>
      <c r="D422" s="80" t="s">
        <v>295</v>
      </c>
      <c r="E422" s="83" t="s">
        <v>267</v>
      </c>
      <c r="F422" s="82">
        <v>0</v>
      </c>
      <c r="G422" s="82">
        <v>0</v>
      </c>
      <c r="H422" s="82">
        <v>0</v>
      </c>
      <c r="I422" s="96">
        <v>0</v>
      </c>
      <c r="J422" s="129">
        <f t="shared" si="89"/>
        <v>0</v>
      </c>
      <c r="K422" s="129"/>
      <c r="L422" s="96">
        <v>0</v>
      </c>
    </row>
    <row r="423" spans="1:12" ht="120.25" customHeight="1" outlineLevel="5" x14ac:dyDescent="0.25">
      <c r="A423" s="100" t="s">
        <v>656</v>
      </c>
      <c r="B423" s="80" t="s">
        <v>500</v>
      </c>
      <c r="C423" s="80" t="s">
        <v>124</v>
      </c>
      <c r="D423" s="80" t="s">
        <v>295</v>
      </c>
      <c r="E423" s="83" t="s">
        <v>6</v>
      </c>
      <c r="F423" s="98">
        <f t="shared" ref="F423:I424" si="91">F424</f>
        <v>18507930</v>
      </c>
      <c r="G423" s="98">
        <f t="shared" si="91"/>
        <v>0</v>
      </c>
      <c r="H423" s="98">
        <f t="shared" si="91"/>
        <v>12971400</v>
      </c>
      <c r="I423" s="98">
        <f t="shared" si="91"/>
        <v>12971400</v>
      </c>
      <c r="J423" s="129">
        <f t="shared" si="89"/>
        <v>0</v>
      </c>
      <c r="K423" s="129"/>
      <c r="L423" s="98">
        <f>L424</f>
        <v>12971400</v>
      </c>
    </row>
    <row r="424" spans="1:12" ht="55.05" outlineLevel="5" x14ac:dyDescent="0.25">
      <c r="A424" s="81" t="s">
        <v>264</v>
      </c>
      <c r="B424" s="80" t="s">
        <v>500</v>
      </c>
      <c r="C424" s="80" t="s">
        <v>124</v>
      </c>
      <c r="D424" s="80" t="s">
        <v>295</v>
      </c>
      <c r="E424" s="83" t="s">
        <v>265</v>
      </c>
      <c r="F424" s="98">
        <f t="shared" si="91"/>
        <v>18507930</v>
      </c>
      <c r="G424" s="98">
        <f t="shared" si="91"/>
        <v>0</v>
      </c>
      <c r="H424" s="98">
        <f t="shared" si="91"/>
        <v>12971400</v>
      </c>
      <c r="I424" s="108">
        <f t="shared" si="91"/>
        <v>12971400</v>
      </c>
      <c r="J424" s="129">
        <f t="shared" si="89"/>
        <v>0</v>
      </c>
      <c r="K424" s="129"/>
      <c r="L424" s="108">
        <f>L425</f>
        <v>12971400</v>
      </c>
    </row>
    <row r="425" spans="1:12" outlineLevel="5" x14ac:dyDescent="0.25">
      <c r="A425" s="81" t="s">
        <v>266</v>
      </c>
      <c r="B425" s="80" t="s">
        <v>500</v>
      </c>
      <c r="C425" s="80" t="s">
        <v>124</v>
      </c>
      <c r="D425" s="80" t="s">
        <v>295</v>
      </c>
      <c r="E425" s="83" t="s">
        <v>267</v>
      </c>
      <c r="F425" s="82">
        <v>18507930</v>
      </c>
      <c r="G425" s="82">
        <v>0</v>
      </c>
      <c r="H425" s="82">
        <v>12971400</v>
      </c>
      <c r="I425" s="96">
        <v>12971400</v>
      </c>
      <c r="J425" s="129">
        <f t="shared" si="89"/>
        <v>0</v>
      </c>
      <c r="K425" s="129"/>
      <c r="L425" s="96">
        <v>12971400</v>
      </c>
    </row>
    <row r="426" spans="1:12" outlineLevel="5" x14ac:dyDescent="0.25">
      <c r="A426" s="109" t="s">
        <v>100</v>
      </c>
      <c r="B426" s="110" t="s">
        <v>500</v>
      </c>
      <c r="C426" s="110" t="s">
        <v>101</v>
      </c>
      <c r="D426" s="110" t="s">
        <v>126</v>
      </c>
      <c r="E426" s="111" t="s">
        <v>6</v>
      </c>
      <c r="F426" s="122">
        <f>F427</f>
        <v>924454.33</v>
      </c>
      <c r="G426" s="122">
        <f>G427</f>
        <v>1838310</v>
      </c>
      <c r="H426" s="122">
        <f>H427</f>
        <v>2563559</v>
      </c>
      <c r="I426" s="115">
        <f>I427</f>
        <v>2763559</v>
      </c>
      <c r="J426" s="129">
        <f t="shared" si="89"/>
        <v>200000</v>
      </c>
      <c r="K426" s="129"/>
      <c r="L426" s="115">
        <f>L427</f>
        <v>2763559</v>
      </c>
    </row>
    <row r="427" spans="1:12" outlineLevel="5" x14ac:dyDescent="0.25">
      <c r="A427" s="81" t="s">
        <v>301</v>
      </c>
      <c r="B427" s="80" t="s">
        <v>500</v>
      </c>
      <c r="C427" s="80" t="s">
        <v>300</v>
      </c>
      <c r="D427" s="80" t="s">
        <v>126</v>
      </c>
      <c r="E427" s="83" t="s">
        <v>6</v>
      </c>
      <c r="F427" s="98">
        <f>F428+F445</f>
        <v>924454.33</v>
      </c>
      <c r="G427" s="98">
        <f>G428+G445</f>
        <v>1838310</v>
      </c>
      <c r="H427" s="98">
        <f>H428+H445</f>
        <v>2563559</v>
      </c>
      <c r="I427" s="108">
        <f>I428+I445</f>
        <v>2763559</v>
      </c>
      <c r="J427" s="129">
        <f t="shared" si="89"/>
        <v>200000</v>
      </c>
      <c r="K427" s="129"/>
      <c r="L427" s="108">
        <f>L428+L445</f>
        <v>2763559</v>
      </c>
    </row>
    <row r="428" spans="1:12" ht="73.400000000000006" outlineLevel="5" x14ac:dyDescent="0.25">
      <c r="A428" s="109" t="s">
        <v>377</v>
      </c>
      <c r="B428" s="110" t="s">
        <v>500</v>
      </c>
      <c r="C428" s="110" t="s">
        <v>300</v>
      </c>
      <c r="D428" s="110" t="s">
        <v>200</v>
      </c>
      <c r="E428" s="111" t="s">
        <v>6</v>
      </c>
      <c r="F428" s="122">
        <f>F435+F429</f>
        <v>874454.33</v>
      </c>
      <c r="G428" s="122">
        <f>G429+G435</f>
        <v>1788310</v>
      </c>
      <c r="H428" s="122">
        <f>H429+H435</f>
        <v>2513559</v>
      </c>
      <c r="I428" s="115">
        <f>I429+I435</f>
        <v>2713559</v>
      </c>
      <c r="J428" s="129">
        <f t="shared" si="89"/>
        <v>200000</v>
      </c>
      <c r="K428" s="129"/>
      <c r="L428" s="115">
        <f>L429+L435</f>
        <v>2713559</v>
      </c>
    </row>
    <row r="429" spans="1:12" ht="55.05" outlineLevel="7" x14ac:dyDescent="0.25">
      <c r="A429" s="81" t="s">
        <v>213</v>
      </c>
      <c r="B429" s="80" t="s">
        <v>500</v>
      </c>
      <c r="C429" s="80" t="s">
        <v>300</v>
      </c>
      <c r="D429" s="80" t="s">
        <v>230</v>
      </c>
      <c r="E429" s="83" t="s">
        <v>6</v>
      </c>
      <c r="F429" s="98">
        <f>F430</f>
        <v>661000</v>
      </c>
      <c r="G429" s="98">
        <f>G430</f>
        <v>661000</v>
      </c>
      <c r="H429" s="98">
        <f>H430</f>
        <v>661000</v>
      </c>
      <c r="I429" s="108">
        <f>I430</f>
        <v>861000</v>
      </c>
      <c r="J429" s="129">
        <f t="shared" si="89"/>
        <v>200000</v>
      </c>
      <c r="K429" s="129"/>
      <c r="L429" s="108">
        <f>L430</f>
        <v>861000</v>
      </c>
    </row>
    <row r="430" spans="1:12" ht="36.700000000000003" outlineLevel="7" x14ac:dyDescent="0.25">
      <c r="A430" s="81" t="s">
        <v>102</v>
      </c>
      <c r="B430" s="80" t="s">
        <v>500</v>
      </c>
      <c r="C430" s="80" t="s">
        <v>300</v>
      </c>
      <c r="D430" s="80" t="s">
        <v>201</v>
      </c>
      <c r="E430" s="83" t="s">
        <v>6</v>
      </c>
      <c r="F430" s="98">
        <f>F431+F433</f>
        <v>661000</v>
      </c>
      <c r="G430" s="98">
        <f>G431+G433</f>
        <v>661000</v>
      </c>
      <c r="H430" s="98">
        <f>H431+H433</f>
        <v>661000</v>
      </c>
      <c r="I430" s="108">
        <f>I431+I433</f>
        <v>861000</v>
      </c>
      <c r="J430" s="129">
        <f t="shared" si="89"/>
        <v>200000</v>
      </c>
      <c r="K430" s="129"/>
      <c r="L430" s="108">
        <f>L431+L433</f>
        <v>861000</v>
      </c>
    </row>
    <row r="431" spans="1:12" ht="18.7" customHeight="1" outlineLevel="7" x14ac:dyDescent="0.25">
      <c r="A431" s="81" t="s">
        <v>15</v>
      </c>
      <c r="B431" s="80" t="s">
        <v>500</v>
      </c>
      <c r="C431" s="80" t="s">
        <v>300</v>
      </c>
      <c r="D431" s="80" t="s">
        <v>201</v>
      </c>
      <c r="E431" s="83" t="s">
        <v>16</v>
      </c>
      <c r="F431" s="98">
        <f>F432</f>
        <v>631000</v>
      </c>
      <c r="G431" s="98">
        <f>G432</f>
        <v>631000</v>
      </c>
      <c r="H431" s="98">
        <f>H432</f>
        <v>631000</v>
      </c>
      <c r="I431" s="108">
        <f>I432</f>
        <v>831000</v>
      </c>
      <c r="J431" s="129">
        <f t="shared" si="89"/>
        <v>200000</v>
      </c>
      <c r="K431" s="129"/>
      <c r="L431" s="108">
        <f>L432</f>
        <v>831000</v>
      </c>
    </row>
    <row r="432" spans="1:12" ht="55.05" outlineLevel="7" x14ac:dyDescent="0.25">
      <c r="A432" s="81" t="s">
        <v>17</v>
      </c>
      <c r="B432" s="80" t="s">
        <v>500</v>
      </c>
      <c r="C432" s="80" t="s">
        <v>300</v>
      </c>
      <c r="D432" s="80" t="s">
        <v>201</v>
      </c>
      <c r="E432" s="83" t="s">
        <v>18</v>
      </c>
      <c r="F432" s="82">
        <v>631000</v>
      </c>
      <c r="G432" s="82">
        <v>631000</v>
      </c>
      <c r="H432" s="131">
        <f>631000</f>
        <v>631000</v>
      </c>
      <c r="I432" s="117">
        <f>631000+200000</f>
        <v>831000</v>
      </c>
      <c r="J432" s="129">
        <f t="shared" si="89"/>
        <v>200000</v>
      </c>
      <c r="K432" s="129"/>
      <c r="L432" s="117">
        <f>631000+200000</f>
        <v>831000</v>
      </c>
    </row>
    <row r="433" spans="1:12" ht="21.25" customHeight="1" outlineLevel="7" x14ac:dyDescent="0.25">
      <c r="A433" s="81" t="s">
        <v>271</v>
      </c>
      <c r="B433" s="80" t="s">
        <v>500</v>
      </c>
      <c r="C433" s="80" t="s">
        <v>300</v>
      </c>
      <c r="D433" s="80" t="s">
        <v>201</v>
      </c>
      <c r="E433" s="83" t="s">
        <v>20</v>
      </c>
      <c r="F433" s="98">
        <f>F434</f>
        <v>30000</v>
      </c>
      <c r="G433" s="98">
        <f>G434</f>
        <v>30000</v>
      </c>
      <c r="H433" s="98">
        <f>H434</f>
        <v>30000</v>
      </c>
      <c r="I433" s="108">
        <f>I434</f>
        <v>30000</v>
      </c>
      <c r="J433" s="129">
        <f t="shared" si="89"/>
        <v>0</v>
      </c>
      <c r="K433" s="129"/>
      <c r="L433" s="108">
        <f>L434</f>
        <v>30000</v>
      </c>
    </row>
    <row r="434" spans="1:12" ht="21.25" customHeight="1" outlineLevel="7" x14ac:dyDescent="0.25">
      <c r="A434" s="81" t="s">
        <v>272</v>
      </c>
      <c r="B434" s="80" t="s">
        <v>500</v>
      </c>
      <c r="C434" s="80" t="s">
        <v>300</v>
      </c>
      <c r="D434" s="80" t="s">
        <v>201</v>
      </c>
      <c r="E434" s="83" t="s">
        <v>22</v>
      </c>
      <c r="F434" s="82">
        <v>30000</v>
      </c>
      <c r="G434" s="82">
        <v>30000</v>
      </c>
      <c r="H434" s="98">
        <v>30000</v>
      </c>
      <c r="I434" s="108">
        <v>30000</v>
      </c>
      <c r="J434" s="129">
        <f t="shared" si="89"/>
        <v>0</v>
      </c>
      <c r="K434" s="129"/>
      <c r="L434" s="108">
        <v>30000</v>
      </c>
    </row>
    <row r="435" spans="1:12" ht="21.25" customHeight="1" outlineLevel="7" x14ac:dyDescent="0.25">
      <c r="A435" s="81" t="s">
        <v>378</v>
      </c>
      <c r="B435" s="80" t="s">
        <v>500</v>
      </c>
      <c r="C435" s="80" t="s">
        <v>300</v>
      </c>
      <c r="D435" s="80" t="s">
        <v>303</v>
      </c>
      <c r="E435" s="83" t="s">
        <v>6</v>
      </c>
      <c r="F435" s="98">
        <f>F436+F439+F442</f>
        <v>213454.33</v>
      </c>
      <c r="G435" s="98">
        <f>G436+G439+G442</f>
        <v>1127310</v>
      </c>
      <c r="H435" s="98">
        <f>H436+H439+H442</f>
        <v>1852559</v>
      </c>
      <c r="I435" s="98">
        <f>I436+I439+I442</f>
        <v>1852559</v>
      </c>
      <c r="J435" s="129">
        <f t="shared" si="89"/>
        <v>0</v>
      </c>
      <c r="K435" s="129"/>
      <c r="L435" s="98">
        <f>L436+L439+L442</f>
        <v>1852559</v>
      </c>
    </row>
    <row r="436" spans="1:12" ht="21.25" customHeight="1" outlineLevel="7" x14ac:dyDescent="0.25">
      <c r="A436" s="81" t="s">
        <v>281</v>
      </c>
      <c r="B436" s="80" t="s">
        <v>500</v>
      </c>
      <c r="C436" s="80" t="s">
        <v>300</v>
      </c>
      <c r="D436" s="80" t="s">
        <v>302</v>
      </c>
      <c r="E436" s="83" t="s">
        <v>6</v>
      </c>
      <c r="F436" s="98">
        <f>F437</f>
        <v>213454.33</v>
      </c>
      <c r="G436" s="82">
        <f t="shared" ref="G436:I437" si="92">G437</f>
        <v>1127310</v>
      </c>
      <c r="H436" s="82">
        <f t="shared" si="92"/>
        <v>1127310</v>
      </c>
      <c r="I436" s="96">
        <f t="shared" si="92"/>
        <v>1127310</v>
      </c>
      <c r="J436" s="129">
        <f t="shared" si="89"/>
        <v>0</v>
      </c>
      <c r="K436" s="129"/>
      <c r="L436" s="96">
        <f>L437</f>
        <v>1127310</v>
      </c>
    </row>
    <row r="437" spans="1:12" ht="21.25" customHeight="1" outlineLevel="7" x14ac:dyDescent="0.25">
      <c r="A437" s="81" t="s">
        <v>264</v>
      </c>
      <c r="B437" s="80" t="s">
        <v>500</v>
      </c>
      <c r="C437" s="80" t="s">
        <v>300</v>
      </c>
      <c r="D437" s="80" t="s">
        <v>302</v>
      </c>
      <c r="E437" s="83" t="s">
        <v>265</v>
      </c>
      <c r="F437" s="98">
        <f>F438</f>
        <v>213454.33</v>
      </c>
      <c r="G437" s="82">
        <f t="shared" si="92"/>
        <v>1127310</v>
      </c>
      <c r="H437" s="82">
        <f t="shared" si="92"/>
        <v>1127310</v>
      </c>
      <c r="I437" s="96">
        <f t="shared" si="92"/>
        <v>1127310</v>
      </c>
      <c r="J437" s="129">
        <f t="shared" si="89"/>
        <v>0</v>
      </c>
      <c r="K437" s="129"/>
      <c r="L437" s="96">
        <f>L438</f>
        <v>1127310</v>
      </c>
    </row>
    <row r="438" spans="1:12" ht="21.25" customHeight="1" outlineLevel="7" x14ac:dyDescent="0.25">
      <c r="A438" s="81" t="s">
        <v>266</v>
      </c>
      <c r="B438" s="80" t="s">
        <v>500</v>
      </c>
      <c r="C438" s="80" t="s">
        <v>300</v>
      </c>
      <c r="D438" s="80" t="s">
        <v>302</v>
      </c>
      <c r="E438" s="83" t="s">
        <v>267</v>
      </c>
      <c r="F438" s="82">
        <v>213454.33</v>
      </c>
      <c r="G438" s="82">
        <v>1127310</v>
      </c>
      <c r="H438" s="98">
        <v>1127310</v>
      </c>
      <c r="I438" s="108">
        <v>1127310</v>
      </c>
      <c r="J438" s="129">
        <f t="shared" si="89"/>
        <v>0</v>
      </c>
      <c r="K438" s="129"/>
      <c r="L438" s="108">
        <v>1127310</v>
      </c>
    </row>
    <row r="439" spans="1:12" ht="80.5" customHeight="1" outlineLevel="7" x14ac:dyDescent="0.3">
      <c r="A439" s="81" t="s">
        <v>763</v>
      </c>
      <c r="B439" s="80" t="s">
        <v>500</v>
      </c>
      <c r="C439" s="80" t="s">
        <v>300</v>
      </c>
      <c r="D439" s="80" t="s">
        <v>764</v>
      </c>
      <c r="E439" s="83" t="s">
        <v>6</v>
      </c>
      <c r="F439" s="53">
        <f>F440</f>
        <v>0</v>
      </c>
      <c r="G439" s="53">
        <f t="shared" ref="G439:I440" si="93">G440</f>
        <v>0</v>
      </c>
      <c r="H439" s="53">
        <f t="shared" si="93"/>
        <v>703249</v>
      </c>
      <c r="I439" s="53">
        <f t="shared" si="93"/>
        <v>703249</v>
      </c>
      <c r="J439" s="129">
        <f t="shared" si="89"/>
        <v>0</v>
      </c>
      <c r="K439" s="129"/>
      <c r="L439" s="53">
        <f>L440</f>
        <v>703249</v>
      </c>
    </row>
    <row r="440" spans="1:12" ht="21.25" customHeight="1" outlineLevel="7" x14ac:dyDescent="0.3">
      <c r="A440" s="81" t="s">
        <v>37</v>
      </c>
      <c r="B440" s="80" t="s">
        <v>500</v>
      </c>
      <c r="C440" s="80" t="s">
        <v>300</v>
      </c>
      <c r="D440" s="80" t="s">
        <v>764</v>
      </c>
      <c r="E440" s="83" t="s">
        <v>38</v>
      </c>
      <c r="F440" s="53">
        <f>F441</f>
        <v>0</v>
      </c>
      <c r="G440" s="53">
        <f t="shared" si="93"/>
        <v>0</v>
      </c>
      <c r="H440" s="53">
        <f t="shared" si="93"/>
        <v>703249</v>
      </c>
      <c r="I440" s="53">
        <f t="shared" si="93"/>
        <v>703249</v>
      </c>
      <c r="J440" s="129">
        <f t="shared" si="89"/>
        <v>0</v>
      </c>
      <c r="K440" s="129"/>
      <c r="L440" s="53">
        <f>L441</f>
        <v>703249</v>
      </c>
    </row>
    <row r="441" spans="1:12" ht="21.25" customHeight="1" outlineLevel="7" x14ac:dyDescent="0.3">
      <c r="A441" s="81" t="s">
        <v>74</v>
      </c>
      <c r="B441" s="80" t="s">
        <v>500</v>
      </c>
      <c r="C441" s="80" t="s">
        <v>300</v>
      </c>
      <c r="D441" s="80" t="s">
        <v>764</v>
      </c>
      <c r="E441" s="83" t="s">
        <v>75</v>
      </c>
      <c r="F441" s="53">
        <v>0</v>
      </c>
      <c r="G441" s="98">
        <v>0</v>
      </c>
      <c r="H441" s="98">
        <v>703249</v>
      </c>
      <c r="I441" s="108">
        <v>703249</v>
      </c>
      <c r="J441" s="129">
        <f t="shared" si="89"/>
        <v>0</v>
      </c>
      <c r="K441" s="129"/>
      <c r="L441" s="108">
        <v>703249</v>
      </c>
    </row>
    <row r="442" spans="1:12" ht="80.5" customHeight="1" outlineLevel="7" x14ac:dyDescent="0.3">
      <c r="A442" s="81" t="s">
        <v>770</v>
      </c>
      <c r="B442" s="80" t="s">
        <v>500</v>
      </c>
      <c r="C442" s="80" t="s">
        <v>300</v>
      </c>
      <c r="D442" s="80" t="s">
        <v>769</v>
      </c>
      <c r="E442" s="83" t="s">
        <v>6</v>
      </c>
      <c r="F442" s="53">
        <f>F443</f>
        <v>0</v>
      </c>
      <c r="G442" s="53">
        <f t="shared" ref="G442:I443" si="94">G443</f>
        <v>0</v>
      </c>
      <c r="H442" s="53">
        <f t="shared" si="94"/>
        <v>22000</v>
      </c>
      <c r="I442" s="53">
        <f t="shared" si="94"/>
        <v>22000</v>
      </c>
      <c r="J442" s="129">
        <f t="shared" si="89"/>
        <v>0</v>
      </c>
      <c r="K442" s="129"/>
      <c r="L442" s="53">
        <f>L443</f>
        <v>22000</v>
      </c>
    </row>
    <row r="443" spans="1:12" ht="21.25" customHeight="1" outlineLevel="7" x14ac:dyDescent="0.3">
      <c r="A443" s="81" t="s">
        <v>37</v>
      </c>
      <c r="B443" s="80" t="s">
        <v>500</v>
      </c>
      <c r="C443" s="80" t="s">
        <v>300</v>
      </c>
      <c r="D443" s="80" t="s">
        <v>769</v>
      </c>
      <c r="E443" s="83" t="s">
        <v>38</v>
      </c>
      <c r="F443" s="53">
        <f>F444</f>
        <v>0</v>
      </c>
      <c r="G443" s="53">
        <f t="shared" si="94"/>
        <v>0</v>
      </c>
      <c r="H443" s="53">
        <f t="shared" si="94"/>
        <v>22000</v>
      </c>
      <c r="I443" s="53">
        <f t="shared" si="94"/>
        <v>22000</v>
      </c>
      <c r="J443" s="129">
        <f t="shared" si="89"/>
        <v>0</v>
      </c>
      <c r="K443" s="129"/>
      <c r="L443" s="53">
        <f>L444</f>
        <v>22000</v>
      </c>
    </row>
    <row r="444" spans="1:12" ht="21.25" customHeight="1" outlineLevel="7" x14ac:dyDescent="0.3">
      <c r="A444" s="81" t="s">
        <v>74</v>
      </c>
      <c r="B444" s="80" t="s">
        <v>500</v>
      </c>
      <c r="C444" s="80" t="s">
        <v>300</v>
      </c>
      <c r="D444" s="80" t="s">
        <v>769</v>
      </c>
      <c r="E444" s="83" t="s">
        <v>75</v>
      </c>
      <c r="F444" s="53"/>
      <c r="G444" s="98"/>
      <c r="H444" s="98">
        <v>22000</v>
      </c>
      <c r="I444" s="108">
        <v>22000</v>
      </c>
      <c r="J444" s="129">
        <f t="shared" si="89"/>
        <v>0</v>
      </c>
      <c r="K444" s="129"/>
      <c r="L444" s="108">
        <v>22000</v>
      </c>
    </row>
    <row r="445" spans="1:12" ht="73.400000000000006" outlineLevel="7" x14ac:dyDescent="0.25">
      <c r="A445" s="114" t="s">
        <v>462</v>
      </c>
      <c r="B445" s="110" t="s">
        <v>500</v>
      </c>
      <c r="C445" s="110" t="s">
        <v>300</v>
      </c>
      <c r="D445" s="110" t="s">
        <v>463</v>
      </c>
      <c r="E445" s="111" t="s">
        <v>6</v>
      </c>
      <c r="F445" s="82">
        <f>F446</f>
        <v>50000</v>
      </c>
      <c r="G445" s="82">
        <f t="shared" ref="G445:I448" si="95">G446</f>
        <v>50000</v>
      </c>
      <c r="H445" s="82">
        <f t="shared" si="95"/>
        <v>50000</v>
      </c>
      <c r="I445" s="96">
        <f t="shared" si="95"/>
        <v>50000</v>
      </c>
      <c r="J445" s="129">
        <f t="shared" si="89"/>
        <v>0</v>
      </c>
      <c r="K445" s="129"/>
      <c r="L445" s="96">
        <f>L446</f>
        <v>50000</v>
      </c>
    </row>
    <row r="446" spans="1:12" ht="39.75" customHeight="1" outlineLevel="7" x14ac:dyDescent="0.25">
      <c r="A446" s="113" t="s">
        <v>464</v>
      </c>
      <c r="B446" s="80" t="s">
        <v>500</v>
      </c>
      <c r="C446" s="80" t="s">
        <v>300</v>
      </c>
      <c r="D446" s="80" t="s">
        <v>465</v>
      </c>
      <c r="E446" s="83" t="s">
        <v>6</v>
      </c>
      <c r="F446" s="82">
        <f>F447</f>
        <v>50000</v>
      </c>
      <c r="G446" s="82">
        <f t="shared" si="95"/>
        <v>50000</v>
      </c>
      <c r="H446" s="82">
        <f t="shared" si="95"/>
        <v>50000</v>
      </c>
      <c r="I446" s="96">
        <f t="shared" si="95"/>
        <v>50000</v>
      </c>
      <c r="J446" s="129">
        <f t="shared" si="89"/>
        <v>0</v>
      </c>
      <c r="K446" s="129"/>
      <c r="L446" s="96">
        <f>L447</f>
        <v>50000</v>
      </c>
    </row>
    <row r="447" spans="1:12" ht="55.05" outlineLevel="7" x14ac:dyDescent="0.25">
      <c r="A447" s="81" t="s">
        <v>466</v>
      </c>
      <c r="B447" s="80" t="s">
        <v>500</v>
      </c>
      <c r="C447" s="80" t="s">
        <v>300</v>
      </c>
      <c r="D447" s="80" t="s">
        <v>467</v>
      </c>
      <c r="E447" s="83" t="s">
        <v>6</v>
      </c>
      <c r="F447" s="82">
        <f>F448</f>
        <v>50000</v>
      </c>
      <c r="G447" s="82">
        <f t="shared" si="95"/>
        <v>50000</v>
      </c>
      <c r="H447" s="82">
        <f t="shared" si="95"/>
        <v>50000</v>
      </c>
      <c r="I447" s="96">
        <f t="shared" si="95"/>
        <v>50000</v>
      </c>
      <c r="J447" s="129">
        <f t="shared" si="89"/>
        <v>0</v>
      </c>
      <c r="K447" s="129"/>
      <c r="L447" s="96">
        <f>L448</f>
        <v>50000</v>
      </c>
    </row>
    <row r="448" spans="1:12" ht="23.95" customHeight="1" outlineLevel="7" x14ac:dyDescent="0.25">
      <c r="A448" s="81" t="s">
        <v>15</v>
      </c>
      <c r="B448" s="80" t="s">
        <v>500</v>
      </c>
      <c r="C448" s="80" t="s">
        <v>300</v>
      </c>
      <c r="D448" s="80" t="s">
        <v>467</v>
      </c>
      <c r="E448" s="83" t="s">
        <v>16</v>
      </c>
      <c r="F448" s="82">
        <f>F449</f>
        <v>50000</v>
      </c>
      <c r="G448" s="82">
        <f t="shared" si="95"/>
        <v>50000</v>
      </c>
      <c r="H448" s="82">
        <f t="shared" si="95"/>
        <v>50000</v>
      </c>
      <c r="I448" s="96">
        <f t="shared" si="95"/>
        <v>50000</v>
      </c>
      <c r="J448" s="129">
        <f t="shared" si="89"/>
        <v>0</v>
      </c>
      <c r="K448" s="129"/>
      <c r="L448" s="96">
        <f>L449</f>
        <v>50000</v>
      </c>
    </row>
    <row r="449" spans="1:12" ht="55.05" outlineLevel="7" x14ac:dyDescent="0.25">
      <c r="A449" s="81" t="s">
        <v>17</v>
      </c>
      <c r="B449" s="80" t="s">
        <v>500</v>
      </c>
      <c r="C449" s="80" t="s">
        <v>300</v>
      </c>
      <c r="D449" s="80" t="s">
        <v>467</v>
      </c>
      <c r="E449" s="83" t="s">
        <v>18</v>
      </c>
      <c r="F449" s="82">
        <v>50000</v>
      </c>
      <c r="G449" s="82">
        <v>50000</v>
      </c>
      <c r="H449" s="98">
        <v>50000</v>
      </c>
      <c r="I449" s="108">
        <v>50000</v>
      </c>
      <c r="J449" s="129">
        <f t="shared" si="89"/>
        <v>0</v>
      </c>
      <c r="K449" s="129"/>
      <c r="L449" s="108">
        <v>50000</v>
      </c>
    </row>
    <row r="450" spans="1:12" ht="36.700000000000003" outlineLevel="2" x14ac:dyDescent="0.25">
      <c r="A450" s="109" t="s">
        <v>103</v>
      </c>
      <c r="B450" s="80" t="s">
        <v>500</v>
      </c>
      <c r="C450" s="110" t="s">
        <v>104</v>
      </c>
      <c r="D450" s="110" t="s">
        <v>126</v>
      </c>
      <c r="E450" s="111" t="s">
        <v>6</v>
      </c>
      <c r="F450" s="85">
        <f t="shared" ref="F450:F455" si="96">F451</f>
        <v>2500000</v>
      </c>
      <c r="G450" s="85">
        <f t="shared" ref="G450:I455" si="97">G451</f>
        <v>1000000</v>
      </c>
      <c r="H450" s="85">
        <f t="shared" si="97"/>
        <v>2500000</v>
      </c>
      <c r="I450" s="112">
        <f t="shared" si="97"/>
        <v>2500000</v>
      </c>
      <c r="J450" s="129">
        <f t="shared" si="89"/>
        <v>0</v>
      </c>
      <c r="K450" s="129"/>
      <c r="L450" s="112">
        <f t="shared" ref="L450:L455" si="98">L451</f>
        <v>2500000</v>
      </c>
    </row>
    <row r="451" spans="1:12" outlineLevel="3" x14ac:dyDescent="0.25">
      <c r="A451" s="81" t="s">
        <v>105</v>
      </c>
      <c r="B451" s="80" t="s">
        <v>500</v>
      </c>
      <c r="C451" s="80" t="s">
        <v>106</v>
      </c>
      <c r="D451" s="80" t="s">
        <v>126</v>
      </c>
      <c r="E451" s="83" t="s">
        <v>6</v>
      </c>
      <c r="F451" s="82">
        <f t="shared" si="96"/>
        <v>2500000</v>
      </c>
      <c r="G451" s="82">
        <f t="shared" si="97"/>
        <v>1000000</v>
      </c>
      <c r="H451" s="82">
        <f t="shared" si="97"/>
        <v>2500000</v>
      </c>
      <c r="I451" s="96">
        <f t="shared" si="97"/>
        <v>2500000</v>
      </c>
      <c r="J451" s="129">
        <f t="shared" si="89"/>
        <v>0</v>
      </c>
      <c r="K451" s="129"/>
      <c r="L451" s="96">
        <f t="shared" si="98"/>
        <v>2500000</v>
      </c>
    </row>
    <row r="452" spans="1:12" ht="36.700000000000003" customHeight="1" outlineLevel="3" x14ac:dyDescent="0.25">
      <c r="A452" s="109" t="s">
        <v>427</v>
      </c>
      <c r="B452" s="80" t="s">
        <v>500</v>
      </c>
      <c r="C452" s="110" t="s">
        <v>106</v>
      </c>
      <c r="D452" s="110" t="s">
        <v>317</v>
      </c>
      <c r="E452" s="111" t="s">
        <v>6</v>
      </c>
      <c r="F452" s="85">
        <f t="shared" si="96"/>
        <v>2500000</v>
      </c>
      <c r="G452" s="85">
        <f>G453</f>
        <v>1000000</v>
      </c>
      <c r="H452" s="85">
        <f>H453</f>
        <v>2500000</v>
      </c>
      <c r="I452" s="112">
        <f>I453</f>
        <v>2500000</v>
      </c>
      <c r="J452" s="129">
        <f t="shared" si="89"/>
        <v>0</v>
      </c>
      <c r="K452" s="129"/>
      <c r="L452" s="112">
        <f>L453</f>
        <v>2500000</v>
      </c>
    </row>
    <row r="453" spans="1:12" ht="55.05" outlineLevel="3" x14ac:dyDescent="0.25">
      <c r="A453" s="113" t="s">
        <v>327</v>
      </c>
      <c r="B453" s="80" t="s">
        <v>500</v>
      </c>
      <c r="C453" s="80" t="s">
        <v>106</v>
      </c>
      <c r="D453" s="80" t="s">
        <v>318</v>
      </c>
      <c r="E453" s="83" t="s">
        <v>6</v>
      </c>
      <c r="F453" s="82">
        <f t="shared" si="96"/>
        <v>2500000</v>
      </c>
      <c r="G453" s="82">
        <f t="shared" si="97"/>
        <v>1000000</v>
      </c>
      <c r="H453" s="82">
        <f t="shared" si="97"/>
        <v>2500000</v>
      </c>
      <c r="I453" s="96">
        <f t="shared" si="97"/>
        <v>2500000</v>
      </c>
      <c r="J453" s="129">
        <f t="shared" si="89"/>
        <v>0</v>
      </c>
      <c r="K453" s="129"/>
      <c r="L453" s="96">
        <f t="shared" si="98"/>
        <v>2500000</v>
      </c>
    </row>
    <row r="454" spans="1:12" ht="73.400000000000006" outlineLevel="3" x14ac:dyDescent="0.25">
      <c r="A454" s="81" t="s">
        <v>107</v>
      </c>
      <c r="B454" s="80" t="s">
        <v>500</v>
      </c>
      <c r="C454" s="80" t="s">
        <v>106</v>
      </c>
      <c r="D454" s="80" t="s">
        <v>319</v>
      </c>
      <c r="E454" s="83" t="s">
        <v>6</v>
      </c>
      <c r="F454" s="82">
        <f t="shared" si="96"/>
        <v>2500000</v>
      </c>
      <c r="G454" s="82">
        <f t="shared" si="97"/>
        <v>1000000</v>
      </c>
      <c r="H454" s="82">
        <f t="shared" si="97"/>
        <v>2500000</v>
      </c>
      <c r="I454" s="96">
        <f t="shared" si="97"/>
        <v>2500000</v>
      </c>
      <c r="J454" s="129">
        <f t="shared" si="89"/>
        <v>0</v>
      </c>
      <c r="K454" s="129"/>
      <c r="L454" s="96">
        <f t="shared" si="98"/>
        <v>2500000</v>
      </c>
    </row>
    <row r="455" spans="1:12" ht="55.05" outlineLevel="3" x14ac:dyDescent="0.25">
      <c r="A455" s="81" t="s">
        <v>37</v>
      </c>
      <c r="B455" s="80" t="s">
        <v>500</v>
      </c>
      <c r="C455" s="80" t="s">
        <v>106</v>
      </c>
      <c r="D455" s="80" t="s">
        <v>319</v>
      </c>
      <c r="E455" s="83" t="s">
        <v>38</v>
      </c>
      <c r="F455" s="82">
        <f t="shared" si="96"/>
        <v>2500000</v>
      </c>
      <c r="G455" s="82">
        <f t="shared" si="97"/>
        <v>1000000</v>
      </c>
      <c r="H455" s="82">
        <f t="shared" si="97"/>
        <v>2500000</v>
      </c>
      <c r="I455" s="96">
        <f t="shared" si="97"/>
        <v>2500000</v>
      </c>
      <c r="J455" s="129">
        <f t="shared" si="89"/>
        <v>0</v>
      </c>
      <c r="K455" s="129"/>
      <c r="L455" s="96">
        <f t="shared" si="98"/>
        <v>2500000</v>
      </c>
    </row>
    <row r="456" spans="1:12" outlineLevel="3" x14ac:dyDescent="0.25">
      <c r="A456" s="81" t="s">
        <v>39</v>
      </c>
      <c r="B456" s="80" t="s">
        <v>500</v>
      </c>
      <c r="C456" s="80" t="s">
        <v>106</v>
      </c>
      <c r="D456" s="80" t="s">
        <v>319</v>
      </c>
      <c r="E456" s="83" t="s">
        <v>40</v>
      </c>
      <c r="F456" s="82">
        <v>2500000</v>
      </c>
      <c r="G456" s="82">
        <v>1000000</v>
      </c>
      <c r="H456" s="82">
        <v>2500000</v>
      </c>
      <c r="I456" s="96">
        <v>2500000</v>
      </c>
      <c r="J456" s="129">
        <f t="shared" si="89"/>
        <v>0</v>
      </c>
      <c r="K456" s="129"/>
      <c r="L456" s="96">
        <v>2500000</v>
      </c>
    </row>
    <row r="457" spans="1:12" ht="36.700000000000003" outlineLevel="3" x14ac:dyDescent="0.25">
      <c r="A457" s="104" t="s">
        <v>527</v>
      </c>
      <c r="B457" s="105" t="s">
        <v>501</v>
      </c>
      <c r="C457" s="105" t="s">
        <v>5</v>
      </c>
      <c r="D457" s="105" t="s">
        <v>126</v>
      </c>
      <c r="E457" s="106" t="s">
        <v>6</v>
      </c>
      <c r="F457" s="128">
        <f>F458</f>
        <v>6730444</v>
      </c>
      <c r="G457" s="128">
        <f>G458</f>
        <v>4972227</v>
      </c>
      <c r="H457" s="128">
        <f>H458</f>
        <v>5604070.29</v>
      </c>
      <c r="I457" s="107">
        <f>I458</f>
        <v>5604070.29</v>
      </c>
      <c r="J457" s="129">
        <f t="shared" si="89"/>
        <v>0</v>
      </c>
      <c r="K457" s="129"/>
      <c r="L457" s="107">
        <f>L458</f>
        <v>5604070.29</v>
      </c>
    </row>
    <row r="458" spans="1:12" ht="36.700000000000003" outlineLevel="3" x14ac:dyDescent="0.25">
      <c r="A458" s="81" t="s">
        <v>7</v>
      </c>
      <c r="B458" s="80" t="s">
        <v>501</v>
      </c>
      <c r="C458" s="80" t="s">
        <v>8</v>
      </c>
      <c r="D458" s="80" t="s">
        <v>126</v>
      </c>
      <c r="E458" s="83" t="s">
        <v>6</v>
      </c>
      <c r="F458" s="82">
        <f>F459+F474+F479+F489</f>
        <v>6730444</v>
      </c>
      <c r="G458" s="82">
        <f>G459+G474+G479</f>
        <v>4972227</v>
      </c>
      <c r="H458" s="82">
        <f>H459+H474+H479</f>
        <v>5604070.29</v>
      </c>
      <c r="I458" s="96">
        <f>I459+I474+I479</f>
        <v>5604070.29</v>
      </c>
      <c r="J458" s="129">
        <f t="shared" si="89"/>
        <v>0</v>
      </c>
      <c r="K458" s="129"/>
      <c r="L458" s="96">
        <f>L459+L474+L479</f>
        <v>5604070.29</v>
      </c>
    </row>
    <row r="459" spans="1:12" ht="91.7" outlineLevel="3" x14ac:dyDescent="0.25">
      <c r="A459" s="81" t="s">
        <v>108</v>
      </c>
      <c r="B459" s="80" t="s">
        <v>501</v>
      </c>
      <c r="C459" s="80" t="s">
        <v>109</v>
      </c>
      <c r="D459" s="80" t="s">
        <v>126</v>
      </c>
      <c r="E459" s="83" t="s">
        <v>6</v>
      </c>
      <c r="F459" s="82">
        <f>F460</f>
        <v>5053227</v>
      </c>
      <c r="G459" s="82">
        <f>G460</f>
        <v>4852227</v>
      </c>
      <c r="H459" s="82">
        <f>H460</f>
        <v>5466790.29</v>
      </c>
      <c r="I459" s="96">
        <f>I460</f>
        <v>5466790.29</v>
      </c>
      <c r="J459" s="129">
        <f t="shared" si="89"/>
        <v>0</v>
      </c>
      <c r="K459" s="129"/>
      <c r="L459" s="96">
        <f>L460</f>
        <v>5466790.29</v>
      </c>
    </row>
    <row r="460" spans="1:12" ht="55.05" outlineLevel="3" x14ac:dyDescent="0.25">
      <c r="A460" s="81" t="s">
        <v>132</v>
      </c>
      <c r="B460" s="80" t="s">
        <v>501</v>
      </c>
      <c r="C460" s="80" t="s">
        <v>109</v>
      </c>
      <c r="D460" s="80" t="s">
        <v>127</v>
      </c>
      <c r="E460" s="83" t="s">
        <v>6</v>
      </c>
      <c r="F460" s="82">
        <f>F461+F464+F471</f>
        <v>5053227</v>
      </c>
      <c r="G460" s="82">
        <f>G461+G464+G471</f>
        <v>4852227</v>
      </c>
      <c r="H460" s="82">
        <f>H461+H464+H471</f>
        <v>5466790.29</v>
      </c>
      <c r="I460" s="96">
        <f>I461+I464+I471</f>
        <v>5466790.29</v>
      </c>
      <c r="J460" s="129">
        <f t="shared" si="89"/>
        <v>0</v>
      </c>
      <c r="K460" s="129"/>
      <c r="L460" s="96">
        <f>L461+L464+L471</f>
        <v>5466790.29</v>
      </c>
    </row>
    <row r="461" spans="1:12" ht="36.700000000000003" outlineLevel="7" x14ac:dyDescent="0.25">
      <c r="A461" s="81" t="s">
        <v>528</v>
      </c>
      <c r="B461" s="80" t="s">
        <v>501</v>
      </c>
      <c r="C461" s="80" t="s">
        <v>109</v>
      </c>
      <c r="D461" s="80" t="s">
        <v>529</v>
      </c>
      <c r="E461" s="83" t="s">
        <v>6</v>
      </c>
      <c r="F461" s="82">
        <f t="shared" ref="F461:I462" si="99">F462</f>
        <v>2328541</v>
      </c>
      <c r="G461" s="82">
        <f t="shared" si="99"/>
        <v>2207541</v>
      </c>
      <c r="H461" s="82">
        <f t="shared" si="99"/>
        <v>2517857.96</v>
      </c>
      <c r="I461" s="96">
        <f t="shared" si="99"/>
        <v>2517857.96</v>
      </c>
      <c r="J461" s="129">
        <f t="shared" si="89"/>
        <v>0</v>
      </c>
      <c r="K461" s="129"/>
      <c r="L461" s="96">
        <f>L462</f>
        <v>2517857.96</v>
      </c>
    </row>
    <row r="462" spans="1:12" ht="57.25" customHeight="1" outlineLevel="7" x14ac:dyDescent="0.25">
      <c r="A462" s="81" t="s">
        <v>11</v>
      </c>
      <c r="B462" s="80" t="s">
        <v>501</v>
      </c>
      <c r="C462" s="80" t="s">
        <v>109</v>
      </c>
      <c r="D462" s="80" t="s">
        <v>529</v>
      </c>
      <c r="E462" s="83" t="s">
        <v>12</v>
      </c>
      <c r="F462" s="82">
        <f t="shared" si="99"/>
        <v>2328541</v>
      </c>
      <c r="G462" s="82">
        <f t="shared" si="99"/>
        <v>2207541</v>
      </c>
      <c r="H462" s="82">
        <f t="shared" si="99"/>
        <v>2517857.96</v>
      </c>
      <c r="I462" s="96">
        <f t="shared" si="99"/>
        <v>2517857.96</v>
      </c>
      <c r="J462" s="129">
        <f t="shared" si="89"/>
        <v>0</v>
      </c>
      <c r="K462" s="129"/>
      <c r="L462" s="96">
        <f>L463</f>
        <v>2517857.96</v>
      </c>
    </row>
    <row r="463" spans="1:12" ht="18.7" customHeight="1" outlineLevel="7" x14ac:dyDescent="0.25">
      <c r="A463" s="81" t="s">
        <v>13</v>
      </c>
      <c r="B463" s="80" t="s">
        <v>501</v>
      </c>
      <c r="C463" s="80" t="s">
        <v>109</v>
      </c>
      <c r="D463" s="80" t="s">
        <v>529</v>
      </c>
      <c r="E463" s="83" t="s">
        <v>14</v>
      </c>
      <c r="F463" s="98">
        <v>2328541</v>
      </c>
      <c r="G463" s="98">
        <v>2207541</v>
      </c>
      <c r="H463" s="98">
        <f>1961169.96+556688</f>
        <v>2517857.96</v>
      </c>
      <c r="I463" s="108">
        <v>2517857.96</v>
      </c>
      <c r="J463" s="129">
        <f t="shared" si="89"/>
        <v>0</v>
      </c>
      <c r="K463" s="129"/>
      <c r="L463" s="108">
        <v>2517857.96</v>
      </c>
    </row>
    <row r="464" spans="1:12" ht="73.400000000000006" outlineLevel="2" x14ac:dyDescent="0.25">
      <c r="A464" s="81" t="s">
        <v>494</v>
      </c>
      <c r="B464" s="80" t="s">
        <v>501</v>
      </c>
      <c r="C464" s="80" t="s">
        <v>109</v>
      </c>
      <c r="D464" s="80" t="s">
        <v>495</v>
      </c>
      <c r="E464" s="83" t="s">
        <v>6</v>
      </c>
      <c r="F464" s="82">
        <f>F465+F467+F469</f>
        <v>2544686</v>
      </c>
      <c r="G464" s="82">
        <f>G465+G467+G469</f>
        <v>2464686</v>
      </c>
      <c r="H464" s="82">
        <f>H465+H467+H469</f>
        <v>2768932.33</v>
      </c>
      <c r="I464" s="96">
        <f>I465+I467+I469</f>
        <v>2768932.33</v>
      </c>
      <c r="J464" s="129">
        <f t="shared" si="89"/>
        <v>0</v>
      </c>
      <c r="K464" s="129"/>
      <c r="L464" s="96">
        <f>L465+L467+L469</f>
        <v>2768932.33</v>
      </c>
    </row>
    <row r="465" spans="1:12" ht="57.25" customHeight="1" outlineLevel="3" x14ac:dyDescent="0.25">
      <c r="A465" s="81" t="s">
        <v>11</v>
      </c>
      <c r="B465" s="80" t="s">
        <v>501</v>
      </c>
      <c r="C465" s="80" t="s">
        <v>109</v>
      </c>
      <c r="D465" s="80" t="s">
        <v>495</v>
      </c>
      <c r="E465" s="83" t="s">
        <v>12</v>
      </c>
      <c r="F465" s="82">
        <f>F466</f>
        <v>2391186</v>
      </c>
      <c r="G465" s="82">
        <f>G466</f>
        <v>2319186</v>
      </c>
      <c r="H465" s="82">
        <f>H466</f>
        <v>2517432.33</v>
      </c>
      <c r="I465" s="96">
        <f>I466</f>
        <v>2517432.33</v>
      </c>
      <c r="J465" s="129">
        <f t="shared" si="89"/>
        <v>0</v>
      </c>
      <c r="K465" s="129"/>
      <c r="L465" s="96">
        <f>L466</f>
        <v>2517432.33</v>
      </c>
    </row>
    <row r="466" spans="1:12" ht="19.55" customHeight="1" outlineLevel="5" x14ac:dyDescent="0.25">
      <c r="A466" s="81" t="s">
        <v>13</v>
      </c>
      <c r="B466" s="80" t="s">
        <v>501</v>
      </c>
      <c r="C466" s="80" t="s">
        <v>109</v>
      </c>
      <c r="D466" s="80" t="s">
        <v>495</v>
      </c>
      <c r="E466" s="83" t="s">
        <v>14</v>
      </c>
      <c r="F466" s="98">
        <v>2391186</v>
      </c>
      <c r="G466" s="98">
        <v>2319186</v>
      </c>
      <c r="H466" s="82">
        <f>1933511.48+583920.85</f>
        <v>2517432.33</v>
      </c>
      <c r="I466" s="96">
        <v>2517432.33</v>
      </c>
      <c r="J466" s="129">
        <f t="shared" si="89"/>
        <v>0</v>
      </c>
      <c r="K466" s="129"/>
      <c r="L466" s="96">
        <v>2517432.33</v>
      </c>
    </row>
    <row r="467" spans="1:12" ht="19.55" customHeight="1" outlineLevel="6" x14ac:dyDescent="0.25">
      <c r="A467" s="81" t="s">
        <v>15</v>
      </c>
      <c r="B467" s="80" t="s">
        <v>501</v>
      </c>
      <c r="C467" s="80" t="s">
        <v>109</v>
      </c>
      <c r="D467" s="80" t="s">
        <v>495</v>
      </c>
      <c r="E467" s="83" t="s">
        <v>16</v>
      </c>
      <c r="F467" s="82">
        <f>F468</f>
        <v>148000</v>
      </c>
      <c r="G467" s="82">
        <f>G468</f>
        <v>140000</v>
      </c>
      <c r="H467" s="82">
        <f>H468</f>
        <v>246000</v>
      </c>
      <c r="I467" s="96">
        <f>I468</f>
        <v>246000</v>
      </c>
      <c r="J467" s="129">
        <f t="shared" si="89"/>
        <v>0</v>
      </c>
      <c r="K467" s="129"/>
      <c r="L467" s="96">
        <f>L468</f>
        <v>246000</v>
      </c>
    </row>
    <row r="468" spans="1:12" ht="55.05" outlineLevel="7" x14ac:dyDescent="0.25">
      <c r="A468" s="81" t="s">
        <v>17</v>
      </c>
      <c r="B468" s="80" t="s">
        <v>501</v>
      </c>
      <c r="C468" s="80" t="s">
        <v>109</v>
      </c>
      <c r="D468" s="80" t="s">
        <v>495</v>
      </c>
      <c r="E468" s="83" t="s">
        <v>18</v>
      </c>
      <c r="F468" s="98">
        <v>148000</v>
      </c>
      <c r="G468" s="98">
        <v>140000</v>
      </c>
      <c r="H468" s="98">
        <v>246000</v>
      </c>
      <c r="I468" s="108">
        <v>246000</v>
      </c>
      <c r="J468" s="129">
        <f t="shared" si="89"/>
        <v>0</v>
      </c>
      <c r="K468" s="129"/>
      <c r="L468" s="108">
        <v>246000</v>
      </c>
    </row>
    <row r="469" spans="1:12" outlineLevel="6" x14ac:dyDescent="0.25">
      <c r="A469" s="81" t="s">
        <v>19</v>
      </c>
      <c r="B469" s="80" t="s">
        <v>501</v>
      </c>
      <c r="C469" s="80" t="s">
        <v>109</v>
      </c>
      <c r="D469" s="80" t="s">
        <v>495</v>
      </c>
      <c r="E469" s="83" t="s">
        <v>20</v>
      </c>
      <c r="F469" s="82">
        <f>F470</f>
        <v>5500</v>
      </c>
      <c r="G469" s="82">
        <f>G470</f>
        <v>5500</v>
      </c>
      <c r="H469" s="82">
        <f>H470</f>
        <v>5500</v>
      </c>
      <c r="I469" s="96">
        <f>I470</f>
        <v>5500</v>
      </c>
      <c r="J469" s="129">
        <f t="shared" si="89"/>
        <v>0</v>
      </c>
      <c r="K469" s="129"/>
      <c r="L469" s="96">
        <f>L470</f>
        <v>5500</v>
      </c>
    </row>
    <row r="470" spans="1:12" outlineLevel="7" x14ac:dyDescent="0.25">
      <c r="A470" s="81" t="s">
        <v>21</v>
      </c>
      <c r="B470" s="80" t="s">
        <v>501</v>
      </c>
      <c r="C470" s="80" t="s">
        <v>109</v>
      </c>
      <c r="D470" s="80" t="s">
        <v>495</v>
      </c>
      <c r="E470" s="83" t="s">
        <v>22</v>
      </c>
      <c r="F470" s="98">
        <v>5500</v>
      </c>
      <c r="G470" s="98">
        <v>5500</v>
      </c>
      <c r="H470" s="98">
        <v>5500</v>
      </c>
      <c r="I470" s="108">
        <v>5500</v>
      </c>
      <c r="J470" s="129">
        <f t="shared" si="89"/>
        <v>0</v>
      </c>
      <c r="K470" s="129"/>
      <c r="L470" s="108">
        <v>5500</v>
      </c>
    </row>
    <row r="471" spans="1:12" ht="36.700000000000003" outlineLevel="5" x14ac:dyDescent="0.25">
      <c r="A471" s="81" t="s">
        <v>531</v>
      </c>
      <c r="B471" s="80" t="s">
        <v>501</v>
      </c>
      <c r="C471" s="80" t="s">
        <v>109</v>
      </c>
      <c r="D471" s="80" t="s">
        <v>530</v>
      </c>
      <c r="E471" s="83" t="s">
        <v>6</v>
      </c>
      <c r="F471" s="82">
        <f t="shared" ref="F471:I472" si="100">F472</f>
        <v>180000</v>
      </c>
      <c r="G471" s="82">
        <f t="shared" si="100"/>
        <v>180000</v>
      </c>
      <c r="H471" s="82">
        <f t="shared" si="100"/>
        <v>180000</v>
      </c>
      <c r="I471" s="96">
        <f t="shared" si="100"/>
        <v>180000</v>
      </c>
      <c r="J471" s="129">
        <f t="shared" si="89"/>
        <v>0</v>
      </c>
      <c r="K471" s="129"/>
      <c r="L471" s="96">
        <f>L472</f>
        <v>180000</v>
      </c>
    </row>
    <row r="472" spans="1:12" ht="58.75" customHeight="1" outlineLevel="6" x14ac:dyDescent="0.25">
      <c r="A472" s="81" t="s">
        <v>11</v>
      </c>
      <c r="B472" s="80" t="s">
        <v>501</v>
      </c>
      <c r="C472" s="80" t="s">
        <v>109</v>
      </c>
      <c r="D472" s="80" t="s">
        <v>530</v>
      </c>
      <c r="E472" s="83" t="s">
        <v>12</v>
      </c>
      <c r="F472" s="82">
        <f t="shared" si="100"/>
        <v>180000</v>
      </c>
      <c r="G472" s="82">
        <f t="shared" si="100"/>
        <v>180000</v>
      </c>
      <c r="H472" s="82">
        <f t="shared" si="100"/>
        <v>180000</v>
      </c>
      <c r="I472" s="96">
        <f t="shared" si="100"/>
        <v>180000</v>
      </c>
      <c r="J472" s="129">
        <f t="shared" si="89"/>
        <v>0</v>
      </c>
      <c r="K472" s="129"/>
      <c r="L472" s="96">
        <f>L473</f>
        <v>180000</v>
      </c>
    </row>
    <row r="473" spans="1:12" ht="18.7" customHeight="1" outlineLevel="7" x14ac:dyDescent="0.25">
      <c r="A473" s="81" t="s">
        <v>13</v>
      </c>
      <c r="B473" s="80" t="s">
        <v>501</v>
      </c>
      <c r="C473" s="80" t="s">
        <v>109</v>
      </c>
      <c r="D473" s="80" t="s">
        <v>530</v>
      </c>
      <c r="E473" s="83" t="s">
        <v>14</v>
      </c>
      <c r="F473" s="98">
        <v>180000</v>
      </c>
      <c r="G473" s="98">
        <v>180000</v>
      </c>
      <c r="H473" s="98">
        <v>180000</v>
      </c>
      <c r="I473" s="108">
        <v>180000</v>
      </c>
      <c r="J473" s="129">
        <f t="shared" si="89"/>
        <v>0</v>
      </c>
      <c r="K473" s="129"/>
      <c r="L473" s="108">
        <v>180000</v>
      </c>
    </row>
    <row r="474" spans="1:12" ht="73.400000000000006" outlineLevel="6" x14ac:dyDescent="0.25">
      <c r="A474" s="81" t="s">
        <v>9</v>
      </c>
      <c r="B474" s="80" t="s">
        <v>501</v>
      </c>
      <c r="C474" s="80" t="s">
        <v>10</v>
      </c>
      <c r="D474" s="80" t="s">
        <v>126</v>
      </c>
      <c r="E474" s="83" t="s">
        <v>6</v>
      </c>
      <c r="F474" s="82">
        <f t="shared" ref="F474:I477" si="101">F475</f>
        <v>0</v>
      </c>
      <c r="G474" s="82">
        <f t="shared" si="101"/>
        <v>0</v>
      </c>
      <c r="H474" s="82">
        <f t="shared" si="101"/>
        <v>0</v>
      </c>
      <c r="I474" s="96">
        <f t="shared" si="101"/>
        <v>0</v>
      </c>
      <c r="J474" s="129">
        <f t="shared" si="89"/>
        <v>0</v>
      </c>
      <c r="K474" s="129"/>
      <c r="L474" s="96">
        <f>L475</f>
        <v>0</v>
      </c>
    </row>
    <row r="475" spans="1:12" ht="0.7" customHeight="1" outlineLevel="7" x14ac:dyDescent="0.25">
      <c r="A475" s="81" t="s">
        <v>132</v>
      </c>
      <c r="B475" s="80" t="s">
        <v>501</v>
      </c>
      <c r="C475" s="80" t="s">
        <v>10</v>
      </c>
      <c r="D475" s="80" t="s">
        <v>127</v>
      </c>
      <c r="E475" s="83" t="s">
        <v>6</v>
      </c>
      <c r="F475" s="82">
        <f t="shared" si="101"/>
        <v>0</v>
      </c>
      <c r="G475" s="82">
        <f t="shared" si="101"/>
        <v>0</v>
      </c>
      <c r="H475" s="82">
        <f t="shared" si="101"/>
        <v>0</v>
      </c>
      <c r="I475" s="96">
        <f t="shared" si="101"/>
        <v>0</v>
      </c>
      <c r="J475" s="129">
        <f t="shared" si="89"/>
        <v>0</v>
      </c>
      <c r="K475" s="129"/>
      <c r="L475" s="96">
        <f>L476</f>
        <v>0</v>
      </c>
    </row>
    <row r="476" spans="1:12" ht="23.95" customHeight="1" outlineLevel="6" x14ac:dyDescent="0.25">
      <c r="A476" s="81" t="s">
        <v>120</v>
      </c>
      <c r="B476" s="80" t="s">
        <v>501</v>
      </c>
      <c r="C476" s="80" t="s">
        <v>10</v>
      </c>
      <c r="D476" s="80" t="s">
        <v>143</v>
      </c>
      <c r="E476" s="83" t="s">
        <v>6</v>
      </c>
      <c r="F476" s="82">
        <f t="shared" si="101"/>
        <v>0</v>
      </c>
      <c r="G476" s="82">
        <f t="shared" si="101"/>
        <v>0</v>
      </c>
      <c r="H476" s="82">
        <f t="shared" si="101"/>
        <v>0</v>
      </c>
      <c r="I476" s="96">
        <f t="shared" si="101"/>
        <v>0</v>
      </c>
      <c r="J476" s="129">
        <f t="shared" si="89"/>
        <v>0</v>
      </c>
      <c r="K476" s="129"/>
      <c r="L476" s="96">
        <f>L477</f>
        <v>0</v>
      </c>
    </row>
    <row r="477" spans="1:12" ht="24.8" customHeight="1" outlineLevel="7" x14ac:dyDescent="0.25">
      <c r="A477" s="81" t="s">
        <v>11</v>
      </c>
      <c r="B477" s="80" t="s">
        <v>501</v>
      </c>
      <c r="C477" s="80" t="s">
        <v>10</v>
      </c>
      <c r="D477" s="80" t="s">
        <v>143</v>
      </c>
      <c r="E477" s="83" t="s">
        <v>12</v>
      </c>
      <c r="F477" s="82">
        <f t="shared" si="101"/>
        <v>0</v>
      </c>
      <c r="G477" s="82">
        <f t="shared" si="101"/>
        <v>0</v>
      </c>
      <c r="H477" s="82">
        <f t="shared" si="101"/>
        <v>0</v>
      </c>
      <c r="I477" s="96">
        <f t="shared" si="101"/>
        <v>0</v>
      </c>
      <c r="J477" s="129">
        <f t="shared" si="89"/>
        <v>0</v>
      </c>
      <c r="K477" s="129"/>
      <c r="L477" s="96">
        <f>L478</f>
        <v>0</v>
      </c>
    </row>
    <row r="478" spans="1:12" ht="34.5" customHeight="1" outlineLevel="3" x14ac:dyDescent="0.25">
      <c r="A478" s="81" t="s">
        <v>13</v>
      </c>
      <c r="B478" s="80" t="s">
        <v>501</v>
      </c>
      <c r="C478" s="80" t="s">
        <v>10</v>
      </c>
      <c r="D478" s="80" t="s">
        <v>143</v>
      </c>
      <c r="E478" s="83" t="s">
        <v>14</v>
      </c>
      <c r="F478" s="98"/>
      <c r="G478" s="98"/>
      <c r="H478" s="82"/>
      <c r="I478" s="96"/>
      <c r="J478" s="129">
        <f t="shared" si="89"/>
        <v>0</v>
      </c>
      <c r="K478" s="129"/>
      <c r="L478" s="96"/>
    </row>
    <row r="479" spans="1:12" outlineLevel="3" x14ac:dyDescent="0.25">
      <c r="A479" s="81" t="s">
        <v>23</v>
      </c>
      <c r="B479" s="80" t="s">
        <v>501</v>
      </c>
      <c r="C479" s="80" t="s">
        <v>24</v>
      </c>
      <c r="D479" s="80" t="s">
        <v>126</v>
      </c>
      <c r="E479" s="83" t="s">
        <v>6</v>
      </c>
      <c r="F479" s="82">
        <f>F480+F485</f>
        <v>132000</v>
      </c>
      <c r="G479" s="82">
        <f>G480+G485</f>
        <v>120000</v>
      </c>
      <c r="H479" s="82">
        <f>H480+H485</f>
        <v>137280</v>
      </c>
      <c r="I479" s="96">
        <f>I480+I485</f>
        <v>137280</v>
      </c>
      <c r="J479" s="129">
        <f t="shared" si="89"/>
        <v>0</v>
      </c>
      <c r="K479" s="129"/>
      <c r="L479" s="96">
        <f>L480+L485</f>
        <v>137280</v>
      </c>
    </row>
    <row r="480" spans="1:12" ht="73.400000000000006" outlineLevel="3" x14ac:dyDescent="0.25">
      <c r="A480" s="109" t="s">
        <v>420</v>
      </c>
      <c r="B480" s="110" t="s">
        <v>501</v>
      </c>
      <c r="C480" s="110" t="s">
        <v>24</v>
      </c>
      <c r="D480" s="110" t="s">
        <v>128</v>
      </c>
      <c r="E480" s="111" t="s">
        <v>6</v>
      </c>
      <c r="F480" s="85">
        <f t="shared" ref="F480:I483" si="102">F481</f>
        <v>32000</v>
      </c>
      <c r="G480" s="85">
        <f t="shared" si="102"/>
        <v>20000</v>
      </c>
      <c r="H480" s="85">
        <f t="shared" si="102"/>
        <v>33280</v>
      </c>
      <c r="I480" s="112">
        <f t="shared" si="102"/>
        <v>33280</v>
      </c>
      <c r="J480" s="129">
        <f t="shared" si="89"/>
        <v>0</v>
      </c>
      <c r="K480" s="129"/>
      <c r="L480" s="112">
        <f>L481</f>
        <v>33280</v>
      </c>
    </row>
    <row r="481" spans="1:12" ht="73.400000000000006" outlineLevel="3" x14ac:dyDescent="0.25">
      <c r="A481" s="113" t="s">
        <v>214</v>
      </c>
      <c r="B481" s="80" t="s">
        <v>501</v>
      </c>
      <c r="C481" s="80" t="s">
        <v>24</v>
      </c>
      <c r="D481" s="80" t="s">
        <v>315</v>
      </c>
      <c r="E481" s="83" t="s">
        <v>6</v>
      </c>
      <c r="F481" s="82">
        <f t="shared" si="102"/>
        <v>32000</v>
      </c>
      <c r="G481" s="82">
        <f t="shared" si="102"/>
        <v>20000</v>
      </c>
      <c r="H481" s="82">
        <f t="shared" si="102"/>
        <v>33280</v>
      </c>
      <c r="I481" s="96">
        <f t="shared" si="102"/>
        <v>33280</v>
      </c>
      <c r="J481" s="129">
        <f t="shared" si="89"/>
        <v>0</v>
      </c>
      <c r="K481" s="129"/>
      <c r="L481" s="96">
        <f>L482</f>
        <v>33280</v>
      </c>
    </row>
    <row r="482" spans="1:12" ht="36.700000000000003" outlineLevel="3" x14ac:dyDescent="0.25">
      <c r="A482" s="113" t="s">
        <v>321</v>
      </c>
      <c r="B482" s="80" t="s">
        <v>501</v>
      </c>
      <c r="C482" s="80" t="s">
        <v>24</v>
      </c>
      <c r="D482" s="80" t="s">
        <v>316</v>
      </c>
      <c r="E482" s="83" t="s">
        <v>6</v>
      </c>
      <c r="F482" s="82">
        <f t="shared" si="102"/>
        <v>32000</v>
      </c>
      <c r="G482" s="82">
        <f t="shared" si="102"/>
        <v>20000</v>
      </c>
      <c r="H482" s="82">
        <f t="shared" si="102"/>
        <v>33280</v>
      </c>
      <c r="I482" s="96">
        <f t="shared" si="102"/>
        <v>33280</v>
      </c>
      <c r="J482" s="129">
        <f t="shared" si="89"/>
        <v>0</v>
      </c>
      <c r="K482" s="129"/>
      <c r="L482" s="96">
        <f>L483</f>
        <v>33280</v>
      </c>
    </row>
    <row r="483" spans="1:12" ht="19.55" customHeight="1" outlineLevel="3" x14ac:dyDescent="0.25">
      <c r="A483" s="81" t="s">
        <v>15</v>
      </c>
      <c r="B483" s="80" t="s">
        <v>501</v>
      </c>
      <c r="C483" s="80" t="s">
        <v>24</v>
      </c>
      <c r="D483" s="80" t="s">
        <v>316</v>
      </c>
      <c r="E483" s="83" t="s">
        <v>16</v>
      </c>
      <c r="F483" s="82">
        <f t="shared" si="102"/>
        <v>32000</v>
      </c>
      <c r="G483" s="82">
        <f t="shared" si="102"/>
        <v>20000</v>
      </c>
      <c r="H483" s="82">
        <f t="shared" si="102"/>
        <v>33280</v>
      </c>
      <c r="I483" s="96">
        <f t="shared" si="102"/>
        <v>33280</v>
      </c>
      <c r="J483" s="129">
        <f t="shared" si="89"/>
        <v>0</v>
      </c>
      <c r="K483" s="129"/>
      <c r="L483" s="96">
        <f>L484</f>
        <v>33280</v>
      </c>
    </row>
    <row r="484" spans="1:12" ht="55.05" outlineLevel="3" x14ac:dyDescent="0.25">
      <c r="A484" s="81" t="s">
        <v>17</v>
      </c>
      <c r="B484" s="80" t="s">
        <v>501</v>
      </c>
      <c r="C484" s="80" t="s">
        <v>24</v>
      </c>
      <c r="D484" s="80" t="s">
        <v>316</v>
      </c>
      <c r="E484" s="83" t="s">
        <v>18</v>
      </c>
      <c r="F484" s="98">
        <v>32000</v>
      </c>
      <c r="G484" s="98">
        <v>20000</v>
      </c>
      <c r="H484" s="82">
        <v>33280</v>
      </c>
      <c r="I484" s="96">
        <v>33280</v>
      </c>
      <c r="J484" s="129">
        <f t="shared" si="89"/>
        <v>0</v>
      </c>
      <c r="K484" s="129"/>
      <c r="L484" s="96">
        <v>33280</v>
      </c>
    </row>
    <row r="485" spans="1:12" ht="55.05" outlineLevel="3" x14ac:dyDescent="0.25">
      <c r="A485" s="109" t="s">
        <v>132</v>
      </c>
      <c r="B485" s="110" t="s">
        <v>501</v>
      </c>
      <c r="C485" s="110" t="s">
        <v>24</v>
      </c>
      <c r="D485" s="110" t="s">
        <v>127</v>
      </c>
      <c r="E485" s="111" t="s">
        <v>6</v>
      </c>
      <c r="F485" s="133">
        <f t="shared" ref="F485:I487" si="103">F486</f>
        <v>100000</v>
      </c>
      <c r="G485" s="133">
        <f t="shared" si="103"/>
        <v>100000</v>
      </c>
      <c r="H485" s="133">
        <f t="shared" si="103"/>
        <v>104000</v>
      </c>
      <c r="I485" s="125">
        <f t="shared" si="103"/>
        <v>104000</v>
      </c>
      <c r="J485" s="129">
        <f t="shared" si="89"/>
        <v>0</v>
      </c>
      <c r="K485" s="129"/>
      <c r="L485" s="125">
        <f>L486</f>
        <v>104000</v>
      </c>
    </row>
    <row r="486" spans="1:12" ht="21.75" customHeight="1" outlineLevel="3" x14ac:dyDescent="0.25">
      <c r="A486" s="81" t="s">
        <v>532</v>
      </c>
      <c r="B486" s="80" t="s">
        <v>501</v>
      </c>
      <c r="C486" s="80" t="s">
        <v>24</v>
      </c>
      <c r="D486" s="126">
        <v>9909970201</v>
      </c>
      <c r="E486" s="83" t="s">
        <v>6</v>
      </c>
      <c r="F486" s="131">
        <f t="shared" si="103"/>
        <v>100000</v>
      </c>
      <c r="G486" s="131">
        <f t="shared" si="103"/>
        <v>100000</v>
      </c>
      <c r="H486" s="131">
        <f t="shared" si="103"/>
        <v>104000</v>
      </c>
      <c r="I486" s="117">
        <f t="shared" si="103"/>
        <v>104000</v>
      </c>
      <c r="J486" s="129">
        <f t="shared" si="89"/>
        <v>0</v>
      </c>
      <c r="K486" s="129"/>
      <c r="L486" s="117">
        <f>L487</f>
        <v>104000</v>
      </c>
    </row>
    <row r="487" spans="1:12" ht="18.7" customHeight="1" outlineLevel="3" x14ac:dyDescent="0.25">
      <c r="A487" s="81" t="s">
        <v>15</v>
      </c>
      <c r="B487" s="80" t="s">
        <v>501</v>
      </c>
      <c r="C487" s="80" t="s">
        <v>24</v>
      </c>
      <c r="D487" s="126">
        <v>9909970201</v>
      </c>
      <c r="E487" s="83" t="s">
        <v>16</v>
      </c>
      <c r="F487" s="131">
        <f t="shared" si="103"/>
        <v>100000</v>
      </c>
      <c r="G487" s="131">
        <f t="shared" si="103"/>
        <v>100000</v>
      </c>
      <c r="H487" s="131">
        <f t="shared" si="103"/>
        <v>104000</v>
      </c>
      <c r="I487" s="117">
        <f t="shared" si="103"/>
        <v>104000</v>
      </c>
      <c r="J487" s="129">
        <f t="shared" si="89"/>
        <v>0</v>
      </c>
      <c r="K487" s="129"/>
      <c r="L487" s="117">
        <f>L488</f>
        <v>104000</v>
      </c>
    </row>
    <row r="488" spans="1:12" ht="55.05" outlineLevel="3" x14ac:dyDescent="0.25">
      <c r="A488" s="81" t="s">
        <v>17</v>
      </c>
      <c r="B488" s="80" t="s">
        <v>501</v>
      </c>
      <c r="C488" s="80" t="s">
        <v>24</v>
      </c>
      <c r="D488" s="126">
        <v>9909970201</v>
      </c>
      <c r="E488" s="83" t="s">
        <v>18</v>
      </c>
      <c r="F488" s="98">
        <v>100000</v>
      </c>
      <c r="G488" s="98">
        <v>100000</v>
      </c>
      <c r="H488" s="82">
        <v>104000</v>
      </c>
      <c r="I488" s="96">
        <v>104000</v>
      </c>
      <c r="J488" s="129">
        <f t="shared" ref="J488:J551" si="104">I488-H488</f>
        <v>0</v>
      </c>
      <c r="K488" s="129"/>
      <c r="L488" s="96">
        <v>104000</v>
      </c>
    </row>
    <row r="489" spans="1:12" ht="73.400000000000006" outlineLevel="3" x14ac:dyDescent="0.25">
      <c r="A489" s="81" t="s">
        <v>9</v>
      </c>
      <c r="B489" s="80" t="s">
        <v>501</v>
      </c>
      <c r="C489" s="80" t="s">
        <v>10</v>
      </c>
      <c r="D489" s="80" t="s">
        <v>126</v>
      </c>
      <c r="E489" s="80" t="s">
        <v>6</v>
      </c>
      <c r="F489" s="82">
        <f>F490</f>
        <v>1545217</v>
      </c>
      <c r="G489" s="82">
        <f t="shared" ref="G489:I490" si="105">G490</f>
        <v>0</v>
      </c>
      <c r="H489" s="82">
        <f t="shared" si="105"/>
        <v>0</v>
      </c>
      <c r="I489" s="82">
        <f t="shared" si="105"/>
        <v>0</v>
      </c>
      <c r="J489" s="129">
        <f t="shared" si="104"/>
        <v>0</v>
      </c>
      <c r="K489" s="129"/>
      <c r="L489" s="82">
        <f>L490</f>
        <v>0</v>
      </c>
    </row>
    <row r="490" spans="1:12" ht="55.05" outlineLevel="3" x14ac:dyDescent="0.25">
      <c r="A490" s="81" t="s">
        <v>132</v>
      </c>
      <c r="B490" s="80" t="s">
        <v>501</v>
      </c>
      <c r="C490" s="80" t="s">
        <v>10</v>
      </c>
      <c r="D490" s="80" t="s">
        <v>127</v>
      </c>
      <c r="E490" s="80" t="s">
        <v>6</v>
      </c>
      <c r="F490" s="82">
        <f>F491</f>
        <v>1545217</v>
      </c>
      <c r="G490" s="82">
        <f t="shared" si="105"/>
        <v>0</v>
      </c>
      <c r="H490" s="82">
        <f t="shared" si="105"/>
        <v>0</v>
      </c>
      <c r="I490" s="82">
        <f t="shared" si="105"/>
        <v>0</v>
      </c>
      <c r="J490" s="129">
        <f t="shared" si="104"/>
        <v>0</v>
      </c>
      <c r="K490" s="129"/>
      <c r="L490" s="82">
        <f>L491</f>
        <v>0</v>
      </c>
    </row>
    <row r="491" spans="1:12" ht="36.700000000000003" outlineLevel="3" x14ac:dyDescent="0.25">
      <c r="A491" s="81" t="s">
        <v>120</v>
      </c>
      <c r="B491" s="80" t="s">
        <v>501</v>
      </c>
      <c r="C491" s="80" t="s">
        <v>10</v>
      </c>
      <c r="D491" s="80" t="s">
        <v>143</v>
      </c>
      <c r="E491" s="80" t="s">
        <v>6</v>
      </c>
      <c r="F491" s="82">
        <f>F492+F494</f>
        <v>1545217</v>
      </c>
      <c r="G491" s="98"/>
      <c r="H491" s="82"/>
      <c r="I491" s="96"/>
      <c r="J491" s="129">
        <f t="shared" si="104"/>
        <v>0</v>
      </c>
      <c r="K491" s="129"/>
      <c r="L491" s="96"/>
    </row>
    <row r="492" spans="1:12" ht="110.05" outlineLevel="3" x14ac:dyDescent="0.25">
      <c r="A492" s="81" t="s">
        <v>11</v>
      </c>
      <c r="B492" s="80" t="s">
        <v>501</v>
      </c>
      <c r="C492" s="80" t="s">
        <v>10</v>
      </c>
      <c r="D492" s="80" t="s">
        <v>143</v>
      </c>
      <c r="E492" s="80" t="s">
        <v>12</v>
      </c>
      <c r="F492" s="82">
        <f>F493</f>
        <v>1365217</v>
      </c>
      <c r="G492" s="82">
        <f>G493</f>
        <v>0</v>
      </c>
      <c r="H492" s="82">
        <f>H493</f>
        <v>0</v>
      </c>
      <c r="I492" s="82">
        <f>I493</f>
        <v>0</v>
      </c>
      <c r="J492" s="129">
        <f t="shared" si="104"/>
        <v>0</v>
      </c>
      <c r="K492" s="129"/>
      <c r="L492" s="82">
        <f>L493</f>
        <v>0</v>
      </c>
    </row>
    <row r="493" spans="1:12" ht="55.05" outlineLevel="3" x14ac:dyDescent="0.25">
      <c r="A493" s="81" t="s">
        <v>13</v>
      </c>
      <c r="B493" s="80" t="s">
        <v>501</v>
      </c>
      <c r="C493" s="80" t="s">
        <v>10</v>
      </c>
      <c r="D493" s="80" t="s">
        <v>143</v>
      </c>
      <c r="E493" s="80" t="s">
        <v>14</v>
      </c>
      <c r="F493" s="98">
        <v>1365217</v>
      </c>
      <c r="G493" s="98"/>
      <c r="H493" s="98"/>
      <c r="I493" s="98"/>
      <c r="J493" s="129">
        <f t="shared" si="104"/>
        <v>0</v>
      </c>
      <c r="K493" s="129"/>
      <c r="L493" s="98"/>
    </row>
    <row r="494" spans="1:12" ht="36.700000000000003" outlineLevel="3" x14ac:dyDescent="0.25">
      <c r="A494" s="81" t="s">
        <v>15</v>
      </c>
      <c r="B494" s="80" t="s">
        <v>501</v>
      </c>
      <c r="C494" s="80" t="s">
        <v>10</v>
      </c>
      <c r="D494" s="80" t="s">
        <v>143</v>
      </c>
      <c r="E494" s="80" t="s">
        <v>16</v>
      </c>
      <c r="F494" s="98">
        <f>F495</f>
        <v>180000</v>
      </c>
      <c r="G494" s="98">
        <f>G495</f>
        <v>0</v>
      </c>
      <c r="H494" s="98">
        <f>H495</f>
        <v>0</v>
      </c>
      <c r="I494" s="98">
        <f>I495</f>
        <v>0</v>
      </c>
      <c r="J494" s="129">
        <f t="shared" si="104"/>
        <v>0</v>
      </c>
      <c r="K494" s="129"/>
      <c r="L494" s="98">
        <f>L495</f>
        <v>0</v>
      </c>
    </row>
    <row r="495" spans="1:12" ht="55.05" outlineLevel="3" x14ac:dyDescent="0.25">
      <c r="A495" s="81" t="s">
        <v>17</v>
      </c>
      <c r="B495" s="80" t="s">
        <v>501</v>
      </c>
      <c r="C495" s="80" t="s">
        <v>10</v>
      </c>
      <c r="D495" s="80" t="s">
        <v>143</v>
      </c>
      <c r="E495" s="80" t="s">
        <v>18</v>
      </c>
      <c r="F495" s="98">
        <v>180000</v>
      </c>
      <c r="G495" s="98"/>
      <c r="H495" s="82"/>
      <c r="I495" s="96"/>
      <c r="J495" s="129">
        <f t="shared" si="104"/>
        <v>0</v>
      </c>
      <c r="K495" s="129"/>
      <c r="L495" s="96"/>
    </row>
    <row r="496" spans="1:12" ht="73.400000000000006" outlineLevel="3" x14ac:dyDescent="0.25">
      <c r="A496" s="104" t="s">
        <v>546</v>
      </c>
      <c r="B496" s="105" t="s">
        <v>536</v>
      </c>
      <c r="C496" s="105" t="s">
        <v>5</v>
      </c>
      <c r="D496" s="105" t="s">
        <v>126</v>
      </c>
      <c r="E496" s="106" t="s">
        <v>6</v>
      </c>
      <c r="F496" s="128">
        <f>F497+F636+F652</f>
        <v>579320836.61000001</v>
      </c>
      <c r="G496" s="128">
        <f>G497+G636+G652</f>
        <v>503695320.33000004</v>
      </c>
      <c r="H496" s="128">
        <f>H497+H636+H652</f>
        <v>598824476.76999998</v>
      </c>
      <c r="I496" s="107">
        <f>I497+I636+I652</f>
        <v>595981202.76999998</v>
      </c>
      <c r="J496" s="129">
        <f t="shared" si="104"/>
        <v>-2843274</v>
      </c>
      <c r="K496" s="129"/>
      <c r="L496" s="107">
        <f>L497+L636+L652</f>
        <v>598381202.76999998</v>
      </c>
    </row>
    <row r="497" spans="1:12" outlineLevel="3" x14ac:dyDescent="0.25">
      <c r="A497" s="109" t="s">
        <v>69</v>
      </c>
      <c r="B497" s="110" t="s">
        <v>536</v>
      </c>
      <c r="C497" s="110" t="s">
        <v>70</v>
      </c>
      <c r="D497" s="110" t="s">
        <v>126</v>
      </c>
      <c r="E497" s="111" t="s">
        <v>6</v>
      </c>
      <c r="F497" s="85">
        <f>F498+F534+F597+F616+F574</f>
        <v>568963597.96000004</v>
      </c>
      <c r="G497" s="85">
        <f>G498+G534+G597+G616+G574</f>
        <v>499158167.33000004</v>
      </c>
      <c r="H497" s="85">
        <f>H498+H534+H597+H616+H574</f>
        <v>593924433.76999998</v>
      </c>
      <c r="I497" s="112">
        <f>I498+I534+I597+I616+I574</f>
        <v>591492133.76999998</v>
      </c>
      <c r="J497" s="129">
        <f t="shared" si="104"/>
        <v>-2432300</v>
      </c>
      <c r="K497" s="129"/>
      <c r="L497" s="112">
        <f>L498+L534+L597+L616+L574</f>
        <v>593892133.76999998</v>
      </c>
    </row>
    <row r="498" spans="1:12" outlineLevel="3" x14ac:dyDescent="0.25">
      <c r="A498" s="81" t="s">
        <v>110</v>
      </c>
      <c r="B498" s="80" t="s">
        <v>536</v>
      </c>
      <c r="C498" s="80" t="s">
        <v>111</v>
      </c>
      <c r="D498" s="80" t="s">
        <v>126</v>
      </c>
      <c r="E498" s="83" t="s">
        <v>6</v>
      </c>
      <c r="F498" s="82">
        <f>F499</f>
        <v>148734725.75999999</v>
      </c>
      <c r="G498" s="82">
        <f t="shared" ref="G498:I499" si="106">G499</f>
        <v>110540713.96000001</v>
      </c>
      <c r="H498" s="82">
        <f t="shared" si="106"/>
        <v>130252405.53</v>
      </c>
      <c r="I498" s="96">
        <f t="shared" si="106"/>
        <v>128934905.53</v>
      </c>
      <c r="J498" s="129">
        <f t="shared" si="104"/>
        <v>-1317500</v>
      </c>
      <c r="K498" s="129"/>
      <c r="L498" s="96">
        <f>L499</f>
        <v>131334905.53</v>
      </c>
    </row>
    <row r="499" spans="1:12" ht="73.400000000000006" outlineLevel="3" x14ac:dyDescent="0.25">
      <c r="A499" s="109" t="s">
        <v>395</v>
      </c>
      <c r="B499" s="110" t="s">
        <v>536</v>
      </c>
      <c r="C499" s="110" t="s">
        <v>111</v>
      </c>
      <c r="D499" s="110" t="s">
        <v>138</v>
      </c>
      <c r="E499" s="111" t="s">
        <v>6</v>
      </c>
      <c r="F499" s="85">
        <f>F500</f>
        <v>148734725.75999999</v>
      </c>
      <c r="G499" s="85">
        <f t="shared" si="106"/>
        <v>110540713.96000001</v>
      </c>
      <c r="H499" s="85">
        <f t="shared" si="106"/>
        <v>130252405.53</v>
      </c>
      <c r="I499" s="112">
        <f t="shared" si="106"/>
        <v>128934905.53</v>
      </c>
      <c r="J499" s="129">
        <f t="shared" si="104"/>
        <v>-1317500</v>
      </c>
      <c r="K499" s="129"/>
      <c r="L499" s="112">
        <f>L500</f>
        <v>131334905.53</v>
      </c>
    </row>
    <row r="500" spans="1:12" ht="55.05" outlineLevel="3" x14ac:dyDescent="0.25">
      <c r="A500" s="81" t="s">
        <v>396</v>
      </c>
      <c r="B500" s="80" t="s">
        <v>536</v>
      </c>
      <c r="C500" s="80" t="s">
        <v>111</v>
      </c>
      <c r="D500" s="80" t="s">
        <v>139</v>
      </c>
      <c r="E500" s="83" t="s">
        <v>6</v>
      </c>
      <c r="F500" s="82">
        <f>F501+F508+F530</f>
        <v>148734725.75999999</v>
      </c>
      <c r="G500" s="82">
        <f>G501+G508</f>
        <v>110540713.96000001</v>
      </c>
      <c r="H500" s="82">
        <f>H501+H508</f>
        <v>130252405.53</v>
      </c>
      <c r="I500" s="96">
        <f>I501+I508</f>
        <v>128934905.53</v>
      </c>
      <c r="J500" s="129">
        <f t="shared" si="104"/>
        <v>-1317500</v>
      </c>
      <c r="K500" s="129"/>
      <c r="L500" s="96">
        <f>L501+L508</f>
        <v>131334905.53</v>
      </c>
    </row>
    <row r="501" spans="1:12" ht="55.05" outlineLevel="3" x14ac:dyDescent="0.25">
      <c r="A501" s="113" t="s">
        <v>202</v>
      </c>
      <c r="B501" s="80" t="s">
        <v>536</v>
      </c>
      <c r="C501" s="80" t="s">
        <v>111</v>
      </c>
      <c r="D501" s="80" t="s">
        <v>219</v>
      </c>
      <c r="E501" s="83" t="s">
        <v>6</v>
      </c>
      <c r="F501" s="82">
        <f>F502+F505</f>
        <v>115607211.8</v>
      </c>
      <c r="G501" s="82">
        <f>G502+G505</f>
        <v>110116110.43000001</v>
      </c>
      <c r="H501" s="82">
        <f>H502+H505</f>
        <v>128030052</v>
      </c>
      <c r="I501" s="96">
        <f>I502+I505</f>
        <v>128030052</v>
      </c>
      <c r="J501" s="129">
        <f t="shared" si="104"/>
        <v>0</v>
      </c>
      <c r="K501" s="129"/>
      <c r="L501" s="96">
        <f>L502+L505</f>
        <v>128030052</v>
      </c>
    </row>
    <row r="502" spans="1:12" s="3" customFormat="1" ht="73.400000000000006" x14ac:dyDescent="0.25">
      <c r="A502" s="81" t="s">
        <v>113</v>
      </c>
      <c r="B502" s="80" t="s">
        <v>536</v>
      </c>
      <c r="C502" s="80" t="s">
        <v>111</v>
      </c>
      <c r="D502" s="80" t="s">
        <v>144</v>
      </c>
      <c r="E502" s="83" t="s">
        <v>6</v>
      </c>
      <c r="F502" s="82">
        <f>F503</f>
        <v>42223522.799999997</v>
      </c>
      <c r="G502" s="82">
        <f t="shared" ref="G502:I503" si="107">G503</f>
        <v>29399094.43</v>
      </c>
      <c r="H502" s="82">
        <f t="shared" si="107"/>
        <v>46802848</v>
      </c>
      <c r="I502" s="96">
        <f t="shared" si="107"/>
        <v>46802848</v>
      </c>
      <c r="J502" s="129">
        <f t="shared" si="104"/>
        <v>0</v>
      </c>
      <c r="K502" s="129"/>
      <c r="L502" s="96">
        <f>L503</f>
        <v>46802848</v>
      </c>
    </row>
    <row r="503" spans="1:12" s="3" customFormat="1" ht="55.05" x14ac:dyDescent="0.25">
      <c r="A503" s="81" t="s">
        <v>37</v>
      </c>
      <c r="B503" s="80" t="s">
        <v>536</v>
      </c>
      <c r="C503" s="80" t="s">
        <v>111</v>
      </c>
      <c r="D503" s="80" t="s">
        <v>144</v>
      </c>
      <c r="E503" s="83" t="s">
        <v>38</v>
      </c>
      <c r="F503" s="82">
        <f>F504</f>
        <v>42223522.799999997</v>
      </c>
      <c r="G503" s="82">
        <f t="shared" si="107"/>
        <v>29399094.43</v>
      </c>
      <c r="H503" s="82">
        <f t="shared" si="107"/>
        <v>46802848</v>
      </c>
      <c r="I503" s="96">
        <f t="shared" si="107"/>
        <v>46802848</v>
      </c>
      <c r="J503" s="129">
        <f t="shared" si="104"/>
        <v>0</v>
      </c>
      <c r="K503" s="129"/>
      <c r="L503" s="96">
        <f>L504</f>
        <v>46802848</v>
      </c>
    </row>
    <row r="504" spans="1:12" x14ac:dyDescent="0.25">
      <c r="A504" s="81" t="s">
        <v>74</v>
      </c>
      <c r="B504" s="80" t="s">
        <v>536</v>
      </c>
      <c r="C504" s="80" t="s">
        <v>111</v>
      </c>
      <c r="D504" s="80" t="s">
        <v>144</v>
      </c>
      <c r="E504" s="83" t="s">
        <v>75</v>
      </c>
      <c r="F504" s="98">
        <v>42223522.799999997</v>
      </c>
      <c r="G504" s="98">
        <v>29399094.43</v>
      </c>
      <c r="H504" s="131">
        <v>46802848</v>
      </c>
      <c r="I504" s="117">
        <f>46802848</f>
        <v>46802848</v>
      </c>
      <c r="J504" s="129">
        <f t="shared" si="104"/>
        <v>0</v>
      </c>
      <c r="K504" s="129"/>
      <c r="L504" s="117">
        <f>46802848</f>
        <v>46802848</v>
      </c>
    </row>
    <row r="505" spans="1:12" ht="146.75" x14ac:dyDescent="0.25">
      <c r="A505" s="113" t="s">
        <v>397</v>
      </c>
      <c r="B505" s="80" t="s">
        <v>536</v>
      </c>
      <c r="C505" s="80" t="s">
        <v>111</v>
      </c>
      <c r="D505" s="80" t="s">
        <v>145</v>
      </c>
      <c r="E505" s="83" t="s">
        <v>6</v>
      </c>
      <c r="F505" s="82">
        <f>F506</f>
        <v>73383689</v>
      </c>
      <c r="G505" s="82">
        <f t="shared" ref="G505:I506" si="108">G506</f>
        <v>80717016</v>
      </c>
      <c r="H505" s="82">
        <f t="shared" si="108"/>
        <v>81227204</v>
      </c>
      <c r="I505" s="96">
        <f t="shared" si="108"/>
        <v>81227204</v>
      </c>
      <c r="J505" s="129">
        <f t="shared" si="104"/>
        <v>0</v>
      </c>
      <c r="K505" s="129"/>
      <c r="L505" s="96">
        <f>L506</f>
        <v>81227204</v>
      </c>
    </row>
    <row r="506" spans="1:12" ht="55.05" x14ac:dyDescent="0.25">
      <c r="A506" s="81" t="s">
        <v>37</v>
      </c>
      <c r="B506" s="80" t="s">
        <v>536</v>
      </c>
      <c r="C506" s="80" t="s">
        <v>111</v>
      </c>
      <c r="D506" s="80" t="s">
        <v>145</v>
      </c>
      <c r="E506" s="83" t="s">
        <v>38</v>
      </c>
      <c r="F506" s="82">
        <f>F507</f>
        <v>73383689</v>
      </c>
      <c r="G506" s="82">
        <f t="shared" si="108"/>
        <v>80717016</v>
      </c>
      <c r="H506" s="82">
        <f t="shared" si="108"/>
        <v>81227204</v>
      </c>
      <c r="I506" s="96">
        <f t="shared" si="108"/>
        <v>81227204</v>
      </c>
      <c r="J506" s="129">
        <f t="shared" si="104"/>
        <v>0</v>
      </c>
      <c r="K506" s="129"/>
      <c r="L506" s="96">
        <f>L507</f>
        <v>81227204</v>
      </c>
    </row>
    <row r="507" spans="1:12" x14ac:dyDescent="0.3">
      <c r="A507" s="81" t="s">
        <v>74</v>
      </c>
      <c r="B507" s="80" t="s">
        <v>536</v>
      </c>
      <c r="C507" s="80" t="s">
        <v>111</v>
      </c>
      <c r="D507" s="80" t="s">
        <v>145</v>
      </c>
      <c r="E507" s="83" t="s">
        <v>75</v>
      </c>
      <c r="F507" s="98">
        <v>73383689</v>
      </c>
      <c r="G507" s="98">
        <v>80717016</v>
      </c>
      <c r="H507" s="53">
        <v>81227204</v>
      </c>
      <c r="I507" s="127">
        <v>81227204</v>
      </c>
      <c r="J507" s="129">
        <f t="shared" si="104"/>
        <v>0</v>
      </c>
      <c r="K507" s="129"/>
      <c r="L507" s="127">
        <v>81227204</v>
      </c>
    </row>
    <row r="508" spans="1:12" ht="36.700000000000003" x14ac:dyDescent="0.25">
      <c r="A508" s="113" t="s">
        <v>203</v>
      </c>
      <c r="B508" s="80" t="s">
        <v>536</v>
      </c>
      <c r="C508" s="80" t="s">
        <v>111</v>
      </c>
      <c r="D508" s="80" t="s">
        <v>221</v>
      </c>
      <c r="E508" s="83" t="s">
        <v>6</v>
      </c>
      <c r="F508" s="98">
        <f>F527+F509+F512+F515+F518+F521+F524</f>
        <v>1614889.9</v>
      </c>
      <c r="G508" s="98">
        <f>G527+G509+G512+G515+G518+G521+G524</f>
        <v>424603.53</v>
      </c>
      <c r="H508" s="98">
        <f>H527+H509+H512+H515+H518+H521+H524</f>
        <v>2222353.5300000003</v>
      </c>
      <c r="I508" s="98">
        <f>I527+I509+I512+I515+I518+I521+I524</f>
        <v>904853.53</v>
      </c>
      <c r="J508" s="129">
        <f t="shared" si="104"/>
        <v>-1317500.0000000002</v>
      </c>
      <c r="K508" s="129"/>
      <c r="L508" s="98">
        <f>L527+L509+L512+L515+L518+L521+L524</f>
        <v>3304853.5300000003</v>
      </c>
    </row>
    <row r="509" spans="1:12" ht="55.05" x14ac:dyDescent="0.25">
      <c r="A509" s="81" t="s">
        <v>282</v>
      </c>
      <c r="B509" s="80" t="s">
        <v>536</v>
      </c>
      <c r="C509" s="80" t="s">
        <v>111</v>
      </c>
      <c r="D509" s="80" t="s">
        <v>283</v>
      </c>
      <c r="E509" s="83" t="s">
        <v>6</v>
      </c>
      <c r="F509" s="98">
        <f>F510</f>
        <v>97500</v>
      </c>
      <c r="G509" s="98">
        <f t="shared" ref="G509:I510" si="109">G510</f>
        <v>97500</v>
      </c>
      <c r="H509" s="98">
        <f t="shared" si="109"/>
        <v>97500</v>
      </c>
      <c r="I509" s="108">
        <f t="shared" si="109"/>
        <v>97500</v>
      </c>
      <c r="J509" s="129">
        <f t="shared" si="104"/>
        <v>0</v>
      </c>
      <c r="K509" s="129"/>
      <c r="L509" s="108">
        <f>L510</f>
        <v>97500</v>
      </c>
    </row>
    <row r="510" spans="1:12" ht="55.05" x14ac:dyDescent="0.25">
      <c r="A510" s="81" t="s">
        <v>37</v>
      </c>
      <c r="B510" s="80" t="s">
        <v>536</v>
      </c>
      <c r="C510" s="80" t="s">
        <v>111</v>
      </c>
      <c r="D510" s="80" t="s">
        <v>283</v>
      </c>
      <c r="E510" s="83" t="s">
        <v>38</v>
      </c>
      <c r="F510" s="98">
        <f>F511</f>
        <v>97500</v>
      </c>
      <c r="G510" s="98">
        <f t="shared" si="109"/>
        <v>97500</v>
      </c>
      <c r="H510" s="98">
        <f t="shared" si="109"/>
        <v>97500</v>
      </c>
      <c r="I510" s="108">
        <f t="shared" si="109"/>
        <v>97500</v>
      </c>
      <c r="J510" s="129">
        <f t="shared" si="104"/>
        <v>0</v>
      </c>
      <c r="K510" s="129"/>
      <c r="L510" s="108">
        <f>L511</f>
        <v>97500</v>
      </c>
    </row>
    <row r="511" spans="1:12" x14ac:dyDescent="0.25">
      <c r="A511" s="81" t="s">
        <v>74</v>
      </c>
      <c r="B511" s="80" t="s">
        <v>536</v>
      </c>
      <c r="C511" s="80" t="s">
        <v>111</v>
      </c>
      <c r="D511" s="80" t="s">
        <v>283</v>
      </c>
      <c r="E511" s="83" t="s">
        <v>75</v>
      </c>
      <c r="F511" s="98">
        <v>97500</v>
      </c>
      <c r="G511" s="98">
        <v>97500</v>
      </c>
      <c r="H511" s="98">
        <v>97500</v>
      </c>
      <c r="I511" s="108">
        <v>97500</v>
      </c>
      <c r="J511" s="129">
        <f t="shared" si="104"/>
        <v>0</v>
      </c>
      <c r="K511" s="129"/>
      <c r="L511" s="108">
        <v>97500</v>
      </c>
    </row>
    <row r="512" spans="1:12" ht="36.700000000000003" x14ac:dyDescent="0.25">
      <c r="A512" s="81" t="s">
        <v>268</v>
      </c>
      <c r="B512" s="80" t="s">
        <v>536</v>
      </c>
      <c r="C512" s="80" t="s">
        <v>111</v>
      </c>
      <c r="D512" s="80" t="s">
        <v>284</v>
      </c>
      <c r="E512" s="83" t="s">
        <v>6</v>
      </c>
      <c r="F512" s="131">
        <f t="shared" ref="F512:I513" si="110">F513</f>
        <v>213000</v>
      </c>
      <c r="G512" s="131">
        <f t="shared" si="110"/>
        <v>45000</v>
      </c>
      <c r="H512" s="131">
        <f t="shared" si="110"/>
        <v>152000</v>
      </c>
      <c r="I512" s="131">
        <f t="shared" si="110"/>
        <v>152000</v>
      </c>
      <c r="J512" s="129">
        <f t="shared" si="104"/>
        <v>0</v>
      </c>
      <c r="K512" s="129"/>
      <c r="L512" s="131">
        <f>L513</f>
        <v>152000</v>
      </c>
    </row>
    <row r="513" spans="1:12" ht="55.05" x14ac:dyDescent="0.25">
      <c r="A513" s="81" t="s">
        <v>37</v>
      </c>
      <c r="B513" s="80" t="s">
        <v>536</v>
      </c>
      <c r="C513" s="80" t="s">
        <v>111</v>
      </c>
      <c r="D513" s="80" t="s">
        <v>284</v>
      </c>
      <c r="E513" s="83" t="s">
        <v>38</v>
      </c>
      <c r="F513" s="131">
        <f t="shared" si="110"/>
        <v>213000</v>
      </c>
      <c r="G513" s="131">
        <f t="shared" si="110"/>
        <v>45000</v>
      </c>
      <c r="H513" s="131">
        <f t="shared" si="110"/>
        <v>152000</v>
      </c>
      <c r="I513" s="117">
        <f t="shared" si="110"/>
        <v>152000</v>
      </c>
      <c r="J513" s="129">
        <f t="shared" si="104"/>
        <v>0</v>
      </c>
      <c r="K513" s="129"/>
      <c r="L513" s="117">
        <f>L514</f>
        <v>152000</v>
      </c>
    </row>
    <row r="514" spans="1:12" x14ac:dyDescent="0.25">
      <c r="A514" s="81" t="s">
        <v>74</v>
      </c>
      <c r="B514" s="80" t="s">
        <v>536</v>
      </c>
      <c r="C514" s="80" t="s">
        <v>111</v>
      </c>
      <c r="D514" s="80" t="s">
        <v>284</v>
      </c>
      <c r="E514" s="83" t="s">
        <v>75</v>
      </c>
      <c r="F514" s="98">
        <v>213000</v>
      </c>
      <c r="G514" s="98">
        <v>45000</v>
      </c>
      <c r="H514" s="98">
        <v>152000</v>
      </c>
      <c r="I514" s="108">
        <v>152000</v>
      </c>
      <c r="J514" s="129">
        <f t="shared" si="104"/>
        <v>0</v>
      </c>
      <c r="K514" s="129"/>
      <c r="L514" s="108">
        <v>152000</v>
      </c>
    </row>
    <row r="515" spans="1:12" x14ac:dyDescent="0.25">
      <c r="A515" s="81" t="s">
        <v>311</v>
      </c>
      <c r="B515" s="80" t="s">
        <v>536</v>
      </c>
      <c r="C515" s="80" t="s">
        <v>111</v>
      </c>
      <c r="D515" s="80" t="s">
        <v>534</v>
      </c>
      <c r="E515" s="80" t="s">
        <v>6</v>
      </c>
      <c r="F515" s="98">
        <f t="shared" ref="F515:I516" si="111">F516</f>
        <v>422050</v>
      </c>
      <c r="G515" s="98">
        <f t="shared" si="111"/>
        <v>0</v>
      </c>
      <c r="H515" s="98">
        <f t="shared" si="111"/>
        <v>273250</v>
      </c>
      <c r="I515" s="98">
        <f t="shared" si="111"/>
        <v>273250</v>
      </c>
      <c r="J515" s="129">
        <f t="shared" si="104"/>
        <v>0</v>
      </c>
      <c r="K515" s="129"/>
      <c r="L515" s="98">
        <f>L516</f>
        <v>273250</v>
      </c>
    </row>
    <row r="516" spans="1:12" ht="55.05" x14ac:dyDescent="0.25">
      <c r="A516" s="81" t="s">
        <v>37</v>
      </c>
      <c r="B516" s="80" t="s">
        <v>536</v>
      </c>
      <c r="C516" s="80" t="s">
        <v>111</v>
      </c>
      <c r="D516" s="80" t="s">
        <v>534</v>
      </c>
      <c r="E516" s="80" t="s">
        <v>38</v>
      </c>
      <c r="F516" s="98">
        <f t="shared" si="111"/>
        <v>422050</v>
      </c>
      <c r="G516" s="98">
        <f t="shared" si="111"/>
        <v>0</v>
      </c>
      <c r="H516" s="98">
        <f t="shared" si="111"/>
        <v>273250</v>
      </c>
      <c r="I516" s="98">
        <f t="shared" si="111"/>
        <v>273250</v>
      </c>
      <c r="J516" s="129">
        <f t="shared" si="104"/>
        <v>0</v>
      </c>
      <c r="K516" s="129"/>
      <c r="L516" s="98">
        <f>L517</f>
        <v>273250</v>
      </c>
    </row>
    <row r="517" spans="1:12" x14ac:dyDescent="0.25">
      <c r="A517" s="81" t="s">
        <v>74</v>
      </c>
      <c r="B517" s="80" t="s">
        <v>536</v>
      </c>
      <c r="C517" s="80" t="s">
        <v>111</v>
      </c>
      <c r="D517" s="80" t="s">
        <v>534</v>
      </c>
      <c r="E517" s="80" t="s">
        <v>75</v>
      </c>
      <c r="F517" s="98">
        <v>422050</v>
      </c>
      <c r="G517" s="98">
        <v>0</v>
      </c>
      <c r="H517" s="98">
        <v>273250</v>
      </c>
      <c r="I517" s="108">
        <v>273250</v>
      </c>
      <c r="J517" s="129">
        <f t="shared" si="104"/>
        <v>0</v>
      </c>
      <c r="K517" s="129"/>
      <c r="L517" s="108">
        <v>273250</v>
      </c>
    </row>
    <row r="518" spans="1:12" ht="73.400000000000006" x14ac:dyDescent="0.25">
      <c r="A518" s="113" t="s">
        <v>458</v>
      </c>
      <c r="B518" s="80" t="s">
        <v>536</v>
      </c>
      <c r="C518" s="80" t="s">
        <v>111</v>
      </c>
      <c r="D518" s="80" t="s">
        <v>459</v>
      </c>
      <c r="E518" s="80" t="s">
        <v>6</v>
      </c>
      <c r="F518" s="98">
        <f>F519</f>
        <v>126000</v>
      </c>
      <c r="G518" s="98">
        <f t="shared" ref="G518:I519" si="112">G519</f>
        <v>0</v>
      </c>
      <c r="H518" s="98">
        <f t="shared" si="112"/>
        <v>1417500</v>
      </c>
      <c r="I518" s="98">
        <f t="shared" si="112"/>
        <v>100000</v>
      </c>
      <c r="J518" s="129">
        <f t="shared" si="104"/>
        <v>-1317500</v>
      </c>
      <c r="K518" s="129"/>
      <c r="L518" s="98">
        <f>L519</f>
        <v>100000</v>
      </c>
    </row>
    <row r="519" spans="1:12" ht="55.05" x14ac:dyDescent="0.25">
      <c r="A519" s="81" t="s">
        <v>37</v>
      </c>
      <c r="B519" s="80" t="s">
        <v>536</v>
      </c>
      <c r="C519" s="80" t="s">
        <v>111</v>
      </c>
      <c r="D519" s="80" t="s">
        <v>459</v>
      </c>
      <c r="E519" s="80" t="s">
        <v>38</v>
      </c>
      <c r="F519" s="98">
        <f>F520</f>
        <v>126000</v>
      </c>
      <c r="G519" s="98">
        <f t="shared" si="112"/>
        <v>0</v>
      </c>
      <c r="H519" s="98">
        <f t="shared" si="112"/>
        <v>1417500</v>
      </c>
      <c r="I519" s="98">
        <f t="shared" si="112"/>
        <v>100000</v>
      </c>
      <c r="J519" s="129">
        <f t="shared" si="104"/>
        <v>-1317500</v>
      </c>
      <c r="K519" s="129"/>
      <c r="L519" s="98">
        <f>L520</f>
        <v>100000</v>
      </c>
    </row>
    <row r="520" spans="1:12" x14ac:dyDescent="0.25">
      <c r="A520" s="81" t="s">
        <v>74</v>
      </c>
      <c r="B520" s="80" t="s">
        <v>536</v>
      </c>
      <c r="C520" s="80" t="s">
        <v>111</v>
      </c>
      <c r="D520" s="80" t="s">
        <v>459</v>
      </c>
      <c r="E520" s="80" t="s">
        <v>75</v>
      </c>
      <c r="F520" s="98">
        <v>126000</v>
      </c>
      <c r="G520" s="98">
        <v>0</v>
      </c>
      <c r="H520" s="98">
        <v>1417500</v>
      </c>
      <c r="I520" s="108">
        <v>100000</v>
      </c>
      <c r="J520" s="129">
        <f t="shared" si="104"/>
        <v>-1317500</v>
      </c>
      <c r="K520" s="129"/>
      <c r="L520" s="108">
        <v>100000</v>
      </c>
    </row>
    <row r="521" spans="1:12" ht="55.05" x14ac:dyDescent="0.25">
      <c r="A521" s="81" t="s">
        <v>795</v>
      </c>
      <c r="B521" s="80" t="s">
        <v>536</v>
      </c>
      <c r="C521" s="80" t="s">
        <v>111</v>
      </c>
      <c r="D521" s="80" t="s">
        <v>726</v>
      </c>
      <c r="E521" s="80" t="s">
        <v>6</v>
      </c>
      <c r="F521" s="98">
        <f>F522</f>
        <v>345000</v>
      </c>
      <c r="G521" s="98">
        <f t="shared" ref="G521:I522" si="113">G522</f>
        <v>0</v>
      </c>
      <c r="H521" s="98">
        <f t="shared" si="113"/>
        <v>0</v>
      </c>
      <c r="I521" s="98">
        <f t="shared" si="113"/>
        <v>0</v>
      </c>
      <c r="J521" s="129">
        <f t="shared" si="104"/>
        <v>0</v>
      </c>
      <c r="K521" s="129">
        <v>2400000</v>
      </c>
      <c r="L521" s="98">
        <f>L522</f>
        <v>2400000</v>
      </c>
    </row>
    <row r="522" spans="1:12" ht="55.05" x14ac:dyDescent="0.25">
      <c r="A522" s="81" t="s">
        <v>37</v>
      </c>
      <c r="B522" s="80" t="s">
        <v>536</v>
      </c>
      <c r="C522" s="80" t="s">
        <v>111</v>
      </c>
      <c r="D522" s="80" t="s">
        <v>726</v>
      </c>
      <c r="E522" s="80" t="s">
        <v>38</v>
      </c>
      <c r="F522" s="98">
        <f>F523</f>
        <v>345000</v>
      </c>
      <c r="G522" s="98">
        <f t="shared" si="113"/>
        <v>0</v>
      </c>
      <c r="H522" s="98">
        <f t="shared" si="113"/>
        <v>0</v>
      </c>
      <c r="I522" s="98">
        <f t="shared" si="113"/>
        <v>0</v>
      </c>
      <c r="J522" s="129">
        <f t="shared" si="104"/>
        <v>0</v>
      </c>
      <c r="K522" s="129"/>
      <c r="L522" s="98">
        <f>L523</f>
        <v>2400000</v>
      </c>
    </row>
    <row r="523" spans="1:12" x14ac:dyDescent="0.25">
      <c r="A523" s="81" t="s">
        <v>74</v>
      </c>
      <c r="B523" s="80" t="s">
        <v>536</v>
      </c>
      <c r="C523" s="80" t="s">
        <v>111</v>
      </c>
      <c r="D523" s="80" t="s">
        <v>726</v>
      </c>
      <c r="E523" s="80" t="s">
        <v>75</v>
      </c>
      <c r="F523" s="98">
        <v>345000</v>
      </c>
      <c r="G523" s="98">
        <v>0</v>
      </c>
      <c r="H523" s="98">
        <v>0</v>
      </c>
      <c r="I523" s="108"/>
      <c r="J523" s="129">
        <f t="shared" si="104"/>
        <v>0</v>
      </c>
      <c r="K523" s="129"/>
      <c r="L523" s="108">
        <v>2400000</v>
      </c>
    </row>
    <row r="524" spans="1:12" ht="128.4" x14ac:dyDescent="0.25">
      <c r="A524" s="100" t="s">
        <v>589</v>
      </c>
      <c r="B524" s="80" t="s">
        <v>536</v>
      </c>
      <c r="C524" s="80" t="s">
        <v>111</v>
      </c>
      <c r="D524" s="80" t="s">
        <v>590</v>
      </c>
      <c r="E524" s="80" t="s">
        <v>6</v>
      </c>
      <c r="F524" s="98">
        <f>F525</f>
        <v>398999.7</v>
      </c>
      <c r="G524" s="98">
        <f t="shared" ref="G524:I525" si="114">G525</f>
        <v>0</v>
      </c>
      <c r="H524" s="98">
        <f t="shared" si="114"/>
        <v>0</v>
      </c>
      <c r="I524" s="98">
        <f t="shared" si="114"/>
        <v>0</v>
      </c>
      <c r="J524" s="129">
        <f t="shared" si="104"/>
        <v>0</v>
      </c>
      <c r="K524" s="129"/>
      <c r="L524" s="98">
        <f>L525</f>
        <v>0</v>
      </c>
    </row>
    <row r="525" spans="1:12" ht="55.05" x14ac:dyDescent="0.25">
      <c r="A525" s="81" t="s">
        <v>37</v>
      </c>
      <c r="B525" s="80" t="s">
        <v>536</v>
      </c>
      <c r="C525" s="80" t="s">
        <v>111</v>
      </c>
      <c r="D525" s="80" t="s">
        <v>590</v>
      </c>
      <c r="E525" s="80" t="s">
        <v>38</v>
      </c>
      <c r="F525" s="98">
        <f>F526</f>
        <v>398999.7</v>
      </c>
      <c r="G525" s="98">
        <f t="shared" si="114"/>
        <v>0</v>
      </c>
      <c r="H525" s="98">
        <f t="shared" si="114"/>
        <v>0</v>
      </c>
      <c r="I525" s="98">
        <f t="shared" si="114"/>
        <v>0</v>
      </c>
      <c r="J525" s="129">
        <f t="shared" si="104"/>
        <v>0</v>
      </c>
      <c r="K525" s="129"/>
      <c r="L525" s="98">
        <f>L526</f>
        <v>0</v>
      </c>
    </row>
    <row r="526" spans="1:12" x14ac:dyDescent="0.25">
      <c r="A526" s="81" t="s">
        <v>74</v>
      </c>
      <c r="B526" s="80" t="s">
        <v>536</v>
      </c>
      <c r="C526" s="80" t="s">
        <v>111</v>
      </c>
      <c r="D526" s="80" t="s">
        <v>590</v>
      </c>
      <c r="E526" s="80" t="s">
        <v>75</v>
      </c>
      <c r="F526" s="98">
        <v>398999.7</v>
      </c>
      <c r="G526" s="98">
        <v>0</v>
      </c>
      <c r="H526" s="98">
        <v>0</v>
      </c>
      <c r="I526" s="108">
        <v>0</v>
      </c>
      <c r="J526" s="129">
        <f t="shared" si="104"/>
        <v>0</v>
      </c>
      <c r="K526" s="129"/>
      <c r="L526" s="108">
        <v>0</v>
      </c>
    </row>
    <row r="527" spans="1:12" ht="91.7" x14ac:dyDescent="0.25">
      <c r="A527" s="81" t="s">
        <v>443</v>
      </c>
      <c r="B527" s="80" t="s">
        <v>536</v>
      </c>
      <c r="C527" s="80" t="s">
        <v>111</v>
      </c>
      <c r="D527" s="80" t="s">
        <v>444</v>
      </c>
      <c r="E527" s="83" t="s">
        <v>6</v>
      </c>
      <c r="F527" s="98">
        <f>F528</f>
        <v>12340.2</v>
      </c>
      <c r="G527" s="131">
        <f t="shared" ref="G527:I528" si="115">G528</f>
        <v>282103.53000000003</v>
      </c>
      <c r="H527" s="131">
        <f t="shared" si="115"/>
        <v>282103.53000000003</v>
      </c>
      <c r="I527" s="117">
        <f t="shared" si="115"/>
        <v>282103.53000000003</v>
      </c>
      <c r="J527" s="129">
        <f t="shared" si="104"/>
        <v>0</v>
      </c>
      <c r="K527" s="129"/>
      <c r="L527" s="117">
        <f>L528</f>
        <v>282103.53000000003</v>
      </c>
    </row>
    <row r="528" spans="1:12" ht="55.05" x14ac:dyDescent="0.25">
      <c r="A528" s="81" t="s">
        <v>37</v>
      </c>
      <c r="B528" s="80" t="s">
        <v>536</v>
      </c>
      <c r="C528" s="80" t="s">
        <v>111</v>
      </c>
      <c r="D528" s="80" t="s">
        <v>444</v>
      </c>
      <c r="E528" s="83" t="s">
        <v>38</v>
      </c>
      <c r="F528" s="98">
        <f>F529</f>
        <v>12340.2</v>
      </c>
      <c r="G528" s="131">
        <f t="shared" si="115"/>
        <v>282103.53000000003</v>
      </c>
      <c r="H528" s="131">
        <f t="shared" si="115"/>
        <v>282103.53000000003</v>
      </c>
      <c r="I528" s="117">
        <f t="shared" si="115"/>
        <v>282103.53000000003</v>
      </c>
      <c r="J528" s="129">
        <f t="shared" si="104"/>
        <v>0</v>
      </c>
      <c r="K528" s="129"/>
      <c r="L528" s="117">
        <f>L529</f>
        <v>282103.53000000003</v>
      </c>
    </row>
    <row r="529" spans="1:12" x14ac:dyDescent="0.25">
      <c r="A529" s="81" t="s">
        <v>74</v>
      </c>
      <c r="B529" s="80" t="s">
        <v>536</v>
      </c>
      <c r="C529" s="80" t="s">
        <v>111</v>
      </c>
      <c r="D529" s="80" t="s">
        <v>444</v>
      </c>
      <c r="E529" s="83" t="s">
        <v>75</v>
      </c>
      <c r="F529" s="98">
        <v>12340.2</v>
      </c>
      <c r="G529" s="98">
        <v>282103.53000000003</v>
      </c>
      <c r="H529" s="98">
        <v>282103.53000000003</v>
      </c>
      <c r="I529" s="108">
        <v>282103.53000000003</v>
      </c>
      <c r="J529" s="129">
        <f t="shared" si="104"/>
        <v>0</v>
      </c>
      <c r="K529" s="129"/>
      <c r="L529" s="108">
        <v>282103.53000000003</v>
      </c>
    </row>
    <row r="530" spans="1:12" ht="73.400000000000006" x14ac:dyDescent="0.25">
      <c r="A530" s="114" t="s">
        <v>591</v>
      </c>
      <c r="B530" s="80" t="s">
        <v>536</v>
      </c>
      <c r="C530" s="80" t="s">
        <v>111</v>
      </c>
      <c r="D530" s="80" t="s">
        <v>592</v>
      </c>
      <c r="E530" s="80" t="s">
        <v>6</v>
      </c>
      <c r="F530" s="98">
        <f>F531</f>
        <v>31512624.059999999</v>
      </c>
      <c r="G530" s="98">
        <f t="shared" ref="G530:I532" si="116">G531</f>
        <v>0</v>
      </c>
      <c r="H530" s="98">
        <f t="shared" si="116"/>
        <v>0</v>
      </c>
      <c r="I530" s="98">
        <f t="shared" si="116"/>
        <v>0</v>
      </c>
      <c r="J530" s="129">
        <f t="shared" si="104"/>
        <v>0</v>
      </c>
      <c r="K530" s="129"/>
      <c r="L530" s="98">
        <f>L531</f>
        <v>0</v>
      </c>
    </row>
    <row r="531" spans="1:12" ht="146.75" x14ac:dyDescent="0.25">
      <c r="A531" s="113" t="s">
        <v>562</v>
      </c>
      <c r="B531" s="80" t="s">
        <v>536</v>
      </c>
      <c r="C531" s="80" t="s">
        <v>111</v>
      </c>
      <c r="D531" s="80" t="s">
        <v>675</v>
      </c>
      <c r="E531" s="80" t="s">
        <v>6</v>
      </c>
      <c r="F531" s="98">
        <f>F532</f>
        <v>31512624.059999999</v>
      </c>
      <c r="G531" s="98">
        <f t="shared" si="116"/>
        <v>0</v>
      </c>
      <c r="H531" s="98">
        <f t="shared" si="116"/>
        <v>0</v>
      </c>
      <c r="I531" s="98">
        <f t="shared" si="116"/>
        <v>0</v>
      </c>
      <c r="J531" s="129">
        <f t="shared" si="104"/>
        <v>0</v>
      </c>
      <c r="K531" s="129"/>
      <c r="L531" s="98">
        <f>L532</f>
        <v>0</v>
      </c>
    </row>
    <row r="532" spans="1:12" ht="55.05" x14ac:dyDescent="0.25">
      <c r="A532" s="81" t="s">
        <v>264</v>
      </c>
      <c r="B532" s="80" t="s">
        <v>536</v>
      </c>
      <c r="C532" s="80" t="s">
        <v>111</v>
      </c>
      <c r="D532" s="80" t="s">
        <v>675</v>
      </c>
      <c r="E532" s="80" t="s">
        <v>265</v>
      </c>
      <c r="F532" s="98">
        <f>F533</f>
        <v>31512624.059999999</v>
      </c>
      <c r="G532" s="98">
        <f t="shared" si="116"/>
        <v>0</v>
      </c>
      <c r="H532" s="98">
        <f t="shared" si="116"/>
        <v>0</v>
      </c>
      <c r="I532" s="98">
        <f t="shared" si="116"/>
        <v>0</v>
      </c>
      <c r="J532" s="129">
        <f t="shared" si="104"/>
        <v>0</v>
      </c>
      <c r="K532" s="129"/>
      <c r="L532" s="98">
        <f>L533</f>
        <v>0</v>
      </c>
    </row>
    <row r="533" spans="1:12" x14ac:dyDescent="0.25">
      <c r="A533" s="81" t="s">
        <v>266</v>
      </c>
      <c r="B533" s="80" t="s">
        <v>536</v>
      </c>
      <c r="C533" s="80" t="s">
        <v>111</v>
      </c>
      <c r="D533" s="80" t="s">
        <v>675</v>
      </c>
      <c r="E533" s="80" t="s">
        <v>267</v>
      </c>
      <c r="F533" s="98">
        <v>31512624.059999999</v>
      </c>
      <c r="G533" s="98">
        <v>0</v>
      </c>
      <c r="H533" s="98">
        <v>0</v>
      </c>
      <c r="I533" s="108">
        <v>0</v>
      </c>
      <c r="J533" s="129">
        <f t="shared" si="104"/>
        <v>0</v>
      </c>
      <c r="K533" s="129"/>
      <c r="L533" s="108">
        <v>0</v>
      </c>
    </row>
    <row r="534" spans="1:12" x14ac:dyDescent="0.25">
      <c r="A534" s="81" t="s">
        <v>71</v>
      </c>
      <c r="B534" s="80" t="s">
        <v>536</v>
      </c>
      <c r="C534" s="80" t="s">
        <v>72</v>
      </c>
      <c r="D534" s="80" t="s">
        <v>126</v>
      </c>
      <c r="E534" s="83" t="s">
        <v>6</v>
      </c>
      <c r="F534" s="82">
        <f>F535</f>
        <v>373623920.69999999</v>
      </c>
      <c r="G534" s="82">
        <f t="shared" ref="G534:I535" si="117">G535</f>
        <v>349776745.52000004</v>
      </c>
      <c r="H534" s="82">
        <f t="shared" si="117"/>
        <v>413237268.24000001</v>
      </c>
      <c r="I534" s="96">
        <f t="shared" si="117"/>
        <v>412412468.24000001</v>
      </c>
      <c r="J534" s="129">
        <f t="shared" si="104"/>
        <v>-824800</v>
      </c>
      <c r="K534" s="129"/>
      <c r="L534" s="96">
        <f>L535</f>
        <v>412412468.24000001</v>
      </c>
    </row>
    <row r="535" spans="1:12" ht="73.400000000000006" x14ac:dyDescent="0.25">
      <c r="A535" s="109" t="s">
        <v>395</v>
      </c>
      <c r="B535" s="110" t="s">
        <v>536</v>
      </c>
      <c r="C535" s="110" t="s">
        <v>72</v>
      </c>
      <c r="D535" s="110" t="s">
        <v>138</v>
      </c>
      <c r="E535" s="111" t="s">
        <v>6</v>
      </c>
      <c r="F535" s="85">
        <f>F536</f>
        <v>373623920.69999999</v>
      </c>
      <c r="G535" s="85">
        <f t="shared" si="117"/>
        <v>349776745.52000004</v>
      </c>
      <c r="H535" s="85">
        <f t="shared" si="117"/>
        <v>413237268.24000001</v>
      </c>
      <c r="I535" s="112">
        <f t="shared" si="117"/>
        <v>412412468.24000001</v>
      </c>
      <c r="J535" s="129">
        <f t="shared" si="104"/>
        <v>-824800</v>
      </c>
      <c r="K535" s="129"/>
      <c r="L535" s="112">
        <f>L536</f>
        <v>412412468.24000001</v>
      </c>
    </row>
    <row r="536" spans="1:12" ht="73.400000000000006" x14ac:dyDescent="0.25">
      <c r="A536" s="81" t="s">
        <v>399</v>
      </c>
      <c r="B536" s="80" t="s">
        <v>536</v>
      </c>
      <c r="C536" s="80" t="s">
        <v>72</v>
      </c>
      <c r="D536" s="80" t="s">
        <v>146</v>
      </c>
      <c r="E536" s="83" t="s">
        <v>6</v>
      </c>
      <c r="F536" s="82">
        <f>F537+F550+F566+F570</f>
        <v>373623920.69999999</v>
      </c>
      <c r="G536" s="82">
        <f>G537+G550+G566+G570</f>
        <v>349776745.52000004</v>
      </c>
      <c r="H536" s="82">
        <f>H537+H550+H566+H570</f>
        <v>413237268.24000001</v>
      </c>
      <c r="I536" s="96">
        <f>I537+I550+I566+I570</f>
        <v>412412468.24000001</v>
      </c>
      <c r="J536" s="129">
        <f t="shared" si="104"/>
        <v>-824800</v>
      </c>
      <c r="K536" s="129"/>
      <c r="L536" s="96">
        <f>L537+L550+L566+L570</f>
        <v>412412468.24000001</v>
      </c>
    </row>
    <row r="537" spans="1:12" ht="73.400000000000006" x14ac:dyDescent="0.25">
      <c r="A537" s="113" t="s">
        <v>205</v>
      </c>
      <c r="B537" s="80" t="s">
        <v>536</v>
      </c>
      <c r="C537" s="80" t="s">
        <v>72</v>
      </c>
      <c r="D537" s="80" t="s">
        <v>222</v>
      </c>
      <c r="E537" s="83" t="s">
        <v>6</v>
      </c>
      <c r="F537" s="82">
        <f>F538+F541+F544+F547</f>
        <v>353473815.50999999</v>
      </c>
      <c r="G537" s="82">
        <f>G538+G541+G544+G547</f>
        <v>339456112.73000002</v>
      </c>
      <c r="H537" s="82">
        <f>H538+H541+H544+H547</f>
        <v>367898028.19999999</v>
      </c>
      <c r="I537" s="96">
        <f>I538+I541+I544+I547</f>
        <v>367898028.19999999</v>
      </c>
      <c r="J537" s="129">
        <f t="shared" si="104"/>
        <v>0</v>
      </c>
      <c r="K537" s="129"/>
      <c r="L537" s="96">
        <f>L538+L541+L544+L547</f>
        <v>367898028.19999999</v>
      </c>
    </row>
    <row r="538" spans="1:12" ht="91.7" x14ac:dyDescent="0.25">
      <c r="A538" s="25" t="s">
        <v>593</v>
      </c>
      <c r="B538" s="80" t="s">
        <v>536</v>
      </c>
      <c r="C538" s="80" t="s">
        <v>72</v>
      </c>
      <c r="D538" s="80" t="s">
        <v>594</v>
      </c>
      <c r="E538" s="83" t="s">
        <v>6</v>
      </c>
      <c r="F538" s="82">
        <f>F539</f>
        <v>20592000</v>
      </c>
      <c r="G538" s="82">
        <f t="shared" ref="G538:I539" si="118">G539</f>
        <v>20592000</v>
      </c>
      <c r="H538" s="82">
        <f t="shared" si="118"/>
        <v>20475000</v>
      </c>
      <c r="I538" s="96">
        <f t="shared" si="118"/>
        <v>20475000</v>
      </c>
      <c r="J538" s="129">
        <f t="shared" si="104"/>
        <v>0</v>
      </c>
      <c r="K538" s="129"/>
      <c r="L538" s="96">
        <f>L539</f>
        <v>20475000</v>
      </c>
    </row>
    <row r="539" spans="1:12" ht="55.05" x14ac:dyDescent="0.25">
      <c r="A539" s="81" t="s">
        <v>37</v>
      </c>
      <c r="B539" s="80" t="s">
        <v>536</v>
      </c>
      <c r="C539" s="80" t="s">
        <v>72</v>
      </c>
      <c r="D539" s="80" t="s">
        <v>594</v>
      </c>
      <c r="E539" s="83" t="s">
        <v>38</v>
      </c>
      <c r="F539" s="82">
        <f>F540</f>
        <v>20592000</v>
      </c>
      <c r="G539" s="82">
        <f t="shared" si="118"/>
        <v>20592000</v>
      </c>
      <c r="H539" s="82">
        <f t="shared" si="118"/>
        <v>20475000</v>
      </c>
      <c r="I539" s="96">
        <f t="shared" si="118"/>
        <v>20475000</v>
      </c>
      <c r="J539" s="129">
        <f t="shared" si="104"/>
        <v>0</v>
      </c>
      <c r="K539" s="129"/>
      <c r="L539" s="96">
        <f>L540</f>
        <v>20475000</v>
      </c>
    </row>
    <row r="540" spans="1:12" x14ac:dyDescent="0.25">
      <c r="A540" s="81" t="s">
        <v>74</v>
      </c>
      <c r="B540" s="80" t="s">
        <v>536</v>
      </c>
      <c r="C540" s="80" t="s">
        <v>72</v>
      </c>
      <c r="D540" s="80" t="s">
        <v>594</v>
      </c>
      <c r="E540" s="83" t="s">
        <v>75</v>
      </c>
      <c r="F540" s="82">
        <v>20592000</v>
      </c>
      <c r="G540" s="82">
        <v>20592000</v>
      </c>
      <c r="H540" s="82">
        <v>20475000</v>
      </c>
      <c r="I540" s="96">
        <v>20475000</v>
      </c>
      <c r="J540" s="129">
        <f t="shared" si="104"/>
        <v>0</v>
      </c>
      <c r="K540" s="129"/>
      <c r="L540" s="96">
        <v>20475000</v>
      </c>
    </row>
    <row r="541" spans="1:12" ht="73.400000000000006" x14ac:dyDescent="0.25">
      <c r="A541" s="81" t="s">
        <v>114</v>
      </c>
      <c r="B541" s="80" t="s">
        <v>536</v>
      </c>
      <c r="C541" s="80" t="s">
        <v>72</v>
      </c>
      <c r="D541" s="80" t="s">
        <v>147</v>
      </c>
      <c r="E541" s="83" t="s">
        <v>6</v>
      </c>
      <c r="F541" s="82">
        <f>F542</f>
        <v>93443682.510000005</v>
      </c>
      <c r="G541" s="82">
        <f t="shared" ref="G541:I542" si="119">G542</f>
        <v>59313947.729999997</v>
      </c>
      <c r="H541" s="82">
        <f t="shared" si="119"/>
        <v>97603413</v>
      </c>
      <c r="I541" s="96">
        <f t="shared" si="119"/>
        <v>97603413</v>
      </c>
      <c r="J541" s="129">
        <f t="shared" si="104"/>
        <v>0</v>
      </c>
      <c r="K541" s="129"/>
      <c r="L541" s="96">
        <f>L542</f>
        <v>97603413</v>
      </c>
    </row>
    <row r="542" spans="1:12" ht="55.05" x14ac:dyDescent="0.25">
      <c r="A542" s="81" t="s">
        <v>37</v>
      </c>
      <c r="B542" s="80" t="s">
        <v>536</v>
      </c>
      <c r="C542" s="80" t="s">
        <v>72</v>
      </c>
      <c r="D542" s="80" t="s">
        <v>147</v>
      </c>
      <c r="E542" s="83" t="s">
        <v>38</v>
      </c>
      <c r="F542" s="82">
        <f>F543</f>
        <v>93443682.510000005</v>
      </c>
      <c r="G542" s="82">
        <f t="shared" si="119"/>
        <v>59313947.729999997</v>
      </c>
      <c r="H542" s="82">
        <f t="shared" si="119"/>
        <v>97603413</v>
      </c>
      <c r="I542" s="96">
        <f t="shared" si="119"/>
        <v>97603413</v>
      </c>
      <c r="J542" s="129">
        <f t="shared" si="104"/>
        <v>0</v>
      </c>
      <c r="K542" s="129"/>
      <c r="L542" s="96">
        <f>L543</f>
        <v>97603413</v>
      </c>
    </row>
    <row r="543" spans="1:12" x14ac:dyDescent="0.3">
      <c r="A543" s="81" t="s">
        <v>74</v>
      </c>
      <c r="B543" s="80" t="s">
        <v>536</v>
      </c>
      <c r="C543" s="80" t="s">
        <v>72</v>
      </c>
      <c r="D543" s="80" t="s">
        <v>147</v>
      </c>
      <c r="E543" s="83" t="s">
        <v>75</v>
      </c>
      <c r="F543" s="98">
        <v>93443682.510000005</v>
      </c>
      <c r="G543" s="98">
        <v>59313947.729999997</v>
      </c>
      <c r="H543" s="53">
        <v>97603413</v>
      </c>
      <c r="I543" s="127">
        <v>97603413</v>
      </c>
      <c r="J543" s="129">
        <f t="shared" si="104"/>
        <v>0</v>
      </c>
      <c r="K543" s="129"/>
      <c r="L543" s="127">
        <v>97603413</v>
      </c>
    </row>
    <row r="544" spans="1:12" ht="94.75" customHeight="1" x14ac:dyDescent="0.25">
      <c r="A544" s="113" t="s">
        <v>400</v>
      </c>
      <c r="B544" s="80" t="s">
        <v>536</v>
      </c>
      <c r="C544" s="80" t="s">
        <v>72</v>
      </c>
      <c r="D544" s="80" t="s">
        <v>148</v>
      </c>
      <c r="E544" s="83" t="s">
        <v>6</v>
      </c>
      <c r="F544" s="82">
        <f>F545</f>
        <v>228323533</v>
      </c>
      <c r="G544" s="82">
        <f t="shared" ref="G544:I545" si="120">G545</f>
        <v>248435565</v>
      </c>
      <c r="H544" s="82">
        <f t="shared" si="120"/>
        <v>238943015.19999999</v>
      </c>
      <c r="I544" s="96">
        <f t="shared" si="120"/>
        <v>238943015.19999999</v>
      </c>
      <c r="J544" s="129">
        <f t="shared" si="104"/>
        <v>0</v>
      </c>
      <c r="K544" s="129"/>
      <c r="L544" s="96">
        <f>L545</f>
        <v>238943015.19999999</v>
      </c>
    </row>
    <row r="545" spans="1:12" ht="55.05" x14ac:dyDescent="0.25">
      <c r="A545" s="81" t="s">
        <v>37</v>
      </c>
      <c r="B545" s="80" t="s">
        <v>536</v>
      </c>
      <c r="C545" s="80" t="s">
        <v>72</v>
      </c>
      <c r="D545" s="80" t="s">
        <v>148</v>
      </c>
      <c r="E545" s="83" t="s">
        <v>38</v>
      </c>
      <c r="F545" s="82">
        <f>F546</f>
        <v>228323533</v>
      </c>
      <c r="G545" s="82">
        <f t="shared" si="120"/>
        <v>248435565</v>
      </c>
      <c r="H545" s="82">
        <f t="shared" si="120"/>
        <v>238943015.19999999</v>
      </c>
      <c r="I545" s="96">
        <f t="shared" si="120"/>
        <v>238943015.19999999</v>
      </c>
      <c r="J545" s="129">
        <f t="shared" si="104"/>
        <v>0</v>
      </c>
      <c r="K545" s="129"/>
      <c r="L545" s="96">
        <f>L546</f>
        <v>238943015.19999999</v>
      </c>
    </row>
    <row r="546" spans="1:12" x14ac:dyDescent="0.25">
      <c r="A546" s="81" t="s">
        <v>74</v>
      </c>
      <c r="B546" s="80" t="s">
        <v>536</v>
      </c>
      <c r="C546" s="80" t="s">
        <v>72</v>
      </c>
      <c r="D546" s="80" t="s">
        <v>148</v>
      </c>
      <c r="E546" s="83" t="s">
        <v>75</v>
      </c>
      <c r="F546" s="98">
        <v>228323533</v>
      </c>
      <c r="G546" s="98">
        <v>248435565</v>
      </c>
      <c r="H546" s="98">
        <v>238943015.19999999</v>
      </c>
      <c r="I546" s="108">
        <v>238943015.19999999</v>
      </c>
      <c r="J546" s="129">
        <f t="shared" si="104"/>
        <v>0</v>
      </c>
      <c r="K546" s="129"/>
      <c r="L546" s="108">
        <v>238943015.19999999</v>
      </c>
    </row>
    <row r="547" spans="1:12" ht="183.4" x14ac:dyDescent="0.25">
      <c r="A547" s="25" t="s">
        <v>470</v>
      </c>
      <c r="B547" s="80" t="s">
        <v>536</v>
      </c>
      <c r="C547" s="80" t="s">
        <v>72</v>
      </c>
      <c r="D547" s="80" t="s">
        <v>471</v>
      </c>
      <c r="E547" s="83" t="s">
        <v>6</v>
      </c>
      <c r="F547" s="98">
        <f>F548</f>
        <v>11114600</v>
      </c>
      <c r="G547" s="98">
        <f t="shared" ref="G547:I548" si="121">G548</f>
        <v>11114600</v>
      </c>
      <c r="H547" s="98">
        <f t="shared" si="121"/>
        <v>10876600</v>
      </c>
      <c r="I547" s="108">
        <f t="shared" si="121"/>
        <v>10876600</v>
      </c>
      <c r="J547" s="129">
        <f t="shared" si="104"/>
        <v>0</v>
      </c>
      <c r="K547" s="129"/>
      <c r="L547" s="108">
        <f>L548</f>
        <v>10876600</v>
      </c>
    </row>
    <row r="548" spans="1:12" ht="55.05" x14ac:dyDescent="0.25">
      <c r="A548" s="81" t="s">
        <v>37</v>
      </c>
      <c r="B548" s="80" t="s">
        <v>536</v>
      </c>
      <c r="C548" s="80" t="s">
        <v>72</v>
      </c>
      <c r="D548" s="80" t="s">
        <v>471</v>
      </c>
      <c r="E548" s="83" t="s">
        <v>38</v>
      </c>
      <c r="F548" s="98">
        <f>F549</f>
        <v>11114600</v>
      </c>
      <c r="G548" s="98">
        <f t="shared" si="121"/>
        <v>11114600</v>
      </c>
      <c r="H548" s="98">
        <f t="shared" si="121"/>
        <v>10876600</v>
      </c>
      <c r="I548" s="108">
        <f t="shared" si="121"/>
        <v>10876600</v>
      </c>
      <c r="J548" s="129">
        <f t="shared" si="104"/>
        <v>0</v>
      </c>
      <c r="K548" s="129"/>
      <c r="L548" s="108">
        <f>L549</f>
        <v>10876600</v>
      </c>
    </row>
    <row r="549" spans="1:12" x14ac:dyDescent="0.25">
      <c r="A549" s="81" t="s">
        <v>74</v>
      </c>
      <c r="B549" s="80" t="s">
        <v>536</v>
      </c>
      <c r="C549" s="80" t="s">
        <v>72</v>
      </c>
      <c r="D549" s="80" t="s">
        <v>471</v>
      </c>
      <c r="E549" s="83" t="s">
        <v>75</v>
      </c>
      <c r="F549" s="98">
        <v>11114600</v>
      </c>
      <c r="G549" s="98">
        <v>11114600</v>
      </c>
      <c r="H549" s="98">
        <v>10876600</v>
      </c>
      <c r="I549" s="108">
        <v>10876600</v>
      </c>
      <c r="J549" s="129">
        <f t="shared" si="104"/>
        <v>0</v>
      </c>
      <c r="K549" s="129"/>
      <c r="L549" s="108">
        <v>10876600</v>
      </c>
    </row>
    <row r="550" spans="1:12" ht="36.700000000000003" x14ac:dyDescent="0.25">
      <c r="A550" s="113" t="s">
        <v>206</v>
      </c>
      <c r="B550" s="80" t="s">
        <v>536</v>
      </c>
      <c r="C550" s="80" t="s">
        <v>72</v>
      </c>
      <c r="D550" s="80" t="s">
        <v>220</v>
      </c>
      <c r="E550" s="83" t="s">
        <v>6</v>
      </c>
      <c r="F550" s="98">
        <f>F563+F551+F554+F557+F560</f>
        <v>10756745.42</v>
      </c>
      <c r="G550" s="98">
        <f>G563+G551+G554+G557+G560</f>
        <v>1830963.37</v>
      </c>
      <c r="H550" s="98">
        <f>H563+H551+H554+H557+H560</f>
        <v>39221790.039999999</v>
      </c>
      <c r="I550" s="98">
        <f>I563+I551+I554+I557+I560</f>
        <v>38396990.039999999</v>
      </c>
      <c r="J550" s="129">
        <f t="shared" si="104"/>
        <v>-824800</v>
      </c>
      <c r="K550" s="129"/>
      <c r="L550" s="98">
        <f>L563+L551+L554+L557+L560</f>
        <v>38396990.039999999</v>
      </c>
    </row>
    <row r="551" spans="1:12" ht="36.700000000000003" x14ac:dyDescent="0.25">
      <c r="A551" s="81" t="s">
        <v>268</v>
      </c>
      <c r="B551" s="80" t="s">
        <v>536</v>
      </c>
      <c r="C551" s="80" t="s">
        <v>72</v>
      </c>
      <c r="D551" s="80" t="s">
        <v>269</v>
      </c>
      <c r="E551" s="83" t="s">
        <v>6</v>
      </c>
      <c r="F551" s="131">
        <f>F552</f>
        <v>277700</v>
      </c>
      <c r="G551" s="131">
        <f t="shared" ref="G551:I552" si="122">G552</f>
        <v>50000</v>
      </c>
      <c r="H551" s="131">
        <f t="shared" si="122"/>
        <v>212800</v>
      </c>
      <c r="I551" s="117">
        <f t="shared" si="122"/>
        <v>212800</v>
      </c>
      <c r="J551" s="129">
        <f t="shared" si="104"/>
        <v>0</v>
      </c>
      <c r="K551" s="129"/>
      <c r="L551" s="117">
        <f>L552</f>
        <v>212800</v>
      </c>
    </row>
    <row r="552" spans="1:12" ht="55.05" x14ac:dyDescent="0.25">
      <c r="A552" s="81" t="s">
        <v>37</v>
      </c>
      <c r="B552" s="80" t="s">
        <v>536</v>
      </c>
      <c r="C552" s="80" t="s">
        <v>72</v>
      </c>
      <c r="D552" s="80" t="s">
        <v>269</v>
      </c>
      <c r="E552" s="83" t="s">
        <v>38</v>
      </c>
      <c r="F552" s="131">
        <f>F553</f>
        <v>277700</v>
      </c>
      <c r="G552" s="131">
        <f t="shared" si="122"/>
        <v>50000</v>
      </c>
      <c r="H552" s="131">
        <f t="shared" si="122"/>
        <v>212800</v>
      </c>
      <c r="I552" s="117">
        <f t="shared" si="122"/>
        <v>212800</v>
      </c>
      <c r="J552" s="129">
        <f t="shared" ref="J552:J615" si="123">I552-H552</f>
        <v>0</v>
      </c>
      <c r="K552" s="129"/>
      <c r="L552" s="117">
        <f>L553</f>
        <v>212800</v>
      </c>
    </row>
    <row r="553" spans="1:12" x14ac:dyDescent="0.25">
      <c r="A553" s="81" t="s">
        <v>74</v>
      </c>
      <c r="B553" s="80" t="s">
        <v>536</v>
      </c>
      <c r="C553" s="80" t="s">
        <v>72</v>
      </c>
      <c r="D553" s="80" t="s">
        <v>269</v>
      </c>
      <c r="E553" s="83" t="s">
        <v>75</v>
      </c>
      <c r="F553" s="98">
        <v>277700</v>
      </c>
      <c r="G553" s="98">
        <v>50000</v>
      </c>
      <c r="H553" s="98">
        <v>212800</v>
      </c>
      <c r="I553" s="108">
        <v>212800</v>
      </c>
      <c r="J553" s="129">
        <f t="shared" si="123"/>
        <v>0</v>
      </c>
      <c r="K553" s="129"/>
      <c r="L553" s="108">
        <v>212800</v>
      </c>
    </row>
    <row r="554" spans="1:12" x14ac:dyDescent="0.25">
      <c r="A554" s="134" t="s">
        <v>311</v>
      </c>
      <c r="B554" s="80" t="s">
        <v>536</v>
      </c>
      <c r="C554" s="80" t="s">
        <v>72</v>
      </c>
      <c r="D554" s="80" t="s">
        <v>312</v>
      </c>
      <c r="E554" s="83" t="s">
        <v>6</v>
      </c>
      <c r="F554" s="131">
        <f>F555</f>
        <v>720000</v>
      </c>
      <c r="G554" s="131">
        <f t="shared" ref="G554:I555" si="124">G555</f>
        <v>50000</v>
      </c>
      <c r="H554" s="131">
        <f t="shared" si="124"/>
        <v>350000</v>
      </c>
      <c r="I554" s="117">
        <f t="shared" si="124"/>
        <v>350000</v>
      </c>
      <c r="J554" s="129">
        <f t="shared" si="123"/>
        <v>0</v>
      </c>
      <c r="K554" s="129"/>
      <c r="L554" s="117">
        <f>L555</f>
        <v>350000</v>
      </c>
    </row>
    <row r="555" spans="1:12" ht="55.05" x14ac:dyDescent="0.25">
      <c r="A555" s="81" t="s">
        <v>37</v>
      </c>
      <c r="B555" s="80" t="s">
        <v>536</v>
      </c>
      <c r="C555" s="80" t="s">
        <v>72</v>
      </c>
      <c r="D555" s="80" t="s">
        <v>312</v>
      </c>
      <c r="E555" s="83" t="s">
        <v>38</v>
      </c>
      <c r="F555" s="131">
        <f>F556</f>
        <v>720000</v>
      </c>
      <c r="G555" s="131">
        <f t="shared" si="124"/>
        <v>50000</v>
      </c>
      <c r="H555" s="131">
        <f t="shared" si="124"/>
        <v>350000</v>
      </c>
      <c r="I555" s="117">
        <f t="shared" si="124"/>
        <v>350000</v>
      </c>
      <c r="J555" s="129">
        <f t="shared" si="123"/>
        <v>0</v>
      </c>
      <c r="K555" s="129"/>
      <c r="L555" s="117">
        <f>L556</f>
        <v>350000</v>
      </c>
    </row>
    <row r="556" spans="1:12" x14ac:dyDescent="0.25">
      <c r="A556" s="81" t="s">
        <v>74</v>
      </c>
      <c r="B556" s="80" t="s">
        <v>536</v>
      </c>
      <c r="C556" s="80" t="s">
        <v>72</v>
      </c>
      <c r="D556" s="80" t="s">
        <v>312</v>
      </c>
      <c r="E556" s="83" t="s">
        <v>75</v>
      </c>
      <c r="F556" s="98">
        <v>720000</v>
      </c>
      <c r="G556" s="98">
        <v>50000</v>
      </c>
      <c r="H556" s="98">
        <v>350000</v>
      </c>
      <c r="I556" s="108">
        <v>350000</v>
      </c>
      <c r="J556" s="129">
        <f t="shared" si="123"/>
        <v>0</v>
      </c>
      <c r="K556" s="129"/>
      <c r="L556" s="108">
        <v>350000</v>
      </c>
    </row>
    <row r="557" spans="1:12" ht="73.400000000000006" x14ac:dyDescent="0.25">
      <c r="A557" s="113" t="s">
        <v>458</v>
      </c>
      <c r="B557" s="80" t="s">
        <v>536</v>
      </c>
      <c r="C557" s="80" t="s">
        <v>72</v>
      </c>
      <c r="D557" s="80" t="s">
        <v>720</v>
      </c>
      <c r="E557" s="80" t="s">
        <v>6</v>
      </c>
      <c r="F557" s="98">
        <f>F558</f>
        <v>1879885</v>
      </c>
      <c r="G557" s="98">
        <f t="shared" ref="G557:I558" si="125">G558</f>
        <v>0</v>
      </c>
      <c r="H557" s="98">
        <f t="shared" si="125"/>
        <v>924800</v>
      </c>
      <c r="I557" s="98">
        <f t="shared" si="125"/>
        <v>100000</v>
      </c>
      <c r="J557" s="129">
        <f t="shared" si="123"/>
        <v>-824800</v>
      </c>
      <c r="K557" s="129"/>
      <c r="L557" s="98">
        <f>L558</f>
        <v>100000</v>
      </c>
    </row>
    <row r="558" spans="1:12" ht="55.05" x14ac:dyDescent="0.25">
      <c r="A558" s="81" t="s">
        <v>37</v>
      </c>
      <c r="B558" s="80" t="s">
        <v>536</v>
      </c>
      <c r="C558" s="80" t="s">
        <v>72</v>
      </c>
      <c r="D558" s="80" t="s">
        <v>720</v>
      </c>
      <c r="E558" s="80" t="s">
        <v>38</v>
      </c>
      <c r="F558" s="98">
        <f>F559</f>
        <v>1879885</v>
      </c>
      <c r="G558" s="98">
        <f t="shared" si="125"/>
        <v>0</v>
      </c>
      <c r="H558" s="98">
        <f t="shared" si="125"/>
        <v>924800</v>
      </c>
      <c r="I558" s="98">
        <f t="shared" si="125"/>
        <v>100000</v>
      </c>
      <c r="J558" s="129">
        <f t="shared" si="123"/>
        <v>-824800</v>
      </c>
      <c r="K558" s="129"/>
      <c r="L558" s="98">
        <f>L559</f>
        <v>100000</v>
      </c>
    </row>
    <row r="559" spans="1:12" x14ac:dyDescent="0.25">
      <c r="A559" s="81" t="s">
        <v>74</v>
      </c>
      <c r="B559" s="80" t="s">
        <v>536</v>
      </c>
      <c r="C559" s="80" t="s">
        <v>72</v>
      </c>
      <c r="D559" s="80" t="s">
        <v>720</v>
      </c>
      <c r="E559" s="80" t="s">
        <v>75</v>
      </c>
      <c r="F559" s="98">
        <v>1879885</v>
      </c>
      <c r="G559" s="98">
        <v>0</v>
      </c>
      <c r="H559" s="98">
        <v>924800</v>
      </c>
      <c r="I559" s="108">
        <v>100000</v>
      </c>
      <c r="J559" s="129">
        <f t="shared" si="123"/>
        <v>-824800</v>
      </c>
      <c r="K559" s="129"/>
      <c r="L559" s="108">
        <v>100000</v>
      </c>
    </row>
    <row r="560" spans="1:12" ht="91.7" x14ac:dyDescent="0.25">
      <c r="A560" s="25" t="s">
        <v>595</v>
      </c>
      <c r="B560" s="80" t="s">
        <v>536</v>
      </c>
      <c r="C560" s="80" t="s">
        <v>72</v>
      </c>
      <c r="D560" s="80" t="s">
        <v>596</v>
      </c>
      <c r="E560" s="80" t="s">
        <v>6</v>
      </c>
      <c r="F560" s="98">
        <f t="shared" ref="F560:I561" si="126">F561</f>
        <v>7642785.4199999999</v>
      </c>
      <c r="G560" s="98">
        <f t="shared" si="126"/>
        <v>0</v>
      </c>
      <c r="H560" s="98">
        <f t="shared" si="126"/>
        <v>36003230.039999999</v>
      </c>
      <c r="I560" s="98">
        <f t="shared" si="126"/>
        <v>36003230.039999999</v>
      </c>
      <c r="J560" s="129">
        <f t="shared" si="123"/>
        <v>0</v>
      </c>
      <c r="K560" s="129"/>
      <c r="L560" s="98">
        <f>L561</f>
        <v>36003230.039999999</v>
      </c>
    </row>
    <row r="561" spans="1:12" ht="55.05" x14ac:dyDescent="0.25">
      <c r="A561" s="81" t="s">
        <v>37</v>
      </c>
      <c r="B561" s="80" t="s">
        <v>536</v>
      </c>
      <c r="C561" s="80" t="s">
        <v>72</v>
      </c>
      <c r="D561" s="80" t="s">
        <v>596</v>
      </c>
      <c r="E561" s="80" t="s">
        <v>38</v>
      </c>
      <c r="F561" s="98">
        <f t="shared" si="126"/>
        <v>7642785.4199999999</v>
      </c>
      <c r="G561" s="98">
        <f t="shared" si="126"/>
        <v>0</v>
      </c>
      <c r="H561" s="98">
        <f t="shared" si="126"/>
        <v>36003230.039999999</v>
      </c>
      <c r="I561" s="98">
        <f t="shared" si="126"/>
        <v>36003230.039999999</v>
      </c>
      <c r="J561" s="129">
        <f t="shared" si="123"/>
        <v>0</v>
      </c>
      <c r="K561" s="129"/>
      <c r="L561" s="98">
        <f>L562</f>
        <v>36003230.039999999</v>
      </c>
    </row>
    <row r="562" spans="1:12" x14ac:dyDescent="0.25">
      <c r="A562" s="81" t="s">
        <v>74</v>
      </c>
      <c r="B562" s="80" t="s">
        <v>536</v>
      </c>
      <c r="C562" s="80" t="s">
        <v>72</v>
      </c>
      <c r="D562" s="80" t="s">
        <v>596</v>
      </c>
      <c r="E562" s="80" t="s">
        <v>75</v>
      </c>
      <c r="F562" s="98">
        <v>7642785.4199999999</v>
      </c>
      <c r="G562" s="98">
        <v>0</v>
      </c>
      <c r="H562" s="98">
        <v>36003230.039999999</v>
      </c>
      <c r="I562" s="108">
        <v>36003230.039999999</v>
      </c>
      <c r="J562" s="129">
        <f t="shared" si="123"/>
        <v>0</v>
      </c>
      <c r="K562" s="129"/>
      <c r="L562" s="108">
        <v>36003230.039999999</v>
      </c>
    </row>
    <row r="563" spans="1:12" ht="36.700000000000003" x14ac:dyDescent="0.25">
      <c r="A563" s="81" t="s">
        <v>445</v>
      </c>
      <c r="B563" s="80" t="s">
        <v>536</v>
      </c>
      <c r="C563" s="80" t="s">
        <v>72</v>
      </c>
      <c r="D563" s="80" t="s">
        <v>446</v>
      </c>
      <c r="E563" s="83" t="s">
        <v>6</v>
      </c>
      <c r="F563" s="98">
        <f>F564</f>
        <v>236375</v>
      </c>
      <c r="G563" s="131">
        <f t="shared" ref="G563:I564" si="127">G564</f>
        <v>1730963.37</v>
      </c>
      <c r="H563" s="131">
        <f t="shared" si="127"/>
        <v>1730960</v>
      </c>
      <c r="I563" s="117">
        <f t="shared" si="127"/>
        <v>1730960</v>
      </c>
      <c r="J563" s="129">
        <f t="shared" si="123"/>
        <v>0</v>
      </c>
      <c r="K563" s="129"/>
      <c r="L563" s="117">
        <f>L564</f>
        <v>1730960</v>
      </c>
    </row>
    <row r="564" spans="1:12" ht="55.05" x14ac:dyDescent="0.25">
      <c r="A564" s="81" t="s">
        <v>37</v>
      </c>
      <c r="B564" s="80" t="s">
        <v>536</v>
      </c>
      <c r="C564" s="80" t="s">
        <v>72</v>
      </c>
      <c r="D564" s="80" t="s">
        <v>446</v>
      </c>
      <c r="E564" s="83" t="s">
        <v>38</v>
      </c>
      <c r="F564" s="98">
        <f>F565</f>
        <v>236375</v>
      </c>
      <c r="G564" s="131">
        <f t="shared" si="127"/>
        <v>1730963.37</v>
      </c>
      <c r="H564" s="131">
        <f t="shared" si="127"/>
        <v>1730960</v>
      </c>
      <c r="I564" s="117">
        <f t="shared" si="127"/>
        <v>1730960</v>
      </c>
      <c r="J564" s="129">
        <f t="shared" si="123"/>
        <v>0</v>
      </c>
      <c r="K564" s="129"/>
      <c r="L564" s="117">
        <f>L565</f>
        <v>1730960</v>
      </c>
    </row>
    <row r="565" spans="1:12" x14ac:dyDescent="0.25">
      <c r="A565" s="81" t="s">
        <v>74</v>
      </c>
      <c r="B565" s="80" t="s">
        <v>536</v>
      </c>
      <c r="C565" s="80" t="s">
        <v>72</v>
      </c>
      <c r="D565" s="80" t="s">
        <v>446</v>
      </c>
      <c r="E565" s="83" t="s">
        <v>75</v>
      </c>
      <c r="F565" s="98">
        <v>236375</v>
      </c>
      <c r="G565" s="98">
        <f>1765328.55-34365.18</f>
        <v>1730963.37</v>
      </c>
      <c r="H565" s="98">
        <v>1730960</v>
      </c>
      <c r="I565" s="108">
        <v>1730960</v>
      </c>
      <c r="J565" s="129">
        <f t="shared" si="123"/>
        <v>0</v>
      </c>
      <c r="K565" s="129"/>
      <c r="L565" s="108">
        <v>1730960</v>
      </c>
    </row>
    <row r="566" spans="1:12" ht="55.05" x14ac:dyDescent="0.25">
      <c r="A566" s="113" t="s">
        <v>275</v>
      </c>
      <c r="B566" s="80" t="s">
        <v>536</v>
      </c>
      <c r="C566" s="80" t="s">
        <v>72</v>
      </c>
      <c r="D566" s="80" t="s">
        <v>223</v>
      </c>
      <c r="E566" s="83" t="s">
        <v>6</v>
      </c>
      <c r="F566" s="98">
        <f>F567</f>
        <v>6226250</v>
      </c>
      <c r="G566" s="98">
        <f>G567</f>
        <v>6226250</v>
      </c>
      <c r="H566" s="98">
        <f>H567</f>
        <v>6117450</v>
      </c>
      <c r="I566" s="98">
        <f>I567</f>
        <v>6117450</v>
      </c>
      <c r="J566" s="129">
        <f t="shared" si="123"/>
        <v>0</v>
      </c>
      <c r="K566" s="129"/>
      <c r="L566" s="98">
        <f>L567</f>
        <v>6117450</v>
      </c>
    </row>
    <row r="567" spans="1:12" ht="146.75" x14ac:dyDescent="0.25">
      <c r="A567" s="135" t="s">
        <v>658</v>
      </c>
      <c r="B567" s="80" t="s">
        <v>536</v>
      </c>
      <c r="C567" s="80" t="s">
        <v>72</v>
      </c>
      <c r="D567" s="80" t="s">
        <v>659</v>
      </c>
      <c r="E567" s="83" t="s">
        <v>6</v>
      </c>
      <c r="F567" s="98">
        <f>F568</f>
        <v>6226250</v>
      </c>
      <c r="G567" s="98">
        <f t="shared" ref="G567:I568" si="128">G568</f>
        <v>6226250</v>
      </c>
      <c r="H567" s="98">
        <f t="shared" si="128"/>
        <v>6117450</v>
      </c>
      <c r="I567" s="108">
        <f t="shared" si="128"/>
        <v>6117450</v>
      </c>
      <c r="J567" s="129">
        <f t="shared" si="123"/>
        <v>0</v>
      </c>
      <c r="K567" s="129"/>
      <c r="L567" s="108">
        <f>L568</f>
        <v>6117450</v>
      </c>
    </row>
    <row r="568" spans="1:12" ht="55.05" x14ac:dyDescent="0.25">
      <c r="A568" s="81" t="s">
        <v>37</v>
      </c>
      <c r="B568" s="80" t="s">
        <v>536</v>
      </c>
      <c r="C568" s="80" t="s">
        <v>72</v>
      </c>
      <c r="D568" s="80" t="s">
        <v>659</v>
      </c>
      <c r="E568" s="83" t="s">
        <v>38</v>
      </c>
      <c r="F568" s="98">
        <f>F569</f>
        <v>6226250</v>
      </c>
      <c r="G568" s="98">
        <f t="shared" si="128"/>
        <v>6226250</v>
      </c>
      <c r="H568" s="98">
        <f t="shared" si="128"/>
        <v>6117450</v>
      </c>
      <c r="I568" s="108">
        <f t="shared" si="128"/>
        <v>6117450</v>
      </c>
      <c r="J568" s="129">
        <f t="shared" si="123"/>
        <v>0</v>
      </c>
      <c r="K568" s="129"/>
      <c r="L568" s="108">
        <f>L569</f>
        <v>6117450</v>
      </c>
    </row>
    <row r="569" spans="1:12" x14ac:dyDescent="0.25">
      <c r="A569" s="81" t="s">
        <v>74</v>
      </c>
      <c r="B569" s="80" t="s">
        <v>536</v>
      </c>
      <c r="C569" s="80" t="s">
        <v>72</v>
      </c>
      <c r="D569" s="80" t="s">
        <v>659</v>
      </c>
      <c r="E569" s="83" t="s">
        <v>75</v>
      </c>
      <c r="F569" s="98">
        <f>6226250</f>
        <v>6226250</v>
      </c>
      <c r="G569" s="98">
        <v>6226250</v>
      </c>
      <c r="H569" s="98">
        <v>6117450</v>
      </c>
      <c r="I569" s="108">
        <v>6117450</v>
      </c>
      <c r="J569" s="129">
        <f t="shared" si="123"/>
        <v>0</v>
      </c>
      <c r="K569" s="129"/>
      <c r="L569" s="108">
        <v>6117450</v>
      </c>
    </row>
    <row r="570" spans="1:12" ht="36.700000000000003" x14ac:dyDescent="0.25">
      <c r="A570" s="25" t="s">
        <v>468</v>
      </c>
      <c r="B570" s="80" t="s">
        <v>536</v>
      </c>
      <c r="C570" s="80" t="s">
        <v>72</v>
      </c>
      <c r="D570" s="80" t="s">
        <v>313</v>
      </c>
      <c r="E570" s="83" t="s">
        <v>6</v>
      </c>
      <c r="F570" s="98">
        <f>F571</f>
        <v>3167109.77</v>
      </c>
      <c r="G570" s="98">
        <f t="shared" ref="G570:I572" si="129">G571</f>
        <v>2263419.4200000004</v>
      </c>
      <c r="H570" s="98">
        <f t="shared" si="129"/>
        <v>0</v>
      </c>
      <c r="I570" s="108">
        <f t="shared" si="129"/>
        <v>0</v>
      </c>
      <c r="J570" s="129">
        <f t="shared" si="123"/>
        <v>0</v>
      </c>
      <c r="K570" s="129"/>
      <c r="L570" s="108">
        <f>L571</f>
        <v>0</v>
      </c>
    </row>
    <row r="571" spans="1:12" ht="73.400000000000006" x14ac:dyDescent="0.25">
      <c r="A571" s="81" t="s">
        <v>469</v>
      </c>
      <c r="B571" s="80" t="s">
        <v>536</v>
      </c>
      <c r="C571" s="80" t="s">
        <v>72</v>
      </c>
      <c r="D571" s="80" t="s">
        <v>654</v>
      </c>
      <c r="E571" s="83" t="s">
        <v>6</v>
      </c>
      <c r="F571" s="98">
        <f>F572</f>
        <v>3167109.77</v>
      </c>
      <c r="G571" s="98">
        <f t="shared" si="129"/>
        <v>2263419.4200000004</v>
      </c>
      <c r="H571" s="98">
        <f t="shared" si="129"/>
        <v>0</v>
      </c>
      <c r="I571" s="108">
        <f t="shared" si="129"/>
        <v>0</v>
      </c>
      <c r="J571" s="129">
        <f t="shared" si="123"/>
        <v>0</v>
      </c>
      <c r="K571" s="129"/>
      <c r="L571" s="108">
        <f>L572</f>
        <v>0</v>
      </c>
    </row>
    <row r="572" spans="1:12" ht="55.05" x14ac:dyDescent="0.25">
      <c r="A572" s="81" t="s">
        <v>37</v>
      </c>
      <c r="B572" s="80" t="s">
        <v>536</v>
      </c>
      <c r="C572" s="80" t="s">
        <v>72</v>
      </c>
      <c r="D572" s="80" t="s">
        <v>654</v>
      </c>
      <c r="E572" s="83" t="s">
        <v>38</v>
      </c>
      <c r="F572" s="98">
        <f>F573</f>
        <v>3167109.77</v>
      </c>
      <c r="G572" s="98">
        <f t="shared" si="129"/>
        <v>2263419.4200000004</v>
      </c>
      <c r="H572" s="98">
        <f t="shared" si="129"/>
        <v>0</v>
      </c>
      <c r="I572" s="108">
        <f t="shared" si="129"/>
        <v>0</v>
      </c>
      <c r="J572" s="129">
        <f t="shared" si="123"/>
        <v>0</v>
      </c>
      <c r="K572" s="129"/>
      <c r="L572" s="108">
        <f>L573</f>
        <v>0</v>
      </c>
    </row>
    <row r="573" spans="1:12" x14ac:dyDescent="0.25">
      <c r="A573" s="81" t="s">
        <v>74</v>
      </c>
      <c r="B573" s="80" t="s">
        <v>536</v>
      </c>
      <c r="C573" s="80" t="s">
        <v>72</v>
      </c>
      <c r="D573" s="80" t="s">
        <v>654</v>
      </c>
      <c r="E573" s="83" t="s">
        <v>75</v>
      </c>
      <c r="F573" s="98">
        <v>3167109.77</v>
      </c>
      <c r="G573" s="98">
        <f>2229054.24+34365.18</f>
        <v>2263419.4200000004</v>
      </c>
      <c r="H573" s="98">
        <v>0</v>
      </c>
      <c r="I573" s="108">
        <v>0</v>
      </c>
      <c r="J573" s="129">
        <f t="shared" si="123"/>
        <v>0</v>
      </c>
      <c r="K573" s="129"/>
      <c r="L573" s="108">
        <v>0</v>
      </c>
    </row>
    <row r="574" spans="1:12" x14ac:dyDescent="0.25">
      <c r="A574" s="81" t="s">
        <v>257</v>
      </c>
      <c r="B574" s="80" t="s">
        <v>536</v>
      </c>
      <c r="C574" s="80" t="s">
        <v>256</v>
      </c>
      <c r="D574" s="80" t="s">
        <v>126</v>
      </c>
      <c r="E574" s="83" t="s">
        <v>6</v>
      </c>
      <c r="F574" s="131">
        <f>F575</f>
        <v>23993980</v>
      </c>
      <c r="G574" s="131">
        <f t="shared" ref="G574:I575" si="130">G575</f>
        <v>19479307.850000001</v>
      </c>
      <c r="H574" s="131">
        <f t="shared" si="130"/>
        <v>26310464</v>
      </c>
      <c r="I574" s="117">
        <f t="shared" si="130"/>
        <v>26310464</v>
      </c>
      <c r="J574" s="129">
        <f t="shared" si="123"/>
        <v>0</v>
      </c>
      <c r="K574" s="129"/>
      <c r="L574" s="117">
        <f>L575</f>
        <v>26310464</v>
      </c>
    </row>
    <row r="575" spans="1:12" ht="73.400000000000006" x14ac:dyDescent="0.25">
      <c r="A575" s="109" t="s">
        <v>395</v>
      </c>
      <c r="B575" s="110" t="s">
        <v>536</v>
      </c>
      <c r="C575" s="110" t="s">
        <v>256</v>
      </c>
      <c r="D575" s="110" t="s">
        <v>138</v>
      </c>
      <c r="E575" s="111" t="s">
        <v>6</v>
      </c>
      <c r="F575" s="133">
        <f>F576</f>
        <v>23993980</v>
      </c>
      <c r="G575" s="133">
        <f t="shared" si="130"/>
        <v>19479307.850000001</v>
      </c>
      <c r="H575" s="133">
        <f t="shared" si="130"/>
        <v>26310464</v>
      </c>
      <c r="I575" s="125">
        <f t="shared" si="130"/>
        <v>26310464</v>
      </c>
      <c r="J575" s="129">
        <f t="shared" si="123"/>
        <v>0</v>
      </c>
      <c r="K575" s="129"/>
      <c r="L575" s="125">
        <f>L576</f>
        <v>26310464</v>
      </c>
    </row>
    <row r="576" spans="1:12" ht="73.400000000000006" x14ac:dyDescent="0.25">
      <c r="A576" s="81" t="s">
        <v>401</v>
      </c>
      <c r="B576" s="80" t="s">
        <v>536</v>
      </c>
      <c r="C576" s="80" t="s">
        <v>256</v>
      </c>
      <c r="D576" s="80" t="s">
        <v>149</v>
      </c>
      <c r="E576" s="83" t="s">
        <v>6</v>
      </c>
      <c r="F576" s="82">
        <f>F577+F581+F591</f>
        <v>23993980</v>
      </c>
      <c r="G576" s="82">
        <f>G577+G581+G591</f>
        <v>19479307.850000001</v>
      </c>
      <c r="H576" s="82">
        <f>H577+H581+H591</f>
        <v>26310464</v>
      </c>
      <c r="I576" s="82">
        <f>I577+I581+I591</f>
        <v>26310464</v>
      </c>
      <c r="J576" s="129">
        <f t="shared" si="123"/>
        <v>0</v>
      </c>
      <c r="K576" s="129"/>
      <c r="L576" s="82">
        <f>L577+L581+L591</f>
        <v>26310464</v>
      </c>
    </row>
    <row r="577" spans="1:12" ht="55.05" x14ac:dyDescent="0.25">
      <c r="A577" s="116" t="s">
        <v>207</v>
      </c>
      <c r="B577" s="80" t="s">
        <v>536</v>
      </c>
      <c r="C577" s="80" t="s">
        <v>256</v>
      </c>
      <c r="D577" s="80" t="s">
        <v>224</v>
      </c>
      <c r="E577" s="83" t="s">
        <v>6</v>
      </c>
      <c r="F577" s="82">
        <f>F578</f>
        <v>23304930</v>
      </c>
      <c r="G577" s="82">
        <f>G578</f>
        <v>18180807.850000001</v>
      </c>
      <c r="H577" s="82">
        <f>H578</f>
        <v>24996964</v>
      </c>
      <c r="I577" s="96">
        <f>I578</f>
        <v>24996964</v>
      </c>
      <c r="J577" s="129">
        <f t="shared" si="123"/>
        <v>0</v>
      </c>
      <c r="K577" s="129"/>
      <c r="L577" s="96">
        <f>L578</f>
        <v>24996964</v>
      </c>
    </row>
    <row r="578" spans="1:12" ht="39.25" customHeight="1" x14ac:dyDescent="0.25">
      <c r="A578" s="81" t="s">
        <v>115</v>
      </c>
      <c r="B578" s="80" t="s">
        <v>536</v>
      </c>
      <c r="C578" s="80" t="s">
        <v>256</v>
      </c>
      <c r="D578" s="80" t="s">
        <v>151</v>
      </c>
      <c r="E578" s="83" t="s">
        <v>6</v>
      </c>
      <c r="F578" s="82">
        <f>F579</f>
        <v>23304930</v>
      </c>
      <c r="G578" s="82">
        <f t="shared" ref="G578:I579" si="131">G579</f>
        <v>18180807.850000001</v>
      </c>
      <c r="H578" s="82">
        <f t="shared" si="131"/>
        <v>24996964</v>
      </c>
      <c r="I578" s="96">
        <f t="shared" si="131"/>
        <v>24996964</v>
      </c>
      <c r="J578" s="129">
        <f t="shared" si="123"/>
        <v>0</v>
      </c>
      <c r="K578" s="129"/>
      <c r="L578" s="96">
        <f>L579</f>
        <v>24996964</v>
      </c>
    </row>
    <row r="579" spans="1:12" ht="55.05" x14ac:dyDescent="0.25">
      <c r="A579" s="81" t="s">
        <v>37</v>
      </c>
      <c r="B579" s="80" t="s">
        <v>536</v>
      </c>
      <c r="C579" s="80" t="s">
        <v>256</v>
      </c>
      <c r="D579" s="80" t="s">
        <v>151</v>
      </c>
      <c r="E579" s="83" t="s">
        <v>38</v>
      </c>
      <c r="F579" s="82">
        <f>F580</f>
        <v>23304930</v>
      </c>
      <c r="G579" s="82">
        <f t="shared" si="131"/>
        <v>18180807.850000001</v>
      </c>
      <c r="H579" s="82">
        <f t="shared" si="131"/>
        <v>24996964</v>
      </c>
      <c r="I579" s="96">
        <f t="shared" si="131"/>
        <v>24996964</v>
      </c>
      <c r="J579" s="129">
        <f t="shared" si="123"/>
        <v>0</v>
      </c>
      <c r="K579" s="129"/>
      <c r="L579" s="96">
        <f>L580</f>
        <v>24996964</v>
      </c>
    </row>
    <row r="580" spans="1:12" x14ac:dyDescent="0.25">
      <c r="A580" s="81" t="s">
        <v>74</v>
      </c>
      <c r="B580" s="80" t="s">
        <v>536</v>
      </c>
      <c r="C580" s="80" t="s">
        <v>256</v>
      </c>
      <c r="D580" s="80" t="s">
        <v>151</v>
      </c>
      <c r="E580" s="83" t="s">
        <v>75</v>
      </c>
      <c r="F580" s="98">
        <v>23304930</v>
      </c>
      <c r="G580" s="98">
        <v>18180807.850000001</v>
      </c>
      <c r="H580" s="98">
        <v>24996964</v>
      </c>
      <c r="I580" s="108">
        <v>24996964</v>
      </c>
      <c r="J580" s="129">
        <f t="shared" si="123"/>
        <v>0</v>
      </c>
      <c r="K580" s="129"/>
      <c r="L580" s="108">
        <v>24996964</v>
      </c>
    </row>
    <row r="581" spans="1:12" ht="55.05" x14ac:dyDescent="0.25">
      <c r="A581" s="113" t="s">
        <v>402</v>
      </c>
      <c r="B581" s="80" t="s">
        <v>536</v>
      </c>
      <c r="C581" s="80" t="s">
        <v>256</v>
      </c>
      <c r="D581" s="80" t="s">
        <v>225</v>
      </c>
      <c r="E581" s="83" t="s">
        <v>6</v>
      </c>
      <c r="F581" s="98">
        <f>F582+F588+F585+F594</f>
        <v>287950</v>
      </c>
      <c r="G581" s="98">
        <f>G582+G588</f>
        <v>95500</v>
      </c>
      <c r="H581" s="98">
        <f>H582+H588</f>
        <v>110500</v>
      </c>
      <c r="I581" s="108">
        <f>I582+I588</f>
        <v>110500</v>
      </c>
      <c r="J581" s="129">
        <f t="shared" si="123"/>
        <v>0</v>
      </c>
      <c r="K581" s="129"/>
      <c r="L581" s="108">
        <f>L582+L588</f>
        <v>110500</v>
      </c>
    </row>
    <row r="582" spans="1:12" ht="36.700000000000003" x14ac:dyDescent="0.25">
      <c r="A582" s="81" t="s">
        <v>268</v>
      </c>
      <c r="B582" s="80" t="s">
        <v>536</v>
      </c>
      <c r="C582" s="80" t="s">
        <v>256</v>
      </c>
      <c r="D582" s="80" t="s">
        <v>288</v>
      </c>
      <c r="E582" s="83" t="s">
        <v>6</v>
      </c>
      <c r="F582" s="131">
        <f>F583</f>
        <v>24800</v>
      </c>
      <c r="G582" s="131">
        <f t="shared" ref="G582:I583" si="132">G583</f>
        <v>10000</v>
      </c>
      <c r="H582" s="131">
        <f t="shared" si="132"/>
        <v>25000</v>
      </c>
      <c r="I582" s="117">
        <f t="shared" si="132"/>
        <v>25000</v>
      </c>
      <c r="J582" s="129">
        <f t="shared" si="123"/>
        <v>0</v>
      </c>
      <c r="K582" s="129"/>
      <c r="L582" s="117">
        <f>L583</f>
        <v>25000</v>
      </c>
    </row>
    <row r="583" spans="1:12" ht="55.05" x14ac:dyDescent="0.25">
      <c r="A583" s="81" t="s">
        <v>37</v>
      </c>
      <c r="B583" s="80" t="s">
        <v>536</v>
      </c>
      <c r="C583" s="80" t="s">
        <v>256</v>
      </c>
      <c r="D583" s="80" t="s">
        <v>288</v>
      </c>
      <c r="E583" s="83" t="s">
        <v>38</v>
      </c>
      <c r="F583" s="131">
        <f>F584</f>
        <v>24800</v>
      </c>
      <c r="G583" s="131">
        <f t="shared" si="132"/>
        <v>10000</v>
      </c>
      <c r="H583" s="131">
        <f t="shared" si="132"/>
        <v>25000</v>
      </c>
      <c r="I583" s="117">
        <f t="shared" si="132"/>
        <v>25000</v>
      </c>
      <c r="J583" s="129">
        <f t="shared" si="123"/>
        <v>0</v>
      </c>
      <c r="K583" s="129"/>
      <c r="L583" s="117">
        <f>L584</f>
        <v>25000</v>
      </c>
    </row>
    <row r="584" spans="1:12" x14ac:dyDescent="0.25">
      <c r="A584" s="81" t="s">
        <v>74</v>
      </c>
      <c r="B584" s="80" t="s">
        <v>536</v>
      </c>
      <c r="C584" s="80" t="s">
        <v>256</v>
      </c>
      <c r="D584" s="80" t="s">
        <v>288</v>
      </c>
      <c r="E584" s="83" t="s">
        <v>75</v>
      </c>
      <c r="F584" s="98">
        <v>24800</v>
      </c>
      <c r="G584" s="98">
        <v>10000</v>
      </c>
      <c r="H584" s="98">
        <v>25000</v>
      </c>
      <c r="I584" s="108">
        <v>25000</v>
      </c>
      <c r="J584" s="129">
        <f t="shared" si="123"/>
        <v>0</v>
      </c>
      <c r="K584" s="129"/>
      <c r="L584" s="108">
        <v>25000</v>
      </c>
    </row>
    <row r="585" spans="1:12" x14ac:dyDescent="0.25">
      <c r="A585" s="134" t="s">
        <v>311</v>
      </c>
      <c r="B585" s="80" t="s">
        <v>536</v>
      </c>
      <c r="C585" s="80" t="s">
        <v>256</v>
      </c>
      <c r="D585" s="80" t="s">
        <v>735</v>
      </c>
      <c r="E585" s="80" t="s">
        <v>6</v>
      </c>
      <c r="F585" s="98">
        <f>F586</f>
        <v>125650</v>
      </c>
      <c r="G585" s="98">
        <f t="shared" ref="G585:I586" si="133">G586</f>
        <v>0</v>
      </c>
      <c r="H585" s="98">
        <f t="shared" si="133"/>
        <v>0</v>
      </c>
      <c r="I585" s="98">
        <f t="shared" si="133"/>
        <v>0</v>
      </c>
      <c r="J585" s="129">
        <f t="shared" si="123"/>
        <v>0</v>
      </c>
      <c r="K585" s="129"/>
      <c r="L585" s="98">
        <f>L586</f>
        <v>0</v>
      </c>
    </row>
    <row r="586" spans="1:12" ht="55.05" x14ac:dyDescent="0.25">
      <c r="A586" s="81" t="s">
        <v>37</v>
      </c>
      <c r="B586" s="80" t="s">
        <v>536</v>
      </c>
      <c r="C586" s="80" t="s">
        <v>256</v>
      </c>
      <c r="D586" s="80" t="s">
        <v>735</v>
      </c>
      <c r="E586" s="80" t="s">
        <v>38</v>
      </c>
      <c r="F586" s="98">
        <f>F587</f>
        <v>125650</v>
      </c>
      <c r="G586" s="98">
        <f t="shared" si="133"/>
        <v>0</v>
      </c>
      <c r="H586" s="98">
        <f t="shared" si="133"/>
        <v>0</v>
      </c>
      <c r="I586" s="98">
        <f t="shared" si="133"/>
        <v>0</v>
      </c>
      <c r="J586" s="129">
        <f t="shared" si="123"/>
        <v>0</v>
      </c>
      <c r="K586" s="129"/>
      <c r="L586" s="98">
        <f>L587</f>
        <v>0</v>
      </c>
    </row>
    <row r="587" spans="1:12" x14ac:dyDescent="0.25">
      <c r="A587" s="81" t="s">
        <v>74</v>
      </c>
      <c r="B587" s="80" t="s">
        <v>536</v>
      </c>
      <c r="C587" s="80" t="s">
        <v>256</v>
      </c>
      <c r="D587" s="80" t="s">
        <v>735</v>
      </c>
      <c r="E587" s="80" t="s">
        <v>75</v>
      </c>
      <c r="F587" s="98">
        <v>125650</v>
      </c>
      <c r="G587" s="98">
        <v>0</v>
      </c>
      <c r="H587" s="98">
        <v>0</v>
      </c>
      <c r="I587" s="108"/>
      <c r="J587" s="129">
        <f t="shared" si="123"/>
        <v>0</v>
      </c>
      <c r="K587" s="129"/>
      <c r="L587" s="108"/>
    </row>
    <row r="588" spans="1:12" ht="36.700000000000003" x14ac:dyDescent="0.25">
      <c r="A588" s="81" t="s">
        <v>112</v>
      </c>
      <c r="B588" s="80" t="s">
        <v>536</v>
      </c>
      <c r="C588" s="80" t="s">
        <v>256</v>
      </c>
      <c r="D588" s="80" t="s">
        <v>150</v>
      </c>
      <c r="E588" s="83" t="s">
        <v>6</v>
      </c>
      <c r="F588" s="82">
        <f>F589</f>
        <v>85500</v>
      </c>
      <c r="G588" s="82">
        <f t="shared" ref="G588:I589" si="134">G589</f>
        <v>85500</v>
      </c>
      <c r="H588" s="82">
        <f t="shared" si="134"/>
        <v>85500</v>
      </c>
      <c r="I588" s="96">
        <f t="shared" si="134"/>
        <v>85500</v>
      </c>
      <c r="J588" s="129">
        <f t="shared" si="123"/>
        <v>0</v>
      </c>
      <c r="K588" s="129"/>
      <c r="L588" s="96">
        <f>L589</f>
        <v>85500</v>
      </c>
    </row>
    <row r="589" spans="1:12" ht="55.05" x14ac:dyDescent="0.25">
      <c r="A589" s="81" t="s">
        <v>37</v>
      </c>
      <c r="B589" s="80" t="s">
        <v>536</v>
      </c>
      <c r="C589" s="80" t="s">
        <v>256</v>
      </c>
      <c r="D589" s="80" t="s">
        <v>150</v>
      </c>
      <c r="E589" s="83" t="s">
        <v>38</v>
      </c>
      <c r="F589" s="82">
        <f>F590</f>
        <v>85500</v>
      </c>
      <c r="G589" s="82">
        <f t="shared" si="134"/>
        <v>85500</v>
      </c>
      <c r="H589" s="82">
        <f t="shared" si="134"/>
        <v>85500</v>
      </c>
      <c r="I589" s="96">
        <f t="shared" si="134"/>
        <v>85500</v>
      </c>
      <c r="J589" s="129">
        <f t="shared" si="123"/>
        <v>0</v>
      </c>
      <c r="K589" s="129"/>
      <c r="L589" s="96">
        <f>L590</f>
        <v>85500</v>
      </c>
    </row>
    <row r="590" spans="1:12" x14ac:dyDescent="0.25">
      <c r="A590" s="81" t="s">
        <v>74</v>
      </c>
      <c r="B590" s="80" t="s">
        <v>536</v>
      </c>
      <c r="C590" s="80" t="s">
        <v>256</v>
      </c>
      <c r="D590" s="80" t="s">
        <v>150</v>
      </c>
      <c r="E590" s="83" t="s">
        <v>75</v>
      </c>
      <c r="F590" s="98">
        <v>85500</v>
      </c>
      <c r="G590" s="98">
        <v>85500</v>
      </c>
      <c r="H590" s="98">
        <v>85500</v>
      </c>
      <c r="I590" s="108">
        <v>85500</v>
      </c>
      <c r="J590" s="129">
        <f t="shared" si="123"/>
        <v>0</v>
      </c>
      <c r="K590" s="129"/>
      <c r="L590" s="108">
        <v>85500</v>
      </c>
    </row>
    <row r="591" spans="1:12" ht="55.05" x14ac:dyDescent="0.25">
      <c r="A591" s="81" t="s">
        <v>754</v>
      </c>
      <c r="B591" s="80" t="s">
        <v>536</v>
      </c>
      <c r="C591" s="80" t="s">
        <v>256</v>
      </c>
      <c r="D591" s="80" t="s">
        <v>755</v>
      </c>
      <c r="E591" s="80" t="s">
        <v>6</v>
      </c>
      <c r="F591" s="98">
        <f>F592</f>
        <v>401100</v>
      </c>
      <c r="G591" s="98">
        <f t="shared" ref="G591:I592" si="135">G592</f>
        <v>1203000</v>
      </c>
      <c r="H591" s="98">
        <f t="shared" si="135"/>
        <v>1203000</v>
      </c>
      <c r="I591" s="98">
        <f t="shared" si="135"/>
        <v>1203000</v>
      </c>
      <c r="J591" s="129">
        <f t="shared" si="123"/>
        <v>0</v>
      </c>
      <c r="K591" s="129"/>
      <c r="L591" s="98">
        <f>L592</f>
        <v>1203000</v>
      </c>
    </row>
    <row r="592" spans="1:12" ht="55.05" x14ac:dyDescent="0.25">
      <c r="A592" s="81" t="s">
        <v>37</v>
      </c>
      <c r="B592" s="80" t="s">
        <v>536</v>
      </c>
      <c r="C592" s="80" t="s">
        <v>256</v>
      </c>
      <c r="D592" s="80" t="s">
        <v>756</v>
      </c>
      <c r="E592" s="80" t="s">
        <v>38</v>
      </c>
      <c r="F592" s="98">
        <f>F593</f>
        <v>401100</v>
      </c>
      <c r="G592" s="98">
        <f t="shared" si="135"/>
        <v>1203000</v>
      </c>
      <c r="H592" s="98">
        <f t="shared" si="135"/>
        <v>1203000</v>
      </c>
      <c r="I592" s="98">
        <f t="shared" si="135"/>
        <v>1203000</v>
      </c>
      <c r="J592" s="129">
        <f t="shared" si="123"/>
        <v>0</v>
      </c>
      <c r="K592" s="129"/>
      <c r="L592" s="98">
        <f>L593</f>
        <v>1203000</v>
      </c>
    </row>
    <row r="593" spans="1:12" x14ac:dyDescent="0.25">
      <c r="A593" s="81" t="s">
        <v>74</v>
      </c>
      <c r="B593" s="80" t="s">
        <v>536</v>
      </c>
      <c r="C593" s="80" t="s">
        <v>256</v>
      </c>
      <c r="D593" s="80" t="s">
        <v>756</v>
      </c>
      <c r="E593" s="80" t="s">
        <v>75</v>
      </c>
      <c r="F593" s="98">
        <v>401100</v>
      </c>
      <c r="G593" s="98">
        <v>1203000</v>
      </c>
      <c r="H593" s="98">
        <v>1203000</v>
      </c>
      <c r="I593" s="108">
        <v>1203000</v>
      </c>
      <c r="J593" s="129">
        <f t="shared" si="123"/>
        <v>0</v>
      </c>
      <c r="K593" s="129"/>
      <c r="L593" s="108">
        <v>1203000</v>
      </c>
    </row>
    <row r="594" spans="1:12" ht="73.400000000000006" x14ac:dyDescent="0.25">
      <c r="A594" s="113" t="s">
        <v>458</v>
      </c>
      <c r="B594" s="80" t="s">
        <v>536</v>
      </c>
      <c r="C594" s="80" t="s">
        <v>256</v>
      </c>
      <c r="D594" s="80" t="s">
        <v>727</v>
      </c>
      <c r="E594" s="80" t="s">
        <v>6</v>
      </c>
      <c r="F594" s="98">
        <f>F595</f>
        <v>52000</v>
      </c>
      <c r="G594" s="98">
        <f t="shared" ref="G594:I595" si="136">G595</f>
        <v>0</v>
      </c>
      <c r="H594" s="98">
        <f t="shared" si="136"/>
        <v>0</v>
      </c>
      <c r="I594" s="98">
        <f t="shared" si="136"/>
        <v>0</v>
      </c>
      <c r="J594" s="129">
        <f t="shared" si="123"/>
        <v>0</v>
      </c>
      <c r="K594" s="129"/>
      <c r="L594" s="98">
        <f>L595</f>
        <v>0</v>
      </c>
    </row>
    <row r="595" spans="1:12" ht="55.05" x14ac:dyDescent="0.25">
      <c r="A595" s="81" t="s">
        <v>37</v>
      </c>
      <c r="B595" s="80" t="s">
        <v>536</v>
      </c>
      <c r="C595" s="80" t="s">
        <v>256</v>
      </c>
      <c r="D595" s="80" t="s">
        <v>727</v>
      </c>
      <c r="E595" s="80" t="s">
        <v>38</v>
      </c>
      <c r="F595" s="98">
        <f>F596</f>
        <v>52000</v>
      </c>
      <c r="G595" s="98">
        <f t="shared" si="136"/>
        <v>0</v>
      </c>
      <c r="H595" s="98">
        <f t="shared" si="136"/>
        <v>0</v>
      </c>
      <c r="I595" s="98">
        <f t="shared" si="136"/>
        <v>0</v>
      </c>
      <c r="J595" s="129">
        <f t="shared" si="123"/>
        <v>0</v>
      </c>
      <c r="K595" s="129"/>
      <c r="L595" s="98">
        <f>L596</f>
        <v>0</v>
      </c>
    </row>
    <row r="596" spans="1:12" x14ac:dyDescent="0.25">
      <c r="A596" s="81" t="s">
        <v>74</v>
      </c>
      <c r="B596" s="80" t="s">
        <v>536</v>
      </c>
      <c r="C596" s="80" t="s">
        <v>256</v>
      </c>
      <c r="D596" s="80" t="s">
        <v>727</v>
      </c>
      <c r="E596" s="80" t="s">
        <v>75</v>
      </c>
      <c r="F596" s="98">
        <v>52000</v>
      </c>
      <c r="G596" s="98">
        <v>0</v>
      </c>
      <c r="H596" s="98">
        <v>0</v>
      </c>
      <c r="I596" s="108">
        <v>0</v>
      </c>
      <c r="J596" s="129">
        <f t="shared" si="123"/>
        <v>0</v>
      </c>
      <c r="K596" s="129"/>
      <c r="L596" s="108">
        <v>0</v>
      </c>
    </row>
    <row r="597" spans="1:12" ht="36.700000000000003" x14ac:dyDescent="0.25">
      <c r="A597" s="81" t="s">
        <v>76</v>
      </c>
      <c r="B597" s="80" t="s">
        <v>536</v>
      </c>
      <c r="C597" s="80" t="s">
        <v>77</v>
      </c>
      <c r="D597" s="80" t="s">
        <v>126</v>
      </c>
      <c r="E597" s="83" t="s">
        <v>6</v>
      </c>
      <c r="F597" s="82">
        <f>F598</f>
        <v>1883721.5</v>
      </c>
      <c r="G597" s="82">
        <f>G598</f>
        <v>172000</v>
      </c>
      <c r="H597" s="82">
        <f>H598</f>
        <v>2042300</v>
      </c>
      <c r="I597" s="96">
        <f>I598</f>
        <v>2042300</v>
      </c>
      <c r="J597" s="129">
        <f t="shared" si="123"/>
        <v>0</v>
      </c>
      <c r="K597" s="129"/>
      <c r="L597" s="96">
        <f>L598</f>
        <v>2042300</v>
      </c>
    </row>
    <row r="598" spans="1:12" s="43" customFormat="1" ht="73.400000000000006" x14ac:dyDescent="0.25">
      <c r="A598" s="109" t="s">
        <v>395</v>
      </c>
      <c r="B598" s="110" t="s">
        <v>536</v>
      </c>
      <c r="C598" s="110" t="s">
        <v>77</v>
      </c>
      <c r="D598" s="110" t="s">
        <v>138</v>
      </c>
      <c r="E598" s="111" t="s">
        <v>6</v>
      </c>
      <c r="F598" s="85">
        <f>F599+F613+F604</f>
        <v>1883721.5</v>
      </c>
      <c r="G598" s="85">
        <f>G599+G613+G604</f>
        <v>172000</v>
      </c>
      <c r="H598" s="85">
        <f>H599+H613+H604</f>
        <v>2042300</v>
      </c>
      <c r="I598" s="85">
        <f>I599+I613+I604</f>
        <v>2042300</v>
      </c>
      <c r="J598" s="129">
        <f t="shared" si="123"/>
        <v>0</v>
      </c>
      <c r="K598" s="129"/>
      <c r="L598" s="85">
        <f>L599+L613+L604</f>
        <v>2042300</v>
      </c>
    </row>
    <row r="599" spans="1:12" ht="73.400000000000006" x14ac:dyDescent="0.25">
      <c r="A599" s="81" t="s">
        <v>398</v>
      </c>
      <c r="B599" s="80" t="s">
        <v>536</v>
      </c>
      <c r="C599" s="80" t="s">
        <v>77</v>
      </c>
      <c r="D599" s="80" t="s">
        <v>146</v>
      </c>
      <c r="E599" s="83" t="s">
        <v>6</v>
      </c>
      <c r="F599" s="82">
        <f t="shared" ref="F599:I600" si="137">F600</f>
        <v>70000</v>
      </c>
      <c r="G599" s="82">
        <f t="shared" si="137"/>
        <v>70000</v>
      </c>
      <c r="H599" s="82">
        <f t="shared" si="137"/>
        <v>70000</v>
      </c>
      <c r="I599" s="96">
        <f t="shared" si="137"/>
        <v>70000</v>
      </c>
      <c r="J599" s="129">
        <f t="shared" si="123"/>
        <v>0</v>
      </c>
      <c r="K599" s="129"/>
      <c r="L599" s="96">
        <f>L600</f>
        <v>70000</v>
      </c>
    </row>
    <row r="600" spans="1:12" ht="36.700000000000003" x14ac:dyDescent="0.25">
      <c r="A600" s="113" t="s">
        <v>206</v>
      </c>
      <c r="B600" s="80" t="s">
        <v>536</v>
      </c>
      <c r="C600" s="80" t="s">
        <v>77</v>
      </c>
      <c r="D600" s="80" t="s">
        <v>220</v>
      </c>
      <c r="E600" s="83" t="s">
        <v>6</v>
      </c>
      <c r="F600" s="82">
        <f>F601</f>
        <v>70000</v>
      </c>
      <c r="G600" s="82">
        <f t="shared" si="137"/>
        <v>70000</v>
      </c>
      <c r="H600" s="82">
        <f t="shared" si="137"/>
        <v>70000</v>
      </c>
      <c r="I600" s="96">
        <f t="shared" si="137"/>
        <v>70000</v>
      </c>
      <c r="J600" s="129">
        <f t="shared" si="123"/>
        <v>0</v>
      </c>
      <c r="K600" s="129"/>
      <c r="L600" s="96">
        <f>L601</f>
        <v>70000</v>
      </c>
    </row>
    <row r="601" spans="1:12" ht="36.700000000000003" x14ac:dyDescent="0.25">
      <c r="A601" s="81" t="s">
        <v>424</v>
      </c>
      <c r="B601" s="80" t="s">
        <v>536</v>
      </c>
      <c r="C601" s="80" t="s">
        <v>77</v>
      </c>
      <c r="D601" s="80" t="s">
        <v>235</v>
      </c>
      <c r="E601" s="83" t="s">
        <v>6</v>
      </c>
      <c r="F601" s="82">
        <f>F602</f>
        <v>70000</v>
      </c>
      <c r="G601" s="82">
        <f t="shared" ref="G601:I602" si="138">G602</f>
        <v>70000</v>
      </c>
      <c r="H601" s="82">
        <f t="shared" si="138"/>
        <v>70000</v>
      </c>
      <c r="I601" s="96">
        <f t="shared" si="138"/>
        <v>70000</v>
      </c>
      <c r="J601" s="129">
        <f t="shared" si="123"/>
        <v>0</v>
      </c>
      <c r="K601" s="129"/>
      <c r="L601" s="96">
        <f>L602</f>
        <v>70000</v>
      </c>
    </row>
    <row r="602" spans="1:12" ht="18.7" customHeight="1" x14ac:dyDescent="0.25">
      <c r="A602" s="81" t="s">
        <v>15</v>
      </c>
      <c r="B602" s="80" t="s">
        <v>536</v>
      </c>
      <c r="C602" s="80" t="s">
        <v>77</v>
      </c>
      <c r="D602" s="80" t="s">
        <v>235</v>
      </c>
      <c r="E602" s="83" t="s">
        <v>16</v>
      </c>
      <c r="F602" s="82">
        <f>F603</f>
        <v>70000</v>
      </c>
      <c r="G602" s="82">
        <f t="shared" si="138"/>
        <v>70000</v>
      </c>
      <c r="H602" s="82">
        <f t="shared" si="138"/>
        <v>70000</v>
      </c>
      <c r="I602" s="96">
        <f t="shared" si="138"/>
        <v>70000</v>
      </c>
      <c r="J602" s="129">
        <f t="shared" si="123"/>
        <v>0</v>
      </c>
      <c r="K602" s="129"/>
      <c r="L602" s="96">
        <f>L603</f>
        <v>70000</v>
      </c>
    </row>
    <row r="603" spans="1:12" ht="55.05" x14ac:dyDescent="0.25">
      <c r="A603" s="81" t="s">
        <v>17</v>
      </c>
      <c r="B603" s="80" t="s">
        <v>536</v>
      </c>
      <c r="C603" s="80" t="s">
        <v>77</v>
      </c>
      <c r="D603" s="80" t="s">
        <v>235</v>
      </c>
      <c r="E603" s="83" t="s">
        <v>18</v>
      </c>
      <c r="F603" s="98">
        <v>70000</v>
      </c>
      <c r="G603" s="98">
        <v>70000</v>
      </c>
      <c r="H603" s="98">
        <v>70000</v>
      </c>
      <c r="I603" s="108">
        <v>70000</v>
      </c>
      <c r="J603" s="129">
        <f t="shared" si="123"/>
        <v>0</v>
      </c>
      <c r="K603" s="129"/>
      <c r="L603" s="108">
        <v>70000</v>
      </c>
    </row>
    <row r="604" spans="1:12" ht="55.05" x14ac:dyDescent="0.25">
      <c r="A604" s="113" t="s">
        <v>275</v>
      </c>
      <c r="B604" s="80" t="s">
        <v>536</v>
      </c>
      <c r="C604" s="80" t="s">
        <v>77</v>
      </c>
      <c r="D604" s="80" t="s">
        <v>223</v>
      </c>
      <c r="E604" s="80" t="s">
        <v>6</v>
      </c>
      <c r="F604" s="98">
        <f>F605</f>
        <v>1689721.5</v>
      </c>
      <c r="G604" s="98">
        <f>G605</f>
        <v>2000</v>
      </c>
      <c r="H604" s="98">
        <f>H605</f>
        <v>1847300</v>
      </c>
      <c r="I604" s="98">
        <f>I605</f>
        <v>1847300</v>
      </c>
      <c r="J604" s="129">
        <f t="shared" si="123"/>
        <v>0</v>
      </c>
      <c r="K604" s="129"/>
      <c r="L604" s="98">
        <f>L605</f>
        <v>1847300</v>
      </c>
    </row>
    <row r="605" spans="1:12" ht="110.05" x14ac:dyDescent="0.25">
      <c r="A605" s="100" t="s">
        <v>403</v>
      </c>
      <c r="B605" s="80" t="s">
        <v>536</v>
      </c>
      <c r="C605" s="80" t="s">
        <v>77</v>
      </c>
      <c r="D605" s="80" t="s">
        <v>152</v>
      </c>
      <c r="E605" s="80" t="s">
        <v>6</v>
      </c>
      <c r="F605" s="82">
        <f>F606+F610+F608</f>
        <v>1689721.5</v>
      </c>
      <c r="G605" s="82">
        <f>G606+G610+G608</f>
        <v>2000</v>
      </c>
      <c r="H605" s="82">
        <f>H606+H610+H608</f>
        <v>1847300</v>
      </c>
      <c r="I605" s="82">
        <f>I606+I610+I608</f>
        <v>1847300</v>
      </c>
      <c r="J605" s="129">
        <f t="shared" si="123"/>
        <v>0</v>
      </c>
      <c r="K605" s="129"/>
      <c r="L605" s="82">
        <f>L606+L610+L608</f>
        <v>1847300</v>
      </c>
    </row>
    <row r="606" spans="1:12" ht="36.700000000000003" x14ac:dyDescent="0.25">
      <c r="A606" s="81" t="s">
        <v>15</v>
      </c>
      <c r="B606" s="80" t="s">
        <v>536</v>
      </c>
      <c r="C606" s="80" t="s">
        <v>77</v>
      </c>
      <c r="D606" s="80" t="s">
        <v>152</v>
      </c>
      <c r="E606" s="80" t="s">
        <v>16</v>
      </c>
      <c r="F606" s="82">
        <f>F607</f>
        <v>2000</v>
      </c>
      <c r="G606" s="82">
        <f>G607</f>
        <v>2000</v>
      </c>
      <c r="H606" s="82">
        <f>H607</f>
        <v>2000</v>
      </c>
      <c r="I606" s="82">
        <f>I607</f>
        <v>2000</v>
      </c>
      <c r="J606" s="129">
        <f t="shared" si="123"/>
        <v>0</v>
      </c>
      <c r="K606" s="129"/>
      <c r="L606" s="82">
        <f>L607</f>
        <v>2000</v>
      </c>
    </row>
    <row r="607" spans="1:12" ht="55.05" x14ac:dyDescent="0.25">
      <c r="A607" s="81" t="s">
        <v>17</v>
      </c>
      <c r="B607" s="80" t="s">
        <v>536</v>
      </c>
      <c r="C607" s="80" t="s">
        <v>77</v>
      </c>
      <c r="D607" s="80" t="s">
        <v>152</v>
      </c>
      <c r="E607" s="80" t="s">
        <v>18</v>
      </c>
      <c r="F607" s="82">
        <v>2000</v>
      </c>
      <c r="G607" s="82">
        <v>2000</v>
      </c>
      <c r="H607" s="82">
        <v>2000</v>
      </c>
      <c r="I607" s="108">
        <v>2000</v>
      </c>
      <c r="J607" s="129">
        <f t="shared" si="123"/>
        <v>0</v>
      </c>
      <c r="K607" s="129"/>
      <c r="L607" s="108">
        <v>2000</v>
      </c>
    </row>
    <row r="608" spans="1:12" ht="36.700000000000003" x14ac:dyDescent="0.25">
      <c r="A608" s="81" t="s">
        <v>90</v>
      </c>
      <c r="B608" s="80" t="s">
        <v>536</v>
      </c>
      <c r="C608" s="80" t="s">
        <v>77</v>
      </c>
      <c r="D608" s="80" t="s">
        <v>152</v>
      </c>
      <c r="E608" s="80" t="s">
        <v>91</v>
      </c>
      <c r="F608" s="82">
        <f>F609</f>
        <v>320000</v>
      </c>
      <c r="G608" s="82">
        <f>G609</f>
        <v>0</v>
      </c>
      <c r="H608" s="82">
        <f>H609</f>
        <v>320000</v>
      </c>
      <c r="I608" s="82">
        <f>I609</f>
        <v>320000</v>
      </c>
      <c r="J608" s="129">
        <f t="shared" si="123"/>
        <v>0</v>
      </c>
      <c r="K608" s="129"/>
      <c r="L608" s="82">
        <f>L609</f>
        <v>320000</v>
      </c>
    </row>
    <row r="609" spans="1:12" ht="55.05" x14ac:dyDescent="0.25">
      <c r="A609" s="81" t="s">
        <v>97</v>
      </c>
      <c r="B609" s="80" t="s">
        <v>536</v>
      </c>
      <c r="C609" s="80" t="s">
        <v>77</v>
      </c>
      <c r="D609" s="80" t="s">
        <v>152</v>
      </c>
      <c r="E609" s="80" t="s">
        <v>98</v>
      </c>
      <c r="F609" s="98">
        <v>320000</v>
      </c>
      <c r="G609" s="98">
        <v>0</v>
      </c>
      <c r="H609" s="98">
        <v>320000</v>
      </c>
      <c r="I609" s="108">
        <v>320000</v>
      </c>
      <c r="J609" s="129">
        <f t="shared" si="123"/>
        <v>0</v>
      </c>
      <c r="K609" s="129"/>
      <c r="L609" s="108">
        <v>320000</v>
      </c>
    </row>
    <row r="610" spans="1:12" ht="55.05" x14ac:dyDescent="0.25">
      <c r="A610" s="81" t="s">
        <v>37</v>
      </c>
      <c r="B610" s="80" t="s">
        <v>536</v>
      </c>
      <c r="C610" s="80" t="s">
        <v>77</v>
      </c>
      <c r="D610" s="80" t="s">
        <v>152</v>
      </c>
      <c r="E610" s="80" t="s">
        <v>38</v>
      </c>
      <c r="F610" s="82">
        <f>F611</f>
        <v>1367721.5</v>
      </c>
      <c r="G610" s="82">
        <f>G611</f>
        <v>0</v>
      </c>
      <c r="H610" s="82">
        <f>H611</f>
        <v>1525300</v>
      </c>
      <c r="I610" s="82">
        <f>I611</f>
        <v>1525300</v>
      </c>
      <c r="J610" s="129">
        <f t="shared" si="123"/>
        <v>0</v>
      </c>
      <c r="K610" s="129"/>
      <c r="L610" s="82">
        <f>L611</f>
        <v>1525300</v>
      </c>
    </row>
    <row r="611" spans="1:12" x14ac:dyDescent="0.25">
      <c r="A611" s="81" t="s">
        <v>74</v>
      </c>
      <c r="B611" s="80" t="s">
        <v>536</v>
      </c>
      <c r="C611" s="80" t="s">
        <v>77</v>
      </c>
      <c r="D611" s="80" t="s">
        <v>152</v>
      </c>
      <c r="E611" s="80" t="s">
        <v>75</v>
      </c>
      <c r="F611" s="98">
        <v>1367721.5</v>
      </c>
      <c r="G611" s="98">
        <v>0</v>
      </c>
      <c r="H611" s="98">
        <v>1525300</v>
      </c>
      <c r="I611" s="108">
        <v>1525300</v>
      </c>
      <c r="J611" s="129">
        <f t="shared" si="123"/>
        <v>0</v>
      </c>
      <c r="K611" s="129"/>
      <c r="L611" s="108">
        <v>1525300</v>
      </c>
    </row>
    <row r="612" spans="1:12" ht="36.700000000000003" x14ac:dyDescent="0.25">
      <c r="A612" s="25" t="s">
        <v>238</v>
      </c>
      <c r="B612" s="80" t="s">
        <v>536</v>
      </c>
      <c r="C612" s="80" t="s">
        <v>77</v>
      </c>
      <c r="D612" s="80" t="s">
        <v>237</v>
      </c>
      <c r="E612" s="83" t="s">
        <v>6</v>
      </c>
      <c r="F612" s="98">
        <f>F613</f>
        <v>124000</v>
      </c>
      <c r="G612" s="98">
        <f>G613</f>
        <v>100000</v>
      </c>
      <c r="H612" s="98">
        <f>H613</f>
        <v>125000</v>
      </c>
      <c r="I612" s="108">
        <f>I613</f>
        <v>125000</v>
      </c>
      <c r="J612" s="129">
        <f t="shared" si="123"/>
        <v>0</v>
      </c>
      <c r="K612" s="129"/>
      <c r="L612" s="108">
        <f>L613</f>
        <v>125000</v>
      </c>
    </row>
    <row r="613" spans="1:12" ht="36.700000000000003" x14ac:dyDescent="0.25">
      <c r="A613" s="81" t="s">
        <v>78</v>
      </c>
      <c r="B613" s="80" t="s">
        <v>536</v>
      </c>
      <c r="C613" s="80" t="s">
        <v>77</v>
      </c>
      <c r="D613" s="80" t="s">
        <v>153</v>
      </c>
      <c r="E613" s="83" t="s">
        <v>6</v>
      </c>
      <c r="F613" s="82">
        <f>F614</f>
        <v>124000</v>
      </c>
      <c r="G613" s="82">
        <f t="shared" ref="G613:I614" si="139">G614</f>
        <v>100000</v>
      </c>
      <c r="H613" s="82">
        <f t="shared" si="139"/>
        <v>125000</v>
      </c>
      <c r="I613" s="96">
        <f t="shared" si="139"/>
        <v>125000</v>
      </c>
      <c r="J613" s="129">
        <f t="shared" si="123"/>
        <v>0</v>
      </c>
      <c r="K613" s="129"/>
      <c r="L613" s="96">
        <f>L614</f>
        <v>125000</v>
      </c>
    </row>
    <row r="614" spans="1:12" ht="21.25" customHeight="1" x14ac:dyDescent="0.25">
      <c r="A614" s="81" t="s">
        <v>15</v>
      </c>
      <c r="B614" s="80" t="s">
        <v>536</v>
      </c>
      <c r="C614" s="80" t="s">
        <v>77</v>
      </c>
      <c r="D614" s="80" t="s">
        <v>153</v>
      </c>
      <c r="E614" s="83" t="s">
        <v>16</v>
      </c>
      <c r="F614" s="82">
        <f>F615</f>
        <v>124000</v>
      </c>
      <c r="G614" s="82">
        <f t="shared" si="139"/>
        <v>100000</v>
      </c>
      <c r="H614" s="82">
        <f t="shared" si="139"/>
        <v>125000</v>
      </c>
      <c r="I614" s="96">
        <f t="shared" si="139"/>
        <v>125000</v>
      </c>
      <c r="J614" s="129">
        <f t="shared" si="123"/>
        <v>0</v>
      </c>
      <c r="K614" s="129"/>
      <c r="L614" s="96">
        <f>L615</f>
        <v>125000</v>
      </c>
    </row>
    <row r="615" spans="1:12" ht="55.05" x14ac:dyDescent="0.25">
      <c r="A615" s="81" t="s">
        <v>17</v>
      </c>
      <c r="B615" s="80" t="s">
        <v>536</v>
      </c>
      <c r="C615" s="80" t="s">
        <v>77</v>
      </c>
      <c r="D615" s="80" t="s">
        <v>153</v>
      </c>
      <c r="E615" s="83" t="s">
        <v>18</v>
      </c>
      <c r="F615" s="98">
        <v>124000</v>
      </c>
      <c r="G615" s="98">
        <v>100000</v>
      </c>
      <c r="H615" s="98">
        <v>125000</v>
      </c>
      <c r="I615" s="108">
        <v>125000</v>
      </c>
      <c r="J615" s="129">
        <f t="shared" si="123"/>
        <v>0</v>
      </c>
      <c r="K615" s="129"/>
      <c r="L615" s="108">
        <v>125000</v>
      </c>
    </row>
    <row r="616" spans="1:12" x14ac:dyDescent="0.25">
      <c r="A616" s="81" t="s">
        <v>116</v>
      </c>
      <c r="B616" s="80" t="s">
        <v>536</v>
      </c>
      <c r="C616" s="80" t="s">
        <v>117</v>
      </c>
      <c r="D616" s="80" t="s">
        <v>126</v>
      </c>
      <c r="E616" s="83" t="s">
        <v>6</v>
      </c>
      <c r="F616" s="82">
        <f t="shared" ref="F616:I617" si="140">F617</f>
        <v>20727250</v>
      </c>
      <c r="G616" s="82">
        <f t="shared" si="140"/>
        <v>19189400</v>
      </c>
      <c r="H616" s="82">
        <f t="shared" si="140"/>
        <v>22081996</v>
      </c>
      <c r="I616" s="96">
        <f t="shared" si="140"/>
        <v>21791996</v>
      </c>
      <c r="J616" s="129">
        <f t="shared" ref="J616:J677" si="141">I616-H616</f>
        <v>-290000</v>
      </c>
      <c r="K616" s="129"/>
      <c r="L616" s="96">
        <f>L617</f>
        <v>21791996</v>
      </c>
    </row>
    <row r="617" spans="1:12" ht="73.400000000000006" x14ac:dyDescent="0.25">
      <c r="A617" s="109" t="s">
        <v>404</v>
      </c>
      <c r="B617" s="110" t="s">
        <v>536</v>
      </c>
      <c r="C617" s="110" t="s">
        <v>117</v>
      </c>
      <c r="D617" s="110" t="s">
        <v>138</v>
      </c>
      <c r="E617" s="111" t="s">
        <v>6</v>
      </c>
      <c r="F617" s="136">
        <f t="shared" si="140"/>
        <v>20727250</v>
      </c>
      <c r="G617" s="136">
        <f t="shared" si="140"/>
        <v>19189400</v>
      </c>
      <c r="H617" s="136">
        <f t="shared" si="140"/>
        <v>22081996</v>
      </c>
      <c r="I617" s="137">
        <f t="shared" si="140"/>
        <v>21791996</v>
      </c>
      <c r="J617" s="129">
        <f t="shared" si="141"/>
        <v>-290000</v>
      </c>
      <c r="K617" s="129"/>
      <c r="L617" s="137">
        <f>L618</f>
        <v>21791996</v>
      </c>
    </row>
    <row r="618" spans="1:12" ht="55.05" x14ac:dyDescent="0.25">
      <c r="A618" s="113" t="s">
        <v>209</v>
      </c>
      <c r="B618" s="80" t="s">
        <v>536</v>
      </c>
      <c r="C618" s="80" t="s">
        <v>117</v>
      </c>
      <c r="D618" s="80" t="s">
        <v>226</v>
      </c>
      <c r="E618" s="83" t="s">
        <v>6</v>
      </c>
      <c r="F618" s="85">
        <f>F619+F626+F633</f>
        <v>20727250</v>
      </c>
      <c r="G618" s="85">
        <f>G619+G626+G633</f>
        <v>19189400</v>
      </c>
      <c r="H618" s="85">
        <f>H619+H626+H633</f>
        <v>22081996</v>
      </c>
      <c r="I618" s="85">
        <f>I619+I626+I633</f>
        <v>21791996</v>
      </c>
      <c r="J618" s="129">
        <f t="shared" si="141"/>
        <v>-290000</v>
      </c>
      <c r="K618" s="129"/>
      <c r="L618" s="85">
        <f>L619+L626+L633</f>
        <v>21791996</v>
      </c>
    </row>
    <row r="619" spans="1:12" ht="73.400000000000006" x14ac:dyDescent="0.25">
      <c r="A619" s="81" t="s">
        <v>494</v>
      </c>
      <c r="B619" s="80" t="s">
        <v>536</v>
      </c>
      <c r="C619" s="80" t="s">
        <v>117</v>
      </c>
      <c r="D619" s="80" t="s">
        <v>535</v>
      </c>
      <c r="E619" s="83" t="s">
        <v>6</v>
      </c>
      <c r="F619" s="82">
        <f>F620+F622+F624</f>
        <v>4781650</v>
      </c>
      <c r="G619" s="82">
        <f>G620+G622+G624</f>
        <v>3406000</v>
      </c>
      <c r="H619" s="82">
        <f>H620+H622+H624</f>
        <v>5709242</v>
      </c>
      <c r="I619" s="82">
        <f>I620+I622+I624</f>
        <v>5189242</v>
      </c>
      <c r="J619" s="129">
        <f t="shared" si="141"/>
        <v>-520000</v>
      </c>
      <c r="K619" s="129"/>
      <c r="L619" s="82">
        <f>L620+L622+L624</f>
        <v>5189242</v>
      </c>
    </row>
    <row r="620" spans="1:12" ht="57.25" customHeight="1" x14ac:dyDescent="0.25">
      <c r="A620" s="81" t="s">
        <v>11</v>
      </c>
      <c r="B620" s="80" t="s">
        <v>536</v>
      </c>
      <c r="C620" s="80" t="s">
        <v>117</v>
      </c>
      <c r="D620" s="80" t="s">
        <v>535</v>
      </c>
      <c r="E620" s="83" t="s">
        <v>12</v>
      </c>
      <c r="F620" s="82">
        <f>F621</f>
        <v>4283650</v>
      </c>
      <c r="G620" s="82">
        <f>G621</f>
        <v>3121000</v>
      </c>
      <c r="H620" s="82">
        <f>H621</f>
        <v>5089242</v>
      </c>
      <c r="I620" s="96">
        <f>I621</f>
        <v>5089242</v>
      </c>
      <c r="J620" s="129">
        <f t="shared" si="141"/>
        <v>0</v>
      </c>
      <c r="K620" s="129"/>
      <c r="L620" s="96">
        <f>L621</f>
        <v>5089242</v>
      </c>
    </row>
    <row r="621" spans="1:12" ht="20.25" customHeight="1" x14ac:dyDescent="0.25">
      <c r="A621" s="81" t="s">
        <v>13</v>
      </c>
      <c r="B621" s="80" t="s">
        <v>536</v>
      </c>
      <c r="C621" s="80" t="s">
        <v>117</v>
      </c>
      <c r="D621" s="80" t="s">
        <v>535</v>
      </c>
      <c r="E621" s="83" t="s">
        <v>14</v>
      </c>
      <c r="F621" s="98">
        <v>4283650</v>
      </c>
      <c r="G621" s="98">
        <v>3121000</v>
      </c>
      <c r="H621" s="98">
        <v>5089242</v>
      </c>
      <c r="I621" s="108">
        <v>5089242</v>
      </c>
      <c r="J621" s="129">
        <f t="shared" si="141"/>
        <v>0</v>
      </c>
      <c r="K621" s="129"/>
      <c r="L621" s="108">
        <v>5089242</v>
      </c>
    </row>
    <row r="622" spans="1:12" ht="18.7" customHeight="1" x14ac:dyDescent="0.25">
      <c r="A622" s="81" t="s">
        <v>15</v>
      </c>
      <c r="B622" s="80" t="s">
        <v>536</v>
      </c>
      <c r="C622" s="80" t="s">
        <v>117</v>
      </c>
      <c r="D622" s="80" t="s">
        <v>535</v>
      </c>
      <c r="E622" s="83" t="s">
        <v>16</v>
      </c>
      <c r="F622" s="82">
        <f>F623</f>
        <v>310400</v>
      </c>
      <c r="G622" s="82">
        <f>G623</f>
        <v>100000</v>
      </c>
      <c r="H622" s="82">
        <f>H623</f>
        <v>620000</v>
      </c>
      <c r="I622" s="96">
        <f>I623</f>
        <v>100000</v>
      </c>
      <c r="J622" s="129">
        <f t="shared" si="141"/>
        <v>-520000</v>
      </c>
      <c r="K622" s="129"/>
      <c r="L622" s="96">
        <f>L623</f>
        <v>100000</v>
      </c>
    </row>
    <row r="623" spans="1:12" ht="55.05" x14ac:dyDescent="0.25">
      <c r="A623" s="81" t="s">
        <v>17</v>
      </c>
      <c r="B623" s="80" t="s">
        <v>536</v>
      </c>
      <c r="C623" s="80" t="s">
        <v>117</v>
      </c>
      <c r="D623" s="80" t="s">
        <v>535</v>
      </c>
      <c r="E623" s="83" t="s">
        <v>18</v>
      </c>
      <c r="F623" s="98">
        <v>310400</v>
      </c>
      <c r="G623" s="98">
        <v>100000</v>
      </c>
      <c r="H623" s="98">
        <v>620000</v>
      </c>
      <c r="I623" s="108">
        <f>620000-230000-290000</f>
        <v>100000</v>
      </c>
      <c r="J623" s="129">
        <f t="shared" si="141"/>
        <v>-520000</v>
      </c>
      <c r="K623" s="129"/>
      <c r="L623" s="108">
        <f>620000-230000-290000</f>
        <v>100000</v>
      </c>
    </row>
    <row r="624" spans="1:12" x14ac:dyDescent="0.25">
      <c r="A624" s="81" t="s">
        <v>19</v>
      </c>
      <c r="B624" s="80" t="s">
        <v>536</v>
      </c>
      <c r="C624" s="80" t="s">
        <v>117</v>
      </c>
      <c r="D624" s="80" t="s">
        <v>535</v>
      </c>
      <c r="E624" s="83" t="s">
        <v>20</v>
      </c>
      <c r="F624" s="131">
        <f>F625</f>
        <v>187600</v>
      </c>
      <c r="G624" s="131">
        <f>G625</f>
        <v>185000</v>
      </c>
      <c r="H624" s="131">
        <f>H625</f>
        <v>0</v>
      </c>
      <c r="I624" s="117">
        <f>I625</f>
        <v>0</v>
      </c>
      <c r="J624" s="129">
        <f t="shared" si="141"/>
        <v>0</v>
      </c>
      <c r="K624" s="129"/>
      <c r="L624" s="117">
        <f>L625</f>
        <v>0</v>
      </c>
    </row>
    <row r="625" spans="1:12" x14ac:dyDescent="0.25">
      <c r="A625" s="81" t="s">
        <v>21</v>
      </c>
      <c r="B625" s="80" t="s">
        <v>536</v>
      </c>
      <c r="C625" s="80" t="s">
        <v>117</v>
      </c>
      <c r="D625" s="80" t="s">
        <v>535</v>
      </c>
      <c r="E625" s="83" t="s">
        <v>22</v>
      </c>
      <c r="F625" s="98">
        <v>187600</v>
      </c>
      <c r="G625" s="98">
        <v>185000</v>
      </c>
      <c r="H625" s="98">
        <v>0</v>
      </c>
      <c r="I625" s="108">
        <v>0</v>
      </c>
      <c r="J625" s="129">
        <f t="shared" si="141"/>
        <v>0</v>
      </c>
      <c r="K625" s="129"/>
      <c r="L625" s="108">
        <v>0</v>
      </c>
    </row>
    <row r="626" spans="1:12" ht="55.05" x14ac:dyDescent="0.25">
      <c r="A626" s="81" t="s">
        <v>33</v>
      </c>
      <c r="B626" s="80" t="s">
        <v>536</v>
      </c>
      <c r="C626" s="80" t="s">
        <v>117</v>
      </c>
      <c r="D626" s="80" t="s">
        <v>154</v>
      </c>
      <c r="E626" s="83" t="s">
        <v>6</v>
      </c>
      <c r="F626" s="82">
        <f>F627+F629+F631</f>
        <v>13942200</v>
      </c>
      <c r="G626" s="82">
        <f>G627+G629+G631</f>
        <v>13932000</v>
      </c>
      <c r="H626" s="82">
        <f>H627+H629+H631</f>
        <v>14291221</v>
      </c>
      <c r="I626" s="96">
        <f>I627+I629+I631</f>
        <v>14521221</v>
      </c>
      <c r="J626" s="129">
        <f t="shared" si="141"/>
        <v>230000</v>
      </c>
      <c r="K626" s="129"/>
      <c r="L626" s="96">
        <f>L627+L629+L631</f>
        <v>14521221</v>
      </c>
    </row>
    <row r="627" spans="1:12" ht="57.25" customHeight="1" x14ac:dyDescent="0.25">
      <c r="A627" s="81" t="s">
        <v>11</v>
      </c>
      <c r="B627" s="80" t="s">
        <v>536</v>
      </c>
      <c r="C627" s="80" t="s">
        <v>117</v>
      </c>
      <c r="D627" s="80" t="s">
        <v>154</v>
      </c>
      <c r="E627" s="83" t="s">
        <v>12</v>
      </c>
      <c r="F627" s="82">
        <f>F628</f>
        <v>11192000</v>
      </c>
      <c r="G627" s="82">
        <f>G628</f>
        <v>11192000</v>
      </c>
      <c r="H627" s="82">
        <f>H628</f>
        <v>11638500</v>
      </c>
      <c r="I627" s="96">
        <f>I628</f>
        <v>11638500</v>
      </c>
      <c r="J627" s="129">
        <f t="shared" si="141"/>
        <v>0</v>
      </c>
      <c r="K627" s="129"/>
      <c r="L627" s="96">
        <f>L628</f>
        <v>11638500</v>
      </c>
    </row>
    <row r="628" spans="1:12" ht="36.700000000000003" x14ac:dyDescent="0.25">
      <c r="A628" s="81" t="s">
        <v>34</v>
      </c>
      <c r="B628" s="80" t="s">
        <v>536</v>
      </c>
      <c r="C628" s="80" t="s">
        <v>117</v>
      </c>
      <c r="D628" s="80" t="s">
        <v>154</v>
      </c>
      <c r="E628" s="83" t="s">
        <v>35</v>
      </c>
      <c r="F628" s="98">
        <v>11192000</v>
      </c>
      <c r="G628" s="98">
        <v>11192000</v>
      </c>
      <c r="H628" s="98">
        <v>11638500</v>
      </c>
      <c r="I628" s="108">
        <v>11638500</v>
      </c>
      <c r="J628" s="129">
        <f t="shared" si="141"/>
        <v>0</v>
      </c>
      <c r="K628" s="129"/>
      <c r="L628" s="108">
        <v>11638500</v>
      </c>
    </row>
    <row r="629" spans="1:12" ht="19.55" customHeight="1" x14ac:dyDescent="0.25">
      <c r="A629" s="81" t="s">
        <v>15</v>
      </c>
      <c r="B629" s="80" t="s">
        <v>536</v>
      </c>
      <c r="C629" s="80" t="s">
        <v>117</v>
      </c>
      <c r="D629" s="80" t="s">
        <v>154</v>
      </c>
      <c r="E629" s="83" t="s">
        <v>16</v>
      </c>
      <c r="F629" s="82">
        <f>F630</f>
        <v>2708000</v>
      </c>
      <c r="G629" s="82">
        <f>G630</f>
        <v>2700000</v>
      </c>
      <c r="H629" s="82">
        <f>H630</f>
        <v>2613521</v>
      </c>
      <c r="I629" s="96">
        <f>I630</f>
        <v>2843521</v>
      </c>
      <c r="J629" s="129">
        <f t="shared" si="141"/>
        <v>230000</v>
      </c>
      <c r="K629" s="129"/>
      <c r="L629" s="96">
        <f>L630</f>
        <v>2843521</v>
      </c>
    </row>
    <row r="630" spans="1:12" ht="55.05" x14ac:dyDescent="0.25">
      <c r="A630" s="81" t="s">
        <v>17</v>
      </c>
      <c r="B630" s="80" t="s">
        <v>536</v>
      </c>
      <c r="C630" s="80" t="s">
        <v>117</v>
      </c>
      <c r="D630" s="80" t="s">
        <v>154</v>
      </c>
      <c r="E630" s="83" t="s">
        <v>18</v>
      </c>
      <c r="F630" s="98">
        <v>2708000</v>
      </c>
      <c r="G630" s="98">
        <v>2700000</v>
      </c>
      <c r="H630" s="98">
        <v>2613521</v>
      </c>
      <c r="I630" s="108">
        <f>2613521+230000</f>
        <v>2843521</v>
      </c>
      <c r="J630" s="129">
        <f t="shared" si="141"/>
        <v>230000</v>
      </c>
      <c r="K630" s="129"/>
      <c r="L630" s="108">
        <f>2613521+230000</f>
        <v>2843521</v>
      </c>
    </row>
    <row r="631" spans="1:12" x14ac:dyDescent="0.25">
      <c r="A631" s="81" t="s">
        <v>19</v>
      </c>
      <c r="B631" s="80" t="s">
        <v>536</v>
      </c>
      <c r="C631" s="80" t="s">
        <v>117</v>
      </c>
      <c r="D631" s="80" t="s">
        <v>154</v>
      </c>
      <c r="E631" s="83" t="s">
        <v>20</v>
      </c>
      <c r="F631" s="82">
        <f>F632</f>
        <v>42200</v>
      </c>
      <c r="G631" s="82">
        <f>G632</f>
        <v>40000</v>
      </c>
      <c r="H631" s="82">
        <f>H632</f>
        <v>39200</v>
      </c>
      <c r="I631" s="96">
        <f>I632</f>
        <v>39200</v>
      </c>
      <c r="J631" s="129">
        <f t="shared" si="141"/>
        <v>0</v>
      </c>
      <c r="K631" s="129"/>
      <c r="L631" s="96">
        <f>L632</f>
        <v>39200</v>
      </c>
    </row>
    <row r="632" spans="1:12" x14ac:dyDescent="0.25">
      <c r="A632" s="81" t="s">
        <v>21</v>
      </c>
      <c r="B632" s="80" t="s">
        <v>536</v>
      </c>
      <c r="C632" s="80" t="s">
        <v>117</v>
      </c>
      <c r="D632" s="80" t="s">
        <v>154</v>
      </c>
      <c r="E632" s="83" t="s">
        <v>22</v>
      </c>
      <c r="F632" s="98">
        <v>42200</v>
      </c>
      <c r="G632" s="98">
        <v>40000</v>
      </c>
      <c r="H632" s="98">
        <v>39200</v>
      </c>
      <c r="I632" s="108">
        <v>39200</v>
      </c>
      <c r="J632" s="129">
        <f t="shared" si="141"/>
        <v>0</v>
      </c>
      <c r="K632" s="129"/>
      <c r="L632" s="108">
        <v>39200</v>
      </c>
    </row>
    <row r="633" spans="1:12" ht="55.05" x14ac:dyDescent="0.25">
      <c r="A633" s="25" t="s">
        <v>36</v>
      </c>
      <c r="B633" s="80" t="s">
        <v>536</v>
      </c>
      <c r="C633" s="80" t="s">
        <v>117</v>
      </c>
      <c r="D633" s="80" t="s">
        <v>155</v>
      </c>
      <c r="E633" s="83" t="s">
        <v>6</v>
      </c>
      <c r="F633" s="82">
        <f>F634</f>
        <v>2003400</v>
      </c>
      <c r="G633" s="82">
        <f t="shared" ref="G633:I634" si="142">G634</f>
        <v>1851400</v>
      </c>
      <c r="H633" s="82">
        <f t="shared" si="142"/>
        <v>2081533</v>
      </c>
      <c r="I633" s="96">
        <f t="shared" si="142"/>
        <v>2081533</v>
      </c>
      <c r="J633" s="129">
        <f t="shared" si="141"/>
        <v>0</v>
      </c>
      <c r="K633" s="129"/>
      <c r="L633" s="96">
        <f>L634</f>
        <v>2081533</v>
      </c>
    </row>
    <row r="634" spans="1:12" ht="55.05" x14ac:dyDescent="0.25">
      <c r="A634" s="81" t="s">
        <v>37</v>
      </c>
      <c r="B634" s="80" t="s">
        <v>536</v>
      </c>
      <c r="C634" s="80" t="s">
        <v>117</v>
      </c>
      <c r="D634" s="80" t="s">
        <v>155</v>
      </c>
      <c r="E634" s="83" t="s">
        <v>38</v>
      </c>
      <c r="F634" s="82">
        <f>F635</f>
        <v>2003400</v>
      </c>
      <c r="G634" s="82">
        <f t="shared" si="142"/>
        <v>1851400</v>
      </c>
      <c r="H634" s="82">
        <f t="shared" si="142"/>
        <v>2081533</v>
      </c>
      <c r="I634" s="96">
        <f t="shared" si="142"/>
        <v>2081533</v>
      </c>
      <c r="J634" s="129">
        <f t="shared" si="141"/>
        <v>0</v>
      </c>
      <c r="K634" s="129"/>
      <c r="L634" s="96">
        <f>L635</f>
        <v>2081533</v>
      </c>
    </row>
    <row r="635" spans="1:12" x14ac:dyDescent="0.25">
      <c r="A635" s="81" t="s">
        <v>39</v>
      </c>
      <c r="B635" s="80" t="s">
        <v>536</v>
      </c>
      <c r="C635" s="80" t="s">
        <v>117</v>
      </c>
      <c r="D635" s="80" t="s">
        <v>155</v>
      </c>
      <c r="E635" s="83" t="s">
        <v>40</v>
      </c>
      <c r="F635" s="98">
        <v>2003400</v>
      </c>
      <c r="G635" s="98">
        <v>1851400</v>
      </c>
      <c r="H635" s="98">
        <v>2081533</v>
      </c>
      <c r="I635" s="108">
        <v>2081533</v>
      </c>
      <c r="J635" s="129">
        <f t="shared" si="141"/>
        <v>0</v>
      </c>
      <c r="K635" s="129"/>
      <c r="L635" s="108">
        <v>2081533</v>
      </c>
    </row>
    <row r="636" spans="1:12" x14ac:dyDescent="0.25">
      <c r="A636" s="109" t="s">
        <v>85</v>
      </c>
      <c r="B636" s="110" t="s">
        <v>536</v>
      </c>
      <c r="C636" s="110" t="s">
        <v>86</v>
      </c>
      <c r="D636" s="110" t="s">
        <v>126</v>
      </c>
      <c r="E636" s="111" t="s">
        <v>6</v>
      </c>
      <c r="F636" s="85">
        <f>F637+F643</f>
        <v>5864117</v>
      </c>
      <c r="G636" s="85">
        <f>G637+G643</f>
        <v>4126179</v>
      </c>
      <c r="H636" s="85">
        <f>H637+H643</f>
        <v>4489069</v>
      </c>
      <c r="I636" s="112">
        <f>I637+I643</f>
        <v>4489069</v>
      </c>
      <c r="J636" s="129">
        <f t="shared" si="141"/>
        <v>0</v>
      </c>
      <c r="K636" s="129"/>
      <c r="L636" s="112">
        <f>L637+L643</f>
        <v>4489069</v>
      </c>
    </row>
    <row r="637" spans="1:12" x14ac:dyDescent="0.25">
      <c r="A637" s="81" t="s">
        <v>94</v>
      </c>
      <c r="B637" s="80" t="s">
        <v>536</v>
      </c>
      <c r="C637" s="80" t="s">
        <v>95</v>
      </c>
      <c r="D637" s="80" t="s">
        <v>126</v>
      </c>
      <c r="E637" s="83" t="s">
        <v>6</v>
      </c>
      <c r="F637" s="82">
        <f>F638</f>
        <v>2460000</v>
      </c>
      <c r="G637" s="82">
        <f t="shared" ref="G637:I641" si="143">G638</f>
        <v>2460000</v>
      </c>
      <c r="H637" s="82">
        <f t="shared" si="143"/>
        <v>1310000</v>
      </c>
      <c r="I637" s="96">
        <f t="shared" si="143"/>
        <v>1310000</v>
      </c>
      <c r="J637" s="129">
        <f t="shared" si="141"/>
        <v>0</v>
      </c>
      <c r="K637" s="129"/>
      <c r="L637" s="96">
        <f>L638</f>
        <v>1310000</v>
      </c>
    </row>
    <row r="638" spans="1:12" ht="73.400000000000006" x14ac:dyDescent="0.25">
      <c r="A638" s="109" t="s">
        <v>395</v>
      </c>
      <c r="B638" s="110" t="s">
        <v>536</v>
      </c>
      <c r="C638" s="110" t="s">
        <v>95</v>
      </c>
      <c r="D638" s="110" t="s">
        <v>138</v>
      </c>
      <c r="E638" s="111" t="s">
        <v>6</v>
      </c>
      <c r="F638" s="85">
        <f>F639</f>
        <v>2460000</v>
      </c>
      <c r="G638" s="85">
        <f t="shared" ref="G638:I639" si="144">G639</f>
        <v>2460000</v>
      </c>
      <c r="H638" s="85">
        <f t="shared" si="144"/>
        <v>1310000</v>
      </c>
      <c r="I638" s="112">
        <f t="shared" si="144"/>
        <v>1310000</v>
      </c>
      <c r="J638" s="129">
        <f t="shared" si="141"/>
        <v>0</v>
      </c>
      <c r="K638" s="129"/>
      <c r="L638" s="112">
        <f>L639</f>
        <v>1310000</v>
      </c>
    </row>
    <row r="639" spans="1:12" ht="36.700000000000003" x14ac:dyDescent="0.25">
      <c r="A639" s="113" t="s">
        <v>738</v>
      </c>
      <c r="B639" s="80" t="s">
        <v>536</v>
      </c>
      <c r="C639" s="80" t="s">
        <v>95</v>
      </c>
      <c r="D639" s="80" t="s">
        <v>736</v>
      </c>
      <c r="E639" s="83" t="s">
        <v>6</v>
      </c>
      <c r="F639" s="82">
        <f>F640</f>
        <v>2460000</v>
      </c>
      <c r="G639" s="82">
        <f t="shared" si="144"/>
        <v>2460000</v>
      </c>
      <c r="H639" s="82">
        <f t="shared" si="144"/>
        <v>1310000</v>
      </c>
      <c r="I639" s="96">
        <f t="shared" si="144"/>
        <v>1310000</v>
      </c>
      <c r="J639" s="129">
        <f t="shared" si="141"/>
        <v>0</v>
      </c>
      <c r="K639" s="129"/>
      <c r="L639" s="96">
        <f>L640</f>
        <v>1310000</v>
      </c>
    </row>
    <row r="640" spans="1:12" ht="146.75" x14ac:dyDescent="0.25">
      <c r="A640" s="100" t="s">
        <v>405</v>
      </c>
      <c r="B640" s="80" t="s">
        <v>536</v>
      </c>
      <c r="C640" s="80" t="s">
        <v>95</v>
      </c>
      <c r="D640" s="80" t="s">
        <v>737</v>
      </c>
      <c r="E640" s="83" t="s">
        <v>6</v>
      </c>
      <c r="F640" s="82">
        <f>F641</f>
        <v>2460000</v>
      </c>
      <c r="G640" s="82">
        <f t="shared" si="143"/>
        <v>2460000</v>
      </c>
      <c r="H640" s="82">
        <f t="shared" si="143"/>
        <v>1310000</v>
      </c>
      <c r="I640" s="96">
        <f t="shared" si="143"/>
        <v>1310000</v>
      </c>
      <c r="J640" s="129">
        <f t="shared" si="141"/>
        <v>0</v>
      </c>
      <c r="K640" s="129"/>
      <c r="L640" s="96">
        <f>L641</f>
        <v>1310000</v>
      </c>
    </row>
    <row r="641" spans="1:12" ht="36.700000000000003" x14ac:dyDescent="0.25">
      <c r="A641" s="81" t="s">
        <v>90</v>
      </c>
      <c r="B641" s="80" t="s">
        <v>536</v>
      </c>
      <c r="C641" s="80" t="s">
        <v>95</v>
      </c>
      <c r="D641" s="80" t="s">
        <v>737</v>
      </c>
      <c r="E641" s="83" t="s">
        <v>91</v>
      </c>
      <c r="F641" s="82">
        <f>F642</f>
        <v>2460000</v>
      </c>
      <c r="G641" s="82">
        <f t="shared" si="143"/>
        <v>2460000</v>
      </c>
      <c r="H641" s="82">
        <f t="shared" si="143"/>
        <v>1310000</v>
      </c>
      <c r="I641" s="96">
        <f t="shared" si="143"/>
        <v>1310000</v>
      </c>
      <c r="J641" s="129">
        <f t="shared" si="141"/>
        <v>0</v>
      </c>
      <c r="K641" s="129"/>
      <c r="L641" s="96">
        <f>L642</f>
        <v>1310000</v>
      </c>
    </row>
    <row r="642" spans="1:12" ht="55.05" x14ac:dyDescent="0.25">
      <c r="A642" s="81" t="s">
        <v>97</v>
      </c>
      <c r="B642" s="80" t="s">
        <v>536</v>
      </c>
      <c r="C642" s="80" t="s">
        <v>95</v>
      </c>
      <c r="D642" s="80" t="s">
        <v>737</v>
      </c>
      <c r="E642" s="83" t="s">
        <v>98</v>
      </c>
      <c r="F642" s="98">
        <v>2460000</v>
      </c>
      <c r="G642" s="98">
        <v>2460000</v>
      </c>
      <c r="H642" s="98">
        <v>1310000</v>
      </c>
      <c r="I642" s="108">
        <v>1310000</v>
      </c>
      <c r="J642" s="129">
        <f t="shared" si="141"/>
        <v>0</v>
      </c>
      <c r="K642" s="129"/>
      <c r="L642" s="108">
        <v>1310000</v>
      </c>
    </row>
    <row r="643" spans="1:12" x14ac:dyDescent="0.25">
      <c r="A643" s="81" t="s">
        <v>123</v>
      </c>
      <c r="B643" s="80" t="s">
        <v>536</v>
      </c>
      <c r="C643" s="80" t="s">
        <v>124</v>
      </c>
      <c r="D643" s="80" t="s">
        <v>126</v>
      </c>
      <c r="E643" s="83" t="s">
        <v>6</v>
      </c>
      <c r="F643" s="82">
        <f t="shared" ref="F643:I644" si="145">F644</f>
        <v>3404117</v>
      </c>
      <c r="G643" s="82">
        <f t="shared" si="145"/>
        <v>1666179</v>
      </c>
      <c r="H643" s="82">
        <f t="shared" si="145"/>
        <v>3179069</v>
      </c>
      <c r="I643" s="96">
        <f t="shared" si="145"/>
        <v>3179069</v>
      </c>
      <c r="J643" s="129">
        <f t="shared" si="141"/>
        <v>0</v>
      </c>
      <c r="K643" s="129"/>
      <c r="L643" s="96">
        <f>L644</f>
        <v>3179069</v>
      </c>
    </row>
    <row r="644" spans="1:12" ht="73.400000000000006" x14ac:dyDescent="0.25">
      <c r="A644" s="109" t="s">
        <v>404</v>
      </c>
      <c r="B644" s="110" t="s">
        <v>536</v>
      </c>
      <c r="C644" s="110" t="s">
        <v>124</v>
      </c>
      <c r="D644" s="110" t="s">
        <v>138</v>
      </c>
      <c r="E644" s="111" t="s">
        <v>6</v>
      </c>
      <c r="F644" s="85">
        <f t="shared" si="145"/>
        <v>3404117</v>
      </c>
      <c r="G644" s="85">
        <f t="shared" si="145"/>
        <v>1666179</v>
      </c>
      <c r="H644" s="85">
        <f t="shared" si="145"/>
        <v>3179069</v>
      </c>
      <c r="I644" s="112">
        <f t="shared" si="145"/>
        <v>3179069</v>
      </c>
      <c r="J644" s="129">
        <f t="shared" si="141"/>
        <v>0</v>
      </c>
      <c r="K644" s="129"/>
      <c r="L644" s="112">
        <f>L645</f>
        <v>3179069</v>
      </c>
    </row>
    <row r="645" spans="1:12" ht="55.05" x14ac:dyDescent="0.25">
      <c r="A645" s="81" t="s">
        <v>396</v>
      </c>
      <c r="B645" s="80" t="s">
        <v>536</v>
      </c>
      <c r="C645" s="80" t="s">
        <v>124</v>
      </c>
      <c r="D645" s="80" t="s">
        <v>139</v>
      </c>
      <c r="E645" s="83" t="s">
        <v>6</v>
      </c>
      <c r="F645" s="82">
        <f t="shared" ref="F645:I646" si="146">F646</f>
        <v>3404117</v>
      </c>
      <c r="G645" s="82">
        <f t="shared" si="146"/>
        <v>1666179</v>
      </c>
      <c r="H645" s="82">
        <f t="shared" si="146"/>
        <v>3179069</v>
      </c>
      <c r="I645" s="96">
        <f t="shared" si="146"/>
        <v>3179069</v>
      </c>
      <c r="J645" s="129">
        <f t="shared" si="141"/>
        <v>0</v>
      </c>
      <c r="K645" s="129"/>
      <c r="L645" s="96">
        <f>L646</f>
        <v>3179069</v>
      </c>
    </row>
    <row r="646" spans="1:12" ht="36.700000000000003" x14ac:dyDescent="0.25">
      <c r="A646" s="113" t="s">
        <v>204</v>
      </c>
      <c r="B646" s="80" t="s">
        <v>536</v>
      </c>
      <c r="C646" s="80" t="s">
        <v>124</v>
      </c>
      <c r="D646" s="80" t="s">
        <v>234</v>
      </c>
      <c r="E646" s="83" t="s">
        <v>6</v>
      </c>
      <c r="F646" s="82">
        <f t="shared" si="146"/>
        <v>3404117</v>
      </c>
      <c r="G646" s="82">
        <f t="shared" si="146"/>
        <v>1666179</v>
      </c>
      <c r="H646" s="82">
        <f t="shared" si="146"/>
        <v>3179069</v>
      </c>
      <c r="I646" s="96">
        <f t="shared" si="146"/>
        <v>3179069</v>
      </c>
      <c r="J646" s="129">
        <f t="shared" si="141"/>
        <v>0</v>
      </c>
      <c r="K646" s="129"/>
      <c r="L646" s="96">
        <f>L647</f>
        <v>3179069</v>
      </c>
    </row>
    <row r="647" spans="1:12" ht="112.75" customHeight="1" x14ac:dyDescent="0.25">
      <c r="A647" s="100" t="s">
        <v>657</v>
      </c>
      <c r="B647" s="80" t="s">
        <v>536</v>
      </c>
      <c r="C647" s="80" t="s">
        <v>124</v>
      </c>
      <c r="D647" s="80" t="s">
        <v>156</v>
      </c>
      <c r="E647" s="83" t="s">
        <v>6</v>
      </c>
      <c r="F647" s="82">
        <f>F650+F648</f>
        <v>3404117</v>
      </c>
      <c r="G647" s="82">
        <f>G650</f>
        <v>1666179</v>
      </c>
      <c r="H647" s="82">
        <f>H650</f>
        <v>3179069</v>
      </c>
      <c r="I647" s="96">
        <f>I650</f>
        <v>3179069</v>
      </c>
      <c r="J647" s="129">
        <f t="shared" si="141"/>
        <v>0</v>
      </c>
      <c r="K647" s="129"/>
      <c r="L647" s="96">
        <f>L650</f>
        <v>3179069</v>
      </c>
    </row>
    <row r="648" spans="1:12" ht="57.25" customHeight="1" x14ac:dyDescent="0.25">
      <c r="A648" s="81" t="s">
        <v>15</v>
      </c>
      <c r="B648" s="80" t="s">
        <v>536</v>
      </c>
      <c r="C648" s="80" t="s">
        <v>124</v>
      </c>
      <c r="D648" s="80" t="s">
        <v>156</v>
      </c>
      <c r="E648" s="80" t="s">
        <v>16</v>
      </c>
      <c r="F648" s="82">
        <f>F649</f>
        <v>24000</v>
      </c>
      <c r="G648" s="82">
        <v>0</v>
      </c>
      <c r="H648" s="82">
        <v>0</v>
      </c>
      <c r="I648" s="96"/>
      <c r="J648" s="129">
        <f t="shared" si="141"/>
        <v>0</v>
      </c>
      <c r="K648" s="129"/>
      <c r="L648" s="96"/>
    </row>
    <row r="649" spans="1:12" ht="57.25" customHeight="1" x14ac:dyDescent="0.25">
      <c r="A649" s="81" t="s">
        <v>17</v>
      </c>
      <c r="B649" s="80" t="s">
        <v>536</v>
      </c>
      <c r="C649" s="80" t="s">
        <v>124</v>
      </c>
      <c r="D649" s="80" t="s">
        <v>156</v>
      </c>
      <c r="E649" s="80" t="s">
        <v>18</v>
      </c>
      <c r="F649" s="82">
        <v>24000</v>
      </c>
      <c r="G649" s="82">
        <v>0</v>
      </c>
      <c r="H649" s="82">
        <v>0</v>
      </c>
      <c r="I649" s="96"/>
      <c r="J649" s="129">
        <f t="shared" si="141"/>
        <v>0</v>
      </c>
      <c r="K649" s="129"/>
      <c r="L649" s="96"/>
    </row>
    <row r="650" spans="1:12" ht="36.700000000000003" x14ac:dyDescent="0.25">
      <c r="A650" s="81" t="s">
        <v>90</v>
      </c>
      <c r="B650" s="80" t="s">
        <v>536</v>
      </c>
      <c r="C650" s="80" t="s">
        <v>124</v>
      </c>
      <c r="D650" s="80" t="s">
        <v>156</v>
      </c>
      <c r="E650" s="83" t="s">
        <v>91</v>
      </c>
      <c r="F650" s="82">
        <f>F651</f>
        <v>3380117</v>
      </c>
      <c r="G650" s="82">
        <f>G651</f>
        <v>1666179</v>
      </c>
      <c r="H650" s="82">
        <f>H651</f>
        <v>3179069</v>
      </c>
      <c r="I650" s="96">
        <f>I651</f>
        <v>3179069</v>
      </c>
      <c r="J650" s="129">
        <f t="shared" si="141"/>
        <v>0</v>
      </c>
      <c r="K650" s="129"/>
      <c r="L650" s="96">
        <f>L651</f>
        <v>3179069</v>
      </c>
    </row>
    <row r="651" spans="1:12" ht="55.05" x14ac:dyDescent="0.25">
      <c r="A651" s="81" t="s">
        <v>97</v>
      </c>
      <c r="B651" s="80" t="s">
        <v>536</v>
      </c>
      <c r="C651" s="80" t="s">
        <v>124</v>
      </c>
      <c r="D651" s="80" t="s">
        <v>156</v>
      </c>
      <c r="E651" s="83" t="s">
        <v>98</v>
      </c>
      <c r="F651" s="98">
        <v>3380117</v>
      </c>
      <c r="G651" s="98">
        <v>1666179</v>
      </c>
      <c r="H651" s="98">
        <v>3179069</v>
      </c>
      <c r="I651" s="108">
        <v>3179069</v>
      </c>
      <c r="J651" s="129">
        <f t="shared" si="141"/>
        <v>0</v>
      </c>
      <c r="K651" s="129"/>
      <c r="L651" s="108">
        <v>3179069</v>
      </c>
    </row>
    <row r="652" spans="1:12" x14ac:dyDescent="0.25">
      <c r="A652" s="109" t="s">
        <v>100</v>
      </c>
      <c r="B652" s="80" t="s">
        <v>536</v>
      </c>
      <c r="C652" s="80" t="s">
        <v>101</v>
      </c>
      <c r="D652" s="110" t="s">
        <v>126</v>
      </c>
      <c r="E652" s="83" t="s">
        <v>6</v>
      </c>
      <c r="F652" s="98">
        <f t="shared" ref="F652:I657" si="147">F653</f>
        <v>4493121.6500000004</v>
      </c>
      <c r="G652" s="98">
        <f t="shared" si="147"/>
        <v>410974</v>
      </c>
      <c r="H652" s="98">
        <f t="shared" si="147"/>
        <v>410974</v>
      </c>
      <c r="I652" s="98">
        <f t="shared" si="147"/>
        <v>0</v>
      </c>
      <c r="J652" s="129">
        <f t="shared" si="141"/>
        <v>-410974</v>
      </c>
      <c r="K652" s="129"/>
      <c r="L652" s="98">
        <f t="shared" ref="L652:L657" si="148">L653</f>
        <v>0</v>
      </c>
    </row>
    <row r="653" spans="1:12" x14ac:dyDescent="0.25">
      <c r="A653" s="81" t="s">
        <v>301</v>
      </c>
      <c r="B653" s="80" t="s">
        <v>536</v>
      </c>
      <c r="C653" s="80" t="s">
        <v>300</v>
      </c>
      <c r="D653" s="110" t="s">
        <v>126</v>
      </c>
      <c r="E653" s="83" t="s">
        <v>6</v>
      </c>
      <c r="F653" s="98">
        <f t="shared" si="147"/>
        <v>4493121.6500000004</v>
      </c>
      <c r="G653" s="98">
        <f t="shared" si="147"/>
        <v>410974</v>
      </c>
      <c r="H653" s="98">
        <f t="shared" si="147"/>
        <v>410974</v>
      </c>
      <c r="I653" s="108">
        <f t="shared" si="147"/>
        <v>0</v>
      </c>
      <c r="J653" s="129">
        <f t="shared" si="141"/>
        <v>-410974</v>
      </c>
      <c r="K653" s="129"/>
      <c r="L653" s="108">
        <f t="shared" si="148"/>
        <v>0</v>
      </c>
    </row>
    <row r="654" spans="1:12" ht="73.400000000000006" x14ac:dyDescent="0.25">
      <c r="A654" s="109" t="s">
        <v>377</v>
      </c>
      <c r="B654" s="80" t="s">
        <v>536</v>
      </c>
      <c r="C654" s="80" t="s">
        <v>300</v>
      </c>
      <c r="D654" s="110" t="s">
        <v>200</v>
      </c>
      <c r="E654" s="83" t="s">
        <v>6</v>
      </c>
      <c r="F654" s="98">
        <f t="shared" si="147"/>
        <v>4493121.6500000004</v>
      </c>
      <c r="G654" s="98">
        <f t="shared" si="147"/>
        <v>410974</v>
      </c>
      <c r="H654" s="98">
        <f t="shared" si="147"/>
        <v>410974</v>
      </c>
      <c r="I654" s="108">
        <f t="shared" si="147"/>
        <v>0</v>
      </c>
      <c r="J654" s="129">
        <f t="shared" si="141"/>
        <v>-410974</v>
      </c>
      <c r="K654" s="129"/>
      <c r="L654" s="108">
        <f t="shared" si="148"/>
        <v>0</v>
      </c>
    </row>
    <row r="655" spans="1:12" ht="55.05" x14ac:dyDescent="0.25">
      <c r="A655" s="81" t="s">
        <v>213</v>
      </c>
      <c r="B655" s="80" t="s">
        <v>536</v>
      </c>
      <c r="C655" s="80" t="s">
        <v>300</v>
      </c>
      <c r="D655" s="80" t="s">
        <v>674</v>
      </c>
      <c r="E655" s="83" t="s">
        <v>6</v>
      </c>
      <c r="F655" s="98">
        <f t="shared" si="147"/>
        <v>4493121.6500000004</v>
      </c>
      <c r="G655" s="98">
        <f t="shared" si="147"/>
        <v>410974</v>
      </c>
      <c r="H655" s="98">
        <f t="shared" si="147"/>
        <v>410974</v>
      </c>
      <c r="I655" s="108">
        <f t="shared" si="147"/>
        <v>0</v>
      </c>
      <c r="J655" s="129">
        <f t="shared" si="141"/>
        <v>-410974</v>
      </c>
      <c r="K655" s="129"/>
      <c r="L655" s="108">
        <f t="shared" si="148"/>
        <v>0</v>
      </c>
    </row>
    <row r="656" spans="1:12" ht="36.700000000000003" x14ac:dyDescent="0.25">
      <c r="A656" s="81" t="s">
        <v>378</v>
      </c>
      <c r="B656" s="80" t="s">
        <v>536</v>
      </c>
      <c r="C656" s="80" t="s">
        <v>300</v>
      </c>
      <c r="D656" s="80" t="s">
        <v>303</v>
      </c>
      <c r="E656" s="83" t="s">
        <v>6</v>
      </c>
      <c r="F656" s="98">
        <f>F657+F660+F663</f>
        <v>4493121.6500000004</v>
      </c>
      <c r="G656" s="98">
        <f>G657+G660+G663</f>
        <v>410974</v>
      </c>
      <c r="H656" s="98">
        <f>H657+H660+H663</f>
        <v>410974</v>
      </c>
      <c r="I656" s="98">
        <f>I657+I660+I663</f>
        <v>0</v>
      </c>
      <c r="J656" s="129">
        <f t="shared" si="141"/>
        <v>-410974</v>
      </c>
      <c r="K656" s="129"/>
      <c r="L656" s="98">
        <f>L657+L660+L663</f>
        <v>0</v>
      </c>
    </row>
    <row r="657" spans="1:12" ht="55.05" x14ac:dyDescent="0.25">
      <c r="A657" s="81" t="s">
        <v>281</v>
      </c>
      <c r="B657" s="80" t="s">
        <v>536</v>
      </c>
      <c r="C657" s="80" t="s">
        <v>300</v>
      </c>
      <c r="D657" s="80" t="s">
        <v>302</v>
      </c>
      <c r="E657" s="83" t="s">
        <v>6</v>
      </c>
      <c r="F657" s="98">
        <f>F658</f>
        <v>4493121.6500000004</v>
      </c>
      <c r="G657" s="98">
        <f t="shared" si="147"/>
        <v>410974</v>
      </c>
      <c r="H657" s="98">
        <f t="shared" si="147"/>
        <v>410974</v>
      </c>
      <c r="I657" s="108">
        <f t="shared" si="147"/>
        <v>0</v>
      </c>
      <c r="J657" s="129">
        <f t="shared" si="141"/>
        <v>-410974</v>
      </c>
      <c r="K657" s="129"/>
      <c r="L657" s="108">
        <f t="shared" si="148"/>
        <v>0</v>
      </c>
    </row>
    <row r="658" spans="1:12" ht="55.05" x14ac:dyDescent="0.25">
      <c r="A658" s="81" t="s">
        <v>37</v>
      </c>
      <c r="B658" s="80" t="s">
        <v>536</v>
      </c>
      <c r="C658" s="80" t="s">
        <v>300</v>
      </c>
      <c r="D658" s="80" t="s">
        <v>302</v>
      </c>
      <c r="E658" s="83" t="s">
        <v>38</v>
      </c>
      <c r="F658" s="98">
        <f>F659</f>
        <v>4493121.6500000004</v>
      </c>
      <c r="G658" s="98">
        <f>G659</f>
        <v>410974</v>
      </c>
      <c r="H658" s="98">
        <f>H659</f>
        <v>410974</v>
      </c>
      <c r="I658" s="108">
        <f>I659</f>
        <v>0</v>
      </c>
      <c r="J658" s="129">
        <f t="shared" si="141"/>
        <v>-410974</v>
      </c>
      <c r="K658" s="129"/>
      <c r="L658" s="108">
        <f>L659</f>
        <v>0</v>
      </c>
    </row>
    <row r="659" spans="1:12" x14ac:dyDescent="0.3">
      <c r="A659" s="81" t="s">
        <v>74</v>
      </c>
      <c r="B659" s="80" t="s">
        <v>536</v>
      </c>
      <c r="C659" s="80" t="s">
        <v>300</v>
      </c>
      <c r="D659" s="80" t="s">
        <v>302</v>
      </c>
      <c r="E659" s="83" t="s">
        <v>75</v>
      </c>
      <c r="F659" s="53">
        <v>4493121.6500000004</v>
      </c>
      <c r="G659" s="98">
        <v>410974</v>
      </c>
      <c r="H659" s="98">
        <v>410974</v>
      </c>
      <c r="I659" s="108">
        <v>0</v>
      </c>
      <c r="J659" s="129">
        <f t="shared" si="141"/>
        <v>-410974</v>
      </c>
      <c r="K659" s="129"/>
      <c r="L659" s="108">
        <v>0</v>
      </c>
    </row>
    <row r="660" spans="1:12" ht="73.400000000000006" x14ac:dyDescent="0.3">
      <c r="A660" s="81" t="s">
        <v>763</v>
      </c>
      <c r="B660" s="80" t="s">
        <v>536</v>
      </c>
      <c r="C660" s="80" t="s">
        <v>300</v>
      </c>
      <c r="D660" s="80" t="s">
        <v>764</v>
      </c>
      <c r="E660" s="83" t="s">
        <v>6</v>
      </c>
      <c r="F660" s="53">
        <f>F661</f>
        <v>0</v>
      </c>
      <c r="G660" s="53">
        <f t="shared" ref="G660:I661" si="149">G661</f>
        <v>0</v>
      </c>
      <c r="H660" s="53">
        <f t="shared" si="149"/>
        <v>0</v>
      </c>
      <c r="I660" s="53">
        <f t="shared" si="149"/>
        <v>0</v>
      </c>
      <c r="J660" s="129">
        <f t="shared" si="141"/>
        <v>0</v>
      </c>
      <c r="K660" s="129"/>
      <c r="L660" s="53">
        <f>L661</f>
        <v>0</v>
      </c>
    </row>
    <row r="661" spans="1:12" ht="55.05" x14ac:dyDescent="0.3">
      <c r="A661" s="81" t="s">
        <v>37</v>
      </c>
      <c r="B661" s="80" t="s">
        <v>536</v>
      </c>
      <c r="C661" s="80" t="s">
        <v>300</v>
      </c>
      <c r="D661" s="80" t="s">
        <v>764</v>
      </c>
      <c r="E661" s="83" t="s">
        <v>38</v>
      </c>
      <c r="F661" s="53">
        <f>F662</f>
        <v>0</v>
      </c>
      <c r="G661" s="53">
        <f t="shared" si="149"/>
        <v>0</v>
      </c>
      <c r="H661" s="53">
        <f t="shared" si="149"/>
        <v>0</v>
      </c>
      <c r="I661" s="53">
        <f t="shared" si="149"/>
        <v>0</v>
      </c>
      <c r="J661" s="129">
        <f t="shared" si="141"/>
        <v>0</v>
      </c>
      <c r="K661" s="129"/>
      <c r="L661" s="53">
        <f>L662</f>
        <v>0</v>
      </c>
    </row>
    <row r="662" spans="1:12" x14ac:dyDescent="0.3">
      <c r="A662" s="81" t="s">
        <v>74</v>
      </c>
      <c r="B662" s="80" t="s">
        <v>536</v>
      </c>
      <c r="C662" s="80" t="s">
        <v>300</v>
      </c>
      <c r="D662" s="80" t="s">
        <v>764</v>
      </c>
      <c r="E662" s="83" t="s">
        <v>75</v>
      </c>
      <c r="F662" s="53">
        <v>0</v>
      </c>
      <c r="G662" s="98">
        <v>0</v>
      </c>
      <c r="H662" s="98"/>
      <c r="I662" s="108"/>
      <c r="J662" s="129">
        <f t="shared" si="141"/>
        <v>0</v>
      </c>
      <c r="K662" s="129"/>
      <c r="L662" s="108"/>
    </row>
    <row r="663" spans="1:12" ht="85.75" customHeight="1" x14ac:dyDescent="0.3">
      <c r="A663" s="81" t="s">
        <v>770</v>
      </c>
      <c r="B663" s="80" t="s">
        <v>536</v>
      </c>
      <c r="C663" s="80" t="s">
        <v>300</v>
      </c>
      <c r="D663" s="80" t="s">
        <v>769</v>
      </c>
      <c r="E663" s="83" t="s">
        <v>6</v>
      </c>
      <c r="F663" s="53">
        <f>F664</f>
        <v>0</v>
      </c>
      <c r="G663" s="53">
        <f t="shared" ref="G663:I664" si="150">G664</f>
        <v>0</v>
      </c>
      <c r="H663" s="53">
        <f t="shared" si="150"/>
        <v>0</v>
      </c>
      <c r="I663" s="53">
        <f t="shared" si="150"/>
        <v>0</v>
      </c>
      <c r="J663" s="129">
        <f t="shared" si="141"/>
        <v>0</v>
      </c>
      <c r="K663" s="129"/>
      <c r="L663" s="53">
        <f>L664</f>
        <v>0</v>
      </c>
    </row>
    <row r="664" spans="1:12" ht="26.5" customHeight="1" x14ac:dyDescent="0.3">
      <c r="A664" s="81" t="s">
        <v>37</v>
      </c>
      <c r="B664" s="80" t="s">
        <v>536</v>
      </c>
      <c r="C664" s="80" t="s">
        <v>300</v>
      </c>
      <c r="D664" s="80" t="s">
        <v>769</v>
      </c>
      <c r="E664" s="83" t="s">
        <v>38</v>
      </c>
      <c r="F664" s="53">
        <f>F665</f>
        <v>0</v>
      </c>
      <c r="G664" s="53">
        <f t="shared" si="150"/>
        <v>0</v>
      </c>
      <c r="H664" s="53">
        <f t="shared" si="150"/>
        <v>0</v>
      </c>
      <c r="I664" s="53">
        <f t="shared" si="150"/>
        <v>0</v>
      </c>
      <c r="J664" s="129">
        <f t="shared" si="141"/>
        <v>0</v>
      </c>
      <c r="K664" s="129"/>
      <c r="L664" s="53">
        <f>L665</f>
        <v>0</v>
      </c>
    </row>
    <row r="665" spans="1:12" ht="26.5" customHeight="1" x14ac:dyDescent="0.3">
      <c r="A665" s="81" t="s">
        <v>74</v>
      </c>
      <c r="B665" s="80" t="s">
        <v>536</v>
      </c>
      <c r="C665" s="80" t="s">
        <v>300</v>
      </c>
      <c r="D665" s="80" t="s">
        <v>769</v>
      </c>
      <c r="E665" s="83" t="s">
        <v>75</v>
      </c>
      <c r="F665" s="53"/>
      <c r="G665" s="98"/>
      <c r="H665" s="98"/>
      <c r="I665" s="108"/>
      <c r="J665" s="129">
        <f t="shared" si="141"/>
        <v>0</v>
      </c>
      <c r="K665" s="129"/>
      <c r="L665" s="108"/>
    </row>
    <row r="666" spans="1:12" ht="36.700000000000003" x14ac:dyDescent="0.25">
      <c r="A666" s="138" t="s">
        <v>750</v>
      </c>
      <c r="B666" s="139">
        <v>959</v>
      </c>
      <c r="C666" s="140" t="s">
        <v>5</v>
      </c>
      <c r="D666" s="140" t="s">
        <v>126</v>
      </c>
      <c r="E666" s="140" t="s">
        <v>6</v>
      </c>
      <c r="F666" s="141">
        <f>F667</f>
        <v>588570</v>
      </c>
      <c r="G666" s="141">
        <f t="shared" ref="G666:I667" si="151">G667</f>
        <v>1252217</v>
      </c>
      <c r="H666" s="141">
        <f t="shared" si="151"/>
        <v>1998700</v>
      </c>
      <c r="I666" s="142">
        <f t="shared" si="151"/>
        <v>1420000</v>
      </c>
      <c r="J666" s="129">
        <f t="shared" si="141"/>
        <v>-578700</v>
      </c>
      <c r="K666" s="129"/>
      <c r="L666" s="142">
        <f>L667</f>
        <v>1420000</v>
      </c>
    </row>
    <row r="667" spans="1:12" ht="36.700000000000003" x14ac:dyDescent="0.25">
      <c r="A667" s="81" t="s">
        <v>7</v>
      </c>
      <c r="B667" s="80" t="s">
        <v>751</v>
      </c>
      <c r="C667" s="80" t="s">
        <v>8</v>
      </c>
      <c r="D667" s="80" t="s">
        <v>126</v>
      </c>
      <c r="E667" s="80" t="s">
        <v>6</v>
      </c>
      <c r="F667" s="131">
        <f>F668</f>
        <v>588570</v>
      </c>
      <c r="G667" s="131">
        <f t="shared" si="151"/>
        <v>1252217</v>
      </c>
      <c r="H667" s="131">
        <f t="shared" si="151"/>
        <v>1998700</v>
      </c>
      <c r="I667" s="117">
        <f t="shared" si="151"/>
        <v>1420000</v>
      </c>
      <c r="J667" s="129">
        <f t="shared" si="141"/>
        <v>-578700</v>
      </c>
      <c r="K667" s="129"/>
      <c r="L667" s="117">
        <f>L668</f>
        <v>1420000</v>
      </c>
    </row>
    <row r="668" spans="1:12" ht="73.400000000000006" x14ac:dyDescent="0.25">
      <c r="A668" s="81" t="s">
        <v>9</v>
      </c>
      <c r="B668" s="80" t="s">
        <v>751</v>
      </c>
      <c r="C668" s="80" t="s">
        <v>10</v>
      </c>
      <c r="D668" s="80" t="s">
        <v>126</v>
      </c>
      <c r="E668" s="80" t="s">
        <v>6</v>
      </c>
      <c r="F668" s="82">
        <f>F669</f>
        <v>588570</v>
      </c>
      <c r="G668" s="82">
        <f>G669</f>
        <v>1252217</v>
      </c>
      <c r="H668" s="82">
        <f>H669</f>
        <v>1998700</v>
      </c>
      <c r="I668" s="96">
        <f>I669</f>
        <v>1420000</v>
      </c>
      <c r="J668" s="129">
        <f t="shared" si="141"/>
        <v>-578700</v>
      </c>
      <c r="K668" s="129"/>
      <c r="L668" s="96">
        <f>L669</f>
        <v>1420000</v>
      </c>
    </row>
    <row r="669" spans="1:12" ht="55.05" x14ac:dyDescent="0.25">
      <c r="A669" s="81" t="s">
        <v>132</v>
      </c>
      <c r="B669" s="80" t="s">
        <v>751</v>
      </c>
      <c r="C669" s="80" t="s">
        <v>10</v>
      </c>
      <c r="D669" s="80" t="s">
        <v>127</v>
      </c>
      <c r="E669" s="80" t="s">
        <v>6</v>
      </c>
      <c r="F669" s="82">
        <f>F670+F673</f>
        <v>588570</v>
      </c>
      <c r="G669" s="82">
        <f>G670+G673</f>
        <v>1252217</v>
      </c>
      <c r="H669" s="82">
        <f>H670+H673</f>
        <v>1998700</v>
      </c>
      <c r="I669" s="96">
        <f>I670+I673</f>
        <v>1420000</v>
      </c>
      <c r="J669" s="129">
        <f t="shared" si="141"/>
        <v>-578700</v>
      </c>
      <c r="K669" s="129"/>
      <c r="L669" s="96">
        <f>L670+L673</f>
        <v>1420000</v>
      </c>
    </row>
    <row r="670" spans="1:12" ht="36.700000000000003" x14ac:dyDescent="0.25">
      <c r="A670" s="81" t="s">
        <v>752</v>
      </c>
      <c r="B670" s="80" t="s">
        <v>751</v>
      </c>
      <c r="C670" s="80" t="s">
        <v>10</v>
      </c>
      <c r="D670" s="80" t="s">
        <v>143</v>
      </c>
      <c r="E670" s="80" t="s">
        <v>6</v>
      </c>
      <c r="F670" s="82">
        <f>F671</f>
        <v>319630</v>
      </c>
      <c r="G670" s="82">
        <f t="shared" ref="G670:I671" si="152">G671</f>
        <v>1252217</v>
      </c>
      <c r="H670" s="82">
        <f t="shared" si="152"/>
        <v>1265600</v>
      </c>
      <c r="I670" s="96">
        <f t="shared" si="152"/>
        <v>1140000</v>
      </c>
      <c r="J670" s="129">
        <f t="shared" si="141"/>
        <v>-125600</v>
      </c>
      <c r="K670" s="129"/>
      <c r="L670" s="96">
        <f>L671</f>
        <v>1140000</v>
      </c>
    </row>
    <row r="671" spans="1:12" ht="110.05" x14ac:dyDescent="0.25">
      <c r="A671" s="81" t="s">
        <v>11</v>
      </c>
      <c r="B671" s="80" t="s">
        <v>751</v>
      </c>
      <c r="C671" s="80" t="s">
        <v>10</v>
      </c>
      <c r="D671" s="80" t="s">
        <v>143</v>
      </c>
      <c r="E671" s="80" t="s">
        <v>12</v>
      </c>
      <c r="F671" s="82">
        <f>F672</f>
        <v>319630</v>
      </c>
      <c r="G671" s="82">
        <f t="shared" si="152"/>
        <v>1252217</v>
      </c>
      <c r="H671" s="82">
        <f t="shared" si="152"/>
        <v>1265600</v>
      </c>
      <c r="I671" s="96">
        <f t="shared" si="152"/>
        <v>1140000</v>
      </c>
      <c r="J671" s="129">
        <f t="shared" si="141"/>
        <v>-125600</v>
      </c>
      <c r="K671" s="129"/>
      <c r="L671" s="96">
        <f>L672</f>
        <v>1140000</v>
      </c>
    </row>
    <row r="672" spans="1:12" ht="55.05" x14ac:dyDescent="0.25">
      <c r="A672" s="81" t="s">
        <v>13</v>
      </c>
      <c r="B672" s="80" t="s">
        <v>751</v>
      </c>
      <c r="C672" s="80" t="s">
        <v>10</v>
      </c>
      <c r="D672" s="80" t="s">
        <v>143</v>
      </c>
      <c r="E672" s="80" t="s">
        <v>14</v>
      </c>
      <c r="F672" s="98">
        <v>319630</v>
      </c>
      <c r="G672" s="82">
        <f>1252217</f>
        <v>1252217</v>
      </c>
      <c r="H672" s="98">
        <v>1265600</v>
      </c>
      <c r="I672" s="108">
        <v>1140000</v>
      </c>
      <c r="J672" s="129">
        <f t="shared" si="141"/>
        <v>-125600</v>
      </c>
      <c r="K672" s="129"/>
      <c r="L672" s="108">
        <v>1140000</v>
      </c>
    </row>
    <row r="673" spans="1:14" ht="73.400000000000006" x14ac:dyDescent="0.25">
      <c r="A673" s="81" t="s">
        <v>494</v>
      </c>
      <c r="B673" s="80" t="s">
        <v>751</v>
      </c>
      <c r="C673" s="80" t="s">
        <v>10</v>
      </c>
      <c r="D673" s="80" t="s">
        <v>495</v>
      </c>
      <c r="E673" s="80" t="s">
        <v>6</v>
      </c>
      <c r="F673" s="98">
        <f>F674+F676</f>
        <v>268940</v>
      </c>
      <c r="G673" s="98">
        <f>G674+G676</f>
        <v>0</v>
      </c>
      <c r="H673" s="98">
        <f>H674+H676</f>
        <v>733100</v>
      </c>
      <c r="I673" s="108">
        <f>I674+I676</f>
        <v>280000</v>
      </c>
      <c r="J673" s="129">
        <f t="shared" si="141"/>
        <v>-453100</v>
      </c>
      <c r="K673" s="129"/>
      <c r="L673" s="108">
        <f>L674+L676</f>
        <v>280000</v>
      </c>
    </row>
    <row r="674" spans="1:14" ht="110.05" x14ac:dyDescent="0.25">
      <c r="A674" s="81" t="s">
        <v>11</v>
      </c>
      <c r="B674" s="80" t="s">
        <v>751</v>
      </c>
      <c r="C674" s="80" t="s">
        <v>10</v>
      </c>
      <c r="D674" s="80" t="s">
        <v>495</v>
      </c>
      <c r="E674" s="80" t="s">
        <v>12</v>
      </c>
      <c r="F674" s="98">
        <f>F675</f>
        <v>172940</v>
      </c>
      <c r="G674" s="98">
        <f>G675</f>
        <v>0</v>
      </c>
      <c r="H674" s="98">
        <f>H675</f>
        <v>703100</v>
      </c>
      <c r="I674" s="108">
        <f>I675</f>
        <v>200000</v>
      </c>
      <c r="J674" s="129">
        <f t="shared" si="141"/>
        <v>-503100</v>
      </c>
      <c r="K674" s="129"/>
      <c r="L674" s="108">
        <f>L675</f>
        <v>200000</v>
      </c>
    </row>
    <row r="675" spans="1:14" ht="55.05" x14ac:dyDescent="0.25">
      <c r="A675" s="81" t="s">
        <v>13</v>
      </c>
      <c r="B675" s="80" t="s">
        <v>751</v>
      </c>
      <c r="C675" s="80" t="s">
        <v>10</v>
      </c>
      <c r="D675" s="80" t="s">
        <v>495</v>
      </c>
      <c r="E675" s="80" t="s">
        <v>14</v>
      </c>
      <c r="F675" s="98">
        <v>172940</v>
      </c>
      <c r="G675" s="98"/>
      <c r="H675" s="98">
        <v>703100</v>
      </c>
      <c r="I675" s="108">
        <v>200000</v>
      </c>
      <c r="J675" s="129">
        <f t="shared" si="141"/>
        <v>-503100</v>
      </c>
      <c r="K675" s="129"/>
      <c r="L675" s="108">
        <v>200000</v>
      </c>
    </row>
    <row r="676" spans="1:14" ht="36.700000000000003" x14ac:dyDescent="0.25">
      <c r="A676" s="81" t="s">
        <v>15</v>
      </c>
      <c r="B676" s="80" t="s">
        <v>751</v>
      </c>
      <c r="C676" s="80" t="s">
        <v>10</v>
      </c>
      <c r="D676" s="80" t="s">
        <v>495</v>
      </c>
      <c r="E676" s="80" t="s">
        <v>16</v>
      </c>
      <c r="F676" s="98">
        <f>F677</f>
        <v>96000</v>
      </c>
      <c r="G676" s="98">
        <f>G677</f>
        <v>0</v>
      </c>
      <c r="H676" s="98">
        <f>H677</f>
        <v>30000</v>
      </c>
      <c r="I676" s="108">
        <f>I677</f>
        <v>80000</v>
      </c>
      <c r="J676" s="129">
        <f t="shared" si="141"/>
        <v>50000</v>
      </c>
      <c r="K676" s="129"/>
      <c r="L676" s="108">
        <f>L677</f>
        <v>80000</v>
      </c>
    </row>
    <row r="677" spans="1:14" ht="55.05" x14ac:dyDescent="0.25">
      <c r="A677" s="81" t="s">
        <v>17</v>
      </c>
      <c r="B677" s="80" t="s">
        <v>751</v>
      </c>
      <c r="C677" s="80" t="s">
        <v>10</v>
      </c>
      <c r="D677" s="80" t="s">
        <v>495</v>
      </c>
      <c r="E677" s="80" t="s">
        <v>18</v>
      </c>
      <c r="F677" s="98">
        <v>96000</v>
      </c>
      <c r="G677" s="98"/>
      <c r="H677" s="98">
        <v>30000</v>
      </c>
      <c r="I677" s="108">
        <v>80000</v>
      </c>
      <c r="J677" s="129">
        <f t="shared" si="141"/>
        <v>50000</v>
      </c>
      <c r="K677" s="129"/>
      <c r="L677" s="108">
        <v>80000</v>
      </c>
      <c r="N677" s="4"/>
    </row>
    <row r="678" spans="1:14" x14ac:dyDescent="0.3">
      <c r="A678" s="682" t="s">
        <v>118</v>
      </c>
      <c r="B678" s="682"/>
      <c r="C678" s="682"/>
      <c r="D678" s="682"/>
      <c r="E678" s="682"/>
      <c r="F678" s="128">
        <f>F14+F36+F457+F496+F666</f>
        <v>1079317856.4000001</v>
      </c>
      <c r="G678" s="128">
        <f>G14+G36+G457+G496+G666</f>
        <v>713467158.88999999</v>
      </c>
      <c r="H678" s="128">
        <f>H14+H36+H457+H496+H666</f>
        <v>967274636.67000008</v>
      </c>
      <c r="I678" s="128">
        <f>I14+I36+I457+I496+I666</f>
        <v>953447409.71000004</v>
      </c>
      <c r="J678" s="128">
        <f>J14+J36+J457+J496+J666</f>
        <v>-13827226.960000038</v>
      </c>
      <c r="K678" s="128">
        <f>SUM(K14:K677)</f>
        <v>0</v>
      </c>
      <c r="L678" s="128">
        <f>I678+K678</f>
        <v>953447409.71000004</v>
      </c>
    </row>
    <row r="679" spans="1:14" x14ac:dyDescent="0.3">
      <c r="H679" s="4">
        <f>'прил 7  динамика'!E68-потребность!H678</f>
        <v>-25179917.450000167</v>
      </c>
      <c r="I679" s="4">
        <f>'прил 7  динамика'!E68-потребность!I678</f>
        <v>-11352690.490000129</v>
      </c>
    </row>
    <row r="680" spans="1:14" x14ac:dyDescent="0.3">
      <c r="D680" s="15" t="s">
        <v>447</v>
      </c>
      <c r="G680" s="37">
        <f>'прил 8'!C9</f>
        <v>171948000</v>
      </c>
      <c r="H680" s="37">
        <f>'прил 7  динамика'!E13</f>
        <v>434727000</v>
      </c>
      <c r="I680" s="65">
        <f>'прил 7  динамика'!E13</f>
        <v>434727000</v>
      </c>
      <c r="N680" s="4"/>
    </row>
    <row r="681" spans="1:14" x14ac:dyDescent="0.3">
      <c r="D681" s="15" t="s">
        <v>538</v>
      </c>
      <c r="G681" s="37">
        <f>G128+G181+G187+G235+G410+G505+G544+G547+G640+G647+G573+G569+G540+G370+G305+G297+G160+G403+G660+G605+G560+G320+G53</f>
        <v>419314140.44999993</v>
      </c>
      <c r="H681" s="37">
        <f>H128+H181+H187+H235+H410+H505+H544+H547+H640+H647+H573+H569+H540+H370+H305+H297+H160+H403+H660+H605+H560+H320+H53</f>
        <v>466653016.88999999</v>
      </c>
      <c r="I681" s="37">
        <f>I128+I181+I187+I235+I410+I505+I544+I547+I640+I647+I573+I569+I540+I370+I305+I297+I160+I403+I660+I605+I560+I320+I53+40328000-173500-33760.38</f>
        <v>506664470.21999997</v>
      </c>
    </row>
    <row r="682" spans="1:14" x14ac:dyDescent="0.3">
      <c r="D682" s="36" t="s">
        <v>753</v>
      </c>
      <c r="G682" s="77">
        <f>G680+G681</f>
        <v>591262140.44999993</v>
      </c>
      <c r="H682" s="77">
        <f>H680+H681</f>
        <v>901380016.88999999</v>
      </c>
      <c r="I682" s="77">
        <f>I680+I681</f>
        <v>941391470.22000003</v>
      </c>
      <c r="N682" s="4"/>
    </row>
    <row r="683" spans="1:14" x14ac:dyDescent="0.3">
      <c r="I683" s="4"/>
    </row>
    <row r="684" spans="1:14" x14ac:dyDescent="0.3">
      <c r="H684" s="37"/>
      <c r="I684" s="37"/>
      <c r="N684" s="4"/>
    </row>
    <row r="685" spans="1:14" x14ac:dyDescent="0.3">
      <c r="H685" s="37"/>
      <c r="I685" s="37"/>
      <c r="N685" s="4"/>
    </row>
    <row r="686" spans="1:14" x14ac:dyDescent="0.3">
      <c r="H686" s="37"/>
      <c r="I686" s="37"/>
    </row>
    <row r="687" spans="1:14" x14ac:dyDescent="0.3">
      <c r="H687" s="37"/>
      <c r="I687" s="4"/>
    </row>
    <row r="688" spans="1:14" x14ac:dyDescent="0.3">
      <c r="C688" s="57" t="s">
        <v>8</v>
      </c>
      <c r="G688" s="37">
        <f>G15+G37+G458</f>
        <v>99324525.599999994</v>
      </c>
      <c r="H688" s="37">
        <f>H15+H37+H458</f>
        <v>199319869.74000001</v>
      </c>
      <c r="I688" s="37">
        <f>I15+I37+I458+I667</f>
        <v>199369869.73999998</v>
      </c>
      <c r="J688" s="37">
        <f>J15+J37+J458+J667</f>
        <v>-1948700.0000000298</v>
      </c>
      <c r="K688" s="37">
        <f>K15+K37+K458+K667</f>
        <v>0</v>
      </c>
      <c r="L688" s="37">
        <f>L15+L37+L458+L667</f>
        <v>137238719.74000001</v>
      </c>
    </row>
    <row r="689" spans="1:12" x14ac:dyDescent="0.3">
      <c r="C689" s="57" t="s">
        <v>26</v>
      </c>
      <c r="G689" s="37">
        <f t="shared" ref="G689:L689" si="153">G157</f>
        <v>1348180</v>
      </c>
      <c r="H689" s="37">
        <f t="shared" si="153"/>
        <v>1591180</v>
      </c>
      <c r="I689" s="37">
        <f t="shared" si="153"/>
        <v>1591180</v>
      </c>
      <c r="J689" s="37">
        <f t="shared" si="153"/>
        <v>0</v>
      </c>
      <c r="K689" s="37">
        <f t="shared" si="153"/>
        <v>0</v>
      </c>
      <c r="L689" s="37">
        <f t="shared" si="153"/>
        <v>1591180</v>
      </c>
    </row>
    <row r="690" spans="1:12" x14ac:dyDescent="0.3">
      <c r="C690" s="57" t="s">
        <v>42</v>
      </c>
      <c r="G690" s="37">
        <f t="shared" ref="G690:L690" si="154">G167</f>
        <v>440000</v>
      </c>
      <c r="H690" s="37">
        <f t="shared" si="154"/>
        <v>1805000</v>
      </c>
      <c r="I690" s="37">
        <f t="shared" si="154"/>
        <v>991747.04</v>
      </c>
      <c r="J690" s="37">
        <f t="shared" si="154"/>
        <v>-813252.96</v>
      </c>
      <c r="K690" s="37">
        <f t="shared" si="154"/>
        <v>0</v>
      </c>
      <c r="L690" s="37">
        <f t="shared" si="154"/>
        <v>991747.04</v>
      </c>
    </row>
    <row r="691" spans="1:12" x14ac:dyDescent="0.3">
      <c r="C691" s="57" t="s">
        <v>46</v>
      </c>
      <c r="G691" s="37">
        <f t="shared" ref="G691:L691" si="155">G178</f>
        <v>12961514.17</v>
      </c>
      <c r="H691" s="37">
        <f t="shared" si="155"/>
        <v>16011114.17</v>
      </c>
      <c r="I691" s="37">
        <f t="shared" si="155"/>
        <v>13211114.17</v>
      </c>
      <c r="J691" s="37">
        <f t="shared" si="155"/>
        <v>-2800000</v>
      </c>
      <c r="K691" s="37">
        <f t="shared" si="155"/>
        <v>0</v>
      </c>
      <c r="L691" s="37">
        <f t="shared" si="155"/>
        <v>37422264.170000002</v>
      </c>
    </row>
    <row r="692" spans="1:12" x14ac:dyDescent="0.3">
      <c r="C692" s="57" t="s">
        <v>55</v>
      </c>
      <c r="G692" s="37">
        <f t="shared" ref="G692:L692" si="156">G227</f>
        <v>30324715.140000001</v>
      </c>
      <c r="H692" s="37">
        <f t="shared" si="156"/>
        <v>47118494.18</v>
      </c>
      <c r="I692" s="37">
        <f t="shared" si="156"/>
        <v>41846494.18</v>
      </c>
      <c r="J692" s="37">
        <f t="shared" si="156"/>
        <v>-5272000</v>
      </c>
      <c r="K692" s="37">
        <f t="shared" si="156"/>
        <v>0</v>
      </c>
      <c r="L692" s="37">
        <f t="shared" si="156"/>
        <v>76906494.180000007</v>
      </c>
    </row>
    <row r="693" spans="1:12" x14ac:dyDescent="0.3">
      <c r="C693" s="57" t="s">
        <v>65</v>
      </c>
      <c r="G693" s="37">
        <f t="shared" ref="G693:L693" si="157">G326</f>
        <v>515000</v>
      </c>
      <c r="H693" s="37">
        <f t="shared" si="157"/>
        <v>515000</v>
      </c>
      <c r="I693" s="37">
        <f t="shared" si="157"/>
        <v>515000</v>
      </c>
      <c r="J693" s="37">
        <f t="shared" si="157"/>
        <v>0</v>
      </c>
      <c r="K693" s="37">
        <f t="shared" si="157"/>
        <v>0</v>
      </c>
      <c r="L693" s="37">
        <f t="shared" si="157"/>
        <v>515000</v>
      </c>
    </row>
    <row r="694" spans="1:12" x14ac:dyDescent="0.3">
      <c r="C694" s="57" t="s">
        <v>70</v>
      </c>
      <c r="G694" s="37">
        <f t="shared" ref="G694:L694" si="158">G342+G497</f>
        <v>512100956.51000005</v>
      </c>
      <c r="H694" s="37">
        <f t="shared" si="158"/>
        <v>612665896.35000002</v>
      </c>
      <c r="I694" s="37">
        <f t="shared" si="158"/>
        <v>609783596.35000002</v>
      </c>
      <c r="J694" s="37">
        <f t="shared" si="158"/>
        <v>-2882300</v>
      </c>
      <c r="K694" s="37">
        <f t="shared" si="158"/>
        <v>0</v>
      </c>
      <c r="L694" s="37">
        <f t="shared" si="158"/>
        <v>612183596.35000002</v>
      </c>
    </row>
    <row r="695" spans="1:12" x14ac:dyDescent="0.3">
      <c r="C695" s="57" t="s">
        <v>80</v>
      </c>
      <c r="G695" s="37">
        <f t="shared" ref="G695:L695" si="159">G356</f>
        <v>25799948.490000002</v>
      </c>
      <c r="H695" s="37">
        <f t="shared" si="159"/>
        <v>33962060.940000005</v>
      </c>
      <c r="I695" s="37">
        <f t="shared" si="159"/>
        <v>34062060.940000005</v>
      </c>
      <c r="J695" s="37">
        <f t="shared" si="159"/>
        <v>100000</v>
      </c>
      <c r="K695" s="37">
        <f t="shared" si="159"/>
        <v>0</v>
      </c>
      <c r="L695" s="37">
        <f t="shared" si="159"/>
        <v>34522060.940000005</v>
      </c>
    </row>
    <row r="696" spans="1:12" x14ac:dyDescent="0.3">
      <c r="C696" s="57" t="s">
        <v>86</v>
      </c>
      <c r="G696" s="37">
        <f t="shared" ref="G696:L696" si="160">G387+G636</f>
        <v>26150817.98</v>
      </c>
      <c r="H696" s="37">
        <f t="shared" si="160"/>
        <v>46812788.289999999</v>
      </c>
      <c r="I696" s="37">
        <f t="shared" si="160"/>
        <v>46812788.289999999</v>
      </c>
      <c r="J696" s="37">
        <f t="shared" si="160"/>
        <v>0</v>
      </c>
      <c r="K696" s="37">
        <f t="shared" si="160"/>
        <v>0</v>
      </c>
      <c r="L696" s="37">
        <f t="shared" si="160"/>
        <v>46812788.289999999</v>
      </c>
    </row>
    <row r="697" spans="1:12" x14ac:dyDescent="0.3">
      <c r="C697" s="57" t="s">
        <v>101</v>
      </c>
      <c r="G697" s="37">
        <f t="shared" ref="G697:L697" si="161">G426+G652</f>
        <v>2249284</v>
      </c>
      <c r="H697" s="37">
        <f t="shared" si="161"/>
        <v>2974533</v>
      </c>
      <c r="I697" s="37">
        <f t="shared" si="161"/>
        <v>2763559</v>
      </c>
      <c r="J697" s="37">
        <f t="shared" si="161"/>
        <v>-210974</v>
      </c>
      <c r="K697" s="37">
        <f t="shared" si="161"/>
        <v>0</v>
      </c>
      <c r="L697" s="37">
        <f t="shared" si="161"/>
        <v>2763559</v>
      </c>
    </row>
    <row r="698" spans="1:12" x14ac:dyDescent="0.3">
      <c r="C698" s="15">
        <v>1200</v>
      </c>
      <c r="G698" s="37">
        <f t="shared" ref="G698:L698" si="162">G450</f>
        <v>1000000</v>
      </c>
      <c r="H698" s="37">
        <f t="shared" si="162"/>
        <v>2500000</v>
      </c>
      <c r="I698" s="37">
        <f t="shared" si="162"/>
        <v>2500000</v>
      </c>
      <c r="J698" s="37">
        <f t="shared" si="162"/>
        <v>0</v>
      </c>
      <c r="K698" s="37">
        <f t="shared" si="162"/>
        <v>0</v>
      </c>
      <c r="L698" s="37">
        <f t="shared" si="162"/>
        <v>2500000</v>
      </c>
    </row>
    <row r="699" spans="1:12" s="61" customFormat="1" x14ac:dyDescent="0.3">
      <c r="A699" s="58"/>
      <c r="B699" s="59"/>
      <c r="C699" s="59"/>
      <c r="D699" s="59"/>
      <c r="E699" s="59"/>
      <c r="F699" s="59"/>
      <c r="G699" s="60">
        <f t="shared" ref="G699:L699" si="163">SUM(G688:G698)</f>
        <v>712214941.8900001</v>
      </c>
      <c r="H699" s="60">
        <f t="shared" si="163"/>
        <v>965275936.67000008</v>
      </c>
      <c r="I699" s="60">
        <f t="shared" si="163"/>
        <v>953447409.71000004</v>
      </c>
      <c r="J699" s="60">
        <f t="shared" si="163"/>
        <v>-13827226.960000031</v>
      </c>
      <c r="K699" s="60">
        <f t="shared" si="163"/>
        <v>0</v>
      </c>
      <c r="L699" s="60">
        <f t="shared" si="163"/>
        <v>953447409.71000004</v>
      </c>
    </row>
    <row r="700" spans="1:12" x14ac:dyDescent="0.3">
      <c r="I700" s="4"/>
    </row>
    <row r="701" spans="1:12" x14ac:dyDescent="0.3">
      <c r="I701" s="4"/>
    </row>
    <row r="702" spans="1:12" x14ac:dyDescent="0.3">
      <c r="I702" s="4"/>
    </row>
    <row r="703" spans="1:12" x14ac:dyDescent="0.3">
      <c r="D703" s="15" t="s">
        <v>448</v>
      </c>
      <c r="G703" s="78">
        <f t="shared" ref="G703:L703" si="164">G392+G413+G418</f>
        <v>19100255.949999999</v>
      </c>
      <c r="H703" s="78">
        <f t="shared" si="164"/>
        <v>26218976.039999999</v>
      </c>
      <c r="I703" s="78">
        <f t="shared" si="164"/>
        <v>26218976.039999999</v>
      </c>
      <c r="J703" s="78">
        <f t="shared" si="164"/>
        <v>0</v>
      </c>
      <c r="K703" s="78">
        <f t="shared" si="164"/>
        <v>0</v>
      </c>
      <c r="L703" s="78">
        <f t="shared" si="164"/>
        <v>26218976.039999999</v>
      </c>
    </row>
    <row r="704" spans="1:12" x14ac:dyDescent="0.3">
      <c r="I704" s="4"/>
    </row>
    <row r="705" spans="1:12" x14ac:dyDescent="0.3">
      <c r="I705" s="4"/>
    </row>
    <row r="706" spans="1:12" x14ac:dyDescent="0.3">
      <c r="A706" s="15"/>
      <c r="E706" s="15" t="s">
        <v>774</v>
      </c>
      <c r="G706" s="65">
        <f>G673+G670+G619+G471+G464+G461+G111+G45+G40+G18</f>
        <v>74810218</v>
      </c>
      <c r="H706" s="65">
        <f>H673+H670+H619+H471+H464+H461+H111+H45+H40+H18</f>
        <v>79923079.810000002</v>
      </c>
      <c r="I706" s="65">
        <f>I673+I619+I471+I464+I461+I111+I45+I40+I18</f>
        <v>77684379.810000002</v>
      </c>
      <c r="J706" s="65">
        <f>J673+J619+J471+J464+J461+J111+J45+J40+J18</f>
        <v>-973100</v>
      </c>
      <c r="K706" s="65">
        <f>K673+K619+K471+K464+K461+K111+K45+K40+K18</f>
        <v>0</v>
      </c>
      <c r="L706" s="65">
        <f>L673+L619+L471+L464+L461+L111+L45+L40+L18</f>
        <v>77684379.810000002</v>
      </c>
    </row>
    <row r="707" spans="1:12" x14ac:dyDescent="0.3">
      <c r="A707" s="15"/>
      <c r="G707" s="15"/>
      <c r="H707" s="15"/>
      <c r="I707" s="4"/>
    </row>
    <row r="708" spans="1:12" x14ac:dyDescent="0.3">
      <c r="A708" s="15"/>
      <c r="E708" s="15" t="s">
        <v>775</v>
      </c>
      <c r="F708" s="15">
        <v>24.46</v>
      </c>
      <c r="G708" s="65"/>
      <c r="H708" s="65"/>
      <c r="I708" s="65">
        <f>'прил 7  динамика'!E13*24.46%</f>
        <v>106334224.2</v>
      </c>
    </row>
    <row r="709" spans="1:12" x14ac:dyDescent="0.3">
      <c r="A709" s="15"/>
      <c r="G709" s="65"/>
      <c r="H709" s="65"/>
      <c r="I709" s="4">
        <f>I708-I706</f>
        <v>28649844.390000001</v>
      </c>
    </row>
    <row r="710" spans="1:12" x14ac:dyDescent="0.3">
      <c r="A710" s="15"/>
      <c r="G710" s="15"/>
      <c r="H710" s="15"/>
      <c r="I710" s="4"/>
    </row>
    <row r="711" spans="1:12" x14ac:dyDescent="0.3">
      <c r="A711" s="15"/>
      <c r="C711" s="15" t="s">
        <v>776</v>
      </c>
      <c r="E711" s="679">
        <v>2035800</v>
      </c>
      <c r="F711" s="679"/>
      <c r="G711" s="65">
        <f>F42</f>
        <v>2523500</v>
      </c>
      <c r="H711" s="65">
        <f>G42</f>
        <v>2463500</v>
      </c>
      <c r="I711" s="65">
        <f>H42</f>
        <v>2846266</v>
      </c>
    </row>
    <row r="712" spans="1:12" x14ac:dyDescent="0.3">
      <c r="A712" s="15"/>
      <c r="C712" s="15" t="s">
        <v>661</v>
      </c>
      <c r="E712" s="679">
        <v>2035800</v>
      </c>
      <c r="F712" s="679"/>
      <c r="G712" s="65">
        <f>F463</f>
        <v>2328541</v>
      </c>
      <c r="H712" s="65">
        <f>G463</f>
        <v>2207541</v>
      </c>
      <c r="I712" s="65">
        <f>H463</f>
        <v>2517857.96</v>
      </c>
    </row>
    <row r="713" spans="1:12" x14ac:dyDescent="0.3">
      <c r="A713" s="15"/>
      <c r="C713" s="15" t="s">
        <v>777</v>
      </c>
      <c r="E713" s="679">
        <v>1399600</v>
      </c>
      <c r="F713" s="679"/>
      <c r="G713" s="65">
        <f>G672</f>
        <v>1252217</v>
      </c>
      <c r="H713" s="65">
        <f>H672</f>
        <v>1265600</v>
      </c>
      <c r="I713" s="65">
        <f>I672</f>
        <v>1140000</v>
      </c>
    </row>
    <row r="714" spans="1:12" x14ac:dyDescent="0.3">
      <c r="A714" s="15"/>
      <c r="G714" s="15"/>
      <c r="H714" s="15"/>
      <c r="I714" s="4"/>
    </row>
    <row r="715" spans="1:12" x14ac:dyDescent="0.3">
      <c r="A715" s="15"/>
      <c r="C715" s="15" t="s">
        <v>778</v>
      </c>
      <c r="F715" s="65">
        <f>I678*3%</f>
        <v>28603422.291299999</v>
      </c>
      <c r="G715" s="65">
        <f>I678*3%</f>
        <v>28603422.291299999</v>
      </c>
      <c r="H715" s="15"/>
      <c r="I715" s="4"/>
    </row>
    <row r="716" spans="1:12" x14ac:dyDescent="0.3">
      <c r="A716" s="15"/>
      <c r="G716" s="15"/>
      <c r="H716" s="15"/>
      <c r="I716" s="4">
        <f>I706+I711+I712+I713</f>
        <v>84188503.769999996</v>
      </c>
    </row>
    <row r="717" spans="1:12" x14ac:dyDescent="0.3">
      <c r="A717" s="15"/>
      <c r="G717" s="15"/>
      <c r="H717" s="15"/>
      <c r="I717" s="4"/>
    </row>
    <row r="718" spans="1:12" x14ac:dyDescent="0.3">
      <c r="A718" s="15"/>
      <c r="G718" s="15"/>
      <c r="H718" s="15"/>
      <c r="I718" s="4"/>
    </row>
    <row r="719" spans="1:12" x14ac:dyDescent="0.3">
      <c r="A719" s="15"/>
      <c r="G719" s="15"/>
      <c r="H719" s="15"/>
      <c r="I719" s="4"/>
    </row>
    <row r="720" spans="1:12" x14ac:dyDescent="0.3">
      <c r="A720" s="15"/>
      <c r="G720" s="15"/>
      <c r="H720" s="15"/>
      <c r="I720" s="4"/>
    </row>
    <row r="721" spans="1:9" x14ac:dyDescent="0.3">
      <c r="A721" s="15"/>
      <c r="G721" s="15"/>
      <c r="H721" s="15"/>
      <c r="I721" s="4"/>
    </row>
    <row r="722" spans="1:9" x14ac:dyDescent="0.3">
      <c r="A722" s="15"/>
      <c r="G722" s="15"/>
      <c r="H722" s="15"/>
      <c r="I722" s="4"/>
    </row>
    <row r="723" spans="1:9" x14ac:dyDescent="0.3">
      <c r="A723" s="15"/>
      <c r="G723" s="15"/>
      <c r="H723" s="15"/>
      <c r="I723" s="4"/>
    </row>
    <row r="724" spans="1:9" x14ac:dyDescent="0.3">
      <c r="A724" s="15"/>
      <c r="G724" s="15"/>
      <c r="H724" s="15"/>
      <c r="I724" s="4"/>
    </row>
    <row r="725" spans="1:9" x14ac:dyDescent="0.3">
      <c r="A725" s="15"/>
      <c r="G725" s="15"/>
      <c r="H725" s="15"/>
      <c r="I725" s="4"/>
    </row>
    <row r="726" spans="1:9" x14ac:dyDescent="0.3">
      <c r="A726" s="15"/>
      <c r="G726" s="15"/>
      <c r="H726" s="15"/>
      <c r="I726" s="4"/>
    </row>
    <row r="727" spans="1:9" x14ac:dyDescent="0.3">
      <c r="A727" s="15"/>
      <c r="G727" s="15"/>
      <c r="H727" s="15"/>
      <c r="I727" s="4"/>
    </row>
    <row r="728" spans="1:9" x14ac:dyDescent="0.3">
      <c r="A728" s="15"/>
      <c r="G728" s="15"/>
      <c r="H728" s="15"/>
      <c r="I728" s="4"/>
    </row>
    <row r="729" spans="1:9" x14ac:dyDescent="0.3">
      <c r="A729" s="15"/>
      <c r="G729" s="15"/>
      <c r="H729" s="15"/>
      <c r="I729" s="4"/>
    </row>
    <row r="730" spans="1:9" x14ac:dyDescent="0.3">
      <c r="A730" s="15"/>
      <c r="G730" s="15"/>
      <c r="H730" s="15"/>
      <c r="I730" s="4"/>
    </row>
    <row r="731" spans="1:9" x14ac:dyDescent="0.3">
      <c r="A731" s="15"/>
      <c r="G731" s="15"/>
      <c r="H731" s="15"/>
      <c r="I731" s="4"/>
    </row>
    <row r="732" spans="1:9" x14ac:dyDescent="0.3">
      <c r="A732" s="15"/>
      <c r="G732" s="15"/>
      <c r="H732" s="15"/>
      <c r="I732" s="4"/>
    </row>
    <row r="733" spans="1:9" x14ac:dyDescent="0.3">
      <c r="A733" s="15"/>
      <c r="G733" s="15"/>
      <c r="H733" s="15"/>
      <c r="I733" s="4"/>
    </row>
    <row r="734" spans="1:9" x14ac:dyDescent="0.3">
      <c r="A734" s="15"/>
      <c r="G734" s="15"/>
      <c r="H734" s="15"/>
      <c r="I734" s="4"/>
    </row>
    <row r="735" spans="1:9" x14ac:dyDescent="0.3">
      <c r="A735" s="15"/>
      <c r="G735" s="15"/>
      <c r="H735" s="15"/>
      <c r="I735" s="4"/>
    </row>
    <row r="736" spans="1:9" x14ac:dyDescent="0.3">
      <c r="A736" s="15"/>
      <c r="G736" s="15"/>
      <c r="H736" s="15"/>
      <c r="I736" s="4"/>
    </row>
    <row r="737" spans="1:9" x14ac:dyDescent="0.3">
      <c r="A737" s="15"/>
      <c r="G737" s="15"/>
      <c r="H737" s="15"/>
      <c r="I737" s="4"/>
    </row>
    <row r="738" spans="1:9" x14ac:dyDescent="0.3">
      <c r="A738" s="15"/>
      <c r="G738" s="15"/>
      <c r="H738" s="15"/>
      <c r="I738" s="4"/>
    </row>
    <row r="739" spans="1:9" x14ac:dyDescent="0.3">
      <c r="A739" s="15"/>
      <c r="G739" s="15"/>
      <c r="H739" s="15"/>
      <c r="I739" s="4"/>
    </row>
    <row r="740" spans="1:9" x14ac:dyDescent="0.3">
      <c r="A740" s="15"/>
      <c r="G740" s="15"/>
      <c r="H740" s="15"/>
      <c r="I740" s="4"/>
    </row>
    <row r="741" spans="1:9" x14ac:dyDescent="0.3">
      <c r="A741" s="15"/>
      <c r="G741" s="15"/>
      <c r="H741" s="15"/>
      <c r="I741" s="4"/>
    </row>
    <row r="742" spans="1:9" x14ac:dyDescent="0.3">
      <c r="A742" s="15"/>
      <c r="G742" s="15"/>
      <c r="H742" s="15"/>
      <c r="I742" s="4"/>
    </row>
    <row r="743" spans="1:9" x14ac:dyDescent="0.3">
      <c r="A743" s="15"/>
      <c r="G743" s="15"/>
      <c r="H743" s="15"/>
      <c r="I743" s="4"/>
    </row>
    <row r="744" spans="1:9" x14ac:dyDescent="0.3">
      <c r="A744" s="15"/>
      <c r="G744" s="15"/>
      <c r="H744" s="15"/>
      <c r="I744" s="4"/>
    </row>
    <row r="745" spans="1:9" x14ac:dyDescent="0.3">
      <c r="A745" s="15"/>
      <c r="G745" s="15"/>
      <c r="H745" s="15"/>
      <c r="I745" s="4"/>
    </row>
    <row r="746" spans="1:9" x14ac:dyDescent="0.3">
      <c r="A746" s="15"/>
      <c r="G746" s="15"/>
      <c r="H746" s="15"/>
      <c r="I746" s="4"/>
    </row>
    <row r="747" spans="1:9" x14ac:dyDescent="0.3">
      <c r="A747" s="15"/>
      <c r="G747" s="15"/>
      <c r="H747" s="15"/>
      <c r="I747" s="4"/>
    </row>
    <row r="748" spans="1:9" x14ac:dyDescent="0.3">
      <c r="A748" s="15"/>
      <c r="G748" s="15"/>
      <c r="H748" s="15"/>
      <c r="I748" s="4"/>
    </row>
    <row r="749" spans="1:9" x14ac:dyDescent="0.3">
      <c r="A749" s="15"/>
      <c r="G749" s="15"/>
      <c r="H749" s="15"/>
      <c r="I749" s="4"/>
    </row>
    <row r="750" spans="1:9" x14ac:dyDescent="0.3">
      <c r="A750" s="15"/>
      <c r="G750" s="15"/>
      <c r="H750" s="15"/>
      <c r="I750" s="4"/>
    </row>
    <row r="751" spans="1:9" x14ac:dyDescent="0.3">
      <c r="A751" s="15"/>
      <c r="G751" s="15"/>
      <c r="H751" s="15"/>
      <c r="I751" s="4"/>
    </row>
    <row r="752" spans="1:9" x14ac:dyDescent="0.3">
      <c r="A752" s="15"/>
      <c r="G752" s="15"/>
      <c r="H752" s="15"/>
      <c r="I752" s="4"/>
    </row>
    <row r="753" spans="1:9" x14ac:dyDescent="0.3">
      <c r="A753" s="15"/>
      <c r="G753" s="15"/>
      <c r="H753" s="15"/>
      <c r="I753" s="4"/>
    </row>
    <row r="754" spans="1:9" x14ac:dyDescent="0.3">
      <c r="A754" s="15"/>
      <c r="G754" s="15"/>
      <c r="H754" s="15"/>
      <c r="I754" s="4"/>
    </row>
    <row r="755" spans="1:9" x14ac:dyDescent="0.3">
      <c r="A755" s="15"/>
      <c r="G755" s="15"/>
      <c r="H755" s="15"/>
      <c r="I755" s="4"/>
    </row>
    <row r="756" spans="1:9" x14ac:dyDescent="0.3">
      <c r="A756" s="15"/>
      <c r="G756" s="15"/>
      <c r="H756" s="15"/>
      <c r="I756" s="4"/>
    </row>
    <row r="757" spans="1:9" x14ac:dyDescent="0.3">
      <c r="A757" s="15"/>
      <c r="G757" s="15"/>
      <c r="H757" s="15"/>
      <c r="I757" s="4"/>
    </row>
    <row r="758" spans="1:9" x14ac:dyDescent="0.3">
      <c r="A758" s="15"/>
      <c r="G758" s="15"/>
      <c r="H758" s="15"/>
      <c r="I758" s="4"/>
    </row>
    <row r="759" spans="1:9" x14ac:dyDescent="0.3">
      <c r="A759" s="15"/>
      <c r="G759" s="15"/>
      <c r="H759" s="15"/>
      <c r="I759" s="4"/>
    </row>
    <row r="760" spans="1:9" x14ac:dyDescent="0.3">
      <c r="A760" s="15"/>
      <c r="G760" s="15"/>
      <c r="H760" s="15"/>
      <c r="I760" s="4"/>
    </row>
    <row r="761" spans="1:9" x14ac:dyDescent="0.3">
      <c r="A761" s="15"/>
      <c r="G761" s="15"/>
      <c r="H761" s="15"/>
      <c r="I761" s="4"/>
    </row>
    <row r="762" spans="1:9" x14ac:dyDescent="0.3">
      <c r="A762" s="15"/>
      <c r="G762" s="15"/>
      <c r="H762" s="15"/>
      <c r="I762" s="4"/>
    </row>
    <row r="763" spans="1:9" x14ac:dyDescent="0.3">
      <c r="A763" s="15"/>
      <c r="G763" s="15"/>
      <c r="H763" s="15"/>
      <c r="I763" s="4"/>
    </row>
    <row r="764" spans="1:9" x14ac:dyDescent="0.3">
      <c r="A764" s="15"/>
      <c r="G764" s="15"/>
      <c r="H764" s="15"/>
      <c r="I764" s="4"/>
    </row>
    <row r="765" spans="1:9" x14ac:dyDescent="0.3">
      <c r="A765" s="15"/>
      <c r="G765" s="15"/>
      <c r="H765" s="15"/>
      <c r="I765" s="4"/>
    </row>
    <row r="766" spans="1:9" x14ac:dyDescent="0.3">
      <c r="A766" s="15"/>
      <c r="G766" s="15"/>
      <c r="H766" s="15"/>
      <c r="I766" s="4"/>
    </row>
    <row r="767" spans="1:9" x14ac:dyDescent="0.3">
      <c r="A767" s="15"/>
      <c r="G767" s="15"/>
      <c r="H767" s="15"/>
      <c r="I767" s="4"/>
    </row>
    <row r="768" spans="1:9" x14ac:dyDescent="0.3">
      <c r="A768" s="15"/>
      <c r="G768" s="15"/>
      <c r="H768" s="15"/>
      <c r="I768" s="4"/>
    </row>
    <row r="769" spans="1:9" x14ac:dyDescent="0.3">
      <c r="A769" s="15"/>
      <c r="G769" s="15"/>
      <c r="H769" s="15"/>
      <c r="I769" s="4"/>
    </row>
    <row r="770" spans="1:9" x14ac:dyDescent="0.3">
      <c r="A770" s="15"/>
      <c r="G770" s="15"/>
      <c r="H770" s="15"/>
      <c r="I770" s="4"/>
    </row>
    <row r="771" spans="1:9" x14ac:dyDescent="0.3">
      <c r="A771" s="15"/>
      <c r="G771" s="15"/>
      <c r="H771" s="15"/>
      <c r="I771" s="4"/>
    </row>
    <row r="772" spans="1:9" x14ac:dyDescent="0.3">
      <c r="A772" s="15"/>
      <c r="G772" s="15"/>
      <c r="H772" s="15"/>
      <c r="I772" s="4"/>
    </row>
    <row r="773" spans="1:9" x14ac:dyDescent="0.3">
      <c r="A773" s="15"/>
      <c r="G773" s="15"/>
      <c r="H773" s="15"/>
      <c r="I773" s="4"/>
    </row>
    <row r="774" spans="1:9" x14ac:dyDescent="0.3">
      <c r="A774" s="15"/>
      <c r="G774" s="15"/>
      <c r="H774" s="15"/>
      <c r="I774" s="4"/>
    </row>
    <row r="775" spans="1:9" x14ac:dyDescent="0.3">
      <c r="A775" s="15"/>
      <c r="G775" s="15"/>
      <c r="H775" s="15"/>
      <c r="I775" s="4"/>
    </row>
    <row r="776" spans="1:9" x14ac:dyDescent="0.3">
      <c r="A776" s="15"/>
      <c r="G776" s="15"/>
      <c r="H776" s="15"/>
      <c r="I776" s="4"/>
    </row>
    <row r="777" spans="1:9" x14ac:dyDescent="0.3">
      <c r="A777" s="15"/>
      <c r="G777" s="15"/>
      <c r="H777" s="15"/>
      <c r="I777" s="4"/>
    </row>
    <row r="778" spans="1:9" x14ac:dyDescent="0.3">
      <c r="A778" s="15"/>
      <c r="G778" s="15"/>
      <c r="H778" s="15"/>
      <c r="I778" s="4"/>
    </row>
    <row r="779" spans="1:9" x14ac:dyDescent="0.3">
      <c r="A779" s="15"/>
      <c r="G779" s="15"/>
      <c r="H779" s="15"/>
      <c r="I779" s="4"/>
    </row>
    <row r="780" spans="1:9" x14ac:dyDescent="0.3">
      <c r="A780" s="15"/>
      <c r="G780" s="15"/>
      <c r="H780" s="15"/>
      <c r="I780" s="4"/>
    </row>
    <row r="781" spans="1:9" x14ac:dyDescent="0.3">
      <c r="A781" s="15"/>
      <c r="G781" s="15"/>
      <c r="H781" s="15"/>
      <c r="I781" s="4"/>
    </row>
    <row r="782" spans="1:9" x14ac:dyDescent="0.3">
      <c r="A782" s="15"/>
      <c r="G782" s="15"/>
      <c r="H782" s="15"/>
      <c r="I782" s="4"/>
    </row>
    <row r="783" spans="1:9" x14ac:dyDescent="0.3">
      <c r="A783" s="15"/>
      <c r="G783" s="15"/>
      <c r="H783" s="15"/>
      <c r="I783" s="4"/>
    </row>
    <row r="784" spans="1:9" x14ac:dyDescent="0.3">
      <c r="A784" s="15"/>
      <c r="G784" s="15"/>
      <c r="H784" s="15"/>
      <c r="I784" s="4"/>
    </row>
    <row r="785" spans="1:9" x14ac:dyDescent="0.3">
      <c r="A785" s="15"/>
      <c r="G785" s="15"/>
      <c r="H785" s="15"/>
      <c r="I785" s="4"/>
    </row>
    <row r="786" spans="1:9" x14ac:dyDescent="0.3">
      <c r="A786" s="15"/>
      <c r="G786" s="15"/>
      <c r="H786" s="15"/>
      <c r="I786" s="4"/>
    </row>
    <row r="787" spans="1:9" x14ac:dyDescent="0.3">
      <c r="A787" s="15"/>
      <c r="G787" s="15"/>
      <c r="H787" s="15"/>
      <c r="I787" s="4"/>
    </row>
    <row r="788" spans="1:9" x14ac:dyDescent="0.3">
      <c r="A788" s="15"/>
      <c r="G788" s="15"/>
      <c r="H788" s="15"/>
      <c r="I788" s="4"/>
    </row>
    <row r="789" spans="1:9" x14ac:dyDescent="0.3">
      <c r="A789" s="15"/>
      <c r="G789" s="15"/>
      <c r="H789" s="15"/>
      <c r="I789" s="4"/>
    </row>
    <row r="790" spans="1:9" x14ac:dyDescent="0.3">
      <c r="A790" s="15"/>
      <c r="G790" s="15"/>
      <c r="H790" s="15"/>
      <c r="I790" s="4"/>
    </row>
    <row r="791" spans="1:9" x14ac:dyDescent="0.3">
      <c r="A791" s="15"/>
      <c r="G791" s="15"/>
      <c r="H791" s="15"/>
      <c r="I791" s="4"/>
    </row>
    <row r="792" spans="1:9" x14ac:dyDescent="0.3">
      <c r="A792" s="15"/>
      <c r="G792" s="15"/>
      <c r="H792" s="15"/>
      <c r="I792" s="4"/>
    </row>
    <row r="793" spans="1:9" x14ac:dyDescent="0.3">
      <c r="A793" s="15"/>
      <c r="G793" s="15"/>
      <c r="H793" s="15"/>
      <c r="I793" s="4"/>
    </row>
    <row r="794" spans="1:9" x14ac:dyDescent="0.3">
      <c r="A794" s="15"/>
      <c r="G794" s="15"/>
      <c r="H794" s="15"/>
      <c r="I794" s="4"/>
    </row>
    <row r="795" spans="1:9" x14ac:dyDescent="0.3">
      <c r="A795" s="15"/>
      <c r="G795" s="15"/>
      <c r="H795" s="15"/>
      <c r="I795" s="4"/>
    </row>
    <row r="796" spans="1:9" x14ac:dyDescent="0.3">
      <c r="A796" s="15"/>
      <c r="G796" s="15"/>
      <c r="H796" s="15"/>
      <c r="I796" s="4"/>
    </row>
    <row r="797" spans="1:9" x14ac:dyDescent="0.3">
      <c r="A797" s="15"/>
      <c r="G797" s="15"/>
      <c r="H797" s="15"/>
      <c r="I797" s="4"/>
    </row>
    <row r="798" spans="1:9" x14ac:dyDescent="0.3">
      <c r="A798" s="15"/>
      <c r="G798" s="15"/>
      <c r="H798" s="15"/>
      <c r="I798" s="4"/>
    </row>
    <row r="799" spans="1:9" x14ac:dyDescent="0.3">
      <c r="A799" s="15"/>
      <c r="G799" s="15"/>
      <c r="H799" s="15"/>
      <c r="I799" s="4"/>
    </row>
    <row r="800" spans="1:9" x14ac:dyDescent="0.3">
      <c r="A800" s="15"/>
      <c r="G800" s="15"/>
      <c r="H800" s="15"/>
      <c r="I800" s="4"/>
    </row>
    <row r="801" spans="1:9" x14ac:dyDescent="0.3">
      <c r="A801" s="15"/>
      <c r="G801" s="15"/>
      <c r="H801" s="15"/>
      <c r="I801" s="4"/>
    </row>
    <row r="802" spans="1:9" x14ac:dyDescent="0.3">
      <c r="A802" s="15"/>
      <c r="G802" s="15"/>
      <c r="H802" s="15"/>
      <c r="I802" s="4"/>
    </row>
    <row r="803" spans="1:9" x14ac:dyDescent="0.3">
      <c r="A803" s="15"/>
      <c r="G803" s="15"/>
      <c r="H803" s="15"/>
      <c r="I803" s="4"/>
    </row>
    <row r="804" spans="1:9" x14ac:dyDescent="0.3">
      <c r="A804" s="15"/>
      <c r="G804" s="15"/>
      <c r="H804" s="15"/>
      <c r="I804" s="4"/>
    </row>
    <row r="805" spans="1:9" x14ac:dyDescent="0.3">
      <c r="A805" s="15"/>
      <c r="G805" s="15"/>
      <c r="H805" s="15"/>
      <c r="I805" s="4"/>
    </row>
    <row r="806" spans="1:9" x14ac:dyDescent="0.3">
      <c r="A806" s="15"/>
      <c r="G806" s="15"/>
      <c r="H806" s="15"/>
      <c r="I806" s="4"/>
    </row>
    <row r="807" spans="1:9" x14ac:dyDescent="0.3">
      <c r="A807" s="15"/>
      <c r="G807" s="15"/>
      <c r="H807" s="15"/>
      <c r="I807" s="4"/>
    </row>
    <row r="808" spans="1:9" x14ac:dyDescent="0.3">
      <c r="A808" s="15"/>
      <c r="G808" s="15"/>
      <c r="H808" s="15"/>
      <c r="I808" s="4"/>
    </row>
    <row r="809" spans="1:9" x14ac:dyDescent="0.3">
      <c r="A809" s="15"/>
      <c r="G809" s="15"/>
      <c r="H809" s="15"/>
      <c r="I809" s="4"/>
    </row>
    <row r="810" spans="1:9" x14ac:dyDescent="0.3">
      <c r="A810" s="15"/>
      <c r="G810" s="15"/>
      <c r="H810" s="15"/>
      <c r="I810" s="4"/>
    </row>
    <row r="811" spans="1:9" x14ac:dyDescent="0.3">
      <c r="A811" s="15"/>
      <c r="G811" s="15"/>
      <c r="H811" s="15"/>
      <c r="I811" s="4"/>
    </row>
    <row r="812" spans="1:9" x14ac:dyDescent="0.3">
      <c r="A812" s="15"/>
      <c r="G812" s="15"/>
      <c r="H812" s="15"/>
      <c r="I812" s="4"/>
    </row>
    <row r="813" spans="1:9" x14ac:dyDescent="0.3">
      <c r="A813" s="15"/>
      <c r="G813" s="15"/>
      <c r="H813" s="15"/>
      <c r="I813" s="4"/>
    </row>
    <row r="814" spans="1:9" x14ac:dyDescent="0.3">
      <c r="A814" s="15"/>
      <c r="G814" s="15"/>
      <c r="H814" s="15"/>
      <c r="I814" s="4"/>
    </row>
    <row r="815" spans="1:9" x14ac:dyDescent="0.3">
      <c r="A815" s="15"/>
      <c r="G815" s="15"/>
      <c r="H815" s="15"/>
      <c r="I815" s="4"/>
    </row>
    <row r="816" spans="1:9" x14ac:dyDescent="0.3">
      <c r="A816" s="15"/>
      <c r="G816" s="15"/>
      <c r="H816" s="15"/>
      <c r="I816" s="4"/>
    </row>
    <row r="817" spans="1:9" x14ac:dyDescent="0.3">
      <c r="A817" s="15"/>
      <c r="G817" s="15"/>
      <c r="H817" s="15"/>
      <c r="I817" s="4"/>
    </row>
    <row r="818" spans="1:9" x14ac:dyDescent="0.3">
      <c r="A818" s="15"/>
      <c r="G818" s="15"/>
      <c r="H818" s="15"/>
      <c r="I818" s="4"/>
    </row>
    <row r="819" spans="1:9" x14ac:dyDescent="0.3">
      <c r="A819" s="15"/>
      <c r="G819" s="15"/>
      <c r="H819" s="15"/>
      <c r="I819" s="4"/>
    </row>
    <row r="820" spans="1:9" x14ac:dyDescent="0.3">
      <c r="A820" s="15"/>
      <c r="G820" s="15"/>
      <c r="H820" s="15"/>
      <c r="I820" s="4"/>
    </row>
    <row r="821" spans="1:9" x14ac:dyDescent="0.3">
      <c r="A821" s="15"/>
      <c r="G821" s="15"/>
      <c r="H821" s="15"/>
      <c r="I821" s="4"/>
    </row>
    <row r="822" spans="1:9" x14ac:dyDescent="0.3">
      <c r="A822" s="15"/>
      <c r="G822" s="15"/>
      <c r="H822" s="15"/>
      <c r="I822" s="4"/>
    </row>
    <row r="823" spans="1:9" x14ac:dyDescent="0.3">
      <c r="A823" s="15"/>
      <c r="G823" s="15"/>
      <c r="H823" s="15"/>
      <c r="I823" s="4"/>
    </row>
    <row r="824" spans="1:9" x14ac:dyDescent="0.3">
      <c r="A824" s="15"/>
      <c r="G824" s="15"/>
      <c r="H824" s="15"/>
      <c r="I824" s="4"/>
    </row>
    <row r="825" spans="1:9" x14ac:dyDescent="0.3">
      <c r="A825" s="15"/>
      <c r="G825" s="15"/>
      <c r="H825" s="15"/>
      <c r="I825" s="4"/>
    </row>
    <row r="826" spans="1:9" x14ac:dyDescent="0.3">
      <c r="A826" s="15"/>
      <c r="G826" s="15"/>
      <c r="H826" s="15"/>
      <c r="I826" s="4"/>
    </row>
    <row r="827" spans="1:9" x14ac:dyDescent="0.3">
      <c r="A827" s="15"/>
      <c r="G827" s="15"/>
      <c r="H827" s="15"/>
      <c r="I827" s="4"/>
    </row>
    <row r="828" spans="1:9" x14ac:dyDescent="0.3">
      <c r="A828" s="15"/>
      <c r="G828" s="15"/>
      <c r="H828" s="15"/>
      <c r="I828" s="4"/>
    </row>
    <row r="829" spans="1:9" x14ac:dyDescent="0.3">
      <c r="A829" s="15"/>
      <c r="G829" s="15"/>
      <c r="H829" s="15"/>
      <c r="I829" s="4"/>
    </row>
    <row r="830" spans="1:9" x14ac:dyDescent="0.3">
      <c r="A830" s="15"/>
      <c r="G830" s="15"/>
      <c r="H830" s="15"/>
      <c r="I830" s="4"/>
    </row>
    <row r="831" spans="1:9" x14ac:dyDescent="0.3">
      <c r="A831" s="15"/>
      <c r="G831" s="15"/>
      <c r="H831" s="15"/>
      <c r="I831" s="4"/>
    </row>
    <row r="832" spans="1:9" x14ac:dyDescent="0.3">
      <c r="A832" s="15"/>
      <c r="G832" s="15"/>
      <c r="H832" s="15"/>
      <c r="I832" s="4"/>
    </row>
    <row r="833" spans="1:9" x14ac:dyDescent="0.3">
      <c r="A833" s="15"/>
      <c r="G833" s="15"/>
      <c r="H833" s="15"/>
      <c r="I833" s="4"/>
    </row>
    <row r="834" spans="1:9" x14ac:dyDescent="0.3">
      <c r="A834" s="15"/>
      <c r="G834" s="15"/>
      <c r="H834" s="15"/>
      <c r="I834" s="4"/>
    </row>
    <row r="835" spans="1:9" x14ac:dyDescent="0.3">
      <c r="A835" s="15"/>
      <c r="G835" s="15"/>
      <c r="H835" s="15"/>
      <c r="I835" s="4"/>
    </row>
    <row r="836" spans="1:9" x14ac:dyDescent="0.3">
      <c r="A836" s="15"/>
      <c r="G836" s="15"/>
      <c r="H836" s="15"/>
      <c r="I836" s="4"/>
    </row>
    <row r="837" spans="1:9" x14ac:dyDescent="0.3">
      <c r="A837" s="15"/>
      <c r="G837" s="15"/>
      <c r="H837" s="15"/>
      <c r="I837" s="4"/>
    </row>
    <row r="838" spans="1:9" x14ac:dyDescent="0.3">
      <c r="A838" s="15"/>
      <c r="G838" s="15"/>
      <c r="H838" s="15"/>
      <c r="I838" s="4"/>
    </row>
    <row r="839" spans="1:9" x14ac:dyDescent="0.3">
      <c r="A839" s="15"/>
      <c r="G839" s="15"/>
      <c r="H839" s="15"/>
      <c r="I839" s="4"/>
    </row>
    <row r="840" spans="1:9" x14ac:dyDescent="0.3">
      <c r="A840" s="15"/>
      <c r="G840" s="15"/>
      <c r="H840" s="15"/>
      <c r="I840" s="4"/>
    </row>
    <row r="841" spans="1:9" x14ac:dyDescent="0.3">
      <c r="A841" s="15"/>
      <c r="G841" s="15"/>
      <c r="H841" s="15"/>
      <c r="I841" s="4"/>
    </row>
    <row r="842" spans="1:9" x14ac:dyDescent="0.3">
      <c r="A842" s="15"/>
      <c r="G842" s="15"/>
      <c r="H842" s="15"/>
      <c r="I842" s="4"/>
    </row>
    <row r="843" spans="1:9" x14ac:dyDescent="0.3">
      <c r="A843" s="15"/>
      <c r="G843" s="15"/>
      <c r="H843" s="15"/>
      <c r="I843" s="4"/>
    </row>
    <row r="844" spans="1:9" x14ac:dyDescent="0.3">
      <c r="A844" s="15"/>
      <c r="G844" s="15"/>
      <c r="H844" s="15"/>
      <c r="I844" s="4"/>
    </row>
    <row r="845" spans="1:9" x14ac:dyDescent="0.3">
      <c r="A845" s="15"/>
      <c r="G845" s="15"/>
      <c r="H845" s="15"/>
      <c r="I845" s="4"/>
    </row>
    <row r="846" spans="1:9" x14ac:dyDescent="0.3">
      <c r="A846" s="15"/>
      <c r="G846" s="15"/>
      <c r="H846" s="15"/>
      <c r="I846" s="4"/>
    </row>
    <row r="847" spans="1:9" x14ac:dyDescent="0.3">
      <c r="A847" s="15"/>
      <c r="G847" s="15"/>
      <c r="H847" s="15"/>
      <c r="I847" s="4"/>
    </row>
    <row r="848" spans="1:9" x14ac:dyDescent="0.3">
      <c r="A848" s="15"/>
      <c r="G848" s="15"/>
      <c r="H848" s="15"/>
      <c r="I848" s="4"/>
    </row>
    <row r="849" spans="1:9" x14ac:dyDescent="0.3">
      <c r="A849" s="15"/>
      <c r="G849" s="15"/>
      <c r="H849" s="15"/>
      <c r="I849" s="4"/>
    </row>
    <row r="850" spans="1:9" x14ac:dyDescent="0.3">
      <c r="A850" s="15"/>
      <c r="G850" s="15"/>
      <c r="H850" s="15"/>
      <c r="I850" s="4"/>
    </row>
    <row r="851" spans="1:9" x14ac:dyDescent="0.3">
      <c r="A851" s="15"/>
      <c r="G851" s="15"/>
      <c r="H851" s="15"/>
      <c r="I851" s="4"/>
    </row>
    <row r="852" spans="1:9" x14ac:dyDescent="0.3">
      <c r="A852" s="15"/>
      <c r="G852" s="15"/>
      <c r="H852" s="15"/>
      <c r="I852" s="4"/>
    </row>
    <row r="853" spans="1:9" x14ac:dyDescent="0.3">
      <c r="A853" s="15"/>
      <c r="G853" s="15"/>
      <c r="H853" s="15"/>
      <c r="I853" s="4"/>
    </row>
    <row r="854" spans="1:9" x14ac:dyDescent="0.3">
      <c r="A854" s="15"/>
      <c r="G854" s="15"/>
      <c r="H854" s="15"/>
      <c r="I854" s="4"/>
    </row>
    <row r="855" spans="1:9" x14ac:dyDescent="0.3">
      <c r="A855" s="15"/>
      <c r="G855" s="15"/>
      <c r="H855" s="15"/>
      <c r="I855" s="4"/>
    </row>
    <row r="856" spans="1:9" x14ac:dyDescent="0.3">
      <c r="A856" s="15"/>
      <c r="G856" s="15"/>
      <c r="H856" s="15"/>
      <c r="I856" s="4"/>
    </row>
    <row r="857" spans="1:9" x14ac:dyDescent="0.3">
      <c r="A857" s="15"/>
      <c r="G857" s="15"/>
      <c r="H857" s="15"/>
      <c r="I857" s="4"/>
    </row>
    <row r="858" spans="1:9" x14ac:dyDescent="0.3">
      <c r="A858" s="15"/>
      <c r="G858" s="15"/>
      <c r="H858" s="15"/>
      <c r="I858" s="4"/>
    </row>
    <row r="859" spans="1:9" x14ac:dyDescent="0.3">
      <c r="A859" s="15"/>
      <c r="G859" s="15"/>
      <c r="H859" s="15"/>
      <c r="I859" s="4"/>
    </row>
    <row r="860" spans="1:9" x14ac:dyDescent="0.3">
      <c r="A860" s="15"/>
      <c r="G860" s="15"/>
      <c r="H860" s="15"/>
      <c r="I860" s="4"/>
    </row>
    <row r="861" spans="1:9" x14ac:dyDescent="0.3">
      <c r="A861" s="15"/>
      <c r="G861" s="15"/>
      <c r="H861" s="15"/>
      <c r="I861" s="4"/>
    </row>
    <row r="862" spans="1:9" x14ac:dyDescent="0.3">
      <c r="A862" s="15"/>
      <c r="G862" s="15"/>
      <c r="H862" s="15"/>
      <c r="I862" s="4"/>
    </row>
    <row r="863" spans="1:9" x14ac:dyDescent="0.3">
      <c r="A863" s="15"/>
      <c r="G863" s="15"/>
      <c r="H863" s="15"/>
      <c r="I863" s="4"/>
    </row>
    <row r="864" spans="1:9" x14ac:dyDescent="0.3">
      <c r="A864" s="15"/>
      <c r="G864" s="15"/>
      <c r="H864" s="15"/>
      <c r="I864" s="4"/>
    </row>
    <row r="865" spans="1:9" x14ac:dyDescent="0.3">
      <c r="A865" s="15"/>
      <c r="G865" s="15"/>
      <c r="H865" s="15"/>
      <c r="I865" s="4"/>
    </row>
    <row r="866" spans="1:9" x14ac:dyDescent="0.3">
      <c r="A866" s="15"/>
      <c r="G866" s="15"/>
      <c r="H866" s="15"/>
      <c r="I866" s="4"/>
    </row>
    <row r="867" spans="1:9" x14ac:dyDescent="0.3">
      <c r="A867" s="15"/>
      <c r="G867" s="15"/>
      <c r="H867" s="15"/>
      <c r="I867" s="4"/>
    </row>
    <row r="868" spans="1:9" x14ac:dyDescent="0.3">
      <c r="A868" s="15"/>
      <c r="G868" s="15"/>
      <c r="H868" s="15"/>
      <c r="I868" s="4"/>
    </row>
    <row r="869" spans="1:9" x14ac:dyDescent="0.3">
      <c r="A869" s="15"/>
      <c r="G869" s="15"/>
      <c r="H869" s="15"/>
      <c r="I869" s="4"/>
    </row>
    <row r="870" spans="1:9" x14ac:dyDescent="0.3">
      <c r="A870" s="15"/>
      <c r="G870" s="15"/>
      <c r="H870" s="15"/>
      <c r="I870" s="4"/>
    </row>
    <row r="871" spans="1:9" x14ac:dyDescent="0.3">
      <c r="A871" s="15"/>
      <c r="G871" s="15"/>
      <c r="H871" s="15"/>
      <c r="I871" s="4"/>
    </row>
    <row r="872" spans="1:9" x14ac:dyDescent="0.3">
      <c r="A872" s="15"/>
      <c r="G872" s="15"/>
      <c r="H872" s="15"/>
      <c r="I872" s="4"/>
    </row>
    <row r="873" spans="1:9" x14ac:dyDescent="0.3">
      <c r="A873" s="15"/>
      <c r="G873" s="15"/>
      <c r="H873" s="15"/>
      <c r="I873" s="4"/>
    </row>
    <row r="874" spans="1:9" x14ac:dyDescent="0.3">
      <c r="A874" s="15"/>
      <c r="G874" s="15"/>
      <c r="H874" s="15"/>
      <c r="I874" s="4"/>
    </row>
    <row r="875" spans="1:9" x14ac:dyDescent="0.3">
      <c r="A875" s="15"/>
      <c r="G875" s="15"/>
      <c r="H875" s="15"/>
      <c r="I875" s="4"/>
    </row>
    <row r="876" spans="1:9" x14ac:dyDescent="0.3">
      <c r="A876" s="15"/>
      <c r="G876" s="15"/>
      <c r="H876" s="15"/>
      <c r="I876" s="4"/>
    </row>
    <row r="877" spans="1:9" x14ac:dyDescent="0.3">
      <c r="A877" s="15"/>
      <c r="G877" s="15"/>
      <c r="H877" s="15"/>
      <c r="I877" s="4"/>
    </row>
    <row r="878" spans="1:9" x14ac:dyDescent="0.3">
      <c r="A878" s="15"/>
      <c r="G878" s="15"/>
      <c r="H878" s="15"/>
      <c r="I878" s="4"/>
    </row>
    <row r="879" spans="1:9" x14ac:dyDescent="0.3">
      <c r="A879" s="15"/>
      <c r="G879" s="15"/>
      <c r="H879" s="15"/>
      <c r="I879" s="4"/>
    </row>
    <row r="880" spans="1:9" x14ac:dyDescent="0.3">
      <c r="A880" s="15"/>
      <c r="G880" s="15"/>
      <c r="H880" s="15"/>
      <c r="I880" s="4"/>
    </row>
    <row r="881" spans="1:9" x14ac:dyDescent="0.3">
      <c r="A881" s="15"/>
      <c r="G881" s="15"/>
      <c r="H881" s="15"/>
      <c r="I881" s="4"/>
    </row>
    <row r="882" spans="1:9" x14ac:dyDescent="0.3">
      <c r="A882" s="15"/>
      <c r="G882" s="15"/>
      <c r="H882" s="15"/>
      <c r="I882" s="4"/>
    </row>
    <row r="883" spans="1:9" x14ac:dyDescent="0.3">
      <c r="A883" s="15"/>
      <c r="G883" s="15"/>
      <c r="H883" s="15"/>
      <c r="I883" s="4"/>
    </row>
    <row r="884" spans="1:9" x14ac:dyDescent="0.3">
      <c r="A884" s="15"/>
      <c r="G884" s="15"/>
      <c r="H884" s="15"/>
      <c r="I884" s="4"/>
    </row>
    <row r="885" spans="1:9" x14ac:dyDescent="0.3">
      <c r="A885" s="15"/>
      <c r="G885" s="15"/>
      <c r="H885" s="15"/>
      <c r="I885" s="4"/>
    </row>
    <row r="886" spans="1:9" x14ac:dyDescent="0.3">
      <c r="A886" s="15"/>
      <c r="G886" s="15"/>
      <c r="H886" s="15"/>
      <c r="I886" s="4"/>
    </row>
    <row r="887" spans="1:9" x14ac:dyDescent="0.3">
      <c r="A887" s="15"/>
      <c r="G887" s="15"/>
      <c r="H887" s="15"/>
      <c r="I887" s="4"/>
    </row>
    <row r="888" spans="1:9" x14ac:dyDescent="0.3">
      <c r="A888" s="15"/>
      <c r="G888" s="15"/>
      <c r="H888" s="15"/>
      <c r="I888" s="4"/>
    </row>
    <row r="889" spans="1:9" x14ac:dyDescent="0.3">
      <c r="A889" s="15"/>
      <c r="G889" s="15"/>
      <c r="H889" s="15"/>
      <c r="I889" s="4"/>
    </row>
    <row r="890" spans="1:9" x14ac:dyDescent="0.3">
      <c r="A890" s="15"/>
      <c r="G890" s="15"/>
      <c r="H890" s="15"/>
      <c r="I890" s="4"/>
    </row>
    <row r="891" spans="1:9" x14ac:dyDescent="0.3">
      <c r="A891" s="15"/>
      <c r="G891" s="15"/>
      <c r="H891" s="15"/>
      <c r="I891" s="4"/>
    </row>
    <row r="892" spans="1:9" x14ac:dyDescent="0.3">
      <c r="A892" s="15"/>
      <c r="G892" s="15"/>
      <c r="H892" s="15"/>
      <c r="I892" s="4"/>
    </row>
    <row r="893" spans="1:9" x14ac:dyDescent="0.3">
      <c r="A893" s="15"/>
      <c r="G893" s="15"/>
      <c r="H893" s="15"/>
      <c r="I893" s="4"/>
    </row>
    <row r="894" spans="1:9" x14ac:dyDescent="0.3">
      <c r="A894" s="15"/>
      <c r="G894" s="15"/>
      <c r="H894" s="15"/>
      <c r="I894" s="4"/>
    </row>
    <row r="895" spans="1:9" x14ac:dyDescent="0.3">
      <c r="A895" s="15"/>
      <c r="G895" s="15"/>
      <c r="H895" s="15"/>
      <c r="I895" s="4"/>
    </row>
    <row r="896" spans="1:9" x14ac:dyDescent="0.3">
      <c r="A896" s="15"/>
      <c r="G896" s="15"/>
      <c r="H896" s="15"/>
      <c r="I896" s="4"/>
    </row>
    <row r="897" spans="1:9" x14ac:dyDescent="0.3">
      <c r="A897" s="15"/>
      <c r="G897" s="15"/>
      <c r="H897" s="15"/>
      <c r="I897" s="4"/>
    </row>
    <row r="898" spans="1:9" x14ac:dyDescent="0.3">
      <c r="A898" s="15"/>
      <c r="G898" s="15"/>
      <c r="H898" s="15"/>
      <c r="I898" s="4"/>
    </row>
    <row r="899" spans="1:9" x14ac:dyDescent="0.3">
      <c r="A899" s="15"/>
      <c r="G899" s="15"/>
      <c r="H899" s="15"/>
      <c r="I899" s="4"/>
    </row>
    <row r="900" spans="1:9" x14ac:dyDescent="0.3">
      <c r="A900" s="15"/>
      <c r="G900" s="15"/>
      <c r="H900" s="15"/>
      <c r="I900" s="4"/>
    </row>
    <row r="901" spans="1:9" x14ac:dyDescent="0.3">
      <c r="A901" s="15"/>
      <c r="G901" s="15"/>
      <c r="H901" s="15"/>
      <c r="I901" s="4"/>
    </row>
    <row r="902" spans="1:9" x14ac:dyDescent="0.3">
      <c r="A902" s="15"/>
      <c r="G902" s="15"/>
      <c r="H902" s="15"/>
      <c r="I902" s="4"/>
    </row>
    <row r="903" spans="1:9" x14ac:dyDescent="0.3">
      <c r="A903" s="15"/>
      <c r="G903" s="15"/>
      <c r="H903" s="15"/>
      <c r="I903" s="4"/>
    </row>
    <row r="904" spans="1:9" x14ac:dyDescent="0.3">
      <c r="A904" s="15"/>
      <c r="G904" s="15"/>
      <c r="H904" s="15"/>
      <c r="I904" s="4"/>
    </row>
    <row r="905" spans="1:9" x14ac:dyDescent="0.3">
      <c r="A905" s="15"/>
      <c r="G905" s="15"/>
      <c r="H905" s="15"/>
      <c r="I905" s="4"/>
    </row>
    <row r="906" spans="1:9" x14ac:dyDescent="0.3">
      <c r="A906" s="15"/>
      <c r="G906" s="15"/>
      <c r="H906" s="15"/>
      <c r="I906" s="4"/>
    </row>
    <row r="907" spans="1:9" x14ac:dyDescent="0.3">
      <c r="A907" s="15"/>
      <c r="G907" s="15"/>
      <c r="H907" s="15"/>
      <c r="I907" s="4"/>
    </row>
    <row r="908" spans="1:9" x14ac:dyDescent="0.3">
      <c r="A908" s="15"/>
      <c r="G908" s="15"/>
      <c r="H908" s="15"/>
      <c r="I908" s="4"/>
    </row>
    <row r="909" spans="1:9" x14ac:dyDescent="0.3">
      <c r="A909" s="15"/>
      <c r="G909" s="15"/>
      <c r="H909" s="15"/>
      <c r="I909" s="4"/>
    </row>
    <row r="910" spans="1:9" x14ac:dyDescent="0.3">
      <c r="A910" s="15"/>
      <c r="G910" s="15"/>
      <c r="H910" s="15"/>
      <c r="I910" s="4"/>
    </row>
    <row r="911" spans="1:9" x14ac:dyDescent="0.3">
      <c r="A911" s="15"/>
      <c r="G911" s="15"/>
      <c r="H911" s="15"/>
      <c r="I911" s="4"/>
    </row>
    <row r="912" spans="1:9" x14ac:dyDescent="0.3">
      <c r="A912" s="15"/>
      <c r="G912" s="15"/>
      <c r="H912" s="15"/>
      <c r="I912" s="4"/>
    </row>
    <row r="913" spans="1:9" x14ac:dyDescent="0.3">
      <c r="A913" s="15"/>
      <c r="G913" s="15"/>
      <c r="H913" s="15"/>
      <c r="I913" s="4"/>
    </row>
    <row r="914" spans="1:9" x14ac:dyDescent="0.3">
      <c r="A914" s="15"/>
      <c r="G914" s="15"/>
      <c r="H914" s="15"/>
      <c r="I914" s="4"/>
    </row>
    <row r="915" spans="1:9" x14ac:dyDescent="0.3">
      <c r="A915" s="15"/>
      <c r="G915" s="15"/>
      <c r="H915" s="15"/>
      <c r="I915" s="4"/>
    </row>
    <row r="916" spans="1:9" x14ac:dyDescent="0.3">
      <c r="A916" s="15"/>
      <c r="G916" s="15"/>
      <c r="H916" s="15"/>
      <c r="I916" s="4"/>
    </row>
    <row r="917" spans="1:9" x14ac:dyDescent="0.3">
      <c r="A917" s="15"/>
      <c r="G917" s="15"/>
      <c r="H917" s="15"/>
      <c r="I917" s="4"/>
    </row>
    <row r="918" spans="1:9" x14ac:dyDescent="0.3">
      <c r="A918" s="15"/>
      <c r="G918" s="15"/>
      <c r="H918" s="15"/>
      <c r="I918" s="4"/>
    </row>
    <row r="919" spans="1:9" x14ac:dyDescent="0.3">
      <c r="A919" s="15"/>
      <c r="G919" s="15"/>
      <c r="H919" s="15"/>
      <c r="I919" s="4"/>
    </row>
    <row r="920" spans="1:9" x14ac:dyDescent="0.3">
      <c r="A920" s="15"/>
      <c r="G920" s="15"/>
      <c r="H920" s="15"/>
      <c r="I920" s="4"/>
    </row>
    <row r="921" spans="1:9" x14ac:dyDescent="0.3">
      <c r="A921" s="15"/>
      <c r="G921" s="15"/>
      <c r="H921" s="15"/>
      <c r="I921" s="4"/>
    </row>
    <row r="922" spans="1:9" x14ac:dyDescent="0.3">
      <c r="A922" s="15"/>
      <c r="G922" s="15"/>
      <c r="H922" s="15"/>
      <c r="I922" s="4"/>
    </row>
    <row r="923" spans="1:9" x14ac:dyDescent="0.3">
      <c r="A923" s="15"/>
      <c r="G923" s="15"/>
      <c r="H923" s="15"/>
      <c r="I923" s="4"/>
    </row>
    <row r="924" spans="1:9" x14ac:dyDescent="0.3">
      <c r="A924" s="15"/>
      <c r="G924" s="15"/>
      <c r="H924" s="15"/>
      <c r="I924" s="4"/>
    </row>
    <row r="925" spans="1:9" x14ac:dyDescent="0.3">
      <c r="A925" s="15"/>
      <c r="G925" s="15"/>
      <c r="H925" s="15"/>
      <c r="I925" s="4"/>
    </row>
    <row r="926" spans="1:9" x14ac:dyDescent="0.3">
      <c r="A926" s="15"/>
      <c r="G926" s="15"/>
      <c r="H926" s="15"/>
      <c r="I926" s="4"/>
    </row>
    <row r="927" spans="1:9" x14ac:dyDescent="0.3">
      <c r="A927" s="15"/>
      <c r="G927" s="15"/>
      <c r="H927" s="15"/>
      <c r="I927" s="4"/>
    </row>
    <row r="928" spans="1:9" x14ac:dyDescent="0.3">
      <c r="A928" s="15"/>
      <c r="G928" s="15"/>
      <c r="H928" s="15"/>
      <c r="I928" s="4"/>
    </row>
    <row r="929" spans="1:9" x14ac:dyDescent="0.3">
      <c r="A929" s="15"/>
      <c r="G929" s="15"/>
      <c r="H929" s="15"/>
      <c r="I929" s="4"/>
    </row>
    <row r="930" spans="1:9" x14ac:dyDescent="0.3">
      <c r="A930" s="15"/>
      <c r="G930" s="15"/>
      <c r="H930" s="15"/>
      <c r="I930" s="4"/>
    </row>
    <row r="931" spans="1:9" x14ac:dyDescent="0.3">
      <c r="A931" s="15"/>
      <c r="G931" s="15"/>
      <c r="H931" s="15"/>
      <c r="I931" s="4"/>
    </row>
    <row r="932" spans="1:9" x14ac:dyDescent="0.3">
      <c r="A932" s="15"/>
      <c r="G932" s="15"/>
      <c r="H932" s="15"/>
      <c r="I932" s="4"/>
    </row>
    <row r="933" spans="1:9" x14ac:dyDescent="0.3">
      <c r="A933" s="15"/>
      <c r="G933" s="15"/>
      <c r="H933" s="15"/>
      <c r="I933" s="4"/>
    </row>
  </sheetData>
  <autoFilter ref="A14:WVN682"/>
  <mergeCells count="6">
    <mergeCell ref="E713:F713"/>
    <mergeCell ref="A10:H10"/>
    <mergeCell ref="A11:H11"/>
    <mergeCell ref="A678:E678"/>
    <mergeCell ref="E711:F711"/>
    <mergeCell ref="E712:F712"/>
  </mergeCells>
  <pageMargins left="0.70866141732283472" right="0.70866141732283472" top="0.35433070866141736" bottom="0.35433070866141736" header="0.31496062992125984" footer="0.31496062992125984"/>
  <pageSetup paperSize="9" scale="4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05"/>
  <sheetViews>
    <sheetView topLeftCell="A166" zoomScaleNormal="100" zoomScaleSheetLayoutView="100" workbookViewId="0">
      <selection activeCell="F146" sqref="F146"/>
    </sheetView>
  </sheetViews>
  <sheetFormatPr defaultRowHeight="18.350000000000001" outlineLevelRow="7" x14ac:dyDescent="0.3"/>
  <cols>
    <col min="1" max="1" width="62.375" style="162" customWidth="1"/>
    <col min="2" max="2" width="6.375" style="7" customWidth="1"/>
    <col min="3" max="3" width="6.625" style="7" customWidth="1"/>
    <col min="4" max="4" width="15.875" style="7" customWidth="1"/>
    <col min="5" max="5" width="6.875" style="7" customWidth="1"/>
    <col min="6" max="6" width="19.125" style="181" customWidth="1"/>
    <col min="7" max="7" width="19.375" style="163" customWidth="1"/>
    <col min="8" max="8" width="9.125" style="163"/>
    <col min="9" max="10" width="9.125" style="5"/>
    <col min="11" max="11" width="18.375" style="5" bestFit="1" customWidth="1"/>
    <col min="12" max="12" width="16.125" style="5" customWidth="1"/>
    <col min="13" max="238" width="9.125" style="5"/>
    <col min="239" max="239" width="75.875" style="5" customWidth="1"/>
    <col min="240" max="241" width="7.625" style="5" customWidth="1"/>
    <col min="242" max="242" width="9.625" style="5" customWidth="1"/>
    <col min="243" max="243" width="7.625" style="5" customWidth="1"/>
    <col min="244" max="247" width="0" style="5" hidden="1" customWidth="1"/>
    <col min="248" max="248" width="14.375" style="5" customWidth="1"/>
    <col min="249" max="254" width="0" style="5" hidden="1" customWidth="1"/>
    <col min="255" max="255" width="10.125" style="5" bestFit="1" customWidth="1"/>
    <col min="256" max="494" width="9.125" style="5"/>
    <col min="495" max="495" width="75.875" style="5" customWidth="1"/>
    <col min="496" max="497" width="7.625" style="5" customWidth="1"/>
    <col min="498" max="498" width="9.625" style="5" customWidth="1"/>
    <col min="499" max="499" width="7.625" style="5" customWidth="1"/>
    <col min="500" max="503" width="0" style="5" hidden="1" customWidth="1"/>
    <col min="504" max="504" width="14.375" style="5" customWidth="1"/>
    <col min="505" max="510" width="0" style="5" hidden="1" customWidth="1"/>
    <col min="511" max="511" width="10.125" style="5" bestFit="1" customWidth="1"/>
    <col min="512" max="750" width="9.125" style="5"/>
    <col min="751" max="751" width="75.875" style="5" customWidth="1"/>
    <col min="752" max="753" width="7.625" style="5" customWidth="1"/>
    <col min="754" max="754" width="9.625" style="5" customWidth="1"/>
    <col min="755" max="755" width="7.625" style="5" customWidth="1"/>
    <col min="756" max="759" width="0" style="5" hidden="1" customWidth="1"/>
    <col min="760" max="760" width="14.375" style="5" customWidth="1"/>
    <col min="761" max="766" width="0" style="5" hidden="1" customWidth="1"/>
    <col min="767" max="767" width="10.125" style="5" bestFit="1" customWidth="1"/>
    <col min="768" max="1006" width="9.125" style="5"/>
    <col min="1007" max="1007" width="75.875" style="5" customWidth="1"/>
    <col min="1008" max="1009" width="7.625" style="5" customWidth="1"/>
    <col min="1010" max="1010" width="9.625" style="5" customWidth="1"/>
    <col min="1011" max="1011" width="7.625" style="5" customWidth="1"/>
    <col min="1012" max="1015" width="0" style="5" hidden="1" customWidth="1"/>
    <col min="1016" max="1016" width="14.375" style="5" customWidth="1"/>
    <col min="1017" max="1022" width="0" style="5" hidden="1" customWidth="1"/>
    <col min="1023" max="1023" width="10.125" style="5" bestFit="1" customWidth="1"/>
    <col min="1024" max="1262" width="9.125" style="5"/>
    <col min="1263" max="1263" width="75.875" style="5" customWidth="1"/>
    <col min="1264" max="1265" width="7.625" style="5" customWidth="1"/>
    <col min="1266" max="1266" width="9.625" style="5" customWidth="1"/>
    <col min="1267" max="1267" width="7.625" style="5" customWidth="1"/>
    <col min="1268" max="1271" width="0" style="5" hidden="1" customWidth="1"/>
    <col min="1272" max="1272" width="14.375" style="5" customWidth="1"/>
    <col min="1273" max="1278" width="0" style="5" hidden="1" customWidth="1"/>
    <col min="1279" max="1279" width="10.125" style="5" bestFit="1" customWidth="1"/>
    <col min="1280" max="1518" width="9.125" style="5"/>
    <col min="1519" max="1519" width="75.875" style="5" customWidth="1"/>
    <col min="1520" max="1521" width="7.625" style="5" customWidth="1"/>
    <col min="1522" max="1522" width="9.625" style="5" customWidth="1"/>
    <col min="1523" max="1523" width="7.625" style="5" customWidth="1"/>
    <col min="1524" max="1527" width="0" style="5" hidden="1" customWidth="1"/>
    <col min="1528" max="1528" width="14.375" style="5" customWidth="1"/>
    <col min="1529" max="1534" width="0" style="5" hidden="1" customWidth="1"/>
    <col min="1535" max="1535" width="10.125" style="5" bestFit="1" customWidth="1"/>
    <col min="1536" max="1774" width="9.125" style="5"/>
    <col min="1775" max="1775" width="75.875" style="5" customWidth="1"/>
    <col min="1776" max="1777" width="7.625" style="5" customWidth="1"/>
    <col min="1778" max="1778" width="9.625" style="5" customWidth="1"/>
    <col min="1779" max="1779" width="7.625" style="5" customWidth="1"/>
    <col min="1780" max="1783" width="0" style="5" hidden="1" customWidth="1"/>
    <col min="1784" max="1784" width="14.375" style="5" customWidth="1"/>
    <col min="1785" max="1790" width="0" style="5" hidden="1" customWidth="1"/>
    <col min="1791" max="1791" width="10.125" style="5" bestFit="1" customWidth="1"/>
    <col min="1792" max="2030" width="9.125" style="5"/>
    <col min="2031" max="2031" width="75.875" style="5" customWidth="1"/>
    <col min="2032" max="2033" width="7.625" style="5" customWidth="1"/>
    <col min="2034" max="2034" width="9.625" style="5" customWidth="1"/>
    <col min="2035" max="2035" width="7.625" style="5" customWidth="1"/>
    <col min="2036" max="2039" width="0" style="5" hidden="1" customWidth="1"/>
    <col min="2040" max="2040" width="14.375" style="5" customWidth="1"/>
    <col min="2041" max="2046" width="0" style="5" hidden="1" customWidth="1"/>
    <col min="2047" max="2047" width="10.125" style="5" bestFit="1" customWidth="1"/>
    <col min="2048" max="2286" width="9.125" style="5"/>
    <col min="2287" max="2287" width="75.875" style="5" customWidth="1"/>
    <col min="2288" max="2289" width="7.625" style="5" customWidth="1"/>
    <col min="2290" max="2290" width="9.625" style="5" customWidth="1"/>
    <col min="2291" max="2291" width="7.625" style="5" customWidth="1"/>
    <col min="2292" max="2295" width="0" style="5" hidden="1" customWidth="1"/>
    <col min="2296" max="2296" width="14.375" style="5" customWidth="1"/>
    <col min="2297" max="2302" width="0" style="5" hidden="1" customWidth="1"/>
    <col min="2303" max="2303" width="10.125" style="5" bestFit="1" customWidth="1"/>
    <col min="2304" max="2542" width="9.125" style="5"/>
    <col min="2543" max="2543" width="75.875" style="5" customWidth="1"/>
    <col min="2544" max="2545" width="7.625" style="5" customWidth="1"/>
    <col min="2546" max="2546" width="9.625" style="5" customWidth="1"/>
    <col min="2547" max="2547" width="7.625" style="5" customWidth="1"/>
    <col min="2548" max="2551" width="0" style="5" hidden="1" customWidth="1"/>
    <col min="2552" max="2552" width="14.375" style="5" customWidth="1"/>
    <col min="2553" max="2558" width="0" style="5" hidden="1" customWidth="1"/>
    <col min="2559" max="2559" width="10.125" style="5" bestFit="1" customWidth="1"/>
    <col min="2560" max="2798" width="9.125" style="5"/>
    <col min="2799" max="2799" width="75.875" style="5" customWidth="1"/>
    <col min="2800" max="2801" width="7.625" style="5" customWidth="1"/>
    <col min="2802" max="2802" width="9.625" style="5" customWidth="1"/>
    <col min="2803" max="2803" width="7.625" style="5" customWidth="1"/>
    <col min="2804" max="2807" width="0" style="5" hidden="1" customWidth="1"/>
    <col min="2808" max="2808" width="14.375" style="5" customWidth="1"/>
    <col min="2809" max="2814" width="0" style="5" hidden="1" customWidth="1"/>
    <col min="2815" max="2815" width="10.125" style="5" bestFit="1" customWidth="1"/>
    <col min="2816" max="3054" width="9.125" style="5"/>
    <col min="3055" max="3055" width="75.875" style="5" customWidth="1"/>
    <col min="3056" max="3057" width="7.625" style="5" customWidth="1"/>
    <col min="3058" max="3058" width="9.625" style="5" customWidth="1"/>
    <col min="3059" max="3059" width="7.625" style="5" customWidth="1"/>
    <col min="3060" max="3063" width="0" style="5" hidden="1" customWidth="1"/>
    <col min="3064" max="3064" width="14.375" style="5" customWidth="1"/>
    <col min="3065" max="3070" width="0" style="5" hidden="1" customWidth="1"/>
    <col min="3071" max="3071" width="10.125" style="5" bestFit="1" customWidth="1"/>
    <col min="3072" max="3310" width="9.125" style="5"/>
    <col min="3311" max="3311" width="75.875" style="5" customWidth="1"/>
    <col min="3312" max="3313" width="7.625" style="5" customWidth="1"/>
    <col min="3314" max="3314" width="9.625" style="5" customWidth="1"/>
    <col min="3315" max="3315" width="7.625" style="5" customWidth="1"/>
    <col min="3316" max="3319" width="0" style="5" hidden="1" customWidth="1"/>
    <col min="3320" max="3320" width="14.375" style="5" customWidth="1"/>
    <col min="3321" max="3326" width="0" style="5" hidden="1" customWidth="1"/>
    <col min="3327" max="3327" width="10.125" style="5" bestFit="1" customWidth="1"/>
    <col min="3328" max="3566" width="9.125" style="5"/>
    <col min="3567" max="3567" width="75.875" style="5" customWidth="1"/>
    <col min="3568" max="3569" width="7.625" style="5" customWidth="1"/>
    <col min="3570" max="3570" width="9.625" style="5" customWidth="1"/>
    <col min="3571" max="3571" width="7.625" style="5" customWidth="1"/>
    <col min="3572" max="3575" width="0" style="5" hidden="1" customWidth="1"/>
    <col min="3576" max="3576" width="14.375" style="5" customWidth="1"/>
    <col min="3577" max="3582" width="0" style="5" hidden="1" customWidth="1"/>
    <col min="3583" max="3583" width="10.125" style="5" bestFit="1" customWidth="1"/>
    <col min="3584" max="3822" width="9.125" style="5"/>
    <col min="3823" max="3823" width="75.875" style="5" customWidth="1"/>
    <col min="3824" max="3825" width="7.625" style="5" customWidth="1"/>
    <col min="3826" max="3826" width="9.625" style="5" customWidth="1"/>
    <col min="3827" max="3827" width="7.625" style="5" customWidth="1"/>
    <col min="3828" max="3831" width="0" style="5" hidden="1" customWidth="1"/>
    <col min="3832" max="3832" width="14.375" style="5" customWidth="1"/>
    <col min="3833" max="3838" width="0" style="5" hidden="1" customWidth="1"/>
    <col min="3839" max="3839" width="10.125" style="5" bestFit="1" customWidth="1"/>
    <col min="3840" max="4078" width="9.125" style="5"/>
    <col min="4079" max="4079" width="75.875" style="5" customWidth="1"/>
    <col min="4080" max="4081" width="7.625" style="5" customWidth="1"/>
    <col min="4082" max="4082" width="9.625" style="5" customWidth="1"/>
    <col min="4083" max="4083" width="7.625" style="5" customWidth="1"/>
    <col min="4084" max="4087" width="0" style="5" hidden="1" customWidth="1"/>
    <col min="4088" max="4088" width="14.375" style="5" customWidth="1"/>
    <col min="4089" max="4094" width="0" style="5" hidden="1" customWidth="1"/>
    <col min="4095" max="4095" width="10.125" style="5" bestFit="1" customWidth="1"/>
    <col min="4096" max="4334" width="9.125" style="5"/>
    <col min="4335" max="4335" width="75.875" style="5" customWidth="1"/>
    <col min="4336" max="4337" width="7.625" style="5" customWidth="1"/>
    <col min="4338" max="4338" width="9.625" style="5" customWidth="1"/>
    <col min="4339" max="4339" width="7.625" style="5" customWidth="1"/>
    <col min="4340" max="4343" width="0" style="5" hidden="1" customWidth="1"/>
    <col min="4344" max="4344" width="14.375" style="5" customWidth="1"/>
    <col min="4345" max="4350" width="0" style="5" hidden="1" customWidth="1"/>
    <col min="4351" max="4351" width="10.125" style="5" bestFit="1" customWidth="1"/>
    <col min="4352" max="4590" width="9.125" style="5"/>
    <col min="4591" max="4591" width="75.875" style="5" customWidth="1"/>
    <col min="4592" max="4593" width="7.625" style="5" customWidth="1"/>
    <col min="4594" max="4594" width="9.625" style="5" customWidth="1"/>
    <col min="4595" max="4595" width="7.625" style="5" customWidth="1"/>
    <col min="4596" max="4599" width="0" style="5" hidden="1" customWidth="1"/>
    <col min="4600" max="4600" width="14.375" style="5" customWidth="1"/>
    <col min="4601" max="4606" width="0" style="5" hidden="1" customWidth="1"/>
    <col min="4607" max="4607" width="10.125" style="5" bestFit="1" customWidth="1"/>
    <col min="4608" max="4846" width="9.125" style="5"/>
    <col min="4847" max="4847" width="75.875" style="5" customWidth="1"/>
    <col min="4848" max="4849" width="7.625" style="5" customWidth="1"/>
    <col min="4850" max="4850" width="9.625" style="5" customWidth="1"/>
    <col min="4851" max="4851" width="7.625" style="5" customWidth="1"/>
    <col min="4852" max="4855" width="0" style="5" hidden="1" customWidth="1"/>
    <col min="4856" max="4856" width="14.375" style="5" customWidth="1"/>
    <col min="4857" max="4862" width="0" style="5" hidden="1" customWidth="1"/>
    <col min="4863" max="4863" width="10.125" style="5" bestFit="1" customWidth="1"/>
    <col min="4864" max="5102" width="9.125" style="5"/>
    <col min="5103" max="5103" width="75.875" style="5" customWidth="1"/>
    <col min="5104" max="5105" width="7.625" style="5" customWidth="1"/>
    <col min="5106" max="5106" width="9.625" style="5" customWidth="1"/>
    <col min="5107" max="5107" width="7.625" style="5" customWidth="1"/>
    <col min="5108" max="5111" width="0" style="5" hidden="1" customWidth="1"/>
    <col min="5112" max="5112" width="14.375" style="5" customWidth="1"/>
    <col min="5113" max="5118" width="0" style="5" hidden="1" customWidth="1"/>
    <col min="5119" max="5119" width="10.125" style="5" bestFit="1" customWidth="1"/>
    <col min="5120" max="5358" width="9.125" style="5"/>
    <col min="5359" max="5359" width="75.875" style="5" customWidth="1"/>
    <col min="5360" max="5361" width="7.625" style="5" customWidth="1"/>
    <col min="5362" max="5362" width="9.625" style="5" customWidth="1"/>
    <col min="5363" max="5363" width="7.625" style="5" customWidth="1"/>
    <col min="5364" max="5367" width="0" style="5" hidden="1" customWidth="1"/>
    <col min="5368" max="5368" width="14.375" style="5" customWidth="1"/>
    <col min="5369" max="5374" width="0" style="5" hidden="1" customWidth="1"/>
    <col min="5375" max="5375" width="10.125" style="5" bestFit="1" customWidth="1"/>
    <col min="5376" max="5614" width="9.125" style="5"/>
    <col min="5615" max="5615" width="75.875" style="5" customWidth="1"/>
    <col min="5616" max="5617" width="7.625" style="5" customWidth="1"/>
    <col min="5618" max="5618" width="9.625" style="5" customWidth="1"/>
    <col min="5619" max="5619" width="7.625" style="5" customWidth="1"/>
    <col min="5620" max="5623" width="0" style="5" hidden="1" customWidth="1"/>
    <col min="5624" max="5624" width="14.375" style="5" customWidth="1"/>
    <col min="5625" max="5630" width="0" style="5" hidden="1" customWidth="1"/>
    <col min="5631" max="5631" width="10.125" style="5" bestFit="1" customWidth="1"/>
    <col min="5632" max="5870" width="9.125" style="5"/>
    <col min="5871" max="5871" width="75.875" style="5" customWidth="1"/>
    <col min="5872" max="5873" width="7.625" style="5" customWidth="1"/>
    <col min="5874" max="5874" width="9.625" style="5" customWidth="1"/>
    <col min="5875" max="5875" width="7.625" style="5" customWidth="1"/>
    <col min="5876" max="5879" width="0" style="5" hidden="1" customWidth="1"/>
    <col min="5880" max="5880" width="14.375" style="5" customWidth="1"/>
    <col min="5881" max="5886" width="0" style="5" hidden="1" customWidth="1"/>
    <col min="5887" max="5887" width="10.125" style="5" bestFit="1" customWidth="1"/>
    <col min="5888" max="6126" width="9.125" style="5"/>
    <col min="6127" max="6127" width="75.875" style="5" customWidth="1"/>
    <col min="6128" max="6129" width="7.625" style="5" customWidth="1"/>
    <col min="6130" max="6130" width="9.625" style="5" customWidth="1"/>
    <col min="6131" max="6131" width="7.625" style="5" customWidth="1"/>
    <col min="6132" max="6135" width="0" style="5" hidden="1" customWidth="1"/>
    <col min="6136" max="6136" width="14.375" style="5" customWidth="1"/>
    <col min="6137" max="6142" width="0" style="5" hidden="1" customWidth="1"/>
    <col min="6143" max="6143" width="10.125" style="5" bestFit="1" customWidth="1"/>
    <col min="6144" max="6382" width="9.125" style="5"/>
    <col min="6383" max="6383" width="75.875" style="5" customWidth="1"/>
    <col min="6384" max="6385" width="7.625" style="5" customWidth="1"/>
    <col min="6386" max="6386" width="9.625" style="5" customWidth="1"/>
    <col min="6387" max="6387" width="7.625" style="5" customWidth="1"/>
    <col min="6388" max="6391" width="0" style="5" hidden="1" customWidth="1"/>
    <col min="6392" max="6392" width="14.375" style="5" customWidth="1"/>
    <col min="6393" max="6398" width="0" style="5" hidden="1" customWidth="1"/>
    <col min="6399" max="6399" width="10.125" style="5" bestFit="1" customWidth="1"/>
    <col min="6400" max="6638" width="9.125" style="5"/>
    <col min="6639" max="6639" width="75.875" style="5" customWidth="1"/>
    <col min="6640" max="6641" width="7.625" style="5" customWidth="1"/>
    <col min="6642" max="6642" width="9.625" style="5" customWidth="1"/>
    <col min="6643" max="6643" width="7.625" style="5" customWidth="1"/>
    <col min="6644" max="6647" width="0" style="5" hidden="1" customWidth="1"/>
    <col min="6648" max="6648" width="14.375" style="5" customWidth="1"/>
    <col min="6649" max="6654" width="0" style="5" hidden="1" customWidth="1"/>
    <col min="6655" max="6655" width="10.125" style="5" bestFit="1" customWidth="1"/>
    <col min="6656" max="6894" width="9.125" style="5"/>
    <col min="6895" max="6895" width="75.875" style="5" customWidth="1"/>
    <col min="6896" max="6897" width="7.625" style="5" customWidth="1"/>
    <col min="6898" max="6898" width="9.625" style="5" customWidth="1"/>
    <col min="6899" max="6899" width="7.625" style="5" customWidth="1"/>
    <col min="6900" max="6903" width="0" style="5" hidden="1" customWidth="1"/>
    <col min="6904" max="6904" width="14.375" style="5" customWidth="1"/>
    <col min="6905" max="6910" width="0" style="5" hidden="1" customWidth="1"/>
    <col min="6911" max="6911" width="10.125" style="5" bestFit="1" customWidth="1"/>
    <col min="6912" max="7150" width="9.125" style="5"/>
    <col min="7151" max="7151" width="75.875" style="5" customWidth="1"/>
    <col min="7152" max="7153" width="7.625" style="5" customWidth="1"/>
    <col min="7154" max="7154" width="9.625" style="5" customWidth="1"/>
    <col min="7155" max="7155" width="7.625" style="5" customWidth="1"/>
    <col min="7156" max="7159" width="0" style="5" hidden="1" customWidth="1"/>
    <col min="7160" max="7160" width="14.375" style="5" customWidth="1"/>
    <col min="7161" max="7166" width="0" style="5" hidden="1" customWidth="1"/>
    <col min="7167" max="7167" width="10.125" style="5" bestFit="1" customWidth="1"/>
    <col min="7168" max="7406" width="9.125" style="5"/>
    <col min="7407" max="7407" width="75.875" style="5" customWidth="1"/>
    <col min="7408" max="7409" width="7.625" style="5" customWidth="1"/>
    <col min="7410" max="7410" width="9.625" style="5" customWidth="1"/>
    <col min="7411" max="7411" width="7.625" style="5" customWidth="1"/>
    <col min="7412" max="7415" width="0" style="5" hidden="1" customWidth="1"/>
    <col min="7416" max="7416" width="14.375" style="5" customWidth="1"/>
    <col min="7417" max="7422" width="0" style="5" hidden="1" customWidth="1"/>
    <col min="7423" max="7423" width="10.125" style="5" bestFit="1" customWidth="1"/>
    <col min="7424" max="7662" width="9.125" style="5"/>
    <col min="7663" max="7663" width="75.875" style="5" customWidth="1"/>
    <col min="7664" max="7665" width="7.625" style="5" customWidth="1"/>
    <col min="7666" max="7666" width="9.625" style="5" customWidth="1"/>
    <col min="7667" max="7667" width="7.625" style="5" customWidth="1"/>
    <col min="7668" max="7671" width="0" style="5" hidden="1" customWidth="1"/>
    <col min="7672" max="7672" width="14.375" style="5" customWidth="1"/>
    <col min="7673" max="7678" width="0" style="5" hidden="1" customWidth="1"/>
    <col min="7679" max="7679" width="10.125" style="5" bestFit="1" customWidth="1"/>
    <col min="7680" max="7918" width="9.125" style="5"/>
    <col min="7919" max="7919" width="75.875" style="5" customWidth="1"/>
    <col min="7920" max="7921" width="7.625" style="5" customWidth="1"/>
    <col min="7922" max="7922" width="9.625" style="5" customWidth="1"/>
    <col min="7923" max="7923" width="7.625" style="5" customWidth="1"/>
    <col min="7924" max="7927" width="0" style="5" hidden="1" customWidth="1"/>
    <col min="7928" max="7928" width="14.375" style="5" customWidth="1"/>
    <col min="7929" max="7934" width="0" style="5" hidden="1" customWidth="1"/>
    <col min="7935" max="7935" width="10.125" style="5" bestFit="1" customWidth="1"/>
    <col min="7936" max="8174" width="9.125" style="5"/>
    <col min="8175" max="8175" width="75.875" style="5" customWidth="1"/>
    <col min="8176" max="8177" width="7.625" style="5" customWidth="1"/>
    <col min="8178" max="8178" width="9.625" style="5" customWidth="1"/>
    <col min="8179" max="8179" width="7.625" style="5" customWidth="1"/>
    <col min="8180" max="8183" width="0" style="5" hidden="1" customWidth="1"/>
    <col min="8184" max="8184" width="14.375" style="5" customWidth="1"/>
    <col min="8185" max="8190" width="0" style="5" hidden="1" customWidth="1"/>
    <col min="8191" max="8191" width="10.125" style="5" bestFit="1" customWidth="1"/>
    <col min="8192" max="8430" width="9.125" style="5"/>
    <col min="8431" max="8431" width="75.875" style="5" customWidth="1"/>
    <col min="8432" max="8433" width="7.625" style="5" customWidth="1"/>
    <col min="8434" max="8434" width="9.625" style="5" customWidth="1"/>
    <col min="8435" max="8435" width="7.625" style="5" customWidth="1"/>
    <col min="8436" max="8439" width="0" style="5" hidden="1" customWidth="1"/>
    <col min="8440" max="8440" width="14.375" style="5" customWidth="1"/>
    <col min="8441" max="8446" width="0" style="5" hidden="1" customWidth="1"/>
    <col min="8447" max="8447" width="10.125" style="5" bestFit="1" customWidth="1"/>
    <col min="8448" max="8686" width="9.125" style="5"/>
    <col min="8687" max="8687" width="75.875" style="5" customWidth="1"/>
    <col min="8688" max="8689" width="7.625" style="5" customWidth="1"/>
    <col min="8690" max="8690" width="9.625" style="5" customWidth="1"/>
    <col min="8691" max="8691" width="7.625" style="5" customWidth="1"/>
    <col min="8692" max="8695" width="0" style="5" hidden="1" customWidth="1"/>
    <col min="8696" max="8696" width="14.375" style="5" customWidth="1"/>
    <col min="8697" max="8702" width="0" style="5" hidden="1" customWidth="1"/>
    <col min="8703" max="8703" width="10.125" style="5" bestFit="1" customWidth="1"/>
    <col min="8704" max="8942" width="9.125" style="5"/>
    <col min="8943" max="8943" width="75.875" style="5" customWidth="1"/>
    <col min="8944" max="8945" width="7.625" style="5" customWidth="1"/>
    <col min="8946" max="8946" width="9.625" style="5" customWidth="1"/>
    <col min="8947" max="8947" width="7.625" style="5" customWidth="1"/>
    <col min="8948" max="8951" width="0" style="5" hidden="1" customWidth="1"/>
    <col min="8952" max="8952" width="14.375" style="5" customWidth="1"/>
    <col min="8953" max="8958" width="0" style="5" hidden="1" customWidth="1"/>
    <col min="8959" max="8959" width="10.125" style="5" bestFit="1" customWidth="1"/>
    <col min="8960" max="9198" width="9.125" style="5"/>
    <col min="9199" max="9199" width="75.875" style="5" customWidth="1"/>
    <col min="9200" max="9201" width="7.625" style="5" customWidth="1"/>
    <col min="9202" max="9202" width="9.625" style="5" customWidth="1"/>
    <col min="9203" max="9203" width="7.625" style="5" customWidth="1"/>
    <col min="9204" max="9207" width="0" style="5" hidden="1" customWidth="1"/>
    <col min="9208" max="9208" width="14.375" style="5" customWidth="1"/>
    <col min="9209" max="9214" width="0" style="5" hidden="1" customWidth="1"/>
    <col min="9215" max="9215" width="10.125" style="5" bestFit="1" customWidth="1"/>
    <col min="9216" max="9454" width="9.125" style="5"/>
    <col min="9455" max="9455" width="75.875" style="5" customWidth="1"/>
    <col min="9456" max="9457" width="7.625" style="5" customWidth="1"/>
    <col min="9458" max="9458" width="9.625" style="5" customWidth="1"/>
    <col min="9459" max="9459" width="7.625" style="5" customWidth="1"/>
    <col min="9460" max="9463" width="0" style="5" hidden="1" customWidth="1"/>
    <col min="9464" max="9464" width="14.375" style="5" customWidth="1"/>
    <col min="9465" max="9470" width="0" style="5" hidden="1" customWidth="1"/>
    <col min="9471" max="9471" width="10.125" style="5" bestFit="1" customWidth="1"/>
    <col min="9472" max="9710" width="9.125" style="5"/>
    <col min="9711" max="9711" width="75.875" style="5" customWidth="1"/>
    <col min="9712" max="9713" width="7.625" style="5" customWidth="1"/>
    <col min="9714" max="9714" width="9.625" style="5" customWidth="1"/>
    <col min="9715" max="9715" width="7.625" style="5" customWidth="1"/>
    <col min="9716" max="9719" width="0" style="5" hidden="1" customWidth="1"/>
    <col min="9720" max="9720" width="14.375" style="5" customWidth="1"/>
    <col min="9721" max="9726" width="0" style="5" hidden="1" customWidth="1"/>
    <col min="9727" max="9727" width="10.125" style="5" bestFit="1" customWidth="1"/>
    <col min="9728" max="9966" width="9.125" style="5"/>
    <col min="9967" max="9967" width="75.875" style="5" customWidth="1"/>
    <col min="9968" max="9969" width="7.625" style="5" customWidth="1"/>
    <col min="9970" max="9970" width="9.625" style="5" customWidth="1"/>
    <col min="9971" max="9971" width="7.625" style="5" customWidth="1"/>
    <col min="9972" max="9975" width="0" style="5" hidden="1" customWidth="1"/>
    <col min="9976" max="9976" width="14.375" style="5" customWidth="1"/>
    <col min="9977" max="9982" width="0" style="5" hidden="1" customWidth="1"/>
    <col min="9983" max="9983" width="10.125" style="5" bestFit="1" customWidth="1"/>
    <col min="9984" max="10222" width="9.125" style="5"/>
    <col min="10223" max="10223" width="75.875" style="5" customWidth="1"/>
    <col min="10224" max="10225" width="7.625" style="5" customWidth="1"/>
    <col min="10226" max="10226" width="9.625" style="5" customWidth="1"/>
    <col min="10227" max="10227" width="7.625" style="5" customWidth="1"/>
    <col min="10228" max="10231" width="0" style="5" hidden="1" customWidth="1"/>
    <col min="10232" max="10232" width="14.375" style="5" customWidth="1"/>
    <col min="10233" max="10238" width="0" style="5" hidden="1" customWidth="1"/>
    <col min="10239" max="10239" width="10.125" style="5" bestFit="1" customWidth="1"/>
    <col min="10240" max="10478" width="9.125" style="5"/>
    <col min="10479" max="10479" width="75.875" style="5" customWidth="1"/>
    <col min="10480" max="10481" width="7.625" style="5" customWidth="1"/>
    <col min="10482" max="10482" width="9.625" style="5" customWidth="1"/>
    <col min="10483" max="10483" width="7.625" style="5" customWidth="1"/>
    <col min="10484" max="10487" width="0" style="5" hidden="1" customWidth="1"/>
    <col min="10488" max="10488" width="14.375" style="5" customWidth="1"/>
    <col min="10489" max="10494" width="0" style="5" hidden="1" customWidth="1"/>
    <col min="10495" max="10495" width="10.125" style="5" bestFit="1" customWidth="1"/>
    <col min="10496" max="10734" width="9.125" style="5"/>
    <col min="10735" max="10735" width="75.875" style="5" customWidth="1"/>
    <col min="10736" max="10737" width="7.625" style="5" customWidth="1"/>
    <col min="10738" max="10738" width="9.625" style="5" customWidth="1"/>
    <col min="10739" max="10739" width="7.625" style="5" customWidth="1"/>
    <col min="10740" max="10743" width="0" style="5" hidden="1" customWidth="1"/>
    <col min="10744" max="10744" width="14.375" style="5" customWidth="1"/>
    <col min="10745" max="10750" width="0" style="5" hidden="1" customWidth="1"/>
    <col min="10751" max="10751" width="10.125" style="5" bestFit="1" customWidth="1"/>
    <col min="10752" max="10990" width="9.125" style="5"/>
    <col min="10991" max="10991" width="75.875" style="5" customWidth="1"/>
    <col min="10992" max="10993" width="7.625" style="5" customWidth="1"/>
    <col min="10994" max="10994" width="9.625" style="5" customWidth="1"/>
    <col min="10995" max="10995" width="7.625" style="5" customWidth="1"/>
    <col min="10996" max="10999" width="0" style="5" hidden="1" customWidth="1"/>
    <col min="11000" max="11000" width="14.375" style="5" customWidth="1"/>
    <col min="11001" max="11006" width="0" style="5" hidden="1" customWidth="1"/>
    <col min="11007" max="11007" width="10.125" style="5" bestFit="1" customWidth="1"/>
    <col min="11008" max="11246" width="9.125" style="5"/>
    <col min="11247" max="11247" width="75.875" style="5" customWidth="1"/>
    <col min="11248" max="11249" width="7.625" style="5" customWidth="1"/>
    <col min="11250" max="11250" width="9.625" style="5" customWidth="1"/>
    <col min="11251" max="11251" width="7.625" style="5" customWidth="1"/>
    <col min="11252" max="11255" width="0" style="5" hidden="1" customWidth="1"/>
    <col min="11256" max="11256" width="14.375" style="5" customWidth="1"/>
    <col min="11257" max="11262" width="0" style="5" hidden="1" customWidth="1"/>
    <col min="11263" max="11263" width="10.125" style="5" bestFit="1" customWidth="1"/>
    <col min="11264" max="11502" width="9.125" style="5"/>
    <col min="11503" max="11503" width="75.875" style="5" customWidth="1"/>
    <col min="11504" max="11505" width="7.625" style="5" customWidth="1"/>
    <col min="11506" max="11506" width="9.625" style="5" customWidth="1"/>
    <col min="11507" max="11507" width="7.625" style="5" customWidth="1"/>
    <col min="11508" max="11511" width="0" style="5" hidden="1" customWidth="1"/>
    <col min="11512" max="11512" width="14.375" style="5" customWidth="1"/>
    <col min="11513" max="11518" width="0" style="5" hidden="1" customWidth="1"/>
    <col min="11519" max="11519" width="10.125" style="5" bestFit="1" customWidth="1"/>
    <col min="11520" max="11758" width="9.125" style="5"/>
    <col min="11759" max="11759" width="75.875" style="5" customWidth="1"/>
    <col min="11760" max="11761" width="7.625" style="5" customWidth="1"/>
    <col min="11762" max="11762" width="9.625" style="5" customWidth="1"/>
    <col min="11763" max="11763" width="7.625" style="5" customWidth="1"/>
    <col min="11764" max="11767" width="0" style="5" hidden="1" customWidth="1"/>
    <col min="11768" max="11768" width="14.375" style="5" customWidth="1"/>
    <col min="11769" max="11774" width="0" style="5" hidden="1" customWidth="1"/>
    <col min="11775" max="11775" width="10.125" style="5" bestFit="1" customWidth="1"/>
    <col min="11776" max="12014" width="9.125" style="5"/>
    <col min="12015" max="12015" width="75.875" style="5" customWidth="1"/>
    <col min="12016" max="12017" width="7.625" style="5" customWidth="1"/>
    <col min="12018" max="12018" width="9.625" style="5" customWidth="1"/>
    <col min="12019" max="12019" width="7.625" style="5" customWidth="1"/>
    <col min="12020" max="12023" width="0" style="5" hidden="1" customWidth="1"/>
    <col min="12024" max="12024" width="14.375" style="5" customWidth="1"/>
    <col min="12025" max="12030" width="0" style="5" hidden="1" customWidth="1"/>
    <col min="12031" max="12031" width="10.125" style="5" bestFit="1" customWidth="1"/>
    <col min="12032" max="12270" width="9.125" style="5"/>
    <col min="12271" max="12271" width="75.875" style="5" customWidth="1"/>
    <col min="12272" max="12273" width="7.625" style="5" customWidth="1"/>
    <col min="12274" max="12274" width="9.625" style="5" customWidth="1"/>
    <col min="12275" max="12275" width="7.625" style="5" customWidth="1"/>
    <col min="12276" max="12279" width="0" style="5" hidden="1" customWidth="1"/>
    <col min="12280" max="12280" width="14.375" style="5" customWidth="1"/>
    <col min="12281" max="12286" width="0" style="5" hidden="1" customWidth="1"/>
    <col min="12287" max="12287" width="10.125" style="5" bestFit="1" customWidth="1"/>
    <col min="12288" max="12526" width="9.125" style="5"/>
    <col min="12527" max="12527" width="75.875" style="5" customWidth="1"/>
    <col min="12528" max="12529" width="7.625" style="5" customWidth="1"/>
    <col min="12530" max="12530" width="9.625" style="5" customWidth="1"/>
    <col min="12531" max="12531" width="7.625" style="5" customWidth="1"/>
    <col min="12532" max="12535" width="0" style="5" hidden="1" customWidth="1"/>
    <col min="12536" max="12536" width="14.375" style="5" customWidth="1"/>
    <col min="12537" max="12542" width="0" style="5" hidden="1" customWidth="1"/>
    <col min="12543" max="12543" width="10.125" style="5" bestFit="1" customWidth="1"/>
    <col min="12544" max="12782" width="9.125" style="5"/>
    <col min="12783" max="12783" width="75.875" style="5" customWidth="1"/>
    <col min="12784" max="12785" width="7.625" style="5" customWidth="1"/>
    <col min="12786" max="12786" width="9.625" style="5" customWidth="1"/>
    <col min="12787" max="12787" width="7.625" style="5" customWidth="1"/>
    <col min="12788" max="12791" width="0" style="5" hidden="1" customWidth="1"/>
    <col min="12792" max="12792" width="14.375" style="5" customWidth="1"/>
    <col min="12793" max="12798" width="0" style="5" hidden="1" customWidth="1"/>
    <col min="12799" max="12799" width="10.125" style="5" bestFit="1" customWidth="1"/>
    <col min="12800" max="13038" width="9.125" style="5"/>
    <col min="13039" max="13039" width="75.875" style="5" customWidth="1"/>
    <col min="13040" max="13041" width="7.625" style="5" customWidth="1"/>
    <col min="13042" max="13042" width="9.625" style="5" customWidth="1"/>
    <col min="13043" max="13043" width="7.625" style="5" customWidth="1"/>
    <col min="13044" max="13047" width="0" style="5" hidden="1" customWidth="1"/>
    <col min="13048" max="13048" width="14.375" style="5" customWidth="1"/>
    <col min="13049" max="13054" width="0" style="5" hidden="1" customWidth="1"/>
    <col min="13055" max="13055" width="10.125" style="5" bestFit="1" customWidth="1"/>
    <col min="13056" max="13294" width="9.125" style="5"/>
    <col min="13295" max="13295" width="75.875" style="5" customWidth="1"/>
    <col min="13296" max="13297" width="7.625" style="5" customWidth="1"/>
    <col min="13298" max="13298" width="9.625" style="5" customWidth="1"/>
    <col min="13299" max="13299" width="7.625" style="5" customWidth="1"/>
    <col min="13300" max="13303" width="0" style="5" hidden="1" customWidth="1"/>
    <col min="13304" max="13304" width="14.375" style="5" customWidth="1"/>
    <col min="13305" max="13310" width="0" style="5" hidden="1" customWidth="1"/>
    <col min="13311" max="13311" width="10.125" style="5" bestFit="1" customWidth="1"/>
    <col min="13312" max="13550" width="9.125" style="5"/>
    <col min="13551" max="13551" width="75.875" style="5" customWidth="1"/>
    <col min="13552" max="13553" width="7.625" style="5" customWidth="1"/>
    <col min="13554" max="13554" width="9.625" style="5" customWidth="1"/>
    <col min="13555" max="13555" width="7.625" style="5" customWidth="1"/>
    <col min="13556" max="13559" width="0" style="5" hidden="1" customWidth="1"/>
    <col min="13560" max="13560" width="14.375" style="5" customWidth="1"/>
    <col min="13561" max="13566" width="0" style="5" hidden="1" customWidth="1"/>
    <col min="13567" max="13567" width="10.125" style="5" bestFit="1" customWidth="1"/>
    <col min="13568" max="13806" width="9.125" style="5"/>
    <col min="13807" max="13807" width="75.875" style="5" customWidth="1"/>
    <col min="13808" max="13809" width="7.625" style="5" customWidth="1"/>
    <col min="13810" max="13810" width="9.625" style="5" customWidth="1"/>
    <col min="13811" max="13811" width="7.625" style="5" customWidth="1"/>
    <col min="13812" max="13815" width="0" style="5" hidden="1" customWidth="1"/>
    <col min="13816" max="13816" width="14.375" style="5" customWidth="1"/>
    <col min="13817" max="13822" width="0" style="5" hidden="1" customWidth="1"/>
    <col min="13823" max="13823" width="10.125" style="5" bestFit="1" customWidth="1"/>
    <col min="13824" max="14062" width="9.125" style="5"/>
    <col min="14063" max="14063" width="75.875" style="5" customWidth="1"/>
    <col min="14064" max="14065" width="7.625" style="5" customWidth="1"/>
    <col min="14066" max="14066" width="9.625" style="5" customWidth="1"/>
    <col min="14067" max="14067" width="7.625" style="5" customWidth="1"/>
    <col min="14068" max="14071" width="0" style="5" hidden="1" customWidth="1"/>
    <col min="14072" max="14072" width="14.375" style="5" customWidth="1"/>
    <col min="14073" max="14078" width="0" style="5" hidden="1" customWidth="1"/>
    <col min="14079" max="14079" width="10.125" style="5" bestFit="1" customWidth="1"/>
    <col min="14080" max="14318" width="9.125" style="5"/>
    <col min="14319" max="14319" width="75.875" style="5" customWidth="1"/>
    <col min="14320" max="14321" width="7.625" style="5" customWidth="1"/>
    <col min="14322" max="14322" width="9.625" style="5" customWidth="1"/>
    <col min="14323" max="14323" width="7.625" style="5" customWidth="1"/>
    <col min="14324" max="14327" width="0" style="5" hidden="1" customWidth="1"/>
    <col min="14328" max="14328" width="14.375" style="5" customWidth="1"/>
    <col min="14329" max="14334" width="0" style="5" hidden="1" customWidth="1"/>
    <col min="14335" max="14335" width="10.125" style="5" bestFit="1" customWidth="1"/>
    <col min="14336" max="14574" width="9.125" style="5"/>
    <col min="14575" max="14575" width="75.875" style="5" customWidth="1"/>
    <col min="14576" max="14577" width="7.625" style="5" customWidth="1"/>
    <col min="14578" max="14578" width="9.625" style="5" customWidth="1"/>
    <col min="14579" max="14579" width="7.625" style="5" customWidth="1"/>
    <col min="14580" max="14583" width="0" style="5" hidden="1" customWidth="1"/>
    <col min="14584" max="14584" width="14.375" style="5" customWidth="1"/>
    <col min="14585" max="14590" width="0" style="5" hidden="1" customWidth="1"/>
    <col min="14591" max="14591" width="10.125" style="5" bestFit="1" customWidth="1"/>
    <col min="14592" max="14830" width="9.125" style="5"/>
    <col min="14831" max="14831" width="75.875" style="5" customWidth="1"/>
    <col min="14832" max="14833" width="7.625" style="5" customWidth="1"/>
    <col min="14834" max="14834" width="9.625" style="5" customWidth="1"/>
    <col min="14835" max="14835" width="7.625" style="5" customWidth="1"/>
    <col min="14836" max="14839" width="0" style="5" hidden="1" customWidth="1"/>
    <col min="14840" max="14840" width="14.375" style="5" customWidth="1"/>
    <col min="14841" max="14846" width="0" style="5" hidden="1" customWidth="1"/>
    <col min="14847" max="14847" width="10.125" style="5" bestFit="1" customWidth="1"/>
    <col min="14848" max="15086" width="9.125" style="5"/>
    <col min="15087" max="15087" width="75.875" style="5" customWidth="1"/>
    <col min="15088" max="15089" width="7.625" style="5" customWidth="1"/>
    <col min="15090" max="15090" width="9.625" style="5" customWidth="1"/>
    <col min="15091" max="15091" width="7.625" style="5" customWidth="1"/>
    <col min="15092" max="15095" width="0" style="5" hidden="1" customWidth="1"/>
    <col min="15096" max="15096" width="14.375" style="5" customWidth="1"/>
    <col min="15097" max="15102" width="0" style="5" hidden="1" customWidth="1"/>
    <col min="15103" max="15103" width="10.125" style="5" bestFit="1" customWidth="1"/>
    <col min="15104" max="15342" width="9.125" style="5"/>
    <col min="15343" max="15343" width="75.875" style="5" customWidth="1"/>
    <col min="15344" max="15345" width="7.625" style="5" customWidth="1"/>
    <col min="15346" max="15346" width="9.625" style="5" customWidth="1"/>
    <col min="15347" max="15347" width="7.625" style="5" customWidth="1"/>
    <col min="15348" max="15351" width="0" style="5" hidden="1" customWidth="1"/>
    <col min="15352" max="15352" width="14.375" style="5" customWidth="1"/>
    <col min="15353" max="15358" width="0" style="5" hidden="1" customWidth="1"/>
    <col min="15359" max="15359" width="10.125" style="5" bestFit="1" customWidth="1"/>
    <col min="15360" max="15598" width="9.125" style="5"/>
    <col min="15599" max="15599" width="75.875" style="5" customWidth="1"/>
    <col min="15600" max="15601" width="7.625" style="5" customWidth="1"/>
    <col min="15602" max="15602" width="9.625" style="5" customWidth="1"/>
    <col min="15603" max="15603" width="7.625" style="5" customWidth="1"/>
    <col min="15604" max="15607" width="0" style="5" hidden="1" customWidth="1"/>
    <col min="15608" max="15608" width="14.375" style="5" customWidth="1"/>
    <col min="15609" max="15614" width="0" style="5" hidden="1" customWidth="1"/>
    <col min="15615" max="15615" width="10.125" style="5" bestFit="1" customWidth="1"/>
    <col min="15616" max="15854" width="9.125" style="5"/>
    <col min="15855" max="15855" width="75.875" style="5" customWidth="1"/>
    <col min="15856" max="15857" width="7.625" style="5" customWidth="1"/>
    <col min="15858" max="15858" width="9.625" style="5" customWidth="1"/>
    <col min="15859" max="15859" width="7.625" style="5" customWidth="1"/>
    <col min="15860" max="15863" width="0" style="5" hidden="1" customWidth="1"/>
    <col min="15864" max="15864" width="14.375" style="5" customWidth="1"/>
    <col min="15865" max="15870" width="0" style="5" hidden="1" customWidth="1"/>
    <col min="15871" max="15871" width="10.125" style="5" bestFit="1" customWidth="1"/>
    <col min="15872" max="16110" width="9.125" style="5"/>
    <col min="16111" max="16111" width="75.875" style="5" customWidth="1"/>
    <col min="16112" max="16113" width="7.625" style="5" customWidth="1"/>
    <col min="16114" max="16114" width="9.625" style="5" customWidth="1"/>
    <col min="16115" max="16115" width="7.625" style="5" customWidth="1"/>
    <col min="16116" max="16119" width="0" style="5" hidden="1" customWidth="1"/>
    <col min="16120" max="16120" width="14.375" style="5" customWidth="1"/>
    <col min="16121" max="16126" width="0" style="5" hidden="1" customWidth="1"/>
    <col min="16127" max="16127" width="10.125" style="5" bestFit="1" customWidth="1"/>
    <col min="16128" max="16384" width="9.125" style="5"/>
  </cols>
  <sheetData>
    <row r="1" spans="1:8" x14ac:dyDescent="0.3">
      <c r="F1" s="7"/>
      <c r="G1" s="7" t="s">
        <v>960</v>
      </c>
    </row>
    <row r="2" spans="1:8" x14ac:dyDescent="0.3">
      <c r="E2" s="672" t="s">
        <v>927</v>
      </c>
      <c r="F2" s="672"/>
      <c r="G2" s="672"/>
    </row>
    <row r="3" spans="1:8" x14ac:dyDescent="0.3">
      <c r="F3" s="672" t="s">
        <v>905</v>
      </c>
      <c r="G3" s="672"/>
    </row>
    <row r="4" spans="1:8" x14ac:dyDescent="0.3">
      <c r="F4" s="672" t="s">
        <v>961</v>
      </c>
      <c r="G4" s="672"/>
    </row>
    <row r="5" spans="1:8" x14ac:dyDescent="0.3">
      <c r="F5" s="672" t="s">
        <v>820</v>
      </c>
      <c r="G5" s="672"/>
    </row>
    <row r="6" spans="1:8" x14ac:dyDescent="0.3">
      <c r="E6" s="672" t="s">
        <v>899</v>
      </c>
      <c r="F6" s="672"/>
      <c r="G6" s="672"/>
    </row>
    <row r="7" spans="1:8" x14ac:dyDescent="0.3">
      <c r="F7" s="672" t="s">
        <v>653</v>
      </c>
      <c r="G7" s="672"/>
    </row>
    <row r="8" spans="1:8" x14ac:dyDescent="0.3">
      <c r="F8" s="278"/>
      <c r="G8" s="163" t="s">
        <v>902</v>
      </c>
    </row>
    <row r="9" spans="1:8" s="165" customFormat="1" x14ac:dyDescent="0.3">
      <c r="A9" s="678" t="s">
        <v>240</v>
      </c>
      <c r="B9" s="678"/>
      <c r="C9" s="678"/>
      <c r="D9" s="678"/>
      <c r="E9" s="678"/>
      <c r="F9" s="678"/>
      <c r="G9" s="164"/>
      <c r="H9" s="164"/>
    </row>
    <row r="10" spans="1:8" s="165" customFormat="1" x14ac:dyDescent="0.3">
      <c r="A10" s="677" t="s">
        <v>897</v>
      </c>
      <c r="B10" s="677"/>
      <c r="C10" s="677"/>
      <c r="D10" s="677"/>
      <c r="E10" s="677"/>
      <c r="F10" s="677"/>
      <c r="G10" s="164"/>
      <c r="H10" s="164"/>
    </row>
    <row r="11" spans="1:8" s="165" customFormat="1" x14ac:dyDescent="0.3">
      <c r="A11" s="677" t="s">
        <v>898</v>
      </c>
      <c r="B11" s="677"/>
      <c r="C11" s="677"/>
      <c r="D11" s="677"/>
      <c r="E11" s="677"/>
      <c r="F11" s="677"/>
      <c r="G11" s="164"/>
      <c r="H11" s="164"/>
    </row>
    <row r="12" spans="1:8" s="165" customFormat="1" x14ac:dyDescent="0.3">
      <c r="A12" s="166"/>
      <c r="B12" s="279"/>
      <c r="C12" s="279"/>
      <c r="D12" s="279"/>
      <c r="E12" s="279"/>
      <c r="F12" s="167"/>
      <c r="G12" s="167" t="s">
        <v>408</v>
      </c>
      <c r="H12" s="164"/>
    </row>
    <row r="13" spans="1:8" ht="36.700000000000003" x14ac:dyDescent="0.25">
      <c r="A13" s="168" t="s">
        <v>0</v>
      </c>
      <c r="B13" s="168" t="s">
        <v>1</v>
      </c>
      <c r="C13" s="168" t="s">
        <v>2</v>
      </c>
      <c r="D13" s="168" t="s">
        <v>3</v>
      </c>
      <c r="E13" s="168" t="s">
        <v>4</v>
      </c>
      <c r="F13" s="92" t="s">
        <v>790</v>
      </c>
      <c r="G13" s="92" t="s">
        <v>791</v>
      </c>
    </row>
    <row r="14" spans="1:8" s="170" customFormat="1" ht="55.05" x14ac:dyDescent="0.25">
      <c r="A14" s="104" t="s">
        <v>493</v>
      </c>
      <c r="B14" s="105" t="s">
        <v>499</v>
      </c>
      <c r="C14" s="105" t="s">
        <v>5</v>
      </c>
      <c r="D14" s="105" t="s">
        <v>126</v>
      </c>
      <c r="E14" s="106" t="s">
        <v>6</v>
      </c>
      <c r="F14" s="128">
        <f>F15</f>
        <v>8050477.2300000004</v>
      </c>
      <c r="G14" s="128">
        <f>G15</f>
        <v>8341070.0800000001</v>
      </c>
      <c r="H14" s="169"/>
    </row>
    <row r="15" spans="1:8" outlineLevel="1" x14ac:dyDescent="0.25">
      <c r="A15" s="81" t="s">
        <v>7</v>
      </c>
      <c r="B15" s="80" t="s">
        <v>499</v>
      </c>
      <c r="C15" s="80" t="s">
        <v>8</v>
      </c>
      <c r="D15" s="80" t="s">
        <v>126</v>
      </c>
      <c r="E15" s="83" t="s">
        <v>6</v>
      </c>
      <c r="F15" s="82">
        <f>F16+F25</f>
        <v>8050477.2300000004</v>
      </c>
      <c r="G15" s="82">
        <f>G16+G25</f>
        <v>8341070.0800000001</v>
      </c>
    </row>
    <row r="16" spans="1:8" ht="39.25" customHeight="1" outlineLevel="2" x14ac:dyDescent="0.25">
      <c r="A16" s="81" t="s">
        <v>9</v>
      </c>
      <c r="B16" s="80" t="s">
        <v>499</v>
      </c>
      <c r="C16" s="80" t="s">
        <v>10</v>
      </c>
      <c r="D16" s="80" t="s">
        <v>126</v>
      </c>
      <c r="E16" s="83" t="s">
        <v>6</v>
      </c>
      <c r="F16" s="82">
        <f>F17</f>
        <v>7515021.2300000004</v>
      </c>
      <c r="G16" s="82">
        <f>G17</f>
        <v>7805614.0800000001</v>
      </c>
    </row>
    <row r="17" spans="1:8" ht="36.700000000000003" outlineLevel="4" x14ac:dyDescent="0.25">
      <c r="A17" s="81" t="s">
        <v>132</v>
      </c>
      <c r="B17" s="80" t="s">
        <v>499</v>
      </c>
      <c r="C17" s="80" t="s">
        <v>10</v>
      </c>
      <c r="D17" s="80" t="s">
        <v>127</v>
      </c>
      <c r="E17" s="83" t="s">
        <v>6</v>
      </c>
      <c r="F17" s="82">
        <f>F18</f>
        <v>7515021.2300000004</v>
      </c>
      <c r="G17" s="82">
        <f>G18</f>
        <v>7805614.0800000001</v>
      </c>
    </row>
    <row r="18" spans="1:8" ht="55.05" outlineLevel="5" x14ac:dyDescent="0.25">
      <c r="A18" s="81" t="s">
        <v>494</v>
      </c>
      <c r="B18" s="80" t="s">
        <v>499</v>
      </c>
      <c r="C18" s="80" t="s">
        <v>10</v>
      </c>
      <c r="D18" s="80" t="s">
        <v>495</v>
      </c>
      <c r="E18" s="83" t="s">
        <v>6</v>
      </c>
      <c r="F18" s="82">
        <f>F19+F21+F23</f>
        <v>7515021.2300000004</v>
      </c>
      <c r="G18" s="82">
        <f>G19+G21+G23</f>
        <v>7805614.0800000001</v>
      </c>
    </row>
    <row r="19" spans="1:8" ht="76.75" customHeight="1" outlineLevel="6" x14ac:dyDescent="0.25">
      <c r="A19" s="81" t="s">
        <v>11</v>
      </c>
      <c r="B19" s="80" t="s">
        <v>499</v>
      </c>
      <c r="C19" s="80" t="s">
        <v>10</v>
      </c>
      <c r="D19" s="80" t="s">
        <v>495</v>
      </c>
      <c r="E19" s="83" t="s">
        <v>12</v>
      </c>
      <c r="F19" s="82">
        <f>F20</f>
        <v>7264821.2300000004</v>
      </c>
      <c r="G19" s="82">
        <f>G20</f>
        <v>7555414.0800000001</v>
      </c>
    </row>
    <row r="20" spans="1:8" ht="36.700000000000003" outlineLevel="7" x14ac:dyDescent="0.25">
      <c r="A20" s="81" t="s">
        <v>13</v>
      </c>
      <c r="B20" s="80" t="s">
        <v>499</v>
      </c>
      <c r="C20" s="80" t="s">
        <v>10</v>
      </c>
      <c r="D20" s="80" t="s">
        <v>495</v>
      </c>
      <c r="E20" s="83" t="s">
        <v>14</v>
      </c>
      <c r="F20" s="98">
        <v>7264821.2300000004</v>
      </c>
      <c r="G20" s="98">
        <v>7555414.0800000001</v>
      </c>
    </row>
    <row r="21" spans="1:8" ht="36.700000000000003" outlineLevel="6" x14ac:dyDescent="0.25">
      <c r="A21" s="81" t="s">
        <v>15</v>
      </c>
      <c r="B21" s="80" t="s">
        <v>499</v>
      </c>
      <c r="C21" s="80" t="s">
        <v>10</v>
      </c>
      <c r="D21" s="80" t="s">
        <v>495</v>
      </c>
      <c r="E21" s="83" t="s">
        <v>16</v>
      </c>
      <c r="F21" s="82">
        <f>F22</f>
        <v>250200</v>
      </c>
      <c r="G21" s="82">
        <f>G22</f>
        <v>250200</v>
      </c>
    </row>
    <row r="22" spans="1:8" ht="18.7" customHeight="1" outlineLevel="7" x14ac:dyDescent="0.25">
      <c r="A22" s="81" t="s">
        <v>17</v>
      </c>
      <c r="B22" s="80" t="s">
        <v>499</v>
      </c>
      <c r="C22" s="80" t="s">
        <v>10</v>
      </c>
      <c r="D22" s="80" t="s">
        <v>495</v>
      </c>
      <c r="E22" s="83" t="s">
        <v>18</v>
      </c>
      <c r="F22" s="98">
        <v>250200</v>
      </c>
      <c r="G22" s="98">
        <v>250200</v>
      </c>
    </row>
    <row r="23" spans="1:8" outlineLevel="6" x14ac:dyDescent="0.25">
      <c r="A23" s="81" t="s">
        <v>19</v>
      </c>
      <c r="B23" s="80" t="s">
        <v>499</v>
      </c>
      <c r="C23" s="80" t="s">
        <v>10</v>
      </c>
      <c r="D23" s="80" t="s">
        <v>495</v>
      </c>
      <c r="E23" s="83" t="s">
        <v>20</v>
      </c>
      <c r="F23" s="82">
        <f>F24</f>
        <v>0</v>
      </c>
      <c r="G23" s="82">
        <f>G24</f>
        <v>0</v>
      </c>
    </row>
    <row r="24" spans="1:8" outlineLevel="7" x14ac:dyDescent="0.25">
      <c r="A24" s="81" t="s">
        <v>21</v>
      </c>
      <c r="B24" s="80" t="s">
        <v>499</v>
      </c>
      <c r="C24" s="80" t="s">
        <v>10</v>
      </c>
      <c r="D24" s="80" t="s">
        <v>495</v>
      </c>
      <c r="E24" s="83" t="s">
        <v>22</v>
      </c>
      <c r="F24" s="98">
        <v>0</v>
      </c>
      <c r="G24" s="98">
        <v>0</v>
      </c>
    </row>
    <row r="25" spans="1:8" outlineLevel="2" x14ac:dyDescent="0.25">
      <c r="A25" s="81" t="s">
        <v>23</v>
      </c>
      <c r="B25" s="80" t="s">
        <v>499</v>
      </c>
      <c r="C25" s="80" t="s">
        <v>24</v>
      </c>
      <c r="D25" s="80" t="s">
        <v>126</v>
      </c>
      <c r="E25" s="83" t="s">
        <v>6</v>
      </c>
      <c r="F25" s="82">
        <f>F26+F31</f>
        <v>535456</v>
      </c>
      <c r="G25" s="82">
        <f>G26+G31</f>
        <v>535456</v>
      </c>
    </row>
    <row r="26" spans="1:8" s="172" customFormat="1" ht="57.75" customHeight="1" outlineLevel="3" x14ac:dyDescent="0.25">
      <c r="A26" s="109" t="s">
        <v>830</v>
      </c>
      <c r="B26" s="110" t="s">
        <v>499</v>
      </c>
      <c r="C26" s="110" t="s">
        <v>24</v>
      </c>
      <c r="D26" s="110" t="s">
        <v>128</v>
      </c>
      <c r="E26" s="111" t="s">
        <v>6</v>
      </c>
      <c r="F26" s="85">
        <f t="shared" ref="F26:G29" si="0">F27</f>
        <v>58240</v>
      </c>
      <c r="G26" s="85">
        <f t="shared" si="0"/>
        <v>58240</v>
      </c>
      <c r="H26" s="171"/>
    </row>
    <row r="27" spans="1:8" ht="61.5" customHeight="1" outlineLevel="4" x14ac:dyDescent="0.25">
      <c r="A27" s="81" t="s">
        <v>854</v>
      </c>
      <c r="B27" s="80" t="s">
        <v>499</v>
      </c>
      <c r="C27" s="80" t="s">
        <v>24</v>
      </c>
      <c r="D27" s="80" t="s">
        <v>315</v>
      </c>
      <c r="E27" s="83" t="s">
        <v>6</v>
      </c>
      <c r="F27" s="82">
        <f t="shared" si="0"/>
        <v>58240</v>
      </c>
      <c r="G27" s="82">
        <f t="shared" si="0"/>
        <v>58240</v>
      </c>
    </row>
    <row r="28" spans="1:8" outlineLevel="5" x14ac:dyDescent="0.25">
      <c r="A28" s="113" t="s">
        <v>321</v>
      </c>
      <c r="B28" s="80" t="s">
        <v>499</v>
      </c>
      <c r="C28" s="80" t="s">
        <v>24</v>
      </c>
      <c r="D28" s="80" t="s">
        <v>316</v>
      </c>
      <c r="E28" s="83" t="s">
        <v>6</v>
      </c>
      <c r="F28" s="82">
        <f t="shared" si="0"/>
        <v>58240</v>
      </c>
      <c r="G28" s="82">
        <f t="shared" si="0"/>
        <v>58240</v>
      </c>
    </row>
    <row r="29" spans="1:8" ht="36.700000000000003" outlineLevel="6" x14ac:dyDescent="0.25">
      <c r="A29" s="81" t="s">
        <v>15</v>
      </c>
      <c r="B29" s="80" t="s">
        <v>499</v>
      </c>
      <c r="C29" s="80" t="s">
        <v>24</v>
      </c>
      <c r="D29" s="80" t="s">
        <v>316</v>
      </c>
      <c r="E29" s="83" t="s">
        <v>16</v>
      </c>
      <c r="F29" s="82">
        <f t="shared" si="0"/>
        <v>58240</v>
      </c>
      <c r="G29" s="82">
        <f t="shared" si="0"/>
        <v>58240</v>
      </c>
    </row>
    <row r="30" spans="1:8" ht="19.55" customHeight="1" outlineLevel="7" x14ac:dyDescent="0.25">
      <c r="A30" s="81" t="s">
        <v>17</v>
      </c>
      <c r="B30" s="80" t="s">
        <v>499</v>
      </c>
      <c r="C30" s="80" t="s">
        <v>24</v>
      </c>
      <c r="D30" s="80" t="s">
        <v>316</v>
      </c>
      <c r="E30" s="83" t="s">
        <v>18</v>
      </c>
      <c r="F30" s="98">
        <v>58240</v>
      </c>
      <c r="G30" s="98">
        <v>58240</v>
      </c>
    </row>
    <row r="31" spans="1:8" s="172" customFormat="1" ht="62.5" customHeight="1" outlineLevel="7" x14ac:dyDescent="0.25">
      <c r="A31" s="114" t="s">
        <v>829</v>
      </c>
      <c r="B31" s="110" t="s">
        <v>499</v>
      </c>
      <c r="C31" s="80" t="s">
        <v>24</v>
      </c>
      <c r="D31" s="110" t="s">
        <v>317</v>
      </c>
      <c r="E31" s="111" t="s">
        <v>6</v>
      </c>
      <c r="F31" s="122">
        <f t="shared" ref="F31:G34" si="1">F32</f>
        <v>477216</v>
      </c>
      <c r="G31" s="122">
        <f t="shared" si="1"/>
        <v>477216</v>
      </c>
      <c r="H31" s="171"/>
    </row>
    <row r="32" spans="1:8" ht="42.8" customHeight="1" outlineLevel="7" x14ac:dyDescent="0.25">
      <c r="A32" s="116" t="s">
        <v>249</v>
      </c>
      <c r="B32" s="80" t="s">
        <v>499</v>
      </c>
      <c r="C32" s="80" t="s">
        <v>24</v>
      </c>
      <c r="D32" s="80" t="s">
        <v>318</v>
      </c>
      <c r="E32" s="83" t="s">
        <v>6</v>
      </c>
      <c r="F32" s="98">
        <f t="shared" si="1"/>
        <v>477216</v>
      </c>
      <c r="G32" s="98">
        <f t="shared" si="1"/>
        <v>477216</v>
      </c>
    </row>
    <row r="33" spans="1:8" ht="39.75" customHeight="1" outlineLevel="5" x14ac:dyDescent="0.25">
      <c r="A33" s="81" t="s">
        <v>25</v>
      </c>
      <c r="B33" s="80" t="s">
        <v>499</v>
      </c>
      <c r="C33" s="80" t="s">
        <v>24</v>
      </c>
      <c r="D33" s="80" t="s">
        <v>329</v>
      </c>
      <c r="E33" s="83" t="s">
        <v>6</v>
      </c>
      <c r="F33" s="82">
        <f t="shared" si="1"/>
        <v>477216</v>
      </c>
      <c r="G33" s="82">
        <f t="shared" si="1"/>
        <v>477216</v>
      </c>
    </row>
    <row r="34" spans="1:8" ht="36.700000000000003" outlineLevel="6" x14ac:dyDescent="0.25">
      <c r="A34" s="81" t="s">
        <v>15</v>
      </c>
      <c r="B34" s="80" t="s">
        <v>499</v>
      </c>
      <c r="C34" s="80" t="s">
        <v>24</v>
      </c>
      <c r="D34" s="80" t="s">
        <v>329</v>
      </c>
      <c r="E34" s="83" t="s">
        <v>16</v>
      </c>
      <c r="F34" s="82">
        <f t="shared" si="1"/>
        <v>477216</v>
      </c>
      <c r="G34" s="82">
        <f t="shared" si="1"/>
        <v>477216</v>
      </c>
    </row>
    <row r="35" spans="1:8" ht="21.25" customHeight="1" outlineLevel="7" x14ac:dyDescent="0.25">
      <c r="A35" s="81" t="s">
        <v>17</v>
      </c>
      <c r="B35" s="80" t="s">
        <v>499</v>
      </c>
      <c r="C35" s="80" t="s">
        <v>24</v>
      </c>
      <c r="D35" s="80" t="s">
        <v>329</v>
      </c>
      <c r="E35" s="83" t="s">
        <v>18</v>
      </c>
      <c r="F35" s="82">
        <v>477216</v>
      </c>
      <c r="G35" s="82">
        <v>477216</v>
      </c>
    </row>
    <row r="36" spans="1:8" s="170" customFormat="1" ht="36.700000000000003" x14ac:dyDescent="0.25">
      <c r="A36" s="104" t="s">
        <v>27</v>
      </c>
      <c r="B36" s="105" t="s">
        <v>500</v>
      </c>
      <c r="C36" s="105" t="s">
        <v>5</v>
      </c>
      <c r="D36" s="105" t="s">
        <v>126</v>
      </c>
      <c r="E36" s="106" t="s">
        <v>6</v>
      </c>
      <c r="F36" s="128">
        <f>F37+F157+F167+F223+F325+F341+F355+F394+F463+F436+F178</f>
        <v>297548820.16600001</v>
      </c>
      <c r="G36" s="128">
        <f>G37+G157+G167+G223+G325+G341+G355+G394+G463+G436+G178</f>
        <v>292327903.90700001</v>
      </c>
      <c r="H36" s="173"/>
    </row>
    <row r="37" spans="1:8" s="172" customFormat="1" outlineLevel="1" x14ac:dyDescent="0.25">
      <c r="A37" s="109" t="s">
        <v>7</v>
      </c>
      <c r="B37" s="110" t="s">
        <v>500</v>
      </c>
      <c r="C37" s="110" t="s">
        <v>8</v>
      </c>
      <c r="D37" s="110" t="s">
        <v>126</v>
      </c>
      <c r="E37" s="111" t="s">
        <v>6</v>
      </c>
      <c r="F37" s="85">
        <f>F38+F43+F50+F56+F66+F61</f>
        <v>98730538.969999999</v>
      </c>
      <c r="G37" s="85">
        <f>G38+G43+G50+G56+G66+G61</f>
        <v>101350040.06999999</v>
      </c>
      <c r="H37" s="171"/>
    </row>
    <row r="38" spans="1:8" ht="55.05" outlineLevel="2" x14ac:dyDescent="0.25">
      <c r="A38" s="81" t="s">
        <v>28</v>
      </c>
      <c r="B38" s="80" t="s">
        <v>500</v>
      </c>
      <c r="C38" s="80" t="s">
        <v>29</v>
      </c>
      <c r="D38" s="80" t="s">
        <v>126</v>
      </c>
      <c r="E38" s="83" t="s">
        <v>6</v>
      </c>
      <c r="F38" s="82">
        <f t="shared" ref="F38:G41" si="2">F39</f>
        <v>2846266</v>
      </c>
      <c r="G38" s="82">
        <f t="shared" si="2"/>
        <v>2846266</v>
      </c>
    </row>
    <row r="39" spans="1:8" ht="36.700000000000003" outlineLevel="3" x14ac:dyDescent="0.25">
      <c r="A39" s="81" t="s">
        <v>132</v>
      </c>
      <c r="B39" s="80" t="s">
        <v>500</v>
      </c>
      <c r="C39" s="80" t="s">
        <v>29</v>
      </c>
      <c r="D39" s="80" t="s">
        <v>127</v>
      </c>
      <c r="E39" s="83" t="s">
        <v>6</v>
      </c>
      <c r="F39" s="82">
        <f t="shared" si="2"/>
        <v>2846266</v>
      </c>
      <c r="G39" s="82">
        <f t="shared" si="2"/>
        <v>2846266</v>
      </c>
    </row>
    <row r="40" spans="1:8" outlineLevel="5" x14ac:dyDescent="0.25">
      <c r="A40" s="81" t="s">
        <v>496</v>
      </c>
      <c r="B40" s="80" t="s">
        <v>500</v>
      </c>
      <c r="C40" s="80" t="s">
        <v>29</v>
      </c>
      <c r="D40" s="80" t="s">
        <v>497</v>
      </c>
      <c r="E40" s="83" t="s">
        <v>6</v>
      </c>
      <c r="F40" s="290">
        <f t="shared" si="2"/>
        <v>2846266</v>
      </c>
      <c r="G40" s="82">
        <f t="shared" si="2"/>
        <v>2846266</v>
      </c>
    </row>
    <row r="41" spans="1:8" ht="91.7" outlineLevel="6" x14ac:dyDescent="0.25">
      <c r="A41" s="81" t="s">
        <v>11</v>
      </c>
      <c r="B41" s="80" t="s">
        <v>500</v>
      </c>
      <c r="C41" s="80" t="s">
        <v>29</v>
      </c>
      <c r="D41" s="80" t="s">
        <v>497</v>
      </c>
      <c r="E41" s="83" t="s">
        <v>12</v>
      </c>
      <c r="F41" s="82">
        <f t="shared" si="2"/>
        <v>2846266</v>
      </c>
      <c r="G41" s="82">
        <f t="shared" si="2"/>
        <v>2846266</v>
      </c>
    </row>
    <row r="42" spans="1:8" ht="36.700000000000003" outlineLevel="7" x14ac:dyDescent="0.25">
      <c r="A42" s="81" t="s">
        <v>13</v>
      </c>
      <c r="B42" s="80" t="s">
        <v>500</v>
      </c>
      <c r="C42" s="80" t="s">
        <v>29</v>
      </c>
      <c r="D42" s="80" t="s">
        <v>497</v>
      </c>
      <c r="E42" s="83" t="s">
        <v>14</v>
      </c>
      <c r="F42" s="82">
        <v>2846266</v>
      </c>
      <c r="G42" s="82">
        <v>2846266</v>
      </c>
    </row>
    <row r="43" spans="1:8" ht="37.549999999999997" customHeight="1" outlineLevel="2" x14ac:dyDescent="0.25">
      <c r="A43" s="81" t="s">
        <v>30</v>
      </c>
      <c r="B43" s="80" t="s">
        <v>500</v>
      </c>
      <c r="C43" s="80" t="s">
        <v>31</v>
      </c>
      <c r="D43" s="80" t="s">
        <v>126</v>
      </c>
      <c r="E43" s="83" t="s">
        <v>6</v>
      </c>
      <c r="F43" s="82">
        <f>F44</f>
        <v>22524109.440000001</v>
      </c>
      <c r="G43" s="82">
        <f>G44</f>
        <v>23421393.82</v>
      </c>
    </row>
    <row r="44" spans="1:8" ht="36.700000000000003" outlineLevel="3" x14ac:dyDescent="0.25">
      <c r="A44" s="81" t="s">
        <v>132</v>
      </c>
      <c r="B44" s="80" t="s">
        <v>500</v>
      </c>
      <c r="C44" s="80" t="s">
        <v>31</v>
      </c>
      <c r="D44" s="80" t="s">
        <v>127</v>
      </c>
      <c r="E44" s="83" t="s">
        <v>6</v>
      </c>
      <c r="F44" s="82">
        <f>F45</f>
        <v>22524109.440000001</v>
      </c>
      <c r="G44" s="82">
        <f>G45</f>
        <v>23421393.82</v>
      </c>
    </row>
    <row r="45" spans="1:8" ht="55.05" outlineLevel="5" x14ac:dyDescent="0.25">
      <c r="A45" s="81" t="s">
        <v>494</v>
      </c>
      <c r="B45" s="80" t="s">
        <v>500</v>
      </c>
      <c r="C45" s="80" t="s">
        <v>31</v>
      </c>
      <c r="D45" s="80" t="s">
        <v>495</v>
      </c>
      <c r="E45" s="83" t="s">
        <v>6</v>
      </c>
      <c r="F45" s="82">
        <f>F46+F48</f>
        <v>22524109.440000001</v>
      </c>
      <c r="G45" s="82">
        <f>G46+G48</f>
        <v>23421393.82</v>
      </c>
    </row>
    <row r="46" spans="1:8" ht="91.7" outlineLevel="6" x14ac:dyDescent="0.25">
      <c r="A46" s="81" t="s">
        <v>11</v>
      </c>
      <c r="B46" s="80" t="s">
        <v>500</v>
      </c>
      <c r="C46" s="80" t="s">
        <v>31</v>
      </c>
      <c r="D46" s="80" t="s">
        <v>495</v>
      </c>
      <c r="E46" s="83" t="s">
        <v>12</v>
      </c>
      <c r="F46" s="82">
        <f>F47</f>
        <v>22432109.440000001</v>
      </c>
      <c r="G46" s="82">
        <f>G47</f>
        <v>23329393.82</v>
      </c>
    </row>
    <row r="47" spans="1:8" ht="36.700000000000003" outlineLevel="7" x14ac:dyDescent="0.25">
      <c r="A47" s="81" t="s">
        <v>13</v>
      </c>
      <c r="B47" s="80" t="s">
        <v>500</v>
      </c>
      <c r="C47" s="80" t="s">
        <v>31</v>
      </c>
      <c r="D47" s="80" t="s">
        <v>495</v>
      </c>
      <c r="E47" s="83" t="s">
        <v>14</v>
      </c>
      <c r="F47" s="131">
        <v>22432109.440000001</v>
      </c>
      <c r="G47" s="131">
        <v>23329393.82</v>
      </c>
    </row>
    <row r="48" spans="1:8" ht="36.700000000000003" outlineLevel="6" x14ac:dyDescent="0.25">
      <c r="A48" s="81" t="s">
        <v>15</v>
      </c>
      <c r="B48" s="80" t="s">
        <v>500</v>
      </c>
      <c r="C48" s="80" t="s">
        <v>31</v>
      </c>
      <c r="D48" s="80" t="s">
        <v>495</v>
      </c>
      <c r="E48" s="83" t="s">
        <v>16</v>
      </c>
      <c r="F48" s="82">
        <f>F49</f>
        <v>92000</v>
      </c>
      <c r="G48" s="82">
        <f>G49</f>
        <v>92000</v>
      </c>
    </row>
    <row r="49" spans="1:7" ht="21.25" customHeight="1" outlineLevel="7" x14ac:dyDescent="0.25">
      <c r="A49" s="81" t="s">
        <v>17</v>
      </c>
      <c r="B49" s="80" t="s">
        <v>500</v>
      </c>
      <c r="C49" s="80" t="s">
        <v>31</v>
      </c>
      <c r="D49" s="80" t="s">
        <v>495</v>
      </c>
      <c r="E49" s="83" t="s">
        <v>18</v>
      </c>
      <c r="F49" s="131">
        <v>92000</v>
      </c>
      <c r="G49" s="131">
        <v>92000</v>
      </c>
    </row>
    <row r="50" spans="1:7" outlineLevel="7" x14ac:dyDescent="0.25">
      <c r="A50" s="81" t="s">
        <v>260</v>
      </c>
      <c r="B50" s="80" t="s">
        <v>500</v>
      </c>
      <c r="C50" s="80" t="s">
        <v>261</v>
      </c>
      <c r="D50" s="80" t="s">
        <v>126</v>
      </c>
      <c r="E50" s="83" t="s">
        <v>6</v>
      </c>
      <c r="F50" s="98">
        <f>F51</f>
        <v>13010</v>
      </c>
      <c r="G50" s="98">
        <f>G51</f>
        <v>11564</v>
      </c>
    </row>
    <row r="51" spans="1:7" ht="36.700000000000003" outlineLevel="7" x14ac:dyDescent="0.25">
      <c r="A51" s="81" t="s">
        <v>132</v>
      </c>
      <c r="B51" s="80" t="s">
        <v>500</v>
      </c>
      <c r="C51" s="80" t="s">
        <v>261</v>
      </c>
      <c r="D51" s="80" t="s">
        <v>127</v>
      </c>
      <c r="E51" s="83" t="s">
        <v>6</v>
      </c>
      <c r="F51" s="98">
        <f>F53</f>
        <v>13010</v>
      </c>
      <c r="G51" s="98">
        <f>G53</f>
        <v>11564</v>
      </c>
    </row>
    <row r="52" spans="1:7" outlineLevel="7" x14ac:dyDescent="0.25">
      <c r="A52" s="81" t="s">
        <v>277</v>
      </c>
      <c r="B52" s="80" t="s">
        <v>500</v>
      </c>
      <c r="C52" s="80" t="s">
        <v>261</v>
      </c>
      <c r="D52" s="80" t="s">
        <v>276</v>
      </c>
      <c r="E52" s="83" t="s">
        <v>6</v>
      </c>
      <c r="F52" s="98">
        <f t="shared" ref="F52:G54" si="3">F53</f>
        <v>13010</v>
      </c>
      <c r="G52" s="98">
        <f t="shared" si="3"/>
        <v>11564</v>
      </c>
    </row>
    <row r="53" spans="1:7" ht="95.3" customHeight="1" outlineLevel="7" x14ac:dyDescent="0.25">
      <c r="A53" s="81" t="s">
        <v>410</v>
      </c>
      <c r="B53" s="80" t="s">
        <v>500</v>
      </c>
      <c r="C53" s="80" t="s">
        <v>261</v>
      </c>
      <c r="D53" s="80" t="s">
        <v>285</v>
      </c>
      <c r="E53" s="83" t="s">
        <v>6</v>
      </c>
      <c r="F53" s="98">
        <f t="shared" si="3"/>
        <v>13010</v>
      </c>
      <c r="G53" s="98">
        <f t="shared" si="3"/>
        <v>11564</v>
      </c>
    </row>
    <row r="54" spans="1:7" ht="36.700000000000003" outlineLevel="7" x14ac:dyDescent="0.25">
      <c r="A54" s="81" t="s">
        <v>15</v>
      </c>
      <c r="B54" s="80" t="s">
        <v>500</v>
      </c>
      <c r="C54" s="80" t="s">
        <v>261</v>
      </c>
      <c r="D54" s="80" t="s">
        <v>285</v>
      </c>
      <c r="E54" s="83" t="s">
        <v>16</v>
      </c>
      <c r="F54" s="98">
        <f t="shared" si="3"/>
        <v>13010</v>
      </c>
      <c r="G54" s="98">
        <f t="shared" si="3"/>
        <v>11564</v>
      </c>
    </row>
    <row r="55" spans="1:7" ht="19.55" customHeight="1" outlineLevel="7" x14ac:dyDescent="0.25">
      <c r="A55" s="81" t="s">
        <v>17</v>
      </c>
      <c r="B55" s="80" t="s">
        <v>500</v>
      </c>
      <c r="C55" s="80" t="s">
        <v>261</v>
      </c>
      <c r="D55" s="80" t="s">
        <v>285</v>
      </c>
      <c r="E55" s="83" t="s">
        <v>18</v>
      </c>
      <c r="F55" s="82">
        <v>13010</v>
      </c>
      <c r="G55" s="82">
        <v>11564</v>
      </c>
    </row>
    <row r="56" spans="1:7" ht="36.700000000000003" customHeight="1" outlineLevel="2" x14ac:dyDescent="0.25">
      <c r="A56" s="81" t="s">
        <v>9</v>
      </c>
      <c r="B56" s="80" t="s">
        <v>500</v>
      </c>
      <c r="C56" s="80" t="s">
        <v>10</v>
      </c>
      <c r="D56" s="80" t="s">
        <v>126</v>
      </c>
      <c r="E56" s="83" t="s">
        <v>6</v>
      </c>
      <c r="F56" s="82">
        <f t="shared" ref="F56:G59" si="4">F57</f>
        <v>825175</v>
      </c>
      <c r="G56" s="82">
        <f t="shared" si="4"/>
        <v>858182</v>
      </c>
    </row>
    <row r="57" spans="1:7" ht="36.700000000000003" outlineLevel="4" x14ac:dyDescent="0.25">
      <c r="A57" s="81" t="s">
        <v>132</v>
      </c>
      <c r="B57" s="80" t="s">
        <v>500</v>
      </c>
      <c r="C57" s="80" t="s">
        <v>10</v>
      </c>
      <c r="D57" s="80" t="s">
        <v>127</v>
      </c>
      <c r="E57" s="83" t="s">
        <v>6</v>
      </c>
      <c r="F57" s="82">
        <f t="shared" si="4"/>
        <v>825175</v>
      </c>
      <c r="G57" s="82">
        <f t="shared" si="4"/>
        <v>858182</v>
      </c>
    </row>
    <row r="58" spans="1:7" ht="36.700000000000003" outlineLevel="5" x14ac:dyDescent="0.25">
      <c r="A58" s="81" t="s">
        <v>498</v>
      </c>
      <c r="B58" s="80" t="s">
        <v>500</v>
      </c>
      <c r="C58" s="80" t="s">
        <v>10</v>
      </c>
      <c r="D58" s="80" t="s">
        <v>537</v>
      </c>
      <c r="E58" s="83" t="s">
        <v>6</v>
      </c>
      <c r="F58" s="82">
        <f t="shared" si="4"/>
        <v>825175</v>
      </c>
      <c r="G58" s="82">
        <f t="shared" si="4"/>
        <v>858182</v>
      </c>
    </row>
    <row r="59" spans="1:7" ht="91.7" outlineLevel="6" x14ac:dyDescent="0.25">
      <c r="A59" s="81" t="s">
        <v>11</v>
      </c>
      <c r="B59" s="80" t="s">
        <v>500</v>
      </c>
      <c r="C59" s="80" t="s">
        <v>10</v>
      </c>
      <c r="D59" s="80" t="s">
        <v>537</v>
      </c>
      <c r="E59" s="83" t="s">
        <v>12</v>
      </c>
      <c r="F59" s="82">
        <f t="shared" si="4"/>
        <v>825175</v>
      </c>
      <c r="G59" s="82">
        <f t="shared" si="4"/>
        <v>858182</v>
      </c>
    </row>
    <row r="60" spans="1:7" ht="31.75" customHeight="1" outlineLevel="7" x14ac:dyDescent="0.25">
      <c r="A60" s="81" t="s">
        <v>13</v>
      </c>
      <c r="B60" s="80" t="s">
        <v>500</v>
      </c>
      <c r="C60" s="80" t="s">
        <v>10</v>
      </c>
      <c r="D60" s="80" t="s">
        <v>537</v>
      </c>
      <c r="E60" s="83" t="s">
        <v>14</v>
      </c>
      <c r="F60" s="82">
        <v>825175</v>
      </c>
      <c r="G60" s="82">
        <v>858182</v>
      </c>
    </row>
    <row r="61" spans="1:7" outlineLevel="7" x14ac:dyDescent="0.25">
      <c r="A61" s="81" t="s">
        <v>698</v>
      </c>
      <c r="B61" s="80" t="s">
        <v>500</v>
      </c>
      <c r="C61" s="80" t="s">
        <v>695</v>
      </c>
      <c r="D61" s="80" t="s">
        <v>126</v>
      </c>
      <c r="E61" s="80" t="s">
        <v>6</v>
      </c>
      <c r="F61" s="82">
        <f t="shared" ref="F61:G64" si="5">F62</f>
        <v>0</v>
      </c>
      <c r="G61" s="82">
        <f t="shared" si="5"/>
        <v>0</v>
      </c>
    </row>
    <row r="62" spans="1:7" ht="36.700000000000003" outlineLevel="7" x14ac:dyDescent="0.25">
      <c r="A62" s="81" t="s">
        <v>132</v>
      </c>
      <c r="B62" s="80" t="s">
        <v>500</v>
      </c>
      <c r="C62" s="80" t="s">
        <v>695</v>
      </c>
      <c r="D62" s="80" t="s">
        <v>127</v>
      </c>
      <c r="E62" s="80" t="s">
        <v>6</v>
      </c>
      <c r="F62" s="82">
        <f t="shared" si="5"/>
        <v>0</v>
      </c>
      <c r="G62" s="82">
        <f t="shared" si="5"/>
        <v>0</v>
      </c>
    </row>
    <row r="63" spans="1:7" ht="36.700000000000003" outlineLevel="7" x14ac:dyDescent="0.25">
      <c r="A63" s="81" t="s">
        <v>697</v>
      </c>
      <c r="B63" s="80" t="s">
        <v>500</v>
      </c>
      <c r="C63" s="80" t="s">
        <v>695</v>
      </c>
      <c r="D63" s="80" t="s">
        <v>539</v>
      </c>
      <c r="E63" s="80" t="s">
        <v>6</v>
      </c>
      <c r="F63" s="82">
        <f t="shared" si="5"/>
        <v>0</v>
      </c>
      <c r="G63" s="82">
        <f t="shared" si="5"/>
        <v>0</v>
      </c>
    </row>
    <row r="64" spans="1:7" outlineLevel="7" x14ac:dyDescent="0.25">
      <c r="A64" s="81" t="s">
        <v>19</v>
      </c>
      <c r="B64" s="80" t="s">
        <v>500</v>
      </c>
      <c r="C64" s="80" t="s">
        <v>695</v>
      </c>
      <c r="D64" s="80" t="s">
        <v>539</v>
      </c>
      <c r="E64" s="80" t="s">
        <v>20</v>
      </c>
      <c r="F64" s="82">
        <f t="shared" si="5"/>
        <v>0</v>
      </c>
      <c r="G64" s="82">
        <f t="shared" si="5"/>
        <v>0</v>
      </c>
    </row>
    <row r="65" spans="1:8" outlineLevel="7" x14ac:dyDescent="0.25">
      <c r="A65" s="81" t="s">
        <v>696</v>
      </c>
      <c r="B65" s="80" t="s">
        <v>500</v>
      </c>
      <c r="C65" s="80" t="s">
        <v>695</v>
      </c>
      <c r="D65" s="80" t="s">
        <v>539</v>
      </c>
      <c r="E65" s="80" t="s">
        <v>694</v>
      </c>
      <c r="F65" s="82"/>
      <c r="G65" s="82"/>
    </row>
    <row r="66" spans="1:8" outlineLevel="2" x14ac:dyDescent="0.25">
      <c r="A66" s="81" t="s">
        <v>23</v>
      </c>
      <c r="B66" s="80" t="s">
        <v>500</v>
      </c>
      <c r="C66" s="80" t="s">
        <v>24</v>
      </c>
      <c r="D66" s="80" t="s">
        <v>126</v>
      </c>
      <c r="E66" s="83" t="s">
        <v>6</v>
      </c>
      <c r="F66" s="82">
        <f>F67+F90+F103+F95+F110</f>
        <v>72521978.530000001</v>
      </c>
      <c r="G66" s="82">
        <f>G67+G90+G103+G95+G110</f>
        <v>74212634.25</v>
      </c>
    </row>
    <row r="67" spans="1:8" s="172" customFormat="1" ht="59.3" customHeight="1" outlineLevel="3" x14ac:dyDescent="0.25">
      <c r="A67" s="109" t="s">
        <v>853</v>
      </c>
      <c r="B67" s="110" t="s">
        <v>500</v>
      </c>
      <c r="C67" s="110" t="s">
        <v>24</v>
      </c>
      <c r="D67" s="110" t="s">
        <v>128</v>
      </c>
      <c r="E67" s="111" t="s">
        <v>6</v>
      </c>
      <c r="F67" s="85">
        <f>F68+F75+F83</f>
        <v>25030881.030000001</v>
      </c>
      <c r="G67" s="85">
        <f>G68+G75+G83</f>
        <v>25154303.800000001</v>
      </c>
      <c r="H67" s="171"/>
    </row>
    <row r="68" spans="1:8" ht="57.25" customHeight="1" outlineLevel="7" x14ac:dyDescent="0.25">
      <c r="A68" s="81" t="s">
        <v>835</v>
      </c>
      <c r="B68" s="80" t="s">
        <v>500</v>
      </c>
      <c r="C68" s="80" t="s">
        <v>24</v>
      </c>
      <c r="D68" s="80" t="s">
        <v>315</v>
      </c>
      <c r="E68" s="83" t="s">
        <v>6</v>
      </c>
      <c r="F68" s="98">
        <f>F69+F72</f>
        <v>795385</v>
      </c>
      <c r="G68" s="98">
        <f>G69+G72</f>
        <v>795385</v>
      </c>
    </row>
    <row r="69" spans="1:8" outlineLevel="7" x14ac:dyDescent="0.25">
      <c r="A69" s="81" t="s">
        <v>321</v>
      </c>
      <c r="B69" s="80" t="s">
        <v>500</v>
      </c>
      <c r="C69" s="80" t="s">
        <v>24</v>
      </c>
      <c r="D69" s="80" t="s">
        <v>316</v>
      </c>
      <c r="E69" s="83" t="s">
        <v>6</v>
      </c>
      <c r="F69" s="98">
        <f>F70</f>
        <v>745385</v>
      </c>
      <c r="G69" s="98">
        <f>G70</f>
        <v>745385</v>
      </c>
    </row>
    <row r="70" spans="1:8" ht="36.700000000000003" outlineLevel="7" x14ac:dyDescent="0.25">
      <c r="A70" s="81" t="s">
        <v>15</v>
      </c>
      <c r="B70" s="80" t="s">
        <v>500</v>
      </c>
      <c r="C70" s="80" t="s">
        <v>24</v>
      </c>
      <c r="D70" s="80" t="s">
        <v>316</v>
      </c>
      <c r="E70" s="83" t="s">
        <v>16</v>
      </c>
      <c r="F70" s="82">
        <f>F71</f>
        <v>745385</v>
      </c>
      <c r="G70" s="82">
        <f>G71</f>
        <v>745385</v>
      </c>
    </row>
    <row r="71" spans="1:8" ht="21.25" customHeight="1" outlineLevel="7" x14ac:dyDescent="0.25">
      <c r="A71" s="81" t="s">
        <v>17</v>
      </c>
      <c r="B71" s="80" t="s">
        <v>500</v>
      </c>
      <c r="C71" s="80" t="s">
        <v>24</v>
      </c>
      <c r="D71" s="80" t="s">
        <v>316</v>
      </c>
      <c r="E71" s="83" t="s">
        <v>18</v>
      </c>
      <c r="F71" s="98">
        <v>745385</v>
      </c>
      <c r="G71" s="98">
        <v>745385</v>
      </c>
    </row>
    <row r="72" spans="1:8" outlineLevel="7" x14ac:dyDescent="0.25">
      <c r="A72" s="81" t="s">
        <v>322</v>
      </c>
      <c r="B72" s="80" t="s">
        <v>500</v>
      </c>
      <c r="C72" s="80" t="s">
        <v>24</v>
      </c>
      <c r="D72" s="80" t="s">
        <v>323</v>
      </c>
      <c r="E72" s="83" t="s">
        <v>6</v>
      </c>
      <c r="F72" s="98">
        <f>F73</f>
        <v>50000</v>
      </c>
      <c r="G72" s="98">
        <f>G73</f>
        <v>50000</v>
      </c>
    </row>
    <row r="73" spans="1:8" ht="36.700000000000003" outlineLevel="7" x14ac:dyDescent="0.25">
      <c r="A73" s="81" t="s">
        <v>15</v>
      </c>
      <c r="B73" s="80" t="s">
        <v>500</v>
      </c>
      <c r="C73" s="80" t="s">
        <v>24</v>
      </c>
      <c r="D73" s="80" t="s">
        <v>323</v>
      </c>
      <c r="E73" s="83" t="s">
        <v>16</v>
      </c>
      <c r="F73" s="82">
        <f>F74</f>
        <v>50000</v>
      </c>
      <c r="G73" s="82">
        <f>G74</f>
        <v>50000</v>
      </c>
    </row>
    <row r="74" spans="1:8" ht="19.55" customHeight="1" outlineLevel="7" x14ac:dyDescent="0.25">
      <c r="A74" s="81" t="s">
        <v>17</v>
      </c>
      <c r="B74" s="80" t="s">
        <v>500</v>
      </c>
      <c r="C74" s="80" t="s">
        <v>24</v>
      </c>
      <c r="D74" s="80" t="s">
        <v>323</v>
      </c>
      <c r="E74" s="83" t="s">
        <v>18</v>
      </c>
      <c r="F74" s="82">
        <v>50000</v>
      </c>
      <c r="G74" s="82">
        <v>50000</v>
      </c>
    </row>
    <row r="75" spans="1:8" ht="46.55" customHeight="1" outlineLevel="7" x14ac:dyDescent="0.25">
      <c r="A75" s="81" t="s">
        <v>216</v>
      </c>
      <c r="B75" s="80" t="s">
        <v>500</v>
      </c>
      <c r="C75" s="80" t="s">
        <v>24</v>
      </c>
      <c r="D75" s="80" t="s">
        <v>231</v>
      </c>
      <c r="E75" s="83" t="s">
        <v>6</v>
      </c>
      <c r="F75" s="98">
        <f>F76</f>
        <v>22135496.030000001</v>
      </c>
      <c r="G75" s="98">
        <f>G76</f>
        <v>22258918.800000001</v>
      </c>
    </row>
    <row r="76" spans="1:8" ht="55.05" outlineLevel="5" x14ac:dyDescent="0.25">
      <c r="A76" s="81" t="s">
        <v>33</v>
      </c>
      <c r="B76" s="80" t="s">
        <v>500</v>
      </c>
      <c r="C76" s="80" t="s">
        <v>24</v>
      </c>
      <c r="D76" s="80" t="s">
        <v>130</v>
      </c>
      <c r="E76" s="83" t="s">
        <v>6</v>
      </c>
      <c r="F76" s="82">
        <f>F77+F79+F81</f>
        <v>22135496.030000001</v>
      </c>
      <c r="G76" s="82">
        <f>G77+G79+G81</f>
        <v>22258918.800000001</v>
      </c>
    </row>
    <row r="77" spans="1:8" ht="91.7" outlineLevel="6" x14ac:dyDescent="0.25">
      <c r="A77" s="81" t="s">
        <v>11</v>
      </c>
      <c r="B77" s="80" t="s">
        <v>500</v>
      </c>
      <c r="C77" s="80" t="s">
        <v>24</v>
      </c>
      <c r="D77" s="80" t="s">
        <v>130</v>
      </c>
      <c r="E77" s="83" t="s">
        <v>12</v>
      </c>
      <c r="F77" s="82">
        <f>F78</f>
        <v>11334046.030000001</v>
      </c>
      <c r="G77" s="82">
        <f>G78</f>
        <v>11457468.800000001</v>
      </c>
    </row>
    <row r="78" spans="1:8" outlineLevel="7" x14ac:dyDescent="0.25">
      <c r="A78" s="81" t="s">
        <v>34</v>
      </c>
      <c r="B78" s="80" t="s">
        <v>500</v>
      </c>
      <c r="C78" s="80" t="s">
        <v>24</v>
      </c>
      <c r="D78" s="80" t="s">
        <v>130</v>
      </c>
      <c r="E78" s="83" t="s">
        <v>35</v>
      </c>
      <c r="F78" s="98">
        <f>11370694-13094.03+129.24-23683.18</f>
        <v>11334046.030000001</v>
      </c>
      <c r="G78" s="98">
        <f>11370694+110457.98-23683.18</f>
        <v>11457468.800000001</v>
      </c>
    </row>
    <row r="79" spans="1:8" ht="36.700000000000003" outlineLevel="6" x14ac:dyDescent="0.25">
      <c r="A79" s="81" t="s">
        <v>15</v>
      </c>
      <c r="B79" s="80" t="s">
        <v>500</v>
      </c>
      <c r="C79" s="80" t="s">
        <v>24</v>
      </c>
      <c r="D79" s="80" t="s">
        <v>130</v>
      </c>
      <c r="E79" s="83" t="s">
        <v>16</v>
      </c>
      <c r="F79" s="82">
        <f>F80</f>
        <v>10000000</v>
      </c>
      <c r="G79" s="82">
        <f>G80</f>
        <v>10000000</v>
      </c>
    </row>
    <row r="80" spans="1:8" ht="21.25" customHeight="1" outlineLevel="7" x14ac:dyDescent="0.25">
      <c r="A80" s="81" t="s">
        <v>17</v>
      </c>
      <c r="B80" s="80" t="s">
        <v>500</v>
      </c>
      <c r="C80" s="80" t="s">
        <v>24</v>
      </c>
      <c r="D80" s="80" t="s">
        <v>130</v>
      </c>
      <c r="E80" s="83" t="s">
        <v>18</v>
      </c>
      <c r="F80" s="98">
        <v>10000000</v>
      </c>
      <c r="G80" s="98">
        <v>10000000</v>
      </c>
    </row>
    <row r="81" spans="1:8" outlineLevel="6" x14ac:dyDescent="0.25">
      <c r="A81" s="81" t="s">
        <v>19</v>
      </c>
      <c r="B81" s="80" t="s">
        <v>500</v>
      </c>
      <c r="C81" s="80" t="s">
        <v>24</v>
      </c>
      <c r="D81" s="80" t="s">
        <v>130</v>
      </c>
      <c r="E81" s="83" t="s">
        <v>20</v>
      </c>
      <c r="F81" s="82">
        <f>F82</f>
        <v>801450</v>
      </c>
      <c r="G81" s="82">
        <f>G82</f>
        <v>801450</v>
      </c>
    </row>
    <row r="82" spans="1:8" outlineLevel="7" x14ac:dyDescent="0.25">
      <c r="A82" s="81" t="s">
        <v>21</v>
      </c>
      <c r="B82" s="80" t="s">
        <v>500</v>
      </c>
      <c r="C82" s="80" t="s">
        <v>24</v>
      </c>
      <c r="D82" s="80" t="s">
        <v>130</v>
      </c>
      <c r="E82" s="83" t="s">
        <v>22</v>
      </c>
      <c r="F82" s="131">
        <v>801450</v>
      </c>
      <c r="G82" s="131">
        <v>801450</v>
      </c>
    </row>
    <row r="83" spans="1:8" outlineLevel="7" x14ac:dyDescent="0.25">
      <c r="A83" s="81" t="s">
        <v>748</v>
      </c>
      <c r="B83" s="80" t="s">
        <v>500</v>
      </c>
      <c r="C83" s="80" t="s">
        <v>24</v>
      </c>
      <c r="D83" s="80" t="s">
        <v>692</v>
      </c>
      <c r="E83" s="80" t="s">
        <v>6</v>
      </c>
      <c r="F83" s="82">
        <f>F84+F87</f>
        <v>2100000</v>
      </c>
      <c r="G83" s="82">
        <f>G84+G87</f>
        <v>2100000</v>
      </c>
    </row>
    <row r="84" spans="1:8" ht="36.700000000000003" outlineLevel="7" x14ac:dyDescent="0.25">
      <c r="A84" s="25" t="s">
        <v>717</v>
      </c>
      <c r="B84" s="80" t="s">
        <v>500</v>
      </c>
      <c r="C84" s="80" t="s">
        <v>24</v>
      </c>
      <c r="D84" s="80" t="s">
        <v>691</v>
      </c>
      <c r="E84" s="80" t="s">
        <v>6</v>
      </c>
      <c r="F84" s="82">
        <f>F85</f>
        <v>500000</v>
      </c>
      <c r="G84" s="82">
        <f>G85</f>
        <v>500000</v>
      </c>
    </row>
    <row r="85" spans="1:8" ht="36.700000000000003" outlineLevel="7" x14ac:dyDescent="0.25">
      <c r="A85" s="81" t="s">
        <v>15</v>
      </c>
      <c r="B85" s="80" t="s">
        <v>500</v>
      </c>
      <c r="C85" s="80" t="s">
        <v>24</v>
      </c>
      <c r="D85" s="80" t="s">
        <v>691</v>
      </c>
      <c r="E85" s="80" t="s">
        <v>16</v>
      </c>
      <c r="F85" s="82">
        <f>F86</f>
        <v>500000</v>
      </c>
      <c r="G85" s="82">
        <f>G86</f>
        <v>500000</v>
      </c>
    </row>
    <row r="86" spans="1:8" ht="36.700000000000003" outlineLevel="7" x14ac:dyDescent="0.25">
      <c r="A86" s="81" t="s">
        <v>17</v>
      </c>
      <c r="B86" s="80" t="s">
        <v>500</v>
      </c>
      <c r="C86" s="80" t="s">
        <v>24</v>
      </c>
      <c r="D86" s="80" t="s">
        <v>691</v>
      </c>
      <c r="E86" s="80" t="s">
        <v>18</v>
      </c>
      <c r="F86" s="131">
        <v>500000</v>
      </c>
      <c r="G86" s="131">
        <v>500000</v>
      </c>
    </row>
    <row r="87" spans="1:8" ht="36.700000000000003" outlineLevel="7" x14ac:dyDescent="0.25">
      <c r="A87" s="81" t="s">
        <v>690</v>
      </c>
      <c r="B87" s="80" t="s">
        <v>500</v>
      </c>
      <c r="C87" s="80" t="s">
        <v>24</v>
      </c>
      <c r="D87" s="80" t="s">
        <v>689</v>
      </c>
      <c r="E87" s="80" t="s">
        <v>6</v>
      </c>
      <c r="F87" s="82">
        <f>F88</f>
        <v>1600000</v>
      </c>
      <c r="G87" s="82">
        <f>G88</f>
        <v>1600000</v>
      </c>
    </row>
    <row r="88" spans="1:8" ht="36.700000000000003" outlineLevel="7" x14ac:dyDescent="0.25">
      <c r="A88" s="81" t="s">
        <v>15</v>
      </c>
      <c r="B88" s="80" t="s">
        <v>500</v>
      </c>
      <c r="C88" s="80" t="s">
        <v>24</v>
      </c>
      <c r="D88" s="80" t="s">
        <v>689</v>
      </c>
      <c r="E88" s="80" t="s">
        <v>16</v>
      </c>
      <c r="F88" s="82">
        <f>F89</f>
        <v>1600000</v>
      </c>
      <c r="G88" s="82">
        <f>G89</f>
        <v>1600000</v>
      </c>
    </row>
    <row r="89" spans="1:8" ht="36.700000000000003" outlineLevel="7" x14ac:dyDescent="0.25">
      <c r="A89" s="81" t="s">
        <v>17</v>
      </c>
      <c r="B89" s="80" t="s">
        <v>500</v>
      </c>
      <c r="C89" s="80" t="s">
        <v>24</v>
      </c>
      <c r="D89" s="80" t="s">
        <v>689</v>
      </c>
      <c r="E89" s="80" t="s">
        <v>18</v>
      </c>
      <c r="F89" s="131">
        <v>1600000</v>
      </c>
      <c r="G89" s="131">
        <v>1600000</v>
      </c>
    </row>
    <row r="90" spans="1:8" s="172" customFormat="1" ht="55.05" outlineLevel="7" x14ac:dyDescent="0.25">
      <c r="A90" s="109" t="s">
        <v>852</v>
      </c>
      <c r="B90" s="110" t="s">
        <v>500</v>
      </c>
      <c r="C90" s="110" t="s">
        <v>24</v>
      </c>
      <c r="D90" s="110" t="s">
        <v>131</v>
      </c>
      <c r="E90" s="111" t="s">
        <v>6</v>
      </c>
      <c r="F90" s="85">
        <f t="shared" ref="F90:G93" si="6">F91</f>
        <v>50000</v>
      </c>
      <c r="G90" s="85">
        <f t="shared" si="6"/>
        <v>50000</v>
      </c>
      <c r="H90" s="171"/>
    </row>
    <row r="91" spans="1:8" outlineLevel="7" x14ac:dyDescent="0.25">
      <c r="A91" s="81" t="s">
        <v>324</v>
      </c>
      <c r="B91" s="80" t="s">
        <v>500</v>
      </c>
      <c r="C91" s="80" t="s">
        <v>24</v>
      </c>
      <c r="D91" s="80" t="s">
        <v>233</v>
      </c>
      <c r="E91" s="83" t="s">
        <v>6</v>
      </c>
      <c r="F91" s="82">
        <f t="shared" si="6"/>
        <v>50000</v>
      </c>
      <c r="G91" s="82">
        <f t="shared" si="6"/>
        <v>50000</v>
      </c>
    </row>
    <row r="92" spans="1:8" ht="36.700000000000003" outlineLevel="7" x14ac:dyDescent="0.25">
      <c r="A92" s="81" t="s">
        <v>325</v>
      </c>
      <c r="B92" s="80" t="s">
        <v>500</v>
      </c>
      <c r="C92" s="80" t="s">
        <v>24</v>
      </c>
      <c r="D92" s="80" t="s">
        <v>326</v>
      </c>
      <c r="E92" s="83" t="s">
        <v>6</v>
      </c>
      <c r="F92" s="82">
        <f t="shared" si="6"/>
        <v>50000</v>
      </c>
      <c r="G92" s="82">
        <f t="shared" si="6"/>
        <v>50000</v>
      </c>
    </row>
    <row r="93" spans="1:8" ht="36.700000000000003" outlineLevel="7" x14ac:dyDescent="0.25">
      <c r="A93" s="81" t="s">
        <v>15</v>
      </c>
      <c r="B93" s="80" t="s">
        <v>500</v>
      </c>
      <c r="C93" s="80" t="s">
        <v>24</v>
      </c>
      <c r="D93" s="80" t="s">
        <v>326</v>
      </c>
      <c r="E93" s="83" t="s">
        <v>16</v>
      </c>
      <c r="F93" s="82">
        <f t="shared" si="6"/>
        <v>50000</v>
      </c>
      <c r="G93" s="82">
        <f t="shared" si="6"/>
        <v>50000</v>
      </c>
    </row>
    <row r="94" spans="1:8" ht="21.25" customHeight="1" outlineLevel="7" x14ac:dyDescent="0.25">
      <c r="A94" s="81" t="s">
        <v>17</v>
      </c>
      <c r="B94" s="80" t="s">
        <v>500</v>
      </c>
      <c r="C94" s="80" t="s">
        <v>24</v>
      </c>
      <c r="D94" s="80" t="s">
        <v>326</v>
      </c>
      <c r="E94" s="83" t="s">
        <v>18</v>
      </c>
      <c r="F94" s="98">
        <v>50000</v>
      </c>
      <c r="G94" s="98">
        <v>50000</v>
      </c>
    </row>
    <row r="95" spans="1:8" s="172" customFormat="1" ht="59.3" customHeight="1" outlineLevel="7" x14ac:dyDescent="0.25">
      <c r="A95" s="109" t="s">
        <v>829</v>
      </c>
      <c r="B95" s="110" t="s">
        <v>500</v>
      </c>
      <c r="C95" s="110" t="s">
        <v>24</v>
      </c>
      <c r="D95" s="110" t="s">
        <v>317</v>
      </c>
      <c r="E95" s="111" t="s">
        <v>6</v>
      </c>
      <c r="F95" s="85">
        <f>F96</f>
        <v>1544157.5</v>
      </c>
      <c r="G95" s="85">
        <f>G96</f>
        <v>1544157.5</v>
      </c>
      <c r="H95" s="171"/>
    </row>
    <row r="96" spans="1:8" ht="42.8" customHeight="1" outlineLevel="7" x14ac:dyDescent="0.25">
      <c r="A96" s="113" t="s">
        <v>327</v>
      </c>
      <c r="B96" s="80" t="s">
        <v>500</v>
      </c>
      <c r="C96" s="80" t="s">
        <v>24</v>
      </c>
      <c r="D96" s="80" t="s">
        <v>318</v>
      </c>
      <c r="E96" s="83" t="s">
        <v>6</v>
      </c>
      <c r="F96" s="82">
        <f>F97+F100</f>
        <v>1544157.5</v>
      </c>
      <c r="G96" s="82">
        <f>G97+G100</f>
        <v>1544157.5</v>
      </c>
    </row>
    <row r="97" spans="1:8" ht="37.549999999999997" customHeight="1" outlineLevel="7" x14ac:dyDescent="0.25">
      <c r="A97" s="113" t="s">
        <v>328</v>
      </c>
      <c r="B97" s="80" t="s">
        <v>500</v>
      </c>
      <c r="C97" s="80" t="s">
        <v>24</v>
      </c>
      <c r="D97" s="80" t="s">
        <v>329</v>
      </c>
      <c r="E97" s="83" t="s">
        <v>6</v>
      </c>
      <c r="F97" s="82">
        <f>F98</f>
        <v>1500000</v>
      </c>
      <c r="G97" s="82">
        <f>G98</f>
        <v>1500000</v>
      </c>
    </row>
    <row r="98" spans="1:8" ht="36.700000000000003" outlineLevel="7" x14ac:dyDescent="0.25">
      <c r="A98" s="81" t="s">
        <v>15</v>
      </c>
      <c r="B98" s="80" t="s">
        <v>500</v>
      </c>
      <c r="C98" s="80" t="s">
        <v>24</v>
      </c>
      <c r="D98" s="80" t="s">
        <v>329</v>
      </c>
      <c r="E98" s="83" t="s">
        <v>16</v>
      </c>
      <c r="F98" s="82">
        <f>F99</f>
        <v>1500000</v>
      </c>
      <c r="G98" s="82">
        <f>G99</f>
        <v>1500000</v>
      </c>
    </row>
    <row r="99" spans="1:8" ht="18.7" customHeight="1" outlineLevel="7" x14ac:dyDescent="0.25">
      <c r="A99" s="81" t="s">
        <v>17</v>
      </c>
      <c r="B99" s="80" t="s">
        <v>500</v>
      </c>
      <c r="C99" s="80" t="s">
        <v>24</v>
      </c>
      <c r="D99" s="80" t="s">
        <v>329</v>
      </c>
      <c r="E99" s="83" t="s">
        <v>18</v>
      </c>
      <c r="F99" s="98">
        <v>1500000</v>
      </c>
      <c r="G99" s="98">
        <v>1500000</v>
      </c>
    </row>
    <row r="100" spans="1:8" ht="36.700000000000003" outlineLevel="7" x14ac:dyDescent="0.25">
      <c r="A100" s="113" t="s">
        <v>330</v>
      </c>
      <c r="B100" s="80" t="s">
        <v>500</v>
      </c>
      <c r="C100" s="80" t="s">
        <v>24</v>
      </c>
      <c r="D100" s="80" t="s">
        <v>319</v>
      </c>
      <c r="E100" s="83" t="s">
        <v>6</v>
      </c>
      <c r="F100" s="82">
        <f>F101</f>
        <v>44157.5</v>
      </c>
      <c r="G100" s="82">
        <f>G101</f>
        <v>44157.5</v>
      </c>
    </row>
    <row r="101" spans="1:8" ht="36.700000000000003" outlineLevel="7" x14ac:dyDescent="0.25">
      <c r="A101" s="81" t="s">
        <v>15</v>
      </c>
      <c r="B101" s="80" t="s">
        <v>500</v>
      </c>
      <c r="C101" s="80" t="s">
        <v>24</v>
      </c>
      <c r="D101" s="80" t="s">
        <v>319</v>
      </c>
      <c r="E101" s="83" t="s">
        <v>16</v>
      </c>
      <c r="F101" s="82">
        <f>F102</f>
        <v>44157.5</v>
      </c>
      <c r="G101" s="82">
        <f>G102</f>
        <v>44157.5</v>
      </c>
    </row>
    <row r="102" spans="1:8" ht="19.55" customHeight="1" outlineLevel="7" x14ac:dyDescent="0.25">
      <c r="A102" s="81" t="s">
        <v>17</v>
      </c>
      <c r="B102" s="80" t="s">
        <v>500</v>
      </c>
      <c r="C102" s="80" t="s">
        <v>24</v>
      </c>
      <c r="D102" s="80" t="s">
        <v>319</v>
      </c>
      <c r="E102" s="83" t="s">
        <v>18</v>
      </c>
      <c r="F102" s="82">
        <v>44157.5</v>
      </c>
      <c r="G102" s="82">
        <v>44157.5</v>
      </c>
    </row>
    <row r="103" spans="1:8" s="172" customFormat="1" ht="55.05" outlineLevel="7" x14ac:dyDescent="0.25">
      <c r="A103" s="109" t="s">
        <v>851</v>
      </c>
      <c r="B103" s="110" t="s">
        <v>500</v>
      </c>
      <c r="C103" s="110" t="s">
        <v>24</v>
      </c>
      <c r="D103" s="110" t="s">
        <v>331</v>
      </c>
      <c r="E103" s="111" t="s">
        <v>6</v>
      </c>
      <c r="F103" s="85">
        <f>F104</f>
        <v>1600000</v>
      </c>
      <c r="G103" s="85">
        <f>G104</f>
        <v>1600000</v>
      </c>
      <c r="H103" s="171"/>
    </row>
    <row r="104" spans="1:8" ht="36.700000000000003" outlineLevel="7" x14ac:dyDescent="0.25">
      <c r="A104" s="81" t="s">
        <v>215</v>
      </c>
      <c r="B104" s="80" t="s">
        <v>500</v>
      </c>
      <c r="C104" s="80" t="s">
        <v>24</v>
      </c>
      <c r="D104" s="80" t="s">
        <v>332</v>
      </c>
      <c r="E104" s="83" t="s">
        <v>6</v>
      </c>
      <c r="F104" s="82">
        <f>F105</f>
        <v>1600000</v>
      </c>
      <c r="G104" s="82">
        <f>G105</f>
        <v>1600000</v>
      </c>
    </row>
    <row r="105" spans="1:8" ht="73.400000000000006" outlineLevel="5" x14ac:dyDescent="0.25">
      <c r="A105" s="81" t="s">
        <v>32</v>
      </c>
      <c r="B105" s="80" t="s">
        <v>500</v>
      </c>
      <c r="C105" s="80" t="s">
        <v>24</v>
      </c>
      <c r="D105" s="80" t="s">
        <v>333</v>
      </c>
      <c r="E105" s="83" t="s">
        <v>6</v>
      </c>
      <c r="F105" s="82">
        <f>F106+F108</f>
        <v>1600000</v>
      </c>
      <c r="G105" s="82">
        <f>G106+G108</f>
        <v>1600000</v>
      </c>
    </row>
    <row r="106" spans="1:8" ht="36.700000000000003" outlineLevel="6" x14ac:dyDescent="0.25">
      <c r="A106" s="81" t="s">
        <v>15</v>
      </c>
      <c r="B106" s="80" t="s">
        <v>500</v>
      </c>
      <c r="C106" s="80" t="s">
        <v>24</v>
      </c>
      <c r="D106" s="80" t="s">
        <v>333</v>
      </c>
      <c r="E106" s="83" t="s">
        <v>16</v>
      </c>
      <c r="F106" s="82">
        <f>F107</f>
        <v>1460000</v>
      </c>
      <c r="G106" s="82">
        <f>G107</f>
        <v>1460000</v>
      </c>
    </row>
    <row r="107" spans="1:8" ht="20.25" customHeight="1" outlineLevel="7" x14ac:dyDescent="0.25">
      <c r="A107" s="81" t="s">
        <v>17</v>
      </c>
      <c r="B107" s="80" t="s">
        <v>500</v>
      </c>
      <c r="C107" s="80" t="s">
        <v>24</v>
      </c>
      <c r="D107" s="80" t="s">
        <v>333</v>
      </c>
      <c r="E107" s="83" t="s">
        <v>18</v>
      </c>
      <c r="F107" s="82">
        <f>1460000</f>
        <v>1460000</v>
      </c>
      <c r="G107" s="82">
        <f>1460000</f>
        <v>1460000</v>
      </c>
    </row>
    <row r="108" spans="1:8" outlineLevel="6" x14ac:dyDescent="0.25">
      <c r="A108" s="81" t="s">
        <v>19</v>
      </c>
      <c r="B108" s="80" t="s">
        <v>500</v>
      </c>
      <c r="C108" s="80" t="s">
        <v>24</v>
      </c>
      <c r="D108" s="80" t="s">
        <v>333</v>
      </c>
      <c r="E108" s="83" t="s">
        <v>20</v>
      </c>
      <c r="F108" s="82">
        <f>F109</f>
        <v>140000</v>
      </c>
      <c r="G108" s="82">
        <f>G109</f>
        <v>140000</v>
      </c>
    </row>
    <row r="109" spans="1:8" outlineLevel="7" x14ac:dyDescent="0.25">
      <c r="A109" s="81" t="s">
        <v>21</v>
      </c>
      <c r="B109" s="80" t="s">
        <v>500</v>
      </c>
      <c r="C109" s="80" t="s">
        <v>24</v>
      </c>
      <c r="D109" s="80" t="s">
        <v>333</v>
      </c>
      <c r="E109" s="83" t="s">
        <v>22</v>
      </c>
      <c r="F109" s="98">
        <v>140000</v>
      </c>
      <c r="G109" s="98">
        <v>140000</v>
      </c>
    </row>
    <row r="110" spans="1:8" ht="36.700000000000003" outlineLevel="3" x14ac:dyDescent="0.25">
      <c r="A110" s="81" t="s">
        <v>132</v>
      </c>
      <c r="B110" s="80" t="s">
        <v>500</v>
      </c>
      <c r="C110" s="80" t="s">
        <v>24</v>
      </c>
      <c r="D110" s="80" t="s">
        <v>127</v>
      </c>
      <c r="E110" s="83" t="s">
        <v>6</v>
      </c>
      <c r="F110" s="82">
        <f>F128+F111+F125+F116</f>
        <v>44296940</v>
      </c>
      <c r="G110" s="82">
        <f>G128+G111+G125+G116</f>
        <v>45864172.950000003</v>
      </c>
    </row>
    <row r="111" spans="1:8" ht="51.65" customHeight="1" outlineLevel="5" x14ac:dyDescent="0.25">
      <c r="A111" s="81" t="s">
        <v>494</v>
      </c>
      <c r="B111" s="80" t="s">
        <v>500</v>
      </c>
      <c r="C111" s="80" t="s">
        <v>24</v>
      </c>
      <c r="D111" s="80" t="s">
        <v>495</v>
      </c>
      <c r="E111" s="83" t="s">
        <v>6</v>
      </c>
      <c r="F111" s="82">
        <f>F112+F114</f>
        <v>36378471</v>
      </c>
      <c r="G111" s="82">
        <f>G112+G114</f>
        <v>37757327.950000003</v>
      </c>
    </row>
    <row r="112" spans="1:8" ht="42.45" customHeight="1" outlineLevel="6" x14ac:dyDescent="0.25">
      <c r="A112" s="81" t="s">
        <v>11</v>
      </c>
      <c r="B112" s="80" t="s">
        <v>500</v>
      </c>
      <c r="C112" s="80" t="s">
        <v>24</v>
      </c>
      <c r="D112" s="80" t="s">
        <v>495</v>
      </c>
      <c r="E112" s="83" t="s">
        <v>12</v>
      </c>
      <c r="F112" s="82">
        <f>F113</f>
        <v>36358471</v>
      </c>
      <c r="G112" s="82">
        <f>G113</f>
        <v>37737327.950000003</v>
      </c>
    </row>
    <row r="113" spans="1:7" ht="52.3" customHeight="1" outlineLevel="7" x14ac:dyDescent="0.25">
      <c r="A113" s="81" t="s">
        <v>13</v>
      </c>
      <c r="B113" s="80" t="s">
        <v>500</v>
      </c>
      <c r="C113" s="80" t="s">
        <v>24</v>
      </c>
      <c r="D113" s="80" t="s">
        <v>495</v>
      </c>
      <c r="E113" s="83" t="s">
        <v>14</v>
      </c>
      <c r="F113" s="82">
        <v>36358471</v>
      </c>
      <c r="G113" s="82">
        <v>37737327.950000003</v>
      </c>
    </row>
    <row r="114" spans="1:7" ht="53.7" customHeight="1" outlineLevel="7" x14ac:dyDescent="0.25">
      <c r="A114" s="81" t="s">
        <v>15</v>
      </c>
      <c r="B114" s="80" t="s">
        <v>500</v>
      </c>
      <c r="C114" s="80" t="s">
        <v>24</v>
      </c>
      <c r="D114" s="80" t="s">
        <v>495</v>
      </c>
      <c r="E114" s="83" t="s">
        <v>16</v>
      </c>
      <c r="F114" s="98">
        <f>F115</f>
        <v>20000</v>
      </c>
      <c r="G114" s="98">
        <f>G115</f>
        <v>20000</v>
      </c>
    </row>
    <row r="115" spans="1:7" ht="39.4" customHeight="1" outlineLevel="7" x14ac:dyDescent="0.25">
      <c r="A115" s="81" t="s">
        <v>17</v>
      </c>
      <c r="B115" s="80" t="s">
        <v>500</v>
      </c>
      <c r="C115" s="80" t="s">
        <v>24</v>
      </c>
      <c r="D115" s="80" t="s">
        <v>495</v>
      </c>
      <c r="E115" s="83" t="s">
        <v>18</v>
      </c>
      <c r="F115" s="82">
        <v>20000</v>
      </c>
      <c r="G115" s="82">
        <v>20000</v>
      </c>
    </row>
    <row r="116" spans="1:7" ht="39.25" customHeight="1" outlineLevel="7" x14ac:dyDescent="0.25">
      <c r="A116" s="81" t="s">
        <v>688</v>
      </c>
      <c r="B116" s="80" t="s">
        <v>500</v>
      </c>
      <c r="C116" s="80" t="s">
        <v>24</v>
      </c>
      <c r="D116" s="80" t="s">
        <v>686</v>
      </c>
      <c r="E116" s="80" t="s">
        <v>6</v>
      </c>
      <c r="F116" s="82">
        <f>F117</f>
        <v>150000</v>
      </c>
      <c r="G116" s="82">
        <f>G117</f>
        <v>150000</v>
      </c>
    </row>
    <row r="117" spans="1:7" ht="28.55" customHeight="1" outlineLevel="7" x14ac:dyDescent="0.25">
      <c r="A117" s="81" t="s">
        <v>19</v>
      </c>
      <c r="B117" s="80" t="s">
        <v>500</v>
      </c>
      <c r="C117" s="80" t="s">
        <v>24</v>
      </c>
      <c r="D117" s="80" t="s">
        <v>686</v>
      </c>
      <c r="E117" s="80" t="s">
        <v>20</v>
      </c>
      <c r="F117" s="82">
        <f>F118+F119</f>
        <v>150000</v>
      </c>
      <c r="G117" s="82">
        <f>G118+G119</f>
        <v>150000</v>
      </c>
    </row>
    <row r="118" spans="1:7" ht="18.7" customHeight="1" outlineLevel="7" x14ac:dyDescent="0.25">
      <c r="A118" s="81" t="s">
        <v>715</v>
      </c>
      <c r="B118" s="80" t="s">
        <v>500</v>
      </c>
      <c r="C118" s="80" t="s">
        <v>24</v>
      </c>
      <c r="D118" s="80" t="s">
        <v>686</v>
      </c>
      <c r="E118" s="118" t="s">
        <v>716</v>
      </c>
      <c r="F118" s="82">
        <v>0</v>
      </c>
      <c r="G118" s="82">
        <v>0</v>
      </c>
    </row>
    <row r="119" spans="1:7" ht="18" customHeight="1" outlineLevel="7" x14ac:dyDescent="0.25">
      <c r="A119" s="81" t="s">
        <v>687</v>
      </c>
      <c r="B119" s="80" t="s">
        <v>500</v>
      </c>
      <c r="C119" s="80" t="s">
        <v>24</v>
      </c>
      <c r="D119" s="80" t="s">
        <v>686</v>
      </c>
      <c r="E119" s="80" t="s">
        <v>22</v>
      </c>
      <c r="F119" s="82">
        <f>150000</f>
        <v>150000</v>
      </c>
      <c r="G119" s="82">
        <f>150000</f>
        <v>150000</v>
      </c>
    </row>
    <row r="120" spans="1:7" ht="36" customHeight="1" outlineLevel="7" x14ac:dyDescent="0.25">
      <c r="A120" s="25" t="s">
        <v>600</v>
      </c>
      <c r="B120" s="80" t="s">
        <v>500</v>
      </c>
      <c r="C120" s="80" t="s">
        <v>24</v>
      </c>
      <c r="D120" s="80" t="s">
        <v>601</v>
      </c>
      <c r="E120" s="80" t="s">
        <v>6</v>
      </c>
      <c r="F120" s="82">
        <f>F121</f>
        <v>0</v>
      </c>
      <c r="G120" s="82">
        <f>G121</f>
        <v>0</v>
      </c>
    </row>
    <row r="121" spans="1:7" ht="18.7" customHeight="1" outlineLevel="7" x14ac:dyDescent="0.25">
      <c r="A121" s="81" t="s">
        <v>15</v>
      </c>
      <c r="B121" s="80" t="s">
        <v>500</v>
      </c>
      <c r="C121" s="80" t="s">
        <v>24</v>
      </c>
      <c r="D121" s="80" t="s">
        <v>601</v>
      </c>
      <c r="E121" s="80" t="s">
        <v>16</v>
      </c>
      <c r="F121" s="82">
        <f>F122</f>
        <v>0</v>
      </c>
      <c r="G121" s="82">
        <f>G122</f>
        <v>0</v>
      </c>
    </row>
    <row r="122" spans="1:7" ht="18.7" customHeight="1" outlineLevel="7" x14ac:dyDescent="0.25">
      <c r="A122" s="81" t="s">
        <v>17</v>
      </c>
      <c r="B122" s="80" t="s">
        <v>500</v>
      </c>
      <c r="C122" s="80" t="s">
        <v>24</v>
      </c>
      <c r="D122" s="80" t="s">
        <v>601</v>
      </c>
      <c r="E122" s="80" t="s">
        <v>18</v>
      </c>
      <c r="F122" s="82">
        <v>0</v>
      </c>
      <c r="G122" s="82">
        <v>0</v>
      </c>
    </row>
    <row r="123" spans="1:7" ht="18.7" customHeight="1" outlineLevel="7" x14ac:dyDescent="0.25">
      <c r="A123" s="81" t="s">
        <v>90</v>
      </c>
      <c r="B123" s="80" t="s">
        <v>500</v>
      </c>
      <c r="C123" s="80" t="s">
        <v>24</v>
      </c>
      <c r="D123" s="80" t="s">
        <v>601</v>
      </c>
      <c r="E123" s="80" t="s">
        <v>91</v>
      </c>
      <c r="F123" s="82">
        <f>F124</f>
        <v>0</v>
      </c>
      <c r="G123" s="82">
        <f>G124</f>
        <v>0</v>
      </c>
    </row>
    <row r="124" spans="1:7" ht="38.25" customHeight="1" outlineLevel="7" x14ac:dyDescent="0.25">
      <c r="A124" s="81" t="s">
        <v>97</v>
      </c>
      <c r="B124" s="80" t="s">
        <v>500</v>
      </c>
      <c r="C124" s="80" t="s">
        <v>24</v>
      </c>
      <c r="D124" s="80" t="s">
        <v>601</v>
      </c>
      <c r="E124" s="80" t="s">
        <v>98</v>
      </c>
      <c r="F124" s="82">
        <v>0</v>
      </c>
      <c r="G124" s="82">
        <v>0</v>
      </c>
    </row>
    <row r="125" spans="1:7" ht="19.55" customHeight="1" outlineLevel="7" x14ac:dyDescent="0.25">
      <c r="A125" s="81" t="s">
        <v>503</v>
      </c>
      <c r="B125" s="80" t="s">
        <v>500</v>
      </c>
      <c r="C125" s="80" t="s">
        <v>24</v>
      </c>
      <c r="D125" s="80" t="s">
        <v>502</v>
      </c>
      <c r="E125" s="83" t="s">
        <v>6</v>
      </c>
      <c r="F125" s="98">
        <f>F126</f>
        <v>200000</v>
      </c>
      <c r="G125" s="98">
        <f>G126</f>
        <v>200000</v>
      </c>
    </row>
    <row r="126" spans="1:7" ht="36.700000000000003" outlineLevel="7" x14ac:dyDescent="0.25">
      <c r="A126" s="81" t="s">
        <v>15</v>
      </c>
      <c r="B126" s="80" t="s">
        <v>500</v>
      </c>
      <c r="C126" s="80" t="s">
        <v>24</v>
      </c>
      <c r="D126" s="80" t="s">
        <v>502</v>
      </c>
      <c r="E126" s="83" t="s">
        <v>16</v>
      </c>
      <c r="F126" s="98">
        <f>F127</f>
        <v>200000</v>
      </c>
      <c r="G126" s="98">
        <f>G127</f>
        <v>200000</v>
      </c>
    </row>
    <row r="127" spans="1:7" ht="20.25" customHeight="1" outlineLevel="7" x14ac:dyDescent="0.25">
      <c r="A127" s="81" t="s">
        <v>17</v>
      </c>
      <c r="B127" s="80" t="s">
        <v>500</v>
      </c>
      <c r="C127" s="80" t="s">
        <v>24</v>
      </c>
      <c r="D127" s="80" t="s">
        <v>502</v>
      </c>
      <c r="E127" s="83" t="s">
        <v>18</v>
      </c>
      <c r="F127" s="82">
        <v>200000</v>
      </c>
      <c r="G127" s="82">
        <v>200000</v>
      </c>
    </row>
    <row r="128" spans="1:7" outlineLevel="3" x14ac:dyDescent="0.25">
      <c r="A128" s="81" t="s">
        <v>277</v>
      </c>
      <c r="B128" s="80" t="s">
        <v>500</v>
      </c>
      <c r="C128" s="80" t="s">
        <v>24</v>
      </c>
      <c r="D128" s="80" t="s">
        <v>276</v>
      </c>
      <c r="E128" s="83" t="s">
        <v>6</v>
      </c>
      <c r="F128" s="82">
        <f>F152+F129+F137+F142+F147+F134</f>
        <v>7568469</v>
      </c>
      <c r="G128" s="82">
        <f>G152+G129+G137+G142+G147+G134</f>
        <v>7756845</v>
      </c>
    </row>
    <row r="129" spans="1:7" ht="73.400000000000006" outlineLevel="3" x14ac:dyDescent="0.25">
      <c r="A129" s="292" t="s">
        <v>438</v>
      </c>
      <c r="B129" s="145" t="s">
        <v>500</v>
      </c>
      <c r="C129" s="145" t="s">
        <v>24</v>
      </c>
      <c r="D129" s="145" t="s">
        <v>278</v>
      </c>
      <c r="E129" s="293" t="s">
        <v>6</v>
      </c>
      <c r="F129" s="290">
        <f>F130+F132</f>
        <v>1442603</v>
      </c>
      <c r="G129" s="290">
        <f>G130+G132</f>
        <v>1442603</v>
      </c>
    </row>
    <row r="130" spans="1:7" ht="91.7" outlineLevel="3" x14ac:dyDescent="0.25">
      <c r="A130" s="81" t="s">
        <v>11</v>
      </c>
      <c r="B130" s="80" t="s">
        <v>500</v>
      </c>
      <c r="C130" s="80" t="s">
        <v>24</v>
      </c>
      <c r="D130" s="80" t="s">
        <v>278</v>
      </c>
      <c r="E130" s="83" t="s">
        <v>12</v>
      </c>
      <c r="F130" s="82">
        <f>F131</f>
        <v>1427603</v>
      </c>
      <c r="G130" s="82">
        <f>G131</f>
        <v>1427603</v>
      </c>
    </row>
    <row r="131" spans="1:7" ht="36.700000000000003" outlineLevel="3" x14ac:dyDescent="0.25">
      <c r="A131" s="81" t="s">
        <v>13</v>
      </c>
      <c r="B131" s="80" t="s">
        <v>500</v>
      </c>
      <c r="C131" s="80" t="s">
        <v>24</v>
      </c>
      <c r="D131" s="80" t="s">
        <v>278</v>
      </c>
      <c r="E131" s="83" t="s">
        <v>14</v>
      </c>
      <c r="F131" s="82">
        <f>1399316+15924+12363</f>
        <v>1427603</v>
      </c>
      <c r="G131" s="82">
        <f>1399316+66404-38117</f>
        <v>1427603</v>
      </c>
    </row>
    <row r="132" spans="1:7" ht="47.25" customHeight="1" outlineLevel="7" x14ac:dyDescent="0.25">
      <c r="A132" s="81" t="s">
        <v>15</v>
      </c>
      <c r="B132" s="80" t="s">
        <v>500</v>
      </c>
      <c r="C132" s="80" t="s">
        <v>24</v>
      </c>
      <c r="D132" s="80" t="s">
        <v>278</v>
      </c>
      <c r="E132" s="83" t="s">
        <v>16</v>
      </c>
      <c r="F132" s="82">
        <f>F133</f>
        <v>15000</v>
      </c>
      <c r="G132" s="82">
        <f>G133</f>
        <v>15000</v>
      </c>
    </row>
    <row r="133" spans="1:7" ht="36.700000000000003" outlineLevel="7" x14ac:dyDescent="0.25">
      <c r="A133" s="81" t="s">
        <v>17</v>
      </c>
      <c r="B133" s="80" t="s">
        <v>500</v>
      </c>
      <c r="C133" s="80" t="s">
        <v>24</v>
      </c>
      <c r="D133" s="80" t="s">
        <v>278</v>
      </c>
      <c r="E133" s="83" t="s">
        <v>18</v>
      </c>
      <c r="F133" s="82">
        <v>15000</v>
      </c>
      <c r="G133" s="82">
        <v>15000</v>
      </c>
    </row>
    <row r="134" spans="1:7" ht="93.75" customHeight="1" outlineLevel="7" x14ac:dyDescent="0.25">
      <c r="A134" s="81" t="s">
        <v>722</v>
      </c>
      <c r="B134" s="80" t="s">
        <v>500</v>
      </c>
      <c r="C134" s="80" t="s">
        <v>24</v>
      </c>
      <c r="D134" s="80" t="s">
        <v>721</v>
      </c>
      <c r="E134" s="80" t="s">
        <v>6</v>
      </c>
      <c r="F134" s="82">
        <f>F135</f>
        <v>353579</v>
      </c>
      <c r="G134" s="82">
        <f>G135</f>
        <v>353579</v>
      </c>
    </row>
    <row r="135" spans="1:7" ht="36.700000000000003" outlineLevel="7" x14ac:dyDescent="0.25">
      <c r="A135" s="81" t="s">
        <v>13</v>
      </c>
      <c r="B135" s="80" t="s">
        <v>500</v>
      </c>
      <c r="C135" s="80" t="s">
        <v>24</v>
      </c>
      <c r="D135" s="80" t="s">
        <v>721</v>
      </c>
      <c r="E135" s="80" t="s">
        <v>12</v>
      </c>
      <c r="F135" s="82">
        <f>F136</f>
        <v>353579</v>
      </c>
      <c r="G135" s="82">
        <f>G136</f>
        <v>353579</v>
      </c>
    </row>
    <row r="136" spans="1:7" ht="20.25" customHeight="1" outlineLevel="7" x14ac:dyDescent="0.25">
      <c r="A136" s="81" t="s">
        <v>15</v>
      </c>
      <c r="B136" s="80" t="s">
        <v>500</v>
      </c>
      <c r="C136" s="80" t="s">
        <v>24</v>
      </c>
      <c r="D136" s="80" t="s">
        <v>721</v>
      </c>
      <c r="E136" s="80" t="s">
        <v>14</v>
      </c>
      <c r="F136" s="82">
        <v>353579</v>
      </c>
      <c r="G136" s="82">
        <v>353579</v>
      </c>
    </row>
    <row r="137" spans="1:7" ht="36.700000000000003" customHeight="1" outlineLevel="7" x14ac:dyDescent="0.25">
      <c r="A137" s="100" t="s">
        <v>573</v>
      </c>
      <c r="B137" s="80" t="s">
        <v>500</v>
      </c>
      <c r="C137" s="80" t="s">
        <v>24</v>
      </c>
      <c r="D137" s="80" t="s">
        <v>580</v>
      </c>
      <c r="E137" s="83" t="s">
        <v>6</v>
      </c>
      <c r="F137" s="82">
        <f>F138+F140</f>
        <v>2174817</v>
      </c>
      <c r="G137" s="82">
        <f>G138+G140</f>
        <v>2256758</v>
      </c>
    </row>
    <row r="138" spans="1:7" ht="39.75" customHeight="1" outlineLevel="7" x14ac:dyDescent="0.25">
      <c r="A138" s="81" t="s">
        <v>11</v>
      </c>
      <c r="B138" s="80" t="s">
        <v>500</v>
      </c>
      <c r="C138" s="80" t="s">
        <v>24</v>
      </c>
      <c r="D138" s="80" t="s">
        <v>580</v>
      </c>
      <c r="E138" s="83" t="s">
        <v>12</v>
      </c>
      <c r="F138" s="82">
        <f>F139</f>
        <v>2159817</v>
      </c>
      <c r="G138" s="82">
        <f>G139</f>
        <v>2241758</v>
      </c>
    </row>
    <row r="139" spans="1:7" ht="39.75" customHeight="1" outlineLevel="7" x14ac:dyDescent="0.25">
      <c r="A139" s="81" t="s">
        <v>13</v>
      </c>
      <c r="B139" s="80" t="s">
        <v>500</v>
      </c>
      <c r="C139" s="80" t="s">
        <v>24</v>
      </c>
      <c r="D139" s="80" t="s">
        <v>580</v>
      </c>
      <c r="E139" s="83" t="s">
        <v>14</v>
      </c>
      <c r="F139" s="82">
        <f>2081028+78789</f>
        <v>2159817</v>
      </c>
      <c r="G139" s="82">
        <f>2081028+160730</f>
        <v>2241758</v>
      </c>
    </row>
    <row r="140" spans="1:7" ht="36.700000000000003" outlineLevel="7" x14ac:dyDescent="0.25">
      <c r="A140" s="81" t="s">
        <v>15</v>
      </c>
      <c r="B140" s="80" t="s">
        <v>500</v>
      </c>
      <c r="C140" s="80" t="s">
        <v>24</v>
      </c>
      <c r="D140" s="80" t="s">
        <v>580</v>
      </c>
      <c r="E140" s="83" t="s">
        <v>16</v>
      </c>
      <c r="F140" s="82">
        <f>F141</f>
        <v>15000</v>
      </c>
      <c r="G140" s="82">
        <f>G141</f>
        <v>15000</v>
      </c>
    </row>
    <row r="141" spans="1:7" ht="36.700000000000003" outlineLevel="7" x14ac:dyDescent="0.25">
      <c r="A141" s="81" t="s">
        <v>17</v>
      </c>
      <c r="B141" s="80" t="s">
        <v>500</v>
      </c>
      <c r="C141" s="80" t="s">
        <v>24</v>
      </c>
      <c r="D141" s="80" t="s">
        <v>580</v>
      </c>
      <c r="E141" s="83" t="s">
        <v>18</v>
      </c>
      <c r="F141" s="82">
        <v>15000</v>
      </c>
      <c r="G141" s="82">
        <v>15000</v>
      </c>
    </row>
    <row r="142" spans="1:7" ht="73.400000000000006" outlineLevel="7" x14ac:dyDescent="0.25">
      <c r="A142" s="100" t="s">
        <v>382</v>
      </c>
      <c r="B142" s="80" t="s">
        <v>500</v>
      </c>
      <c r="C142" s="80" t="s">
        <v>24</v>
      </c>
      <c r="D142" s="80" t="s">
        <v>279</v>
      </c>
      <c r="E142" s="83" t="s">
        <v>6</v>
      </c>
      <c r="F142" s="82">
        <f>F143+F145</f>
        <v>861546</v>
      </c>
      <c r="G142" s="82">
        <f>G143+G145</f>
        <v>893408</v>
      </c>
    </row>
    <row r="143" spans="1:7" ht="91.7" outlineLevel="7" x14ac:dyDescent="0.25">
      <c r="A143" s="81" t="s">
        <v>11</v>
      </c>
      <c r="B143" s="80" t="s">
        <v>500</v>
      </c>
      <c r="C143" s="80" t="s">
        <v>24</v>
      </c>
      <c r="D143" s="80" t="s">
        <v>279</v>
      </c>
      <c r="E143" s="83" t="s">
        <v>12</v>
      </c>
      <c r="F143" s="82">
        <f>F144</f>
        <v>816546</v>
      </c>
      <c r="G143" s="82">
        <f>G144</f>
        <v>848408</v>
      </c>
    </row>
    <row r="144" spans="1:7" ht="21.25" customHeight="1" outlineLevel="7" x14ac:dyDescent="0.25">
      <c r="A144" s="81" t="s">
        <v>13</v>
      </c>
      <c r="B144" s="80" t="s">
        <v>500</v>
      </c>
      <c r="C144" s="80" t="s">
        <v>24</v>
      </c>
      <c r="D144" s="80" t="s">
        <v>279</v>
      </c>
      <c r="E144" s="83" t="s">
        <v>14</v>
      </c>
      <c r="F144" s="131">
        <f>785909+30637</f>
        <v>816546</v>
      </c>
      <c r="G144" s="131">
        <f>785909+62499</f>
        <v>848408</v>
      </c>
    </row>
    <row r="145" spans="1:7" ht="56.25" customHeight="1" outlineLevel="7" x14ac:dyDescent="0.25">
      <c r="A145" s="81" t="s">
        <v>15</v>
      </c>
      <c r="B145" s="80" t="s">
        <v>500</v>
      </c>
      <c r="C145" s="80" t="s">
        <v>24</v>
      </c>
      <c r="D145" s="80" t="s">
        <v>279</v>
      </c>
      <c r="E145" s="83" t="s">
        <v>16</v>
      </c>
      <c r="F145" s="82">
        <f>F146</f>
        <v>45000</v>
      </c>
      <c r="G145" s="82">
        <f>G146</f>
        <v>45000</v>
      </c>
    </row>
    <row r="146" spans="1:7" ht="36.700000000000003" outlineLevel="7" x14ac:dyDescent="0.25">
      <c r="A146" s="81" t="s">
        <v>17</v>
      </c>
      <c r="B146" s="80" t="s">
        <v>500</v>
      </c>
      <c r="C146" s="80" t="s">
        <v>24</v>
      </c>
      <c r="D146" s="80" t="s">
        <v>279</v>
      </c>
      <c r="E146" s="83" t="s">
        <v>18</v>
      </c>
      <c r="F146" s="82">
        <v>45000</v>
      </c>
      <c r="G146" s="82">
        <v>45000</v>
      </c>
    </row>
    <row r="147" spans="1:7" ht="55.05" outlineLevel="7" x14ac:dyDescent="0.25">
      <c r="A147" s="81" t="s">
        <v>406</v>
      </c>
      <c r="B147" s="80" t="s">
        <v>500</v>
      </c>
      <c r="C147" s="80" t="s">
        <v>24</v>
      </c>
      <c r="D147" s="80" t="s">
        <v>407</v>
      </c>
      <c r="E147" s="83" t="s">
        <v>6</v>
      </c>
      <c r="F147" s="82">
        <f>F148+F150</f>
        <v>2021924</v>
      </c>
      <c r="G147" s="82">
        <f>G148+G150</f>
        <v>2096497</v>
      </c>
    </row>
    <row r="148" spans="1:7" ht="91.7" outlineLevel="7" x14ac:dyDescent="0.25">
      <c r="A148" s="81" t="s">
        <v>11</v>
      </c>
      <c r="B148" s="80" t="s">
        <v>500</v>
      </c>
      <c r="C148" s="80" t="s">
        <v>24</v>
      </c>
      <c r="D148" s="80" t="s">
        <v>407</v>
      </c>
      <c r="E148" s="83" t="s">
        <v>12</v>
      </c>
      <c r="F148" s="82">
        <f>F149</f>
        <v>1864324</v>
      </c>
      <c r="G148" s="82">
        <f>G149</f>
        <v>1938897</v>
      </c>
    </row>
    <row r="149" spans="1:7" ht="21.25" customHeight="1" outlineLevel="7" x14ac:dyDescent="0.25">
      <c r="A149" s="81" t="s">
        <v>13</v>
      </c>
      <c r="B149" s="80" t="s">
        <v>500</v>
      </c>
      <c r="C149" s="80" t="s">
        <v>24</v>
      </c>
      <c r="D149" s="80" t="s">
        <v>407</v>
      </c>
      <c r="E149" s="83" t="s">
        <v>14</v>
      </c>
      <c r="F149" s="82">
        <f>1792619+71705</f>
        <v>1864324</v>
      </c>
      <c r="G149" s="82">
        <f>1792620+146277</f>
        <v>1938897</v>
      </c>
    </row>
    <row r="150" spans="1:7" ht="38.25" customHeight="1" outlineLevel="7" x14ac:dyDescent="0.25">
      <c r="A150" s="81" t="s">
        <v>15</v>
      </c>
      <c r="B150" s="80" t="s">
        <v>500</v>
      </c>
      <c r="C150" s="80" t="s">
        <v>24</v>
      </c>
      <c r="D150" s="80" t="s">
        <v>407</v>
      </c>
      <c r="E150" s="83" t="s">
        <v>16</v>
      </c>
      <c r="F150" s="82">
        <f>F151</f>
        <v>157600</v>
      </c>
      <c r="G150" s="82">
        <f>G151</f>
        <v>157600</v>
      </c>
    </row>
    <row r="151" spans="1:7" ht="36.700000000000003" outlineLevel="7" x14ac:dyDescent="0.25">
      <c r="A151" s="81" t="s">
        <v>17</v>
      </c>
      <c r="B151" s="80" t="s">
        <v>500</v>
      </c>
      <c r="C151" s="80" t="s">
        <v>24</v>
      </c>
      <c r="D151" s="80" t="s">
        <v>407</v>
      </c>
      <c r="E151" s="83" t="s">
        <v>18</v>
      </c>
      <c r="F151" s="82">
        <v>157600</v>
      </c>
      <c r="G151" s="82">
        <v>157600</v>
      </c>
    </row>
    <row r="152" spans="1:7" ht="128.4" outlineLevel="7" x14ac:dyDescent="0.25">
      <c r="A152" s="100" t="s">
        <v>656</v>
      </c>
      <c r="B152" s="80" t="s">
        <v>500</v>
      </c>
      <c r="C152" s="80" t="s">
        <v>24</v>
      </c>
      <c r="D152" s="80" t="s">
        <v>295</v>
      </c>
      <c r="E152" s="83" t="s">
        <v>6</v>
      </c>
      <c r="F152" s="82">
        <f>F153+F155</f>
        <v>714000</v>
      </c>
      <c r="G152" s="82">
        <f>G153+G155</f>
        <v>714000</v>
      </c>
    </row>
    <row r="153" spans="1:7" ht="91.7" outlineLevel="7" x14ac:dyDescent="0.25">
      <c r="A153" s="81" t="s">
        <v>11</v>
      </c>
      <c r="B153" s="80" t="s">
        <v>500</v>
      </c>
      <c r="C153" s="80" t="s">
        <v>24</v>
      </c>
      <c r="D153" s="80" t="s">
        <v>295</v>
      </c>
      <c r="E153" s="83" t="s">
        <v>12</v>
      </c>
      <c r="F153" s="82">
        <f>F154</f>
        <v>654000</v>
      </c>
      <c r="G153" s="82">
        <f>G154</f>
        <v>654000</v>
      </c>
    </row>
    <row r="154" spans="1:7" ht="19.55" customHeight="1" outlineLevel="7" x14ac:dyDescent="0.25">
      <c r="A154" s="81" t="s">
        <v>13</v>
      </c>
      <c r="B154" s="80" t="s">
        <v>500</v>
      </c>
      <c r="C154" s="80" t="s">
        <v>24</v>
      </c>
      <c r="D154" s="80" t="s">
        <v>295</v>
      </c>
      <c r="E154" s="83" t="s">
        <v>14</v>
      </c>
      <c r="F154" s="82">
        <v>654000</v>
      </c>
      <c r="G154" s="82">
        <v>654000</v>
      </c>
    </row>
    <row r="155" spans="1:7" ht="41.3" customHeight="1" outlineLevel="3" x14ac:dyDescent="0.25">
      <c r="A155" s="81" t="s">
        <v>15</v>
      </c>
      <c r="B155" s="80" t="s">
        <v>500</v>
      </c>
      <c r="C155" s="80" t="s">
        <v>24</v>
      </c>
      <c r="D155" s="80" t="s">
        <v>295</v>
      </c>
      <c r="E155" s="83" t="s">
        <v>16</v>
      </c>
      <c r="F155" s="82">
        <f>F156</f>
        <v>60000</v>
      </c>
      <c r="G155" s="82">
        <f>G156</f>
        <v>60000</v>
      </c>
    </row>
    <row r="156" spans="1:7" ht="36.700000000000003" outlineLevel="3" x14ac:dyDescent="0.25">
      <c r="A156" s="81" t="s">
        <v>17</v>
      </c>
      <c r="B156" s="80" t="s">
        <v>500</v>
      </c>
      <c r="C156" s="80" t="s">
        <v>24</v>
      </c>
      <c r="D156" s="80" t="s">
        <v>295</v>
      </c>
      <c r="E156" s="83" t="s">
        <v>18</v>
      </c>
      <c r="F156" s="82">
        <v>60000</v>
      </c>
      <c r="G156" s="82">
        <v>60000</v>
      </c>
    </row>
    <row r="157" spans="1:7" ht="23.3" customHeight="1" outlineLevel="3" x14ac:dyDescent="0.25">
      <c r="A157" s="109" t="s">
        <v>581</v>
      </c>
      <c r="B157" s="110" t="s">
        <v>500</v>
      </c>
      <c r="C157" s="110" t="s">
        <v>26</v>
      </c>
      <c r="D157" s="110" t="s">
        <v>126</v>
      </c>
      <c r="E157" s="111" t="s">
        <v>6</v>
      </c>
      <c r="F157" s="82">
        <f t="shared" ref="F157:G162" si="7">F158</f>
        <v>1700240</v>
      </c>
      <c r="G157" s="82">
        <f t="shared" si="7"/>
        <v>1760720</v>
      </c>
    </row>
    <row r="158" spans="1:7" ht="20.25" customHeight="1" outlineLevel="3" x14ac:dyDescent="0.25">
      <c r="A158" s="81" t="s">
        <v>582</v>
      </c>
      <c r="B158" s="80" t="s">
        <v>500</v>
      </c>
      <c r="C158" s="80" t="s">
        <v>583</v>
      </c>
      <c r="D158" s="80" t="s">
        <v>126</v>
      </c>
      <c r="E158" s="83" t="s">
        <v>6</v>
      </c>
      <c r="F158" s="82">
        <f t="shared" si="7"/>
        <v>1700240</v>
      </c>
      <c r="G158" s="82">
        <f t="shared" si="7"/>
        <v>1760720</v>
      </c>
    </row>
    <row r="159" spans="1:7" ht="36.700000000000003" outlineLevel="3" x14ac:dyDescent="0.25">
      <c r="A159" s="81" t="s">
        <v>132</v>
      </c>
      <c r="B159" s="80" t="s">
        <v>500</v>
      </c>
      <c r="C159" s="80" t="s">
        <v>583</v>
      </c>
      <c r="D159" s="80" t="s">
        <v>127</v>
      </c>
      <c r="E159" s="83" t="s">
        <v>6</v>
      </c>
      <c r="F159" s="82">
        <f>F160+F164</f>
        <v>1700240</v>
      </c>
      <c r="G159" s="82">
        <f>G160+G164</f>
        <v>1760720</v>
      </c>
    </row>
    <row r="160" spans="1:7" ht="19.55" customHeight="1" outlineLevel="3" x14ac:dyDescent="0.25">
      <c r="A160" s="81" t="s">
        <v>277</v>
      </c>
      <c r="B160" s="80" t="s">
        <v>500</v>
      </c>
      <c r="C160" s="80" t="s">
        <v>583</v>
      </c>
      <c r="D160" s="80" t="s">
        <v>276</v>
      </c>
      <c r="E160" s="83" t="s">
        <v>6</v>
      </c>
      <c r="F160" s="82">
        <f t="shared" si="7"/>
        <v>1430240</v>
      </c>
      <c r="G160" s="82">
        <f t="shared" si="7"/>
        <v>1480720</v>
      </c>
    </row>
    <row r="161" spans="1:8" ht="19.55" customHeight="1" outlineLevel="3" x14ac:dyDescent="0.25">
      <c r="A161" s="113" t="s">
        <v>584</v>
      </c>
      <c r="B161" s="80" t="s">
        <v>500</v>
      </c>
      <c r="C161" s="80" t="s">
        <v>583</v>
      </c>
      <c r="D161" s="80" t="s">
        <v>585</v>
      </c>
      <c r="E161" s="83" t="s">
        <v>6</v>
      </c>
      <c r="F161" s="82">
        <f t="shared" si="7"/>
        <v>1430240</v>
      </c>
      <c r="G161" s="82">
        <f t="shared" si="7"/>
        <v>1480720</v>
      </c>
    </row>
    <row r="162" spans="1:8" ht="91.7" outlineLevel="3" x14ac:dyDescent="0.25">
      <c r="A162" s="81" t="s">
        <v>11</v>
      </c>
      <c r="B162" s="80" t="s">
        <v>500</v>
      </c>
      <c r="C162" s="80" t="s">
        <v>583</v>
      </c>
      <c r="D162" s="80" t="s">
        <v>585</v>
      </c>
      <c r="E162" s="83" t="s">
        <v>12</v>
      </c>
      <c r="F162" s="82">
        <f t="shared" si="7"/>
        <v>1430240</v>
      </c>
      <c r="G162" s="82">
        <f t="shared" si="7"/>
        <v>1480720</v>
      </c>
    </row>
    <row r="163" spans="1:8" ht="36.700000000000003" outlineLevel="3" x14ac:dyDescent="0.25">
      <c r="A163" s="81" t="s">
        <v>13</v>
      </c>
      <c r="B163" s="80" t="s">
        <v>500</v>
      </c>
      <c r="C163" s="80" t="s">
        <v>583</v>
      </c>
      <c r="D163" s="80" t="s">
        <v>585</v>
      </c>
      <c r="E163" s="83" t="s">
        <v>14</v>
      </c>
      <c r="F163" s="82">
        <f>1442603-12363</f>
        <v>1430240</v>
      </c>
      <c r="G163" s="82">
        <f>1442603+38117</f>
        <v>1480720</v>
      </c>
    </row>
    <row r="164" spans="1:8" ht="55.05" outlineLevel="3" x14ac:dyDescent="0.25">
      <c r="A164" s="113" t="s">
        <v>723</v>
      </c>
      <c r="B164" s="80" t="s">
        <v>500</v>
      </c>
      <c r="C164" s="80" t="s">
        <v>583</v>
      </c>
      <c r="D164" s="80" t="s">
        <v>728</v>
      </c>
      <c r="E164" s="80" t="s">
        <v>6</v>
      </c>
      <c r="F164" s="82">
        <f>F165</f>
        <v>270000</v>
      </c>
      <c r="G164" s="82">
        <f>G165</f>
        <v>280000</v>
      </c>
    </row>
    <row r="165" spans="1:8" ht="91.7" outlineLevel="3" x14ac:dyDescent="0.25">
      <c r="A165" s="81" t="s">
        <v>11</v>
      </c>
      <c r="B165" s="80" t="s">
        <v>500</v>
      </c>
      <c r="C165" s="80" t="s">
        <v>583</v>
      </c>
      <c r="D165" s="80" t="s">
        <v>728</v>
      </c>
      <c r="E165" s="80" t="s">
        <v>12</v>
      </c>
      <c r="F165" s="82">
        <f>F166</f>
        <v>270000</v>
      </c>
      <c r="G165" s="82">
        <f>G166</f>
        <v>280000</v>
      </c>
    </row>
    <row r="166" spans="1:8" ht="36.700000000000003" outlineLevel="3" x14ac:dyDescent="0.25">
      <c r="A166" s="81" t="s">
        <v>13</v>
      </c>
      <c r="B166" s="80" t="s">
        <v>500</v>
      </c>
      <c r="C166" s="80" t="s">
        <v>583</v>
      </c>
      <c r="D166" s="80" t="s">
        <v>728</v>
      </c>
      <c r="E166" s="80" t="s">
        <v>14</v>
      </c>
      <c r="F166" s="82">
        <v>270000</v>
      </c>
      <c r="G166" s="82">
        <v>280000</v>
      </c>
    </row>
    <row r="167" spans="1:8" ht="36.700000000000003" outlineLevel="3" x14ac:dyDescent="0.25">
      <c r="A167" s="109" t="s">
        <v>41</v>
      </c>
      <c r="B167" s="110" t="s">
        <v>500</v>
      </c>
      <c r="C167" s="110" t="s">
        <v>42</v>
      </c>
      <c r="D167" s="110" t="s">
        <v>126</v>
      </c>
      <c r="E167" s="111" t="s">
        <v>6</v>
      </c>
      <c r="F167" s="85">
        <f>F168+F173</f>
        <v>400000</v>
      </c>
      <c r="G167" s="85">
        <f>G168+G173</f>
        <v>400000</v>
      </c>
    </row>
    <row r="168" spans="1:8" ht="55.05" outlineLevel="3" x14ac:dyDescent="0.25">
      <c r="A168" s="81" t="s">
        <v>43</v>
      </c>
      <c r="B168" s="80" t="s">
        <v>500</v>
      </c>
      <c r="C168" s="80" t="s">
        <v>44</v>
      </c>
      <c r="D168" s="80" t="s">
        <v>126</v>
      </c>
      <c r="E168" s="83" t="s">
        <v>6</v>
      </c>
      <c r="F168" s="82">
        <f t="shared" ref="F168:G171" si="8">F169</f>
        <v>200000</v>
      </c>
      <c r="G168" s="82">
        <f t="shared" si="8"/>
        <v>200000</v>
      </c>
    </row>
    <row r="169" spans="1:8" ht="36.700000000000003" outlineLevel="3" x14ac:dyDescent="0.25">
      <c r="A169" s="81" t="s">
        <v>132</v>
      </c>
      <c r="B169" s="80" t="s">
        <v>500</v>
      </c>
      <c r="C169" s="80" t="s">
        <v>44</v>
      </c>
      <c r="D169" s="80" t="s">
        <v>127</v>
      </c>
      <c r="E169" s="83" t="s">
        <v>6</v>
      </c>
      <c r="F169" s="82">
        <f t="shared" si="8"/>
        <v>200000</v>
      </c>
      <c r="G169" s="82">
        <f t="shared" si="8"/>
        <v>200000</v>
      </c>
    </row>
    <row r="170" spans="1:8" s="172" customFormat="1" ht="36.700000000000003" outlineLevel="1" x14ac:dyDescent="0.25">
      <c r="A170" s="81" t="s">
        <v>45</v>
      </c>
      <c r="B170" s="80" t="s">
        <v>500</v>
      </c>
      <c r="C170" s="80" t="s">
        <v>44</v>
      </c>
      <c r="D170" s="80" t="s">
        <v>133</v>
      </c>
      <c r="E170" s="83" t="s">
        <v>6</v>
      </c>
      <c r="F170" s="82">
        <f t="shared" si="8"/>
        <v>200000</v>
      </c>
      <c r="G170" s="82">
        <f t="shared" si="8"/>
        <v>200000</v>
      </c>
      <c r="H170" s="171"/>
    </row>
    <row r="171" spans="1:8" ht="36.700000000000003" outlineLevel="2" x14ac:dyDescent="0.25">
      <c r="A171" s="81" t="s">
        <v>15</v>
      </c>
      <c r="B171" s="80" t="s">
        <v>500</v>
      </c>
      <c r="C171" s="80" t="s">
        <v>44</v>
      </c>
      <c r="D171" s="80" t="s">
        <v>133</v>
      </c>
      <c r="E171" s="83" t="s">
        <v>16</v>
      </c>
      <c r="F171" s="82">
        <f t="shared" si="8"/>
        <v>200000</v>
      </c>
      <c r="G171" s="82">
        <f t="shared" si="8"/>
        <v>200000</v>
      </c>
    </row>
    <row r="172" spans="1:8" ht="36.700000000000003" outlineLevel="4" x14ac:dyDescent="0.25">
      <c r="A172" s="81" t="s">
        <v>17</v>
      </c>
      <c r="B172" s="80" t="s">
        <v>500</v>
      </c>
      <c r="C172" s="80" t="s">
        <v>44</v>
      </c>
      <c r="D172" s="80" t="s">
        <v>133</v>
      </c>
      <c r="E172" s="83" t="s">
        <v>18</v>
      </c>
      <c r="F172" s="82">
        <v>200000</v>
      </c>
      <c r="G172" s="82">
        <v>200000</v>
      </c>
    </row>
    <row r="173" spans="1:8" outlineLevel="5" x14ac:dyDescent="0.25">
      <c r="A173" s="81" t="s">
        <v>504</v>
      </c>
      <c r="B173" s="80" t="s">
        <v>500</v>
      </c>
      <c r="C173" s="80" t="s">
        <v>505</v>
      </c>
      <c r="D173" s="80" t="s">
        <v>126</v>
      </c>
      <c r="E173" s="83" t="s">
        <v>6</v>
      </c>
      <c r="F173" s="82">
        <f t="shared" ref="F173:G176" si="9">F174</f>
        <v>200000</v>
      </c>
      <c r="G173" s="82">
        <f t="shared" si="9"/>
        <v>200000</v>
      </c>
    </row>
    <row r="174" spans="1:8" ht="36.700000000000003" outlineLevel="6" x14ac:dyDescent="0.25">
      <c r="A174" s="81" t="s">
        <v>132</v>
      </c>
      <c r="B174" s="80" t="s">
        <v>500</v>
      </c>
      <c r="C174" s="80" t="s">
        <v>505</v>
      </c>
      <c r="D174" s="80" t="s">
        <v>127</v>
      </c>
      <c r="E174" s="83" t="s">
        <v>6</v>
      </c>
      <c r="F174" s="82">
        <f t="shared" si="9"/>
        <v>200000</v>
      </c>
      <c r="G174" s="82">
        <f t="shared" si="9"/>
        <v>200000</v>
      </c>
    </row>
    <row r="175" spans="1:8" ht="48.25" customHeight="1" outlineLevel="7" x14ac:dyDescent="0.25">
      <c r="A175" s="81" t="s">
        <v>506</v>
      </c>
      <c r="B175" s="80" t="s">
        <v>500</v>
      </c>
      <c r="C175" s="80" t="s">
        <v>505</v>
      </c>
      <c r="D175" s="80" t="s">
        <v>685</v>
      </c>
      <c r="E175" s="83" t="s">
        <v>6</v>
      </c>
      <c r="F175" s="82">
        <f t="shared" si="9"/>
        <v>200000</v>
      </c>
      <c r="G175" s="82">
        <f t="shared" si="9"/>
        <v>200000</v>
      </c>
    </row>
    <row r="176" spans="1:8" ht="20.25" customHeight="1" outlineLevel="7" x14ac:dyDescent="0.25">
      <c r="A176" s="81" t="s">
        <v>15</v>
      </c>
      <c r="B176" s="80" t="s">
        <v>500</v>
      </c>
      <c r="C176" s="80" t="s">
        <v>505</v>
      </c>
      <c r="D176" s="80" t="s">
        <v>685</v>
      </c>
      <c r="E176" s="83" t="s">
        <v>16</v>
      </c>
      <c r="F176" s="82">
        <f t="shared" si="9"/>
        <v>200000</v>
      </c>
      <c r="G176" s="82">
        <f t="shared" si="9"/>
        <v>200000</v>
      </c>
    </row>
    <row r="177" spans="1:8" ht="36.700000000000003" outlineLevel="7" x14ac:dyDescent="0.25">
      <c r="A177" s="81" t="s">
        <v>17</v>
      </c>
      <c r="B177" s="80" t="s">
        <v>500</v>
      </c>
      <c r="C177" s="80" t="s">
        <v>505</v>
      </c>
      <c r="D177" s="80" t="s">
        <v>685</v>
      </c>
      <c r="E177" s="83" t="s">
        <v>18</v>
      </c>
      <c r="F177" s="82">
        <v>200000</v>
      </c>
      <c r="G177" s="82">
        <v>200000</v>
      </c>
    </row>
    <row r="178" spans="1:8" ht="20.25" customHeight="1" outlineLevel="7" x14ac:dyDescent="0.25">
      <c r="A178" s="109" t="s">
        <v>119</v>
      </c>
      <c r="B178" s="110" t="s">
        <v>500</v>
      </c>
      <c r="C178" s="110" t="s">
        <v>46</v>
      </c>
      <c r="D178" s="110" t="s">
        <v>126</v>
      </c>
      <c r="E178" s="111" t="s">
        <v>6</v>
      </c>
      <c r="F178" s="85">
        <f>F196+F185+F208+F179</f>
        <v>14114514.17</v>
      </c>
      <c r="G178" s="85">
        <f>G196+G185+G208+G179</f>
        <v>18123514.169999998</v>
      </c>
    </row>
    <row r="179" spans="1:8" outlineLevel="7" x14ac:dyDescent="0.25">
      <c r="A179" s="81" t="s">
        <v>121</v>
      </c>
      <c r="B179" s="80" t="s">
        <v>500</v>
      </c>
      <c r="C179" s="80" t="s">
        <v>122</v>
      </c>
      <c r="D179" s="80" t="s">
        <v>126</v>
      </c>
      <c r="E179" s="83" t="s">
        <v>6</v>
      </c>
      <c r="F179" s="82">
        <f>F180</f>
        <v>324127.09000000003</v>
      </c>
      <c r="G179" s="82">
        <f>G180</f>
        <v>324127.09000000003</v>
      </c>
    </row>
    <row r="180" spans="1:8" ht="36.700000000000003" outlineLevel="7" x14ac:dyDescent="0.25">
      <c r="A180" s="109" t="s">
        <v>132</v>
      </c>
      <c r="B180" s="80" t="s">
        <v>500</v>
      </c>
      <c r="C180" s="110" t="s">
        <v>122</v>
      </c>
      <c r="D180" s="110" t="s">
        <v>127</v>
      </c>
      <c r="E180" s="111" t="s">
        <v>6</v>
      </c>
      <c r="F180" s="85">
        <f>F182</f>
        <v>324127.09000000003</v>
      </c>
      <c r="G180" s="85">
        <f>G182</f>
        <v>324127.09000000003</v>
      </c>
    </row>
    <row r="181" spans="1:8" s="172" customFormat="1" outlineLevel="7" x14ac:dyDescent="0.25">
      <c r="A181" s="81" t="s">
        <v>277</v>
      </c>
      <c r="B181" s="80" t="s">
        <v>500</v>
      </c>
      <c r="C181" s="80" t="s">
        <v>122</v>
      </c>
      <c r="D181" s="80" t="s">
        <v>276</v>
      </c>
      <c r="E181" s="83" t="s">
        <v>6</v>
      </c>
      <c r="F181" s="82">
        <f t="shared" ref="F181:G183" si="10">F182</f>
        <v>324127.09000000003</v>
      </c>
      <c r="G181" s="82">
        <f t="shared" si="10"/>
        <v>324127.09000000003</v>
      </c>
      <c r="H181" s="171"/>
    </row>
    <row r="182" spans="1:8" ht="110.05" outlineLevel="7" x14ac:dyDescent="0.25">
      <c r="A182" s="113" t="s">
        <v>383</v>
      </c>
      <c r="B182" s="80" t="s">
        <v>500</v>
      </c>
      <c r="C182" s="80" t="s">
        <v>122</v>
      </c>
      <c r="D182" s="80" t="s">
        <v>286</v>
      </c>
      <c r="E182" s="83" t="s">
        <v>6</v>
      </c>
      <c r="F182" s="82">
        <f t="shared" si="10"/>
        <v>324127.09000000003</v>
      </c>
      <c r="G182" s="82">
        <f t="shared" si="10"/>
        <v>324127.09000000003</v>
      </c>
    </row>
    <row r="183" spans="1:8" ht="36.700000000000003" outlineLevel="7" x14ac:dyDescent="0.25">
      <c r="A183" s="81" t="s">
        <v>15</v>
      </c>
      <c r="B183" s="80" t="s">
        <v>500</v>
      </c>
      <c r="C183" s="80" t="s">
        <v>122</v>
      </c>
      <c r="D183" s="80" t="s">
        <v>286</v>
      </c>
      <c r="E183" s="83" t="s">
        <v>16</v>
      </c>
      <c r="F183" s="82">
        <f t="shared" si="10"/>
        <v>324127.09000000003</v>
      </c>
      <c r="G183" s="82">
        <f t="shared" si="10"/>
        <v>324127.09000000003</v>
      </c>
    </row>
    <row r="184" spans="1:8" ht="36.700000000000003" outlineLevel="7" x14ac:dyDescent="0.25">
      <c r="A184" s="81" t="s">
        <v>17</v>
      </c>
      <c r="B184" s="80" t="s">
        <v>500</v>
      </c>
      <c r="C184" s="80" t="s">
        <v>122</v>
      </c>
      <c r="D184" s="80" t="s">
        <v>286</v>
      </c>
      <c r="E184" s="83" t="s">
        <v>18</v>
      </c>
      <c r="F184" s="82">
        <v>324127.09000000003</v>
      </c>
      <c r="G184" s="82">
        <v>324127.09000000003</v>
      </c>
    </row>
    <row r="185" spans="1:8" outlineLevel="7" x14ac:dyDescent="0.25">
      <c r="A185" s="81" t="s">
        <v>290</v>
      </c>
      <c r="B185" s="80" t="s">
        <v>500</v>
      </c>
      <c r="C185" s="80" t="s">
        <v>291</v>
      </c>
      <c r="D185" s="80" t="s">
        <v>126</v>
      </c>
      <c r="E185" s="83" t="s">
        <v>6</v>
      </c>
      <c r="F185" s="82">
        <f>F186+F193</f>
        <v>103387.08</v>
      </c>
      <c r="G185" s="82">
        <f>G186+G193</f>
        <v>103387.08</v>
      </c>
    </row>
    <row r="186" spans="1:8" ht="36.700000000000003" outlineLevel="7" x14ac:dyDescent="0.25">
      <c r="A186" s="81" t="s">
        <v>132</v>
      </c>
      <c r="B186" s="80" t="s">
        <v>500</v>
      </c>
      <c r="C186" s="80" t="s">
        <v>291</v>
      </c>
      <c r="D186" s="80" t="s">
        <v>127</v>
      </c>
      <c r="E186" s="83" t="s">
        <v>6</v>
      </c>
      <c r="F186" s="82">
        <f>F188</f>
        <v>3387.08</v>
      </c>
      <c r="G186" s="82">
        <f>G188</f>
        <v>3387.08</v>
      </c>
    </row>
    <row r="187" spans="1:8" ht="20.25" customHeight="1" outlineLevel="7" x14ac:dyDescent="0.25">
      <c r="A187" s="81" t="s">
        <v>277</v>
      </c>
      <c r="B187" s="80" t="s">
        <v>500</v>
      </c>
      <c r="C187" s="80" t="s">
        <v>291</v>
      </c>
      <c r="D187" s="80" t="s">
        <v>276</v>
      </c>
      <c r="E187" s="83" t="s">
        <v>6</v>
      </c>
      <c r="F187" s="82">
        <f t="shared" ref="F187:G189" si="11">F188</f>
        <v>3387.08</v>
      </c>
      <c r="G187" s="82">
        <f t="shared" si="11"/>
        <v>3387.08</v>
      </c>
    </row>
    <row r="188" spans="1:8" ht="128.4" outlineLevel="7" x14ac:dyDescent="0.25">
      <c r="A188" s="100" t="s">
        <v>385</v>
      </c>
      <c r="B188" s="80" t="s">
        <v>500</v>
      </c>
      <c r="C188" s="80" t="s">
        <v>291</v>
      </c>
      <c r="D188" s="80" t="s">
        <v>384</v>
      </c>
      <c r="E188" s="83" t="s">
        <v>6</v>
      </c>
      <c r="F188" s="82">
        <f t="shared" si="11"/>
        <v>3387.08</v>
      </c>
      <c r="G188" s="82">
        <f t="shared" si="11"/>
        <v>3387.08</v>
      </c>
    </row>
    <row r="189" spans="1:8" ht="36.700000000000003" outlineLevel="7" x14ac:dyDescent="0.25">
      <c r="A189" s="81" t="s">
        <v>15</v>
      </c>
      <c r="B189" s="80" t="s">
        <v>500</v>
      </c>
      <c r="C189" s="80" t="s">
        <v>291</v>
      </c>
      <c r="D189" s="80" t="s">
        <v>384</v>
      </c>
      <c r="E189" s="83" t="s">
        <v>16</v>
      </c>
      <c r="F189" s="82">
        <f t="shared" si="11"/>
        <v>3387.08</v>
      </c>
      <c r="G189" s="82">
        <f t="shared" si="11"/>
        <v>3387.08</v>
      </c>
    </row>
    <row r="190" spans="1:8" s="172" customFormat="1" ht="36.700000000000003" outlineLevel="7" x14ac:dyDescent="0.25">
      <c r="A190" s="81" t="s">
        <v>17</v>
      </c>
      <c r="B190" s="80" t="s">
        <v>500</v>
      </c>
      <c r="C190" s="80" t="s">
        <v>291</v>
      </c>
      <c r="D190" s="80" t="s">
        <v>384</v>
      </c>
      <c r="E190" s="83" t="s">
        <v>18</v>
      </c>
      <c r="F190" s="131">
        <v>3387.08</v>
      </c>
      <c r="G190" s="131">
        <v>3387.08</v>
      </c>
      <c r="H190" s="171"/>
    </row>
    <row r="191" spans="1:8" s="172" customFormat="1" ht="84.75" customHeight="1" outlineLevel="7" x14ac:dyDescent="0.25">
      <c r="A191" s="161" t="s">
        <v>821</v>
      </c>
      <c r="B191" s="80" t="s">
        <v>500</v>
      </c>
      <c r="C191" s="80" t="s">
        <v>291</v>
      </c>
      <c r="D191" s="80" t="s">
        <v>320</v>
      </c>
      <c r="E191" s="83" t="s">
        <v>6</v>
      </c>
      <c r="F191" s="131">
        <f t="shared" ref="F191:G194" si="12">F192</f>
        <v>100000</v>
      </c>
      <c r="G191" s="131">
        <f t="shared" si="12"/>
        <v>100000</v>
      </c>
      <c r="H191" s="171"/>
    </row>
    <row r="192" spans="1:8" s="172" customFormat="1" ht="36.700000000000003" outlineLevel="7" x14ac:dyDescent="0.25">
      <c r="A192" s="228" t="s">
        <v>808</v>
      </c>
      <c r="B192" s="80" t="s">
        <v>500</v>
      </c>
      <c r="C192" s="80" t="s">
        <v>291</v>
      </c>
      <c r="D192" s="80" t="s">
        <v>809</v>
      </c>
      <c r="E192" s="83" t="s">
        <v>6</v>
      </c>
      <c r="F192" s="131">
        <f t="shared" si="12"/>
        <v>100000</v>
      </c>
      <c r="G192" s="131">
        <f t="shared" si="12"/>
        <v>100000</v>
      </c>
      <c r="H192" s="171"/>
    </row>
    <row r="193" spans="1:8" s="172" customFormat="1" ht="110.05" outlineLevel="7" x14ac:dyDescent="0.25">
      <c r="A193" s="149" t="s">
        <v>811</v>
      </c>
      <c r="B193" s="80" t="s">
        <v>500</v>
      </c>
      <c r="C193" s="80" t="s">
        <v>291</v>
      </c>
      <c r="D193" s="80" t="s">
        <v>810</v>
      </c>
      <c r="E193" s="83" t="s">
        <v>6</v>
      </c>
      <c r="F193" s="131">
        <f t="shared" si="12"/>
        <v>100000</v>
      </c>
      <c r="G193" s="131">
        <f t="shared" si="12"/>
        <v>100000</v>
      </c>
      <c r="H193" s="171"/>
    </row>
    <row r="194" spans="1:8" s="172" customFormat="1" ht="44.5" customHeight="1" outlineLevel="7" x14ac:dyDescent="0.25">
      <c r="A194" s="228" t="s">
        <v>772</v>
      </c>
      <c r="B194" s="80" t="s">
        <v>500</v>
      </c>
      <c r="C194" s="80" t="s">
        <v>291</v>
      </c>
      <c r="D194" s="80" t="s">
        <v>810</v>
      </c>
      <c r="E194" s="83" t="s">
        <v>20</v>
      </c>
      <c r="F194" s="131">
        <f t="shared" si="12"/>
        <v>100000</v>
      </c>
      <c r="G194" s="131">
        <f t="shared" si="12"/>
        <v>100000</v>
      </c>
      <c r="H194" s="171"/>
    </row>
    <row r="195" spans="1:8" s="172" customFormat="1" ht="57.75" customHeight="1" outlineLevel="7" x14ac:dyDescent="0.25">
      <c r="A195" s="81" t="s">
        <v>47</v>
      </c>
      <c r="B195" s="80" t="s">
        <v>500</v>
      </c>
      <c r="C195" s="80" t="s">
        <v>291</v>
      </c>
      <c r="D195" s="80" t="s">
        <v>810</v>
      </c>
      <c r="E195" s="83" t="s">
        <v>48</v>
      </c>
      <c r="F195" s="131">
        <v>100000</v>
      </c>
      <c r="G195" s="131">
        <v>100000</v>
      </c>
      <c r="H195" s="171"/>
    </row>
    <row r="196" spans="1:8" ht="36" customHeight="1" outlineLevel="7" x14ac:dyDescent="0.25">
      <c r="A196" s="81" t="s">
        <v>49</v>
      </c>
      <c r="B196" s="80" t="s">
        <v>500</v>
      </c>
      <c r="C196" s="80" t="s">
        <v>50</v>
      </c>
      <c r="D196" s="80" t="s">
        <v>126</v>
      </c>
      <c r="E196" s="83" t="s">
        <v>6</v>
      </c>
      <c r="F196" s="82">
        <f>F197</f>
        <v>13157000</v>
      </c>
      <c r="G196" s="82">
        <f>G197</f>
        <v>14166000</v>
      </c>
    </row>
    <row r="197" spans="1:8" ht="73.400000000000006" outlineLevel="7" x14ac:dyDescent="0.25">
      <c r="A197" s="109" t="s">
        <v>850</v>
      </c>
      <c r="B197" s="110" t="s">
        <v>500</v>
      </c>
      <c r="C197" s="110" t="s">
        <v>50</v>
      </c>
      <c r="D197" s="110" t="s">
        <v>335</v>
      </c>
      <c r="E197" s="111" t="s">
        <v>6</v>
      </c>
      <c r="F197" s="85">
        <f>F198</f>
        <v>13157000</v>
      </c>
      <c r="G197" s="85">
        <f>G198</f>
        <v>14166000</v>
      </c>
    </row>
    <row r="198" spans="1:8" ht="44.5" customHeight="1" outlineLevel="7" x14ac:dyDescent="0.25">
      <c r="A198" s="81" t="s">
        <v>336</v>
      </c>
      <c r="B198" s="80" t="s">
        <v>500</v>
      </c>
      <c r="C198" s="80" t="s">
        <v>50</v>
      </c>
      <c r="D198" s="80" t="s">
        <v>337</v>
      </c>
      <c r="E198" s="83" t="s">
        <v>6</v>
      </c>
      <c r="F198" s="82">
        <f>F199+F205</f>
        <v>13157000</v>
      </c>
      <c r="G198" s="82">
        <f>G199+G205</f>
        <v>14166000</v>
      </c>
    </row>
    <row r="199" spans="1:8" ht="73.400000000000006" outlineLevel="7" x14ac:dyDescent="0.25">
      <c r="A199" s="119" t="s">
        <v>793</v>
      </c>
      <c r="B199" s="80" t="s">
        <v>500</v>
      </c>
      <c r="C199" s="80" t="s">
        <v>50</v>
      </c>
      <c r="D199" s="80" t="s">
        <v>339</v>
      </c>
      <c r="E199" s="83" t="s">
        <v>6</v>
      </c>
      <c r="F199" s="82">
        <f>F200</f>
        <v>13057000</v>
      </c>
      <c r="G199" s="82">
        <f>G200</f>
        <v>14066000</v>
      </c>
    </row>
    <row r="200" spans="1:8" s="172" customFormat="1" ht="36.700000000000003" outlineLevel="7" x14ac:dyDescent="0.25">
      <c r="A200" s="81" t="s">
        <v>15</v>
      </c>
      <c r="B200" s="80" t="s">
        <v>500</v>
      </c>
      <c r="C200" s="80" t="s">
        <v>50</v>
      </c>
      <c r="D200" s="80" t="s">
        <v>339</v>
      </c>
      <c r="E200" s="83" t="s">
        <v>16</v>
      </c>
      <c r="F200" s="82">
        <f>F201</f>
        <v>13057000</v>
      </c>
      <c r="G200" s="82">
        <f>G201</f>
        <v>14066000</v>
      </c>
      <c r="H200" s="171"/>
    </row>
    <row r="201" spans="1:8" ht="26.5" customHeight="1" outlineLevel="7" x14ac:dyDescent="0.25">
      <c r="A201" s="81" t="s">
        <v>17</v>
      </c>
      <c r="B201" s="80" t="s">
        <v>500</v>
      </c>
      <c r="C201" s="80" t="s">
        <v>50</v>
      </c>
      <c r="D201" s="80" t="s">
        <v>339</v>
      </c>
      <c r="E201" s="83" t="s">
        <v>18</v>
      </c>
      <c r="F201" s="82">
        <f>13057000</f>
        <v>13057000</v>
      </c>
      <c r="G201" s="82">
        <f>14066000</f>
        <v>14066000</v>
      </c>
    </row>
    <row r="202" spans="1:8" ht="91.7" outlineLevel="7" x14ac:dyDescent="0.25">
      <c r="A202" s="81" t="s">
        <v>564</v>
      </c>
      <c r="B202" s="80" t="s">
        <v>500</v>
      </c>
      <c r="C202" s="80" t="s">
        <v>50</v>
      </c>
      <c r="D202" s="80" t="s">
        <v>586</v>
      </c>
      <c r="E202" s="80" t="s">
        <v>6</v>
      </c>
      <c r="F202" s="82">
        <f>F203</f>
        <v>0</v>
      </c>
      <c r="G202" s="82">
        <f>G203</f>
        <v>0</v>
      </c>
    </row>
    <row r="203" spans="1:8" ht="36.700000000000003" outlineLevel="7" x14ac:dyDescent="0.25">
      <c r="A203" s="81" t="s">
        <v>15</v>
      </c>
      <c r="B203" s="80" t="s">
        <v>500</v>
      </c>
      <c r="C203" s="80" t="s">
        <v>50</v>
      </c>
      <c r="D203" s="80" t="s">
        <v>586</v>
      </c>
      <c r="E203" s="80" t="s">
        <v>16</v>
      </c>
      <c r="F203" s="82">
        <f>F204</f>
        <v>0</v>
      </c>
      <c r="G203" s="82">
        <f>G204</f>
        <v>0</v>
      </c>
    </row>
    <row r="204" spans="1:8" ht="21.75" customHeight="1" outlineLevel="7" x14ac:dyDescent="0.25">
      <c r="A204" s="81" t="s">
        <v>17</v>
      </c>
      <c r="B204" s="80" t="s">
        <v>500</v>
      </c>
      <c r="C204" s="80" t="s">
        <v>50</v>
      </c>
      <c r="D204" s="80" t="s">
        <v>586</v>
      </c>
      <c r="E204" s="80" t="s">
        <v>18</v>
      </c>
      <c r="F204" s="82">
        <v>0</v>
      </c>
      <c r="G204" s="82">
        <v>0</v>
      </c>
    </row>
    <row r="205" spans="1:8" ht="55.05" outlineLevel="7" x14ac:dyDescent="0.25">
      <c r="A205" s="81" t="s">
        <v>280</v>
      </c>
      <c r="B205" s="80" t="s">
        <v>500</v>
      </c>
      <c r="C205" s="80" t="s">
        <v>50</v>
      </c>
      <c r="D205" s="80" t="s">
        <v>409</v>
      </c>
      <c r="E205" s="83" t="s">
        <v>6</v>
      </c>
      <c r="F205" s="98">
        <f>F206</f>
        <v>100000</v>
      </c>
      <c r="G205" s="98">
        <f>G206</f>
        <v>100000</v>
      </c>
    </row>
    <row r="206" spans="1:8" ht="36.700000000000003" outlineLevel="7" x14ac:dyDescent="0.25">
      <c r="A206" s="81" t="s">
        <v>15</v>
      </c>
      <c r="B206" s="80" t="s">
        <v>500</v>
      </c>
      <c r="C206" s="80" t="s">
        <v>50</v>
      </c>
      <c r="D206" s="80" t="s">
        <v>409</v>
      </c>
      <c r="E206" s="83" t="s">
        <v>16</v>
      </c>
      <c r="F206" s="98">
        <f>F207</f>
        <v>100000</v>
      </c>
      <c r="G206" s="98">
        <f>G207</f>
        <v>100000</v>
      </c>
    </row>
    <row r="207" spans="1:8" ht="36.700000000000003" outlineLevel="7" x14ac:dyDescent="0.25">
      <c r="A207" s="81" t="s">
        <v>17</v>
      </c>
      <c r="B207" s="80" t="s">
        <v>500</v>
      </c>
      <c r="C207" s="80" t="s">
        <v>50</v>
      </c>
      <c r="D207" s="80" t="s">
        <v>409</v>
      </c>
      <c r="E207" s="83" t="s">
        <v>18</v>
      </c>
      <c r="F207" s="82">
        <v>100000</v>
      </c>
      <c r="G207" s="82">
        <v>100000</v>
      </c>
    </row>
    <row r="208" spans="1:8" outlineLevel="7" x14ac:dyDescent="0.25">
      <c r="A208" s="81" t="s">
        <v>52</v>
      </c>
      <c r="B208" s="80" t="s">
        <v>500</v>
      </c>
      <c r="C208" s="80" t="s">
        <v>53</v>
      </c>
      <c r="D208" s="80" t="s">
        <v>126</v>
      </c>
      <c r="E208" s="83" t="s">
        <v>6</v>
      </c>
      <c r="F208" s="82">
        <f>F209+F214</f>
        <v>530000</v>
      </c>
      <c r="G208" s="82">
        <f>G209+G214</f>
        <v>3530000</v>
      </c>
    </row>
    <row r="209" spans="1:8" ht="57.25" customHeight="1" outlineLevel="7" x14ac:dyDescent="0.25">
      <c r="A209" s="109" t="s">
        <v>849</v>
      </c>
      <c r="B209" s="110" t="s">
        <v>500</v>
      </c>
      <c r="C209" s="110" t="s">
        <v>53</v>
      </c>
      <c r="D209" s="110" t="s">
        <v>412</v>
      </c>
      <c r="E209" s="110" t="s">
        <v>6</v>
      </c>
      <c r="F209" s="82">
        <f>F210</f>
        <v>100000</v>
      </c>
      <c r="G209" s="82">
        <f>G210</f>
        <v>100000</v>
      </c>
    </row>
    <row r="210" spans="1:8" ht="36.700000000000003" outlineLevel="7" x14ac:dyDescent="0.25">
      <c r="A210" s="81" t="s">
        <v>780</v>
      </c>
      <c r="B210" s="80" t="s">
        <v>500</v>
      </c>
      <c r="C210" s="80" t="s">
        <v>53</v>
      </c>
      <c r="D210" s="80" t="s">
        <v>414</v>
      </c>
      <c r="E210" s="80" t="s">
        <v>6</v>
      </c>
      <c r="F210" s="82">
        <f t="shared" ref="F210:G212" si="13">F211</f>
        <v>100000</v>
      </c>
      <c r="G210" s="82">
        <f t="shared" si="13"/>
        <v>100000</v>
      </c>
    </row>
    <row r="211" spans="1:8" ht="99.7" customHeight="1" outlineLevel="7" x14ac:dyDescent="0.25">
      <c r="A211" s="81" t="s">
        <v>781</v>
      </c>
      <c r="B211" s="80" t="s">
        <v>500</v>
      </c>
      <c r="C211" s="80" t="s">
        <v>53</v>
      </c>
      <c r="D211" s="80" t="s">
        <v>782</v>
      </c>
      <c r="E211" s="80" t="s">
        <v>6</v>
      </c>
      <c r="F211" s="82">
        <f t="shared" si="13"/>
        <v>100000</v>
      </c>
      <c r="G211" s="82">
        <f t="shared" si="13"/>
        <v>100000</v>
      </c>
    </row>
    <row r="212" spans="1:8" outlineLevel="2" x14ac:dyDescent="0.25">
      <c r="A212" s="81" t="s">
        <v>19</v>
      </c>
      <c r="B212" s="80" t="s">
        <v>500</v>
      </c>
      <c r="C212" s="80" t="s">
        <v>53</v>
      </c>
      <c r="D212" s="80" t="s">
        <v>782</v>
      </c>
      <c r="E212" s="80" t="s">
        <v>20</v>
      </c>
      <c r="F212" s="82">
        <f t="shared" si="13"/>
        <v>100000</v>
      </c>
      <c r="G212" s="82">
        <f t="shared" si="13"/>
        <v>100000</v>
      </c>
    </row>
    <row r="213" spans="1:8" ht="55.05" outlineLevel="2" x14ac:dyDescent="0.25">
      <c r="A213" s="81" t="s">
        <v>47</v>
      </c>
      <c r="B213" s="80" t="s">
        <v>500</v>
      </c>
      <c r="C213" s="80" t="s">
        <v>53</v>
      </c>
      <c r="D213" s="80" t="s">
        <v>782</v>
      </c>
      <c r="E213" s="80" t="s">
        <v>48</v>
      </c>
      <c r="F213" s="82">
        <v>100000</v>
      </c>
      <c r="G213" s="82">
        <v>100000</v>
      </c>
    </row>
    <row r="214" spans="1:8" ht="76.75" customHeight="1" outlineLevel="2" x14ac:dyDescent="0.25">
      <c r="A214" s="109" t="s">
        <v>848</v>
      </c>
      <c r="B214" s="110" t="s">
        <v>500</v>
      </c>
      <c r="C214" s="110" t="s">
        <v>53</v>
      </c>
      <c r="D214" s="110" t="s">
        <v>340</v>
      </c>
      <c r="E214" s="111" t="s">
        <v>6</v>
      </c>
      <c r="F214" s="85">
        <f>F215+F219</f>
        <v>430000</v>
      </c>
      <c r="G214" s="85">
        <f>G215+G219</f>
        <v>3430000</v>
      </c>
    </row>
    <row r="215" spans="1:8" ht="36.700000000000003" outlineLevel="2" x14ac:dyDescent="0.25">
      <c r="A215" s="81" t="s">
        <v>386</v>
      </c>
      <c r="B215" s="80" t="s">
        <v>500</v>
      </c>
      <c r="C215" s="80" t="s">
        <v>53</v>
      </c>
      <c r="D215" s="80" t="s">
        <v>341</v>
      </c>
      <c r="E215" s="83" t="s">
        <v>6</v>
      </c>
      <c r="F215" s="98">
        <f t="shared" ref="F215:G217" si="14">F216</f>
        <v>300000</v>
      </c>
      <c r="G215" s="98">
        <f t="shared" si="14"/>
        <v>3300000</v>
      </c>
    </row>
    <row r="216" spans="1:8" ht="36.700000000000003" outlineLevel="2" x14ac:dyDescent="0.25">
      <c r="A216" s="81" t="s">
        <v>342</v>
      </c>
      <c r="B216" s="80" t="s">
        <v>500</v>
      </c>
      <c r="C216" s="80" t="s">
        <v>53</v>
      </c>
      <c r="D216" s="80" t="s">
        <v>343</v>
      </c>
      <c r="E216" s="83" t="s">
        <v>6</v>
      </c>
      <c r="F216" s="98">
        <f t="shared" si="14"/>
        <v>300000</v>
      </c>
      <c r="G216" s="98">
        <f t="shared" si="14"/>
        <v>3300000</v>
      </c>
    </row>
    <row r="217" spans="1:8" s="172" customFormat="1" ht="36.700000000000003" outlineLevel="3" x14ac:dyDescent="0.25">
      <c r="A217" s="81" t="s">
        <v>15</v>
      </c>
      <c r="B217" s="80" t="s">
        <v>500</v>
      </c>
      <c r="C217" s="80" t="s">
        <v>53</v>
      </c>
      <c r="D217" s="80" t="s">
        <v>343</v>
      </c>
      <c r="E217" s="83" t="s">
        <v>16</v>
      </c>
      <c r="F217" s="98">
        <f t="shared" si="14"/>
        <v>300000</v>
      </c>
      <c r="G217" s="98">
        <f t="shared" si="14"/>
        <v>3300000</v>
      </c>
      <c r="H217" s="171"/>
    </row>
    <row r="218" spans="1:8" ht="36.700000000000003" outlineLevel="3" x14ac:dyDescent="0.25">
      <c r="A218" s="81" t="s">
        <v>17</v>
      </c>
      <c r="B218" s="80" t="s">
        <v>500</v>
      </c>
      <c r="C218" s="80" t="s">
        <v>53</v>
      </c>
      <c r="D218" s="80" t="s">
        <v>343</v>
      </c>
      <c r="E218" s="83" t="s">
        <v>18</v>
      </c>
      <c r="F218" s="82">
        <v>300000</v>
      </c>
      <c r="G218" s="82">
        <v>3300000</v>
      </c>
    </row>
    <row r="219" spans="1:8" ht="36.700000000000003" outlineLevel="3" x14ac:dyDescent="0.25">
      <c r="A219" s="113" t="s">
        <v>388</v>
      </c>
      <c r="B219" s="80" t="s">
        <v>500</v>
      </c>
      <c r="C219" s="80" t="s">
        <v>53</v>
      </c>
      <c r="D219" s="80" t="s">
        <v>387</v>
      </c>
      <c r="E219" s="83" t="s">
        <v>6</v>
      </c>
      <c r="F219" s="82">
        <f t="shared" ref="F219:G221" si="15">F220</f>
        <v>130000</v>
      </c>
      <c r="G219" s="82">
        <f t="shared" si="15"/>
        <v>130000</v>
      </c>
    </row>
    <row r="220" spans="1:8" ht="36.700000000000003" outlineLevel="3" x14ac:dyDescent="0.25">
      <c r="A220" s="81" t="s">
        <v>344</v>
      </c>
      <c r="B220" s="80" t="s">
        <v>500</v>
      </c>
      <c r="C220" s="80" t="s">
        <v>53</v>
      </c>
      <c r="D220" s="80" t="s">
        <v>439</v>
      </c>
      <c r="E220" s="83" t="s">
        <v>6</v>
      </c>
      <c r="F220" s="82">
        <f t="shared" si="15"/>
        <v>130000</v>
      </c>
      <c r="G220" s="82">
        <f t="shared" si="15"/>
        <v>130000</v>
      </c>
    </row>
    <row r="221" spans="1:8" ht="18.7" customHeight="1" outlineLevel="3" x14ac:dyDescent="0.25">
      <c r="A221" s="81" t="s">
        <v>15</v>
      </c>
      <c r="B221" s="80" t="s">
        <v>500</v>
      </c>
      <c r="C221" s="80" t="s">
        <v>53</v>
      </c>
      <c r="D221" s="80" t="s">
        <v>439</v>
      </c>
      <c r="E221" s="83" t="s">
        <v>16</v>
      </c>
      <c r="F221" s="82">
        <f t="shared" si="15"/>
        <v>130000</v>
      </c>
      <c r="G221" s="82">
        <f t="shared" si="15"/>
        <v>130000</v>
      </c>
    </row>
    <row r="222" spans="1:8" ht="19.55" customHeight="1" outlineLevel="3" x14ac:dyDescent="0.25">
      <c r="A222" s="81" t="s">
        <v>17</v>
      </c>
      <c r="B222" s="80" t="s">
        <v>500</v>
      </c>
      <c r="C222" s="80" t="s">
        <v>53</v>
      </c>
      <c r="D222" s="80" t="s">
        <v>439</v>
      </c>
      <c r="E222" s="83" t="s">
        <v>18</v>
      </c>
      <c r="F222" s="82">
        <v>130000</v>
      </c>
      <c r="G222" s="82">
        <v>130000</v>
      </c>
    </row>
    <row r="223" spans="1:8" outlineLevel="5" x14ac:dyDescent="0.25">
      <c r="A223" s="109" t="s">
        <v>54</v>
      </c>
      <c r="B223" s="110" t="s">
        <v>500</v>
      </c>
      <c r="C223" s="110" t="s">
        <v>55</v>
      </c>
      <c r="D223" s="110" t="s">
        <v>126</v>
      </c>
      <c r="E223" s="111" t="s">
        <v>6</v>
      </c>
      <c r="F223" s="132">
        <f>F224+F235+F267+F316</f>
        <v>48705734.209999993</v>
      </c>
      <c r="G223" s="132">
        <f>G224+G235+G267+G316</f>
        <v>42109227.806999996</v>
      </c>
    </row>
    <row r="224" spans="1:8" outlineLevel="6" x14ac:dyDescent="0.25">
      <c r="A224" s="81" t="s">
        <v>56</v>
      </c>
      <c r="B224" s="80" t="s">
        <v>500</v>
      </c>
      <c r="C224" s="80" t="s">
        <v>57</v>
      </c>
      <c r="D224" s="80" t="s">
        <v>126</v>
      </c>
      <c r="E224" s="83" t="s">
        <v>6</v>
      </c>
      <c r="F224" s="82">
        <f>F225+F231</f>
        <v>2500000</v>
      </c>
      <c r="G224" s="82">
        <f>G225+G231</f>
        <v>2500000</v>
      </c>
    </row>
    <row r="225" spans="1:8" ht="68.3" customHeight="1" outlineLevel="7" x14ac:dyDescent="0.25">
      <c r="A225" s="109" t="s">
        <v>847</v>
      </c>
      <c r="B225" s="110" t="s">
        <v>500</v>
      </c>
      <c r="C225" s="110" t="s">
        <v>57</v>
      </c>
      <c r="D225" s="110" t="s">
        <v>331</v>
      </c>
      <c r="E225" s="111" t="s">
        <v>6</v>
      </c>
      <c r="F225" s="85">
        <f>F226</f>
        <v>2500000</v>
      </c>
      <c r="G225" s="85">
        <f>G226</f>
        <v>2500000</v>
      </c>
    </row>
    <row r="226" spans="1:8" s="172" customFormat="1" ht="36.700000000000003" outlineLevel="1" x14ac:dyDescent="0.25">
      <c r="A226" s="81" t="s">
        <v>345</v>
      </c>
      <c r="B226" s="80" t="s">
        <v>500</v>
      </c>
      <c r="C226" s="80" t="s">
        <v>57</v>
      </c>
      <c r="D226" s="80" t="s">
        <v>332</v>
      </c>
      <c r="E226" s="83" t="s">
        <v>6</v>
      </c>
      <c r="F226" s="82">
        <f t="shared" ref="F226:G228" si="16">F227</f>
        <v>2500000</v>
      </c>
      <c r="G226" s="82">
        <f t="shared" si="16"/>
        <v>2500000</v>
      </c>
      <c r="H226" s="171"/>
    </row>
    <row r="227" spans="1:8" ht="36.700000000000003" outlineLevel="1" x14ac:dyDescent="0.25">
      <c r="A227" s="81" t="s">
        <v>346</v>
      </c>
      <c r="B227" s="80" t="s">
        <v>500</v>
      </c>
      <c r="C227" s="80" t="s">
        <v>57</v>
      </c>
      <c r="D227" s="80" t="s">
        <v>347</v>
      </c>
      <c r="E227" s="83" t="s">
        <v>6</v>
      </c>
      <c r="F227" s="82">
        <f t="shared" si="16"/>
        <v>2500000</v>
      </c>
      <c r="G227" s="82">
        <f t="shared" si="16"/>
        <v>2500000</v>
      </c>
    </row>
    <row r="228" spans="1:8" s="172" customFormat="1" ht="36.700000000000003" outlineLevel="1" x14ac:dyDescent="0.25">
      <c r="A228" s="81" t="s">
        <v>15</v>
      </c>
      <c r="B228" s="80" t="s">
        <v>500</v>
      </c>
      <c r="C228" s="80" t="s">
        <v>57</v>
      </c>
      <c r="D228" s="80" t="s">
        <v>347</v>
      </c>
      <c r="E228" s="83" t="s">
        <v>16</v>
      </c>
      <c r="F228" s="82">
        <f t="shared" si="16"/>
        <v>2500000</v>
      </c>
      <c r="G228" s="82">
        <f t="shared" si="16"/>
        <v>2500000</v>
      </c>
      <c r="H228" s="171"/>
    </row>
    <row r="229" spans="1:8" ht="50.95" customHeight="1" outlineLevel="1" x14ac:dyDescent="0.25">
      <c r="A229" s="81" t="s">
        <v>17</v>
      </c>
      <c r="B229" s="80" t="s">
        <v>500</v>
      </c>
      <c r="C229" s="80" t="s">
        <v>57</v>
      </c>
      <c r="D229" s="80" t="s">
        <v>347</v>
      </c>
      <c r="E229" s="83" t="s">
        <v>18</v>
      </c>
      <c r="F229" s="98">
        <v>2500000</v>
      </c>
      <c r="G229" s="98">
        <v>2500000</v>
      </c>
    </row>
    <row r="230" spans="1:8" ht="36.700000000000003" outlineLevel="5" x14ac:dyDescent="0.25">
      <c r="A230" s="81" t="s">
        <v>132</v>
      </c>
      <c r="B230" s="80" t="s">
        <v>500</v>
      </c>
      <c r="C230" s="80" t="s">
        <v>57</v>
      </c>
      <c r="D230" s="80" t="s">
        <v>127</v>
      </c>
      <c r="E230" s="83" t="s">
        <v>6</v>
      </c>
      <c r="F230" s="82">
        <f t="shared" ref="F230:G233" si="17">F231</f>
        <v>0</v>
      </c>
      <c r="G230" s="82">
        <f t="shared" si="17"/>
        <v>0</v>
      </c>
    </row>
    <row r="231" spans="1:8" outlineLevel="6" x14ac:dyDescent="0.25">
      <c r="A231" s="81" t="s">
        <v>277</v>
      </c>
      <c r="B231" s="80" t="s">
        <v>500</v>
      </c>
      <c r="C231" s="80" t="s">
        <v>57</v>
      </c>
      <c r="D231" s="80" t="s">
        <v>276</v>
      </c>
      <c r="E231" s="83" t="s">
        <v>6</v>
      </c>
      <c r="F231" s="82">
        <f t="shared" si="17"/>
        <v>0</v>
      </c>
      <c r="G231" s="82">
        <f t="shared" si="17"/>
        <v>0</v>
      </c>
    </row>
    <row r="232" spans="1:8" ht="18" customHeight="1" outlineLevel="7" x14ac:dyDescent="0.25">
      <c r="A232" s="100" t="s">
        <v>381</v>
      </c>
      <c r="B232" s="80" t="s">
        <v>500</v>
      </c>
      <c r="C232" s="80" t="s">
        <v>57</v>
      </c>
      <c r="D232" s="80" t="s">
        <v>507</v>
      </c>
      <c r="E232" s="83" t="s">
        <v>6</v>
      </c>
      <c r="F232" s="82">
        <f t="shared" si="17"/>
        <v>0</v>
      </c>
      <c r="G232" s="82">
        <f t="shared" si="17"/>
        <v>0</v>
      </c>
    </row>
    <row r="233" spans="1:8" ht="19.55" customHeight="1" outlineLevel="7" x14ac:dyDescent="0.25">
      <c r="A233" s="81" t="s">
        <v>15</v>
      </c>
      <c r="B233" s="80" t="s">
        <v>500</v>
      </c>
      <c r="C233" s="80" t="s">
        <v>57</v>
      </c>
      <c r="D233" s="80" t="s">
        <v>507</v>
      </c>
      <c r="E233" s="83" t="s">
        <v>16</v>
      </c>
      <c r="F233" s="82">
        <f t="shared" si="17"/>
        <v>0</v>
      </c>
      <c r="G233" s="82">
        <f t="shared" si="17"/>
        <v>0</v>
      </c>
    </row>
    <row r="234" spans="1:8" ht="19.55" customHeight="1" outlineLevel="7" x14ac:dyDescent="0.25">
      <c r="A234" s="81" t="s">
        <v>17</v>
      </c>
      <c r="B234" s="80" t="s">
        <v>500</v>
      </c>
      <c r="C234" s="80" t="s">
        <v>57</v>
      </c>
      <c r="D234" s="80" t="s">
        <v>507</v>
      </c>
      <c r="E234" s="83" t="s">
        <v>18</v>
      </c>
      <c r="F234" s="98">
        <v>0</v>
      </c>
      <c r="G234" s="98">
        <v>0</v>
      </c>
    </row>
    <row r="235" spans="1:8" ht="19.55" customHeight="1" outlineLevel="7" x14ac:dyDescent="0.25">
      <c r="A235" s="81" t="s">
        <v>58</v>
      </c>
      <c r="B235" s="80" t="s">
        <v>500</v>
      </c>
      <c r="C235" s="80" t="s">
        <v>59</v>
      </c>
      <c r="D235" s="80" t="s">
        <v>126</v>
      </c>
      <c r="E235" s="83" t="s">
        <v>6</v>
      </c>
      <c r="F235" s="82">
        <f>F236</f>
        <v>15331657.939999999</v>
      </c>
      <c r="G235" s="82">
        <f>G236</f>
        <v>11700000</v>
      </c>
    </row>
    <row r="236" spans="1:8" ht="73.400000000000006" outlineLevel="7" x14ac:dyDescent="0.25">
      <c r="A236" s="109" t="s">
        <v>845</v>
      </c>
      <c r="B236" s="110" t="s">
        <v>500</v>
      </c>
      <c r="C236" s="110" t="s">
        <v>59</v>
      </c>
      <c r="D236" s="110" t="s">
        <v>134</v>
      </c>
      <c r="E236" s="111" t="s">
        <v>6</v>
      </c>
      <c r="F236" s="85">
        <f>F237</f>
        <v>15331657.939999999</v>
      </c>
      <c r="G236" s="85">
        <f>G237</f>
        <v>11700000</v>
      </c>
    </row>
    <row r="237" spans="1:8" ht="55.05" outlineLevel="7" x14ac:dyDescent="0.25">
      <c r="A237" s="81" t="s">
        <v>846</v>
      </c>
      <c r="B237" s="80" t="s">
        <v>500</v>
      </c>
      <c r="C237" s="80" t="s">
        <v>59</v>
      </c>
      <c r="D237" s="80" t="s">
        <v>350</v>
      </c>
      <c r="E237" s="83" t="s">
        <v>6</v>
      </c>
      <c r="F237" s="82">
        <f>F238+F245+F248+F254+F251</f>
        <v>15331657.939999999</v>
      </c>
      <c r="G237" s="82">
        <f>G238+G245+G248+G254+G251</f>
        <v>11700000</v>
      </c>
    </row>
    <row r="238" spans="1:8" ht="91.7" outlineLevel="1" x14ac:dyDescent="0.25">
      <c r="A238" s="81" t="s">
        <v>60</v>
      </c>
      <c r="B238" s="80" t="s">
        <v>500</v>
      </c>
      <c r="C238" s="80" t="s">
        <v>59</v>
      </c>
      <c r="D238" s="80" t="s">
        <v>351</v>
      </c>
      <c r="E238" s="83" t="s">
        <v>6</v>
      </c>
      <c r="F238" s="82">
        <f>F239+F241+F243</f>
        <v>7110000</v>
      </c>
      <c r="G238" s="82">
        <f>G239+G241+G243</f>
        <v>6500000</v>
      </c>
    </row>
    <row r="239" spans="1:8" s="172" customFormat="1" ht="36.700000000000003" outlineLevel="1" x14ac:dyDescent="0.25">
      <c r="A239" s="81" t="s">
        <v>15</v>
      </c>
      <c r="B239" s="80" t="s">
        <v>500</v>
      </c>
      <c r="C239" s="80" t="s">
        <v>59</v>
      </c>
      <c r="D239" s="80" t="s">
        <v>351</v>
      </c>
      <c r="E239" s="83" t="s">
        <v>16</v>
      </c>
      <c r="F239" s="82">
        <f>F240</f>
        <v>2110000</v>
      </c>
      <c r="G239" s="82">
        <f>G240</f>
        <v>1500000</v>
      </c>
      <c r="H239" s="171"/>
    </row>
    <row r="240" spans="1:8" ht="54.7" customHeight="1" outlineLevel="1" x14ac:dyDescent="0.25">
      <c r="A240" s="81" t="s">
        <v>17</v>
      </c>
      <c r="B240" s="80" t="s">
        <v>500</v>
      </c>
      <c r="C240" s="80" t="s">
        <v>59</v>
      </c>
      <c r="D240" s="80" t="s">
        <v>351</v>
      </c>
      <c r="E240" s="83" t="s">
        <v>18</v>
      </c>
      <c r="F240" s="98">
        <f>2500000-390000</f>
        <v>2110000</v>
      </c>
      <c r="G240" s="98">
        <v>1500000</v>
      </c>
    </row>
    <row r="241" spans="1:7" ht="55.05" outlineLevel="1" x14ac:dyDescent="0.25">
      <c r="A241" s="81" t="s">
        <v>264</v>
      </c>
      <c r="B241" s="80" t="s">
        <v>500</v>
      </c>
      <c r="C241" s="80" t="s">
        <v>59</v>
      </c>
      <c r="D241" s="80" t="s">
        <v>351</v>
      </c>
      <c r="E241" s="80" t="s">
        <v>265</v>
      </c>
      <c r="F241" s="98">
        <f>F242</f>
        <v>0</v>
      </c>
      <c r="G241" s="98">
        <f>G242</f>
        <v>0</v>
      </c>
    </row>
    <row r="242" spans="1:7" outlineLevel="1" x14ac:dyDescent="0.25">
      <c r="A242" s="81" t="s">
        <v>266</v>
      </c>
      <c r="B242" s="80" t="s">
        <v>500</v>
      </c>
      <c r="C242" s="80" t="s">
        <v>59</v>
      </c>
      <c r="D242" s="80" t="s">
        <v>351</v>
      </c>
      <c r="E242" s="80" t="s">
        <v>267</v>
      </c>
      <c r="F242" s="98">
        <f>потребность!I246</f>
        <v>0</v>
      </c>
      <c r="G242" s="98">
        <f>потребность!J246</f>
        <v>0</v>
      </c>
    </row>
    <row r="243" spans="1:7" ht="24.8" customHeight="1" outlineLevel="1" x14ac:dyDescent="0.25">
      <c r="A243" s="81" t="s">
        <v>19</v>
      </c>
      <c r="B243" s="80" t="s">
        <v>500</v>
      </c>
      <c r="C243" s="80" t="s">
        <v>59</v>
      </c>
      <c r="D243" s="80" t="s">
        <v>351</v>
      </c>
      <c r="E243" s="80" t="s">
        <v>20</v>
      </c>
      <c r="F243" s="98">
        <f>F244</f>
        <v>5000000</v>
      </c>
      <c r="G243" s="98">
        <f>G244</f>
        <v>5000000</v>
      </c>
    </row>
    <row r="244" spans="1:7" ht="21.25" customHeight="1" outlineLevel="1" x14ac:dyDescent="0.25">
      <c r="A244" s="81" t="s">
        <v>47</v>
      </c>
      <c r="B244" s="80" t="s">
        <v>500</v>
      </c>
      <c r="C244" s="80" t="s">
        <v>59</v>
      </c>
      <c r="D244" s="80" t="s">
        <v>351</v>
      </c>
      <c r="E244" s="80" t="s">
        <v>48</v>
      </c>
      <c r="F244" s="98">
        <v>5000000</v>
      </c>
      <c r="G244" s="98">
        <v>5000000</v>
      </c>
    </row>
    <row r="245" spans="1:7" ht="64.55" customHeight="1" outlineLevel="1" x14ac:dyDescent="0.25">
      <c r="A245" s="81" t="s">
        <v>250</v>
      </c>
      <c r="B245" s="80" t="s">
        <v>500</v>
      </c>
      <c r="C245" s="80" t="s">
        <v>59</v>
      </c>
      <c r="D245" s="80" t="s">
        <v>352</v>
      </c>
      <c r="E245" s="83" t="s">
        <v>6</v>
      </c>
      <c r="F245" s="98">
        <f>F246</f>
        <v>5000000</v>
      </c>
      <c r="G245" s="98">
        <f>G246</f>
        <v>5000000</v>
      </c>
    </row>
    <row r="246" spans="1:7" ht="21.25" customHeight="1" outlineLevel="1" x14ac:dyDescent="0.25">
      <c r="A246" s="81" t="s">
        <v>19</v>
      </c>
      <c r="B246" s="80" t="s">
        <v>500</v>
      </c>
      <c r="C246" s="80" t="s">
        <v>59</v>
      </c>
      <c r="D246" s="80" t="s">
        <v>352</v>
      </c>
      <c r="E246" s="83" t="s">
        <v>20</v>
      </c>
      <c r="F246" s="98">
        <f>F247</f>
        <v>5000000</v>
      </c>
      <c r="G246" s="98">
        <f>G247</f>
        <v>5000000</v>
      </c>
    </row>
    <row r="247" spans="1:7" ht="55.55" customHeight="1" outlineLevel="1" x14ac:dyDescent="0.25">
      <c r="A247" s="81" t="s">
        <v>47</v>
      </c>
      <c r="B247" s="80" t="s">
        <v>500</v>
      </c>
      <c r="C247" s="80" t="s">
        <v>59</v>
      </c>
      <c r="D247" s="80" t="s">
        <v>352</v>
      </c>
      <c r="E247" s="83" t="s">
        <v>48</v>
      </c>
      <c r="F247" s="82">
        <v>5000000</v>
      </c>
      <c r="G247" s="82">
        <v>5000000</v>
      </c>
    </row>
    <row r="248" spans="1:7" ht="0.7" customHeight="1" outlineLevel="1" x14ac:dyDescent="0.25">
      <c r="A248" s="81" t="s">
        <v>262</v>
      </c>
      <c r="B248" s="80" t="s">
        <v>500</v>
      </c>
      <c r="C248" s="80" t="s">
        <v>59</v>
      </c>
      <c r="D248" s="80" t="s">
        <v>353</v>
      </c>
      <c r="E248" s="83" t="s">
        <v>6</v>
      </c>
      <c r="F248" s="98">
        <f>F249</f>
        <v>2500000</v>
      </c>
      <c r="G248" s="98">
        <f>G249</f>
        <v>0</v>
      </c>
    </row>
    <row r="249" spans="1:7" outlineLevel="1" x14ac:dyDescent="0.25">
      <c r="A249" s="81" t="s">
        <v>19</v>
      </c>
      <c r="B249" s="80" t="s">
        <v>500</v>
      </c>
      <c r="C249" s="80" t="s">
        <v>59</v>
      </c>
      <c r="D249" s="80" t="s">
        <v>353</v>
      </c>
      <c r="E249" s="83" t="s">
        <v>20</v>
      </c>
      <c r="F249" s="98">
        <f>F250</f>
        <v>2500000</v>
      </c>
      <c r="G249" s="98">
        <f>G250</f>
        <v>0</v>
      </c>
    </row>
    <row r="250" spans="1:7" ht="53.5" customHeight="1" outlineLevel="1" x14ac:dyDescent="0.25">
      <c r="A250" s="81" t="s">
        <v>47</v>
      </c>
      <c r="B250" s="80" t="s">
        <v>500</v>
      </c>
      <c r="C250" s="80" t="s">
        <v>59</v>
      </c>
      <c r="D250" s="80" t="s">
        <v>353</v>
      </c>
      <c r="E250" s="83" t="s">
        <v>48</v>
      </c>
      <c r="F250" s="82">
        <v>2500000</v>
      </c>
      <c r="G250" s="82">
        <v>0</v>
      </c>
    </row>
    <row r="251" spans="1:7" ht="73.400000000000006" outlineLevel="1" x14ac:dyDescent="0.25">
      <c r="A251" s="81" t="s">
        <v>299</v>
      </c>
      <c r="B251" s="80" t="s">
        <v>500</v>
      </c>
      <c r="C251" s="80" t="s">
        <v>59</v>
      </c>
      <c r="D251" s="80" t="s">
        <v>390</v>
      </c>
      <c r="E251" s="83" t="s">
        <v>6</v>
      </c>
      <c r="F251" s="82">
        <f>F252</f>
        <v>521657.94</v>
      </c>
      <c r="G251" s="82">
        <f>G252</f>
        <v>0</v>
      </c>
    </row>
    <row r="252" spans="1:7" ht="36.700000000000003" outlineLevel="1" x14ac:dyDescent="0.25">
      <c r="A252" s="81" t="s">
        <v>15</v>
      </c>
      <c r="B252" s="80" t="s">
        <v>500</v>
      </c>
      <c r="C252" s="80" t="s">
        <v>59</v>
      </c>
      <c r="D252" s="80" t="s">
        <v>390</v>
      </c>
      <c r="E252" s="83" t="s">
        <v>16</v>
      </c>
      <c r="F252" s="82">
        <f>F253</f>
        <v>521657.94</v>
      </c>
      <c r="G252" s="82">
        <f>G253</f>
        <v>0</v>
      </c>
    </row>
    <row r="253" spans="1:7" ht="52.5" customHeight="1" outlineLevel="1" x14ac:dyDescent="0.25">
      <c r="A253" s="81" t="s">
        <v>17</v>
      </c>
      <c r="B253" s="80" t="s">
        <v>500</v>
      </c>
      <c r="C253" s="80" t="s">
        <v>59</v>
      </c>
      <c r="D253" s="80" t="s">
        <v>390</v>
      </c>
      <c r="E253" s="83" t="s">
        <v>18</v>
      </c>
      <c r="F253" s="82">
        <f>131657.94+390000</f>
        <v>521657.94</v>
      </c>
      <c r="G253" s="82">
        <v>0</v>
      </c>
    </row>
    <row r="254" spans="1:7" ht="56.25" customHeight="1" outlineLevel="1" x14ac:dyDescent="0.25">
      <c r="A254" s="81" t="s">
        <v>263</v>
      </c>
      <c r="B254" s="80" t="s">
        <v>500</v>
      </c>
      <c r="C254" s="80" t="s">
        <v>59</v>
      </c>
      <c r="D254" s="80" t="s">
        <v>391</v>
      </c>
      <c r="E254" s="83" t="s">
        <v>6</v>
      </c>
      <c r="F254" s="82">
        <f>F255</f>
        <v>200000</v>
      </c>
      <c r="G254" s="82">
        <f>G255</f>
        <v>200000</v>
      </c>
    </row>
    <row r="255" spans="1:7" ht="37.549999999999997" customHeight="1" outlineLevel="1" x14ac:dyDescent="0.25">
      <c r="A255" s="81" t="s">
        <v>15</v>
      </c>
      <c r="B255" s="80" t="s">
        <v>500</v>
      </c>
      <c r="C255" s="80" t="s">
        <v>59</v>
      </c>
      <c r="D255" s="80" t="s">
        <v>391</v>
      </c>
      <c r="E255" s="83" t="s">
        <v>16</v>
      </c>
      <c r="F255" s="82">
        <f>F256</f>
        <v>200000</v>
      </c>
      <c r="G255" s="82">
        <f>G256</f>
        <v>200000</v>
      </c>
    </row>
    <row r="256" spans="1:7" ht="34.5" customHeight="1" outlineLevel="1" x14ac:dyDescent="0.25">
      <c r="A256" s="81" t="s">
        <v>17</v>
      </c>
      <c r="B256" s="80" t="s">
        <v>500</v>
      </c>
      <c r="C256" s="80" t="s">
        <v>59</v>
      </c>
      <c r="D256" s="80" t="s">
        <v>391</v>
      </c>
      <c r="E256" s="83" t="s">
        <v>18</v>
      </c>
      <c r="F256" s="82">
        <v>200000</v>
      </c>
      <c r="G256" s="82">
        <v>200000</v>
      </c>
    </row>
    <row r="257" spans="1:8" ht="56.25" customHeight="1" outlineLevel="1" x14ac:dyDescent="0.25">
      <c r="A257" s="81" t="s">
        <v>709</v>
      </c>
      <c r="B257" s="80" t="s">
        <v>500</v>
      </c>
      <c r="C257" s="80" t="s">
        <v>59</v>
      </c>
      <c r="D257" s="80" t="s">
        <v>708</v>
      </c>
      <c r="E257" s="80" t="s">
        <v>6</v>
      </c>
      <c r="F257" s="82">
        <f>F258</f>
        <v>0</v>
      </c>
      <c r="G257" s="82">
        <f>G258</f>
        <v>0</v>
      </c>
    </row>
    <row r="258" spans="1:8" ht="37.549999999999997" customHeight="1" outlineLevel="1" x14ac:dyDescent="0.25">
      <c r="A258" s="81" t="s">
        <v>15</v>
      </c>
      <c r="B258" s="80" t="s">
        <v>500</v>
      </c>
      <c r="C258" s="80" t="s">
        <v>59</v>
      </c>
      <c r="D258" s="80" t="s">
        <v>708</v>
      </c>
      <c r="E258" s="80" t="s">
        <v>16</v>
      </c>
      <c r="F258" s="82">
        <f>F259</f>
        <v>0</v>
      </c>
      <c r="G258" s="82">
        <f>G259</f>
        <v>0</v>
      </c>
    </row>
    <row r="259" spans="1:8" ht="37.549999999999997" customHeight="1" outlineLevel="1" x14ac:dyDescent="0.25">
      <c r="A259" s="81" t="s">
        <v>17</v>
      </c>
      <c r="B259" s="80" t="s">
        <v>500</v>
      </c>
      <c r="C259" s="80" t="s">
        <v>59</v>
      </c>
      <c r="D259" s="80" t="s">
        <v>708</v>
      </c>
      <c r="E259" s="80" t="s">
        <v>18</v>
      </c>
      <c r="F259" s="82"/>
      <c r="G259" s="82"/>
    </row>
    <row r="260" spans="1:8" ht="36.700000000000003" outlineLevel="1" x14ac:dyDescent="0.25">
      <c r="A260" s="81" t="s">
        <v>682</v>
      </c>
      <c r="B260" s="80" t="s">
        <v>500</v>
      </c>
      <c r="C260" s="80" t="s">
        <v>59</v>
      </c>
      <c r="D260" s="80" t="s">
        <v>681</v>
      </c>
      <c r="E260" s="80" t="s">
        <v>6</v>
      </c>
      <c r="F260" s="82">
        <f>F261</f>
        <v>0</v>
      </c>
      <c r="G260" s="82">
        <f>G261</f>
        <v>0</v>
      </c>
    </row>
    <row r="261" spans="1:8" ht="36.700000000000003" outlineLevel="1" x14ac:dyDescent="0.25">
      <c r="A261" s="81" t="s">
        <v>15</v>
      </c>
      <c r="B261" s="80" t="s">
        <v>500</v>
      </c>
      <c r="C261" s="80" t="s">
        <v>59</v>
      </c>
      <c r="D261" s="80" t="s">
        <v>681</v>
      </c>
      <c r="E261" s="80" t="s">
        <v>16</v>
      </c>
      <c r="F261" s="82">
        <f>F262</f>
        <v>0</v>
      </c>
      <c r="G261" s="82">
        <f>G262</f>
        <v>0</v>
      </c>
    </row>
    <row r="262" spans="1:8" ht="36.700000000000003" outlineLevel="1" x14ac:dyDescent="0.25">
      <c r="A262" s="81" t="s">
        <v>17</v>
      </c>
      <c r="B262" s="80" t="s">
        <v>500</v>
      </c>
      <c r="C262" s="80" t="s">
        <v>59</v>
      </c>
      <c r="D262" s="80" t="s">
        <v>681</v>
      </c>
      <c r="E262" s="80" t="s">
        <v>18</v>
      </c>
      <c r="F262" s="82"/>
      <c r="G262" s="82"/>
    </row>
    <row r="263" spans="1:8" outlineLevel="1" x14ac:dyDescent="0.25">
      <c r="A263" s="113" t="s">
        <v>455</v>
      </c>
      <c r="B263" s="80" t="s">
        <v>500</v>
      </c>
      <c r="C263" s="80" t="s">
        <v>59</v>
      </c>
      <c r="D263" s="80" t="s">
        <v>700</v>
      </c>
      <c r="E263" s="80" t="s">
        <v>6</v>
      </c>
      <c r="F263" s="82"/>
      <c r="G263" s="82"/>
    </row>
    <row r="264" spans="1:8" ht="55.05" outlineLevel="1" x14ac:dyDescent="0.25">
      <c r="A264" s="81" t="s">
        <v>460</v>
      </c>
      <c r="B264" s="80" t="s">
        <v>500</v>
      </c>
      <c r="C264" s="80" t="s">
        <v>59</v>
      </c>
      <c r="D264" s="80" t="s">
        <v>701</v>
      </c>
      <c r="E264" s="80" t="s">
        <v>6</v>
      </c>
      <c r="F264" s="82"/>
      <c r="G264" s="82"/>
    </row>
    <row r="265" spans="1:8" ht="55.05" outlineLevel="1" x14ac:dyDescent="0.25">
      <c r="A265" s="81" t="s">
        <v>264</v>
      </c>
      <c r="B265" s="80" t="s">
        <v>500</v>
      </c>
      <c r="C265" s="80" t="s">
        <v>59</v>
      </c>
      <c r="D265" s="80" t="s">
        <v>701</v>
      </c>
      <c r="E265" s="80" t="s">
        <v>265</v>
      </c>
      <c r="F265" s="82"/>
      <c r="G265" s="82"/>
    </row>
    <row r="266" spans="1:8" outlineLevel="1" x14ac:dyDescent="0.25">
      <c r="A266" s="81" t="s">
        <v>266</v>
      </c>
      <c r="B266" s="80" t="s">
        <v>500</v>
      </c>
      <c r="C266" s="80" t="s">
        <v>59</v>
      </c>
      <c r="D266" s="80" t="s">
        <v>701</v>
      </c>
      <c r="E266" s="80" t="s">
        <v>267</v>
      </c>
      <c r="F266" s="82"/>
      <c r="G266" s="82"/>
    </row>
    <row r="267" spans="1:8" outlineLevel="1" x14ac:dyDescent="0.25">
      <c r="A267" s="81" t="s">
        <v>61</v>
      </c>
      <c r="B267" s="80" t="s">
        <v>500</v>
      </c>
      <c r="C267" s="80" t="s">
        <v>62</v>
      </c>
      <c r="D267" s="80" t="s">
        <v>126</v>
      </c>
      <c r="E267" s="83" t="s">
        <v>6</v>
      </c>
      <c r="F267" s="82">
        <f>F268+F282+F293</f>
        <v>30574076.27</v>
      </c>
      <c r="G267" s="82">
        <f>G268+G282+G293</f>
        <v>27609227.807</v>
      </c>
    </row>
    <row r="268" spans="1:8" ht="73.400000000000006" outlineLevel="1" x14ac:dyDescent="0.25">
      <c r="A268" s="109" t="s">
        <v>845</v>
      </c>
      <c r="B268" s="80" t="s">
        <v>500</v>
      </c>
      <c r="C268" s="110" t="s">
        <v>62</v>
      </c>
      <c r="D268" s="110" t="s">
        <v>134</v>
      </c>
      <c r="E268" s="111" t="s">
        <v>6</v>
      </c>
      <c r="F268" s="82">
        <f>F269</f>
        <v>1661631</v>
      </c>
      <c r="G268" s="82">
        <f>G269</f>
        <v>900000</v>
      </c>
    </row>
    <row r="269" spans="1:8" outlineLevel="1" x14ac:dyDescent="0.25">
      <c r="A269" s="81" t="s">
        <v>354</v>
      </c>
      <c r="B269" s="80" t="s">
        <v>500</v>
      </c>
      <c r="C269" s="80" t="s">
        <v>62</v>
      </c>
      <c r="D269" s="80" t="s">
        <v>232</v>
      </c>
      <c r="E269" s="83" t="s">
        <v>6</v>
      </c>
      <c r="F269" s="82">
        <f>F270+F279+F273+F276</f>
        <v>1661631</v>
      </c>
      <c r="G269" s="82">
        <f>G270+G279+G273+G276</f>
        <v>900000</v>
      </c>
    </row>
    <row r="270" spans="1:8" ht="36.700000000000003" outlineLevel="1" x14ac:dyDescent="0.25">
      <c r="A270" s="81" t="s">
        <v>360</v>
      </c>
      <c r="B270" s="80" t="s">
        <v>500</v>
      </c>
      <c r="C270" s="80" t="s">
        <v>62</v>
      </c>
      <c r="D270" s="80" t="s">
        <v>461</v>
      </c>
      <c r="E270" s="83" t="s">
        <v>6</v>
      </c>
      <c r="F270" s="82">
        <f>F271</f>
        <v>400000</v>
      </c>
      <c r="G270" s="82">
        <f>G271</f>
        <v>400000</v>
      </c>
    </row>
    <row r="271" spans="1:8" s="172" customFormat="1" ht="36.700000000000003" outlineLevel="1" x14ac:dyDescent="0.25">
      <c r="A271" s="25" t="s">
        <v>15</v>
      </c>
      <c r="B271" s="80" t="s">
        <v>500</v>
      </c>
      <c r="C271" s="80" t="s">
        <v>62</v>
      </c>
      <c r="D271" s="80" t="s">
        <v>461</v>
      </c>
      <c r="E271" s="83" t="s">
        <v>16</v>
      </c>
      <c r="F271" s="82">
        <f>F272</f>
        <v>400000</v>
      </c>
      <c r="G271" s="82">
        <f>G272</f>
        <v>400000</v>
      </c>
      <c r="H271" s="171"/>
    </row>
    <row r="272" spans="1:8" ht="52.5" customHeight="1" outlineLevel="1" x14ac:dyDescent="0.25">
      <c r="A272" s="25" t="s">
        <v>17</v>
      </c>
      <c r="B272" s="80" t="s">
        <v>500</v>
      </c>
      <c r="C272" s="80" t="s">
        <v>62</v>
      </c>
      <c r="D272" s="80" t="s">
        <v>461</v>
      </c>
      <c r="E272" s="83" t="s">
        <v>18</v>
      </c>
      <c r="F272" s="82">
        <v>400000</v>
      </c>
      <c r="G272" s="82">
        <v>400000</v>
      </c>
    </row>
    <row r="273" spans="1:8" ht="55.05" outlineLevel="1" x14ac:dyDescent="0.25">
      <c r="A273" s="25" t="s">
        <v>767</v>
      </c>
      <c r="B273" s="80" t="s">
        <v>500</v>
      </c>
      <c r="C273" s="80" t="s">
        <v>62</v>
      </c>
      <c r="D273" s="80" t="s">
        <v>766</v>
      </c>
      <c r="E273" s="83" t="s">
        <v>6</v>
      </c>
      <c r="F273" s="82">
        <f>F274</f>
        <v>0</v>
      </c>
      <c r="G273" s="82">
        <f>G274</f>
        <v>0</v>
      </c>
    </row>
    <row r="274" spans="1:8" ht="36.700000000000003" outlineLevel="1" x14ac:dyDescent="0.25">
      <c r="A274" s="25" t="s">
        <v>15</v>
      </c>
      <c r="B274" s="80" t="s">
        <v>500</v>
      </c>
      <c r="C274" s="80" t="s">
        <v>62</v>
      </c>
      <c r="D274" s="80" t="s">
        <v>766</v>
      </c>
      <c r="E274" s="83" t="s">
        <v>16</v>
      </c>
      <c r="F274" s="82">
        <f>F275</f>
        <v>0</v>
      </c>
      <c r="G274" s="82">
        <f>G275</f>
        <v>0</v>
      </c>
    </row>
    <row r="275" spans="1:8" ht="18.7" customHeight="1" outlineLevel="1" x14ac:dyDescent="0.25">
      <c r="A275" s="25" t="s">
        <v>17</v>
      </c>
      <c r="B275" s="80" t="s">
        <v>500</v>
      </c>
      <c r="C275" s="80" t="s">
        <v>62</v>
      </c>
      <c r="D275" s="80" t="s">
        <v>766</v>
      </c>
      <c r="E275" s="83" t="s">
        <v>18</v>
      </c>
      <c r="F275" s="82">
        <v>0</v>
      </c>
      <c r="G275" s="82">
        <v>0</v>
      </c>
    </row>
    <row r="276" spans="1:8" ht="62.5" customHeight="1" outlineLevel="1" x14ac:dyDescent="0.25">
      <c r="A276" s="25" t="s">
        <v>767</v>
      </c>
      <c r="B276" s="80" t="s">
        <v>500</v>
      </c>
      <c r="C276" s="80" t="s">
        <v>62</v>
      </c>
      <c r="D276" s="80" t="s">
        <v>947</v>
      </c>
      <c r="E276" s="83" t="s">
        <v>6</v>
      </c>
      <c r="F276" s="82">
        <f>F277</f>
        <v>761631</v>
      </c>
      <c r="G276" s="82">
        <f>G277</f>
        <v>0</v>
      </c>
    </row>
    <row r="277" spans="1:8" ht="41.3" customHeight="1" outlineLevel="1" x14ac:dyDescent="0.25">
      <c r="A277" s="25" t="s">
        <v>15</v>
      </c>
      <c r="B277" s="80" t="s">
        <v>500</v>
      </c>
      <c r="C277" s="80" t="s">
        <v>62</v>
      </c>
      <c r="D277" s="80" t="s">
        <v>947</v>
      </c>
      <c r="E277" s="83" t="s">
        <v>16</v>
      </c>
      <c r="F277" s="82">
        <f>F278</f>
        <v>761631</v>
      </c>
      <c r="G277" s="82">
        <f>G278</f>
        <v>0</v>
      </c>
    </row>
    <row r="278" spans="1:8" ht="59.95" customHeight="1" outlineLevel="1" x14ac:dyDescent="0.25">
      <c r="A278" s="25" t="s">
        <v>17</v>
      </c>
      <c r="B278" s="80" t="s">
        <v>500</v>
      </c>
      <c r="C278" s="80" t="s">
        <v>62</v>
      </c>
      <c r="D278" s="80" t="s">
        <v>947</v>
      </c>
      <c r="E278" s="83" t="s">
        <v>18</v>
      </c>
      <c r="F278" s="82">
        <v>761631</v>
      </c>
      <c r="G278" s="82">
        <v>0</v>
      </c>
    </row>
    <row r="279" spans="1:8" ht="36.700000000000003" outlineLevel="1" x14ac:dyDescent="0.25">
      <c r="A279" s="81" t="s">
        <v>63</v>
      </c>
      <c r="B279" s="80" t="s">
        <v>500</v>
      </c>
      <c r="C279" s="80" t="s">
        <v>62</v>
      </c>
      <c r="D279" s="80" t="s">
        <v>355</v>
      </c>
      <c r="E279" s="83" t="s">
        <v>6</v>
      </c>
      <c r="F279" s="82">
        <f>F280</f>
        <v>500000</v>
      </c>
      <c r="G279" s="82">
        <f>G280</f>
        <v>500000</v>
      </c>
    </row>
    <row r="280" spans="1:8" ht="36.700000000000003" outlineLevel="1" x14ac:dyDescent="0.25">
      <c r="A280" s="81" t="s">
        <v>15</v>
      </c>
      <c r="B280" s="80" t="s">
        <v>500</v>
      </c>
      <c r="C280" s="80" t="s">
        <v>62</v>
      </c>
      <c r="D280" s="80" t="s">
        <v>355</v>
      </c>
      <c r="E280" s="83" t="s">
        <v>16</v>
      </c>
      <c r="F280" s="82">
        <f>F281</f>
        <v>500000</v>
      </c>
      <c r="G280" s="82">
        <f>G281</f>
        <v>500000</v>
      </c>
    </row>
    <row r="281" spans="1:8" ht="22.75" customHeight="1" outlineLevel="1" x14ac:dyDescent="0.25">
      <c r="A281" s="81" t="s">
        <v>17</v>
      </c>
      <c r="B281" s="80" t="s">
        <v>500</v>
      </c>
      <c r="C281" s="80" t="s">
        <v>62</v>
      </c>
      <c r="D281" s="80" t="s">
        <v>355</v>
      </c>
      <c r="E281" s="83" t="s">
        <v>18</v>
      </c>
      <c r="F281" s="98">
        <v>500000</v>
      </c>
      <c r="G281" s="98">
        <v>500000</v>
      </c>
    </row>
    <row r="282" spans="1:8" s="172" customFormat="1" ht="55.05" outlineLevel="1" x14ac:dyDescent="0.25">
      <c r="A282" s="109" t="s">
        <v>508</v>
      </c>
      <c r="B282" s="110" t="s">
        <v>500</v>
      </c>
      <c r="C282" s="110" t="s">
        <v>62</v>
      </c>
      <c r="D282" s="110" t="s">
        <v>509</v>
      </c>
      <c r="E282" s="111" t="s">
        <v>6</v>
      </c>
      <c r="F282" s="82">
        <f>F283</f>
        <v>8938369</v>
      </c>
      <c r="G282" s="82">
        <f>G283</f>
        <v>6000000</v>
      </c>
      <c r="H282" s="171"/>
    </row>
    <row r="283" spans="1:8" ht="36.700000000000003" outlineLevel="1" x14ac:dyDescent="0.25">
      <c r="A283" s="81" t="s">
        <v>510</v>
      </c>
      <c r="B283" s="80" t="s">
        <v>500</v>
      </c>
      <c r="C283" s="80" t="s">
        <v>62</v>
      </c>
      <c r="D283" s="80" t="s">
        <v>511</v>
      </c>
      <c r="E283" s="83" t="s">
        <v>6</v>
      </c>
      <c r="F283" s="82">
        <f>F284+F287+F290</f>
        <v>8938369</v>
      </c>
      <c r="G283" s="82">
        <f>G284+G287+G290</f>
        <v>6000000</v>
      </c>
    </row>
    <row r="284" spans="1:8" ht="56.25" customHeight="1" outlineLevel="1" x14ac:dyDescent="0.25">
      <c r="A284" s="81" t="s">
        <v>512</v>
      </c>
      <c r="B284" s="80" t="s">
        <v>500</v>
      </c>
      <c r="C284" s="80" t="s">
        <v>62</v>
      </c>
      <c r="D284" s="80" t="s">
        <v>513</v>
      </c>
      <c r="E284" s="83" t="s">
        <v>6</v>
      </c>
      <c r="F284" s="82">
        <f>F285</f>
        <v>2738369</v>
      </c>
      <c r="G284" s="82">
        <f>G285</f>
        <v>2500000</v>
      </c>
    </row>
    <row r="285" spans="1:8" ht="36.700000000000003" outlineLevel="1" x14ac:dyDescent="0.25">
      <c r="A285" s="81" t="s">
        <v>15</v>
      </c>
      <c r="B285" s="80" t="s">
        <v>500</v>
      </c>
      <c r="C285" s="80" t="s">
        <v>62</v>
      </c>
      <c r="D285" s="80" t="s">
        <v>513</v>
      </c>
      <c r="E285" s="83" t="s">
        <v>16</v>
      </c>
      <c r="F285" s="82">
        <f>F286</f>
        <v>2738369</v>
      </c>
      <c r="G285" s="82">
        <f>G286</f>
        <v>2500000</v>
      </c>
    </row>
    <row r="286" spans="1:8" ht="36.700000000000003" outlineLevel="1" x14ac:dyDescent="0.25">
      <c r="A286" s="81" t="s">
        <v>17</v>
      </c>
      <c r="B286" s="80" t="s">
        <v>500</v>
      </c>
      <c r="C286" s="80" t="s">
        <v>62</v>
      </c>
      <c r="D286" s="80" t="s">
        <v>513</v>
      </c>
      <c r="E286" s="83" t="s">
        <v>18</v>
      </c>
      <c r="F286" s="98">
        <f>3500000-761631</f>
        <v>2738369</v>
      </c>
      <c r="G286" s="98">
        <v>2500000</v>
      </c>
    </row>
    <row r="287" spans="1:8" ht="38.25" customHeight="1" outlineLevel="1" x14ac:dyDescent="0.25">
      <c r="A287" s="81" t="s">
        <v>514</v>
      </c>
      <c r="B287" s="80" t="s">
        <v>500</v>
      </c>
      <c r="C287" s="80" t="s">
        <v>62</v>
      </c>
      <c r="D287" s="80" t="s">
        <v>515</v>
      </c>
      <c r="E287" s="83" t="s">
        <v>6</v>
      </c>
      <c r="F287" s="82">
        <f>F288</f>
        <v>3700000</v>
      </c>
      <c r="G287" s="82">
        <f>G288</f>
        <v>2000000</v>
      </c>
    </row>
    <row r="288" spans="1:8" ht="36.700000000000003" outlineLevel="1" x14ac:dyDescent="0.25">
      <c r="A288" s="81" t="s">
        <v>15</v>
      </c>
      <c r="B288" s="80" t="s">
        <v>500</v>
      </c>
      <c r="C288" s="80" t="s">
        <v>62</v>
      </c>
      <c r="D288" s="80" t="s">
        <v>515</v>
      </c>
      <c r="E288" s="83" t="s">
        <v>16</v>
      </c>
      <c r="F288" s="82">
        <f>F289</f>
        <v>3700000</v>
      </c>
      <c r="G288" s="82">
        <f>G289</f>
        <v>2000000</v>
      </c>
    </row>
    <row r="289" spans="1:8" ht="36.700000000000003" outlineLevel="1" x14ac:dyDescent="0.25">
      <c r="A289" s="81" t="s">
        <v>17</v>
      </c>
      <c r="B289" s="80" t="s">
        <v>500</v>
      </c>
      <c r="C289" s="80" t="s">
        <v>62</v>
      </c>
      <c r="D289" s="80" t="s">
        <v>515</v>
      </c>
      <c r="E289" s="83" t="s">
        <v>18</v>
      </c>
      <c r="F289" s="98">
        <v>3700000</v>
      </c>
      <c r="G289" s="98">
        <v>2000000</v>
      </c>
    </row>
    <row r="290" spans="1:8" ht="36.700000000000003" outlineLevel="1" x14ac:dyDescent="0.25">
      <c r="A290" s="81" t="s">
        <v>516</v>
      </c>
      <c r="B290" s="80" t="s">
        <v>500</v>
      </c>
      <c r="C290" s="80" t="s">
        <v>62</v>
      </c>
      <c r="D290" s="80" t="s">
        <v>517</v>
      </c>
      <c r="E290" s="83" t="s">
        <v>6</v>
      </c>
      <c r="F290" s="82">
        <f>F291</f>
        <v>2500000</v>
      </c>
      <c r="G290" s="82">
        <f>G291</f>
        <v>1500000</v>
      </c>
    </row>
    <row r="291" spans="1:8" ht="36.700000000000003" outlineLevel="1" x14ac:dyDescent="0.25">
      <c r="A291" s="81" t="s">
        <v>15</v>
      </c>
      <c r="B291" s="80" t="s">
        <v>500</v>
      </c>
      <c r="C291" s="80" t="s">
        <v>62</v>
      </c>
      <c r="D291" s="80" t="s">
        <v>517</v>
      </c>
      <c r="E291" s="83" t="s">
        <v>16</v>
      </c>
      <c r="F291" s="82">
        <f>F292</f>
        <v>2500000</v>
      </c>
      <c r="G291" s="82">
        <f>G292</f>
        <v>1500000</v>
      </c>
    </row>
    <row r="292" spans="1:8" ht="36.700000000000003" outlineLevel="1" x14ac:dyDescent="0.25">
      <c r="A292" s="81" t="s">
        <v>17</v>
      </c>
      <c r="B292" s="80" t="s">
        <v>500</v>
      </c>
      <c r="C292" s="80" t="s">
        <v>62</v>
      </c>
      <c r="D292" s="80" t="s">
        <v>517</v>
      </c>
      <c r="E292" s="83" t="s">
        <v>18</v>
      </c>
      <c r="F292" s="98">
        <v>2500000</v>
      </c>
      <c r="G292" s="98">
        <v>1500000</v>
      </c>
    </row>
    <row r="293" spans="1:8" s="172" customFormat="1" ht="73.400000000000006" outlineLevel="1" x14ac:dyDescent="0.25">
      <c r="A293" s="109" t="s">
        <v>518</v>
      </c>
      <c r="B293" s="110" t="s">
        <v>500</v>
      </c>
      <c r="C293" s="110" t="s">
        <v>62</v>
      </c>
      <c r="D293" s="110" t="s">
        <v>519</v>
      </c>
      <c r="E293" s="111" t="s">
        <v>6</v>
      </c>
      <c r="F293" s="82">
        <f>F294+F302</f>
        <v>19974076.27</v>
      </c>
      <c r="G293" s="82">
        <f>G294+G302</f>
        <v>20709227.807</v>
      </c>
      <c r="H293" s="171"/>
    </row>
    <row r="294" spans="1:8" s="172" customFormat="1" ht="55.05" outlineLevel="1" x14ac:dyDescent="0.25">
      <c r="A294" s="109" t="s">
        <v>550</v>
      </c>
      <c r="B294" s="110" t="s">
        <v>500</v>
      </c>
      <c r="C294" s="110" t="s">
        <v>62</v>
      </c>
      <c r="D294" s="110" t="s">
        <v>551</v>
      </c>
      <c r="E294" s="111" t="s">
        <v>6</v>
      </c>
      <c r="F294" s="82">
        <f>F295+F299</f>
        <v>6616389.0700000003</v>
      </c>
      <c r="G294" s="82">
        <f>G295+G299</f>
        <v>7351540.5999999996</v>
      </c>
      <c r="H294" s="171"/>
    </row>
    <row r="295" spans="1:8" ht="36.700000000000003" outlineLevel="1" x14ac:dyDescent="0.25">
      <c r="A295" s="81" t="s">
        <v>549</v>
      </c>
      <c r="B295" s="80" t="s">
        <v>500</v>
      </c>
      <c r="C295" s="80" t="s">
        <v>62</v>
      </c>
      <c r="D295" s="80" t="s">
        <v>552</v>
      </c>
      <c r="E295" s="83" t="s">
        <v>6</v>
      </c>
      <c r="F295" s="82">
        <f t="shared" ref="F295:G297" si="18">F296</f>
        <v>6616389.0700000003</v>
      </c>
      <c r="G295" s="82">
        <f t="shared" si="18"/>
        <v>7351540.5999999996</v>
      </c>
    </row>
    <row r="296" spans="1:8" ht="36.700000000000003" outlineLevel="1" x14ac:dyDescent="0.25">
      <c r="A296" s="81" t="s">
        <v>548</v>
      </c>
      <c r="B296" s="80" t="s">
        <v>500</v>
      </c>
      <c r="C296" s="80" t="s">
        <v>62</v>
      </c>
      <c r="D296" s="80" t="s">
        <v>553</v>
      </c>
      <c r="E296" s="83" t="s">
        <v>6</v>
      </c>
      <c r="F296" s="82">
        <f t="shared" si="18"/>
        <v>6616389.0700000003</v>
      </c>
      <c r="G296" s="82">
        <f t="shared" si="18"/>
        <v>7351540.5999999996</v>
      </c>
    </row>
    <row r="297" spans="1:8" ht="36.700000000000003" outlineLevel="1" x14ac:dyDescent="0.25">
      <c r="A297" s="81" t="s">
        <v>15</v>
      </c>
      <c r="B297" s="80" t="s">
        <v>500</v>
      </c>
      <c r="C297" s="80" t="s">
        <v>62</v>
      </c>
      <c r="D297" s="80" t="s">
        <v>553</v>
      </c>
      <c r="E297" s="83" t="s">
        <v>16</v>
      </c>
      <c r="F297" s="82">
        <f t="shared" si="18"/>
        <v>6616389.0700000003</v>
      </c>
      <c r="G297" s="82">
        <f t="shared" si="18"/>
        <v>7351540.5999999996</v>
      </c>
    </row>
    <row r="298" spans="1:8" ht="52.5" customHeight="1" outlineLevel="1" x14ac:dyDescent="0.25">
      <c r="A298" s="81" t="s">
        <v>17</v>
      </c>
      <c r="B298" s="80" t="s">
        <v>500</v>
      </c>
      <c r="C298" s="80" t="s">
        <v>62</v>
      </c>
      <c r="D298" s="80" t="s">
        <v>553</v>
      </c>
      <c r="E298" s="83" t="s">
        <v>18</v>
      </c>
      <c r="F298" s="82">
        <f>6583307.11+33081.96</f>
        <v>6616389.0700000003</v>
      </c>
      <c r="G298" s="82">
        <f>7314782.8+36757.8</f>
        <v>7351540.5999999996</v>
      </c>
    </row>
    <row r="299" spans="1:8" ht="55.05" outlineLevel="1" x14ac:dyDescent="0.25">
      <c r="A299" s="25" t="s">
        <v>680</v>
      </c>
      <c r="B299" s="80" t="s">
        <v>500</v>
      </c>
      <c r="C299" s="80" t="s">
        <v>62</v>
      </c>
      <c r="D299" s="80" t="s">
        <v>724</v>
      </c>
      <c r="E299" s="80" t="s">
        <v>6</v>
      </c>
      <c r="F299" s="82">
        <f>F300</f>
        <v>0</v>
      </c>
      <c r="G299" s="82">
        <f>G300</f>
        <v>0</v>
      </c>
    </row>
    <row r="300" spans="1:8" ht="36.700000000000003" outlineLevel="1" x14ac:dyDescent="0.25">
      <c r="A300" s="81" t="s">
        <v>15</v>
      </c>
      <c r="B300" s="80" t="s">
        <v>500</v>
      </c>
      <c r="C300" s="80" t="s">
        <v>62</v>
      </c>
      <c r="D300" s="80" t="s">
        <v>724</v>
      </c>
      <c r="E300" s="80" t="s">
        <v>16</v>
      </c>
      <c r="F300" s="82">
        <f>F301</f>
        <v>0</v>
      </c>
      <c r="G300" s="82">
        <f>G301</f>
        <v>0</v>
      </c>
    </row>
    <row r="301" spans="1:8" ht="36.700000000000003" outlineLevel="1" x14ac:dyDescent="0.25">
      <c r="A301" s="81" t="s">
        <v>17</v>
      </c>
      <c r="B301" s="80" t="s">
        <v>500</v>
      </c>
      <c r="C301" s="80" t="s">
        <v>62</v>
      </c>
      <c r="D301" s="80" t="s">
        <v>724</v>
      </c>
      <c r="E301" s="80" t="s">
        <v>18</v>
      </c>
      <c r="F301" s="82"/>
      <c r="G301" s="82"/>
    </row>
    <row r="302" spans="1:8" s="172" customFormat="1" ht="55.05" outlineLevel="1" x14ac:dyDescent="0.25">
      <c r="A302" s="121" t="s">
        <v>554</v>
      </c>
      <c r="B302" s="80" t="s">
        <v>500</v>
      </c>
      <c r="C302" s="80" t="s">
        <v>62</v>
      </c>
      <c r="D302" s="110" t="s">
        <v>556</v>
      </c>
      <c r="E302" s="111" t="s">
        <v>6</v>
      </c>
      <c r="F302" s="82">
        <f>F303</f>
        <v>13357687.199999999</v>
      </c>
      <c r="G302" s="82">
        <f>G303</f>
        <v>13357687.207</v>
      </c>
      <c r="H302" s="171"/>
    </row>
    <row r="303" spans="1:8" s="172" customFormat="1" ht="41.95" customHeight="1" outlineLevel="1" x14ac:dyDescent="0.25">
      <c r="A303" s="121" t="s">
        <v>555</v>
      </c>
      <c r="B303" s="80" t="s">
        <v>500</v>
      </c>
      <c r="C303" s="80" t="s">
        <v>62</v>
      </c>
      <c r="D303" s="110" t="s">
        <v>557</v>
      </c>
      <c r="E303" s="111" t="s">
        <v>6</v>
      </c>
      <c r="F303" s="85">
        <f>F304+F307+F310+F313</f>
        <v>13357687.199999999</v>
      </c>
      <c r="G303" s="85">
        <f>G304+G307+G310+G313</f>
        <v>13357687.207</v>
      </c>
      <c r="H303" s="171"/>
    </row>
    <row r="304" spans="1:8" s="172" customFormat="1" ht="78.8" customHeight="1" outlineLevel="1" x14ac:dyDescent="0.25">
      <c r="A304" s="25" t="s">
        <v>565</v>
      </c>
      <c r="B304" s="80" t="s">
        <v>500</v>
      </c>
      <c r="C304" s="80" t="s">
        <v>62</v>
      </c>
      <c r="D304" s="80" t="s">
        <v>587</v>
      </c>
      <c r="E304" s="83" t="s">
        <v>6</v>
      </c>
      <c r="F304" s="82">
        <f>F305</f>
        <v>12956956.59</v>
      </c>
      <c r="G304" s="82">
        <f>G305</f>
        <v>12956956.59</v>
      </c>
      <c r="H304" s="171"/>
    </row>
    <row r="305" spans="1:8" s="172" customFormat="1" ht="36.700000000000003" outlineLevel="1" x14ac:dyDescent="0.25">
      <c r="A305" s="81" t="s">
        <v>15</v>
      </c>
      <c r="B305" s="80" t="s">
        <v>500</v>
      </c>
      <c r="C305" s="80" t="s">
        <v>62</v>
      </c>
      <c r="D305" s="80" t="s">
        <v>587</v>
      </c>
      <c r="E305" s="83" t="s">
        <v>16</v>
      </c>
      <c r="F305" s="82">
        <f>F306</f>
        <v>12956956.59</v>
      </c>
      <c r="G305" s="82">
        <f>G306</f>
        <v>12956956.59</v>
      </c>
      <c r="H305" s="171"/>
    </row>
    <row r="306" spans="1:8" s="172" customFormat="1" ht="36.700000000000003" outlineLevel="1" x14ac:dyDescent="0.25">
      <c r="A306" s="81" t="s">
        <v>17</v>
      </c>
      <c r="B306" s="80" t="s">
        <v>500</v>
      </c>
      <c r="C306" s="80" t="s">
        <v>62</v>
      </c>
      <c r="D306" s="80" t="s">
        <v>587</v>
      </c>
      <c r="E306" s="83" t="s">
        <v>18</v>
      </c>
      <c r="F306" s="82">
        <v>12956956.59</v>
      </c>
      <c r="G306" s="82">
        <v>12956956.59</v>
      </c>
      <c r="H306" s="171"/>
    </row>
    <row r="307" spans="1:8" ht="40.75" customHeight="1" outlineLevel="1" x14ac:dyDescent="0.25">
      <c r="A307" s="25" t="s">
        <v>559</v>
      </c>
      <c r="B307" s="80" t="s">
        <v>500</v>
      </c>
      <c r="C307" s="80" t="s">
        <v>62</v>
      </c>
      <c r="D307" s="80" t="s">
        <v>558</v>
      </c>
      <c r="E307" s="83" t="s">
        <v>6</v>
      </c>
      <c r="F307" s="82">
        <f>F308</f>
        <v>400730.61</v>
      </c>
      <c r="G307" s="82">
        <f>G308</f>
        <v>400730.61699999997</v>
      </c>
    </row>
    <row r="308" spans="1:8" ht="36.700000000000003" outlineLevel="1" x14ac:dyDescent="0.25">
      <c r="A308" s="81" t="s">
        <v>15</v>
      </c>
      <c r="B308" s="80" t="s">
        <v>500</v>
      </c>
      <c r="C308" s="80" t="s">
        <v>62</v>
      </c>
      <c r="D308" s="80" t="s">
        <v>558</v>
      </c>
      <c r="E308" s="83" t="s">
        <v>16</v>
      </c>
      <c r="F308" s="82">
        <f>F309</f>
        <v>400730.61</v>
      </c>
      <c r="G308" s="82">
        <f>G309</f>
        <v>400730.61699999997</v>
      </c>
    </row>
    <row r="309" spans="1:8" ht="54.7" customHeight="1" outlineLevel="1" x14ac:dyDescent="0.25">
      <c r="A309" s="81" t="s">
        <v>17</v>
      </c>
      <c r="B309" s="80" t="s">
        <v>500</v>
      </c>
      <c r="C309" s="80" t="s">
        <v>62</v>
      </c>
      <c r="D309" s="80" t="s">
        <v>558</v>
      </c>
      <c r="E309" s="83" t="s">
        <v>18</v>
      </c>
      <c r="F309" s="98">
        <f>377047.43+23683.18</f>
        <v>400730.61</v>
      </c>
      <c r="G309" s="98">
        <f>377047.437+23683.18</f>
        <v>400730.61699999997</v>
      </c>
    </row>
    <row r="310" spans="1:8" ht="54" customHeight="1" outlineLevel="1" x14ac:dyDescent="0.25">
      <c r="A310" s="81" t="s">
        <v>680</v>
      </c>
      <c r="B310" s="80" t="s">
        <v>500</v>
      </c>
      <c r="C310" s="80" t="s">
        <v>62</v>
      </c>
      <c r="D310" s="80" t="s">
        <v>679</v>
      </c>
      <c r="E310" s="80" t="s">
        <v>6</v>
      </c>
      <c r="F310" s="82">
        <f>F311</f>
        <v>0</v>
      </c>
      <c r="G310" s="82">
        <f>G311</f>
        <v>0</v>
      </c>
    </row>
    <row r="311" spans="1:8" ht="36.700000000000003" outlineLevel="1" x14ac:dyDescent="0.25">
      <c r="A311" s="81" t="s">
        <v>15</v>
      </c>
      <c r="B311" s="80" t="s">
        <v>500</v>
      </c>
      <c r="C311" s="80" t="s">
        <v>62</v>
      </c>
      <c r="D311" s="80" t="s">
        <v>679</v>
      </c>
      <c r="E311" s="80" t="s">
        <v>16</v>
      </c>
      <c r="F311" s="82">
        <f>F312</f>
        <v>0</v>
      </c>
      <c r="G311" s="82">
        <f>G312</f>
        <v>0</v>
      </c>
    </row>
    <row r="312" spans="1:8" ht="36.700000000000003" outlineLevel="1" x14ac:dyDescent="0.25">
      <c r="A312" s="81" t="s">
        <v>17</v>
      </c>
      <c r="B312" s="80" t="s">
        <v>500</v>
      </c>
      <c r="C312" s="80" t="s">
        <v>62</v>
      </c>
      <c r="D312" s="80" t="s">
        <v>679</v>
      </c>
      <c r="E312" s="80" t="s">
        <v>18</v>
      </c>
      <c r="F312" s="98"/>
      <c r="G312" s="98"/>
    </row>
    <row r="313" spans="1:8" ht="43.5" customHeight="1" outlineLevel="1" x14ac:dyDescent="0.25">
      <c r="A313" s="81" t="s">
        <v>682</v>
      </c>
      <c r="B313" s="80" t="s">
        <v>500</v>
      </c>
      <c r="C313" s="80" t="s">
        <v>62</v>
      </c>
      <c r="D313" s="80" t="s">
        <v>765</v>
      </c>
      <c r="E313" s="80" t="s">
        <v>6</v>
      </c>
      <c r="F313" s="82">
        <f>F314</f>
        <v>0</v>
      </c>
      <c r="G313" s="82">
        <f>G314</f>
        <v>0</v>
      </c>
    </row>
    <row r="314" spans="1:8" s="172" customFormat="1" ht="36.700000000000003" outlineLevel="1" x14ac:dyDescent="0.25">
      <c r="A314" s="81" t="s">
        <v>15</v>
      </c>
      <c r="B314" s="80" t="s">
        <v>500</v>
      </c>
      <c r="C314" s="80" t="s">
        <v>62</v>
      </c>
      <c r="D314" s="80" t="s">
        <v>765</v>
      </c>
      <c r="E314" s="80" t="s">
        <v>16</v>
      </c>
      <c r="F314" s="82">
        <f>F315</f>
        <v>0</v>
      </c>
      <c r="G314" s="82">
        <f>G315</f>
        <v>0</v>
      </c>
      <c r="H314" s="171"/>
    </row>
    <row r="315" spans="1:8" ht="36.700000000000003" outlineLevel="1" x14ac:dyDescent="0.25">
      <c r="A315" s="81" t="s">
        <v>17</v>
      </c>
      <c r="B315" s="80" t="s">
        <v>500</v>
      </c>
      <c r="C315" s="80" t="s">
        <v>62</v>
      </c>
      <c r="D315" s="80" t="s">
        <v>765</v>
      </c>
      <c r="E315" s="80" t="s">
        <v>18</v>
      </c>
      <c r="F315" s="98"/>
      <c r="G315" s="98"/>
    </row>
    <row r="316" spans="1:8" ht="36.700000000000003" outlineLevel="1" x14ac:dyDescent="0.25">
      <c r="A316" s="81" t="s">
        <v>292</v>
      </c>
      <c r="B316" s="80" t="s">
        <v>500</v>
      </c>
      <c r="C316" s="80" t="s">
        <v>293</v>
      </c>
      <c r="D316" s="80" t="s">
        <v>126</v>
      </c>
      <c r="E316" s="83" t="s">
        <v>6</v>
      </c>
      <c r="F316" s="98">
        <f>F317</f>
        <v>300000</v>
      </c>
      <c r="G316" s="98">
        <f>G317</f>
        <v>300000</v>
      </c>
    </row>
    <row r="317" spans="1:8" ht="73.400000000000006" outlineLevel="1" x14ac:dyDescent="0.25">
      <c r="A317" s="109" t="s">
        <v>421</v>
      </c>
      <c r="B317" s="110" t="s">
        <v>500</v>
      </c>
      <c r="C317" s="110" t="s">
        <v>293</v>
      </c>
      <c r="D317" s="110" t="s">
        <v>134</v>
      </c>
      <c r="E317" s="111" t="s">
        <v>6</v>
      </c>
      <c r="F317" s="122">
        <f>F318</f>
        <v>300000</v>
      </c>
      <c r="G317" s="122">
        <f>G318</f>
        <v>300000</v>
      </c>
    </row>
    <row r="318" spans="1:8" ht="51.8" customHeight="1" outlineLevel="1" x14ac:dyDescent="0.25">
      <c r="A318" s="81" t="s">
        <v>844</v>
      </c>
      <c r="B318" s="80" t="s">
        <v>500</v>
      </c>
      <c r="C318" s="80" t="s">
        <v>293</v>
      </c>
      <c r="D318" s="80" t="s">
        <v>350</v>
      </c>
      <c r="E318" s="83" t="s">
        <v>6</v>
      </c>
      <c r="F318" s="98">
        <f>F319+F322</f>
        <v>300000</v>
      </c>
      <c r="G318" s="98">
        <f>G319+G322</f>
        <v>300000</v>
      </c>
    </row>
    <row r="319" spans="1:8" ht="37.549999999999997" customHeight="1" outlineLevel="1" x14ac:dyDescent="0.25">
      <c r="A319" s="100" t="s">
        <v>563</v>
      </c>
      <c r="B319" s="80" t="s">
        <v>500</v>
      </c>
      <c r="C319" s="80" t="s">
        <v>293</v>
      </c>
      <c r="D319" s="80" t="s">
        <v>588</v>
      </c>
      <c r="E319" s="80" t="s">
        <v>6</v>
      </c>
      <c r="F319" s="98">
        <f>F320</f>
        <v>0</v>
      </c>
      <c r="G319" s="98">
        <f>G320</f>
        <v>0</v>
      </c>
    </row>
    <row r="320" spans="1:8" outlineLevel="1" x14ac:dyDescent="0.25">
      <c r="A320" s="81" t="s">
        <v>19</v>
      </c>
      <c r="B320" s="80" t="s">
        <v>500</v>
      </c>
      <c r="C320" s="80" t="s">
        <v>293</v>
      </c>
      <c r="D320" s="80" t="s">
        <v>588</v>
      </c>
      <c r="E320" s="80" t="s">
        <v>20</v>
      </c>
      <c r="F320" s="98">
        <f>F321</f>
        <v>0</v>
      </c>
      <c r="G320" s="98">
        <f>G321</f>
        <v>0</v>
      </c>
    </row>
    <row r="321" spans="1:8" ht="55.05" outlineLevel="1" x14ac:dyDescent="0.25">
      <c r="A321" s="81" t="s">
        <v>47</v>
      </c>
      <c r="B321" s="80" t="s">
        <v>500</v>
      </c>
      <c r="C321" s="80" t="s">
        <v>293</v>
      </c>
      <c r="D321" s="80" t="s">
        <v>588</v>
      </c>
      <c r="E321" s="80" t="s">
        <v>48</v>
      </c>
      <c r="F321" s="98">
        <v>0</v>
      </c>
      <c r="G321" s="98">
        <v>0</v>
      </c>
    </row>
    <row r="322" spans="1:8" s="172" customFormat="1" ht="18.7" customHeight="1" outlineLevel="1" x14ac:dyDescent="0.25">
      <c r="A322" s="81" t="s">
        <v>306</v>
      </c>
      <c r="B322" s="80" t="s">
        <v>500</v>
      </c>
      <c r="C322" s="80" t="s">
        <v>293</v>
      </c>
      <c r="D322" s="80" t="s">
        <v>357</v>
      </c>
      <c r="E322" s="83" t="s">
        <v>6</v>
      </c>
      <c r="F322" s="98">
        <f>F323</f>
        <v>300000</v>
      </c>
      <c r="G322" s="98">
        <f>G323</f>
        <v>300000</v>
      </c>
      <c r="H322" s="171"/>
    </row>
    <row r="323" spans="1:8" outlineLevel="2" x14ac:dyDescent="0.25">
      <c r="A323" s="81" t="s">
        <v>19</v>
      </c>
      <c r="B323" s="80" t="s">
        <v>500</v>
      </c>
      <c r="C323" s="80" t="s">
        <v>293</v>
      </c>
      <c r="D323" s="80" t="s">
        <v>357</v>
      </c>
      <c r="E323" s="83" t="s">
        <v>20</v>
      </c>
      <c r="F323" s="98">
        <f>F324</f>
        <v>300000</v>
      </c>
      <c r="G323" s="98">
        <f>G324</f>
        <v>300000</v>
      </c>
    </row>
    <row r="324" spans="1:8" s="172" customFormat="1" ht="41.3" customHeight="1" outlineLevel="3" x14ac:dyDescent="0.25">
      <c r="A324" s="81" t="s">
        <v>47</v>
      </c>
      <c r="B324" s="80" t="s">
        <v>500</v>
      </c>
      <c r="C324" s="80" t="s">
        <v>293</v>
      </c>
      <c r="D324" s="80" t="s">
        <v>357</v>
      </c>
      <c r="E324" s="83" t="s">
        <v>48</v>
      </c>
      <c r="F324" s="131">
        <v>300000</v>
      </c>
      <c r="G324" s="131">
        <v>300000</v>
      </c>
      <c r="H324" s="171"/>
    </row>
    <row r="325" spans="1:8" ht="26.5" customHeight="1" outlineLevel="3" x14ac:dyDescent="0.25">
      <c r="A325" s="109" t="s">
        <v>64</v>
      </c>
      <c r="B325" s="80" t="s">
        <v>500</v>
      </c>
      <c r="C325" s="110" t="s">
        <v>65</v>
      </c>
      <c r="D325" s="110" t="s">
        <v>126</v>
      </c>
      <c r="E325" s="111" t="s">
        <v>6</v>
      </c>
      <c r="F325" s="85">
        <f>F326</f>
        <v>515000</v>
      </c>
      <c r="G325" s="85">
        <f>G326</f>
        <v>515000</v>
      </c>
    </row>
    <row r="326" spans="1:8" ht="23.3" customHeight="1" outlineLevel="3" x14ac:dyDescent="0.25">
      <c r="A326" s="81" t="s">
        <v>66</v>
      </c>
      <c r="B326" s="80" t="s">
        <v>500</v>
      </c>
      <c r="C326" s="80" t="s">
        <v>67</v>
      </c>
      <c r="D326" s="80" t="s">
        <v>126</v>
      </c>
      <c r="E326" s="83" t="s">
        <v>6</v>
      </c>
      <c r="F326" s="82">
        <f>F327+F336</f>
        <v>515000</v>
      </c>
      <c r="G326" s="82">
        <f>G327+G336</f>
        <v>515000</v>
      </c>
    </row>
    <row r="327" spans="1:8" ht="59.95" customHeight="1" outlineLevel="3" x14ac:dyDescent="0.25">
      <c r="A327" s="109" t="s">
        <v>841</v>
      </c>
      <c r="B327" s="110" t="s">
        <v>500</v>
      </c>
      <c r="C327" s="110" t="s">
        <v>67</v>
      </c>
      <c r="D327" s="110" t="s">
        <v>135</v>
      </c>
      <c r="E327" s="111" t="s">
        <v>6</v>
      </c>
      <c r="F327" s="85">
        <f>F328+F332</f>
        <v>470000</v>
      </c>
      <c r="G327" s="85">
        <f>G328+G332</f>
        <v>470000</v>
      </c>
    </row>
    <row r="328" spans="1:8" ht="59.95" customHeight="1" outlineLevel="3" x14ac:dyDescent="0.25">
      <c r="A328" s="81" t="s">
        <v>842</v>
      </c>
      <c r="B328" s="80" t="s">
        <v>500</v>
      </c>
      <c r="C328" s="80" t="s">
        <v>67</v>
      </c>
      <c r="D328" s="80" t="s">
        <v>392</v>
      </c>
      <c r="E328" s="83" t="s">
        <v>6</v>
      </c>
      <c r="F328" s="82">
        <f t="shared" ref="F328:G330" si="19">F329</f>
        <v>440000</v>
      </c>
      <c r="G328" s="82">
        <f t="shared" si="19"/>
        <v>440000</v>
      </c>
    </row>
    <row r="329" spans="1:8" ht="36.700000000000003" outlineLevel="7" x14ac:dyDescent="0.25">
      <c r="A329" s="81" t="s">
        <v>244</v>
      </c>
      <c r="B329" s="80" t="s">
        <v>500</v>
      </c>
      <c r="C329" s="80" t="s">
        <v>67</v>
      </c>
      <c r="D329" s="80" t="s">
        <v>361</v>
      </c>
      <c r="E329" s="83" t="s">
        <v>6</v>
      </c>
      <c r="F329" s="82">
        <f t="shared" si="19"/>
        <v>440000</v>
      </c>
      <c r="G329" s="82">
        <f t="shared" si="19"/>
        <v>440000</v>
      </c>
    </row>
    <row r="330" spans="1:8" ht="25.5" customHeight="1" outlineLevel="5" x14ac:dyDescent="0.25">
      <c r="A330" s="81" t="s">
        <v>15</v>
      </c>
      <c r="B330" s="80" t="s">
        <v>500</v>
      </c>
      <c r="C330" s="80" t="s">
        <v>67</v>
      </c>
      <c r="D330" s="80" t="s">
        <v>361</v>
      </c>
      <c r="E330" s="83" t="s">
        <v>16</v>
      </c>
      <c r="F330" s="82">
        <f t="shared" si="19"/>
        <v>440000</v>
      </c>
      <c r="G330" s="82">
        <f t="shared" si="19"/>
        <v>440000</v>
      </c>
    </row>
    <row r="331" spans="1:8" ht="36.700000000000003" outlineLevel="6" x14ac:dyDescent="0.25">
      <c r="A331" s="81" t="s">
        <v>17</v>
      </c>
      <c r="B331" s="80" t="s">
        <v>500</v>
      </c>
      <c r="C331" s="80" t="s">
        <v>67</v>
      </c>
      <c r="D331" s="80" t="s">
        <v>361</v>
      </c>
      <c r="E331" s="83" t="s">
        <v>18</v>
      </c>
      <c r="F331" s="82">
        <v>440000</v>
      </c>
      <c r="G331" s="82">
        <v>440000</v>
      </c>
    </row>
    <row r="332" spans="1:8" ht="38.25" customHeight="1" outlineLevel="7" x14ac:dyDescent="0.25">
      <c r="A332" s="81" t="s">
        <v>362</v>
      </c>
      <c r="B332" s="80" t="s">
        <v>500</v>
      </c>
      <c r="C332" s="80" t="s">
        <v>67</v>
      </c>
      <c r="D332" s="80" t="s">
        <v>246</v>
      </c>
      <c r="E332" s="83" t="s">
        <v>6</v>
      </c>
      <c r="F332" s="98">
        <f t="shared" ref="F332:G334" si="20">F333</f>
        <v>30000</v>
      </c>
      <c r="G332" s="98">
        <f t="shared" si="20"/>
        <v>30000</v>
      </c>
    </row>
    <row r="333" spans="1:8" s="172" customFormat="1" ht="23.95" customHeight="1" outlineLevel="3" x14ac:dyDescent="0.25">
      <c r="A333" s="81" t="s">
        <v>68</v>
      </c>
      <c r="B333" s="80" t="s">
        <v>500</v>
      </c>
      <c r="C333" s="80" t="s">
        <v>67</v>
      </c>
      <c r="D333" s="80" t="s">
        <v>245</v>
      </c>
      <c r="E333" s="83" t="s">
        <v>6</v>
      </c>
      <c r="F333" s="82">
        <f t="shared" si="20"/>
        <v>30000</v>
      </c>
      <c r="G333" s="82">
        <f t="shared" si="20"/>
        <v>30000</v>
      </c>
      <c r="H333" s="171"/>
    </row>
    <row r="334" spans="1:8" ht="36.700000000000003" outlineLevel="5" x14ac:dyDescent="0.25">
      <c r="A334" s="81" t="s">
        <v>15</v>
      </c>
      <c r="B334" s="80" t="s">
        <v>500</v>
      </c>
      <c r="C334" s="80" t="s">
        <v>67</v>
      </c>
      <c r="D334" s="80" t="s">
        <v>245</v>
      </c>
      <c r="E334" s="83" t="s">
        <v>16</v>
      </c>
      <c r="F334" s="82">
        <f t="shared" si="20"/>
        <v>30000</v>
      </c>
      <c r="G334" s="82">
        <f t="shared" si="20"/>
        <v>30000</v>
      </c>
    </row>
    <row r="335" spans="1:8" ht="36.700000000000003" outlineLevel="5" x14ac:dyDescent="0.25">
      <c r="A335" s="81" t="s">
        <v>17</v>
      </c>
      <c r="B335" s="80" t="s">
        <v>500</v>
      </c>
      <c r="C335" s="80" t="s">
        <v>67</v>
      </c>
      <c r="D335" s="80" t="s">
        <v>245</v>
      </c>
      <c r="E335" s="83" t="s">
        <v>18</v>
      </c>
      <c r="F335" s="82">
        <v>30000</v>
      </c>
      <c r="G335" s="82">
        <v>30000</v>
      </c>
    </row>
    <row r="336" spans="1:8" ht="91.7" outlineLevel="6" x14ac:dyDescent="0.25">
      <c r="A336" s="109" t="s">
        <v>840</v>
      </c>
      <c r="B336" s="110" t="s">
        <v>500</v>
      </c>
      <c r="C336" s="110" t="s">
        <v>67</v>
      </c>
      <c r="D336" s="110" t="s">
        <v>363</v>
      </c>
      <c r="E336" s="111" t="s">
        <v>6</v>
      </c>
      <c r="F336" s="85">
        <f>F337</f>
        <v>45000</v>
      </c>
      <c r="G336" s="85">
        <f>G337</f>
        <v>45000</v>
      </c>
    </row>
    <row r="337" spans="1:8" ht="42.8" customHeight="1" outlineLevel="7" x14ac:dyDescent="0.25">
      <c r="A337" s="81" t="s">
        <v>364</v>
      </c>
      <c r="B337" s="80" t="s">
        <v>500</v>
      </c>
      <c r="C337" s="80" t="s">
        <v>67</v>
      </c>
      <c r="D337" s="80" t="s">
        <v>365</v>
      </c>
      <c r="E337" s="83" t="s">
        <v>6</v>
      </c>
      <c r="F337" s="82">
        <f>F339</f>
        <v>45000</v>
      </c>
      <c r="G337" s="82">
        <f>G339</f>
        <v>45000</v>
      </c>
    </row>
    <row r="338" spans="1:8" s="172" customFormat="1" ht="36.700000000000003" outlineLevel="1" x14ac:dyDescent="0.25">
      <c r="A338" s="81" t="s">
        <v>366</v>
      </c>
      <c r="B338" s="80" t="s">
        <v>500</v>
      </c>
      <c r="C338" s="80" t="s">
        <v>67</v>
      </c>
      <c r="D338" s="80" t="s">
        <v>367</v>
      </c>
      <c r="E338" s="83" t="s">
        <v>6</v>
      </c>
      <c r="F338" s="82">
        <f>F339</f>
        <v>45000</v>
      </c>
      <c r="G338" s="82">
        <f>G339</f>
        <v>45000</v>
      </c>
      <c r="H338" s="171"/>
    </row>
    <row r="339" spans="1:8" ht="36.700000000000003" outlineLevel="2" x14ac:dyDescent="0.25">
      <c r="A339" s="81" t="s">
        <v>15</v>
      </c>
      <c r="B339" s="80" t="s">
        <v>500</v>
      </c>
      <c r="C339" s="80" t="s">
        <v>67</v>
      </c>
      <c r="D339" s="80" t="s">
        <v>367</v>
      </c>
      <c r="E339" s="83" t="s">
        <v>16</v>
      </c>
      <c r="F339" s="82">
        <f>F340</f>
        <v>45000</v>
      </c>
      <c r="G339" s="82">
        <f>G340</f>
        <v>45000</v>
      </c>
    </row>
    <row r="340" spans="1:8" s="172" customFormat="1" ht="36.700000000000003" outlineLevel="3" x14ac:dyDescent="0.25">
      <c r="A340" s="81" t="s">
        <v>17</v>
      </c>
      <c r="B340" s="80" t="s">
        <v>500</v>
      </c>
      <c r="C340" s="80" t="s">
        <v>67</v>
      </c>
      <c r="D340" s="80" t="s">
        <v>367</v>
      </c>
      <c r="E340" s="83" t="s">
        <v>18</v>
      </c>
      <c r="F340" s="98">
        <v>45000</v>
      </c>
      <c r="G340" s="98">
        <v>45000</v>
      </c>
      <c r="H340" s="171"/>
    </row>
    <row r="341" spans="1:8" outlineLevel="3" x14ac:dyDescent="0.25">
      <c r="A341" s="109" t="s">
        <v>69</v>
      </c>
      <c r="B341" s="110" t="s">
        <v>500</v>
      </c>
      <c r="C341" s="110" t="s">
        <v>70</v>
      </c>
      <c r="D341" s="110" t="s">
        <v>126</v>
      </c>
      <c r="E341" s="111" t="s">
        <v>6</v>
      </c>
      <c r="F341" s="85">
        <f t="shared" ref="F341:G346" si="21">F342</f>
        <v>23547089.976</v>
      </c>
      <c r="G341" s="85">
        <f t="shared" si="21"/>
        <v>19955093.399999999</v>
      </c>
    </row>
    <row r="342" spans="1:8" outlineLevel="5" x14ac:dyDescent="0.25">
      <c r="A342" s="81" t="s">
        <v>257</v>
      </c>
      <c r="B342" s="80" t="s">
        <v>500</v>
      </c>
      <c r="C342" s="80" t="s">
        <v>256</v>
      </c>
      <c r="D342" s="80" t="s">
        <v>126</v>
      </c>
      <c r="E342" s="83" t="s">
        <v>6</v>
      </c>
      <c r="F342" s="82">
        <f t="shared" si="21"/>
        <v>23547089.976</v>
      </c>
      <c r="G342" s="82">
        <f t="shared" si="21"/>
        <v>19955093.399999999</v>
      </c>
    </row>
    <row r="343" spans="1:8" ht="55.05" outlineLevel="6" x14ac:dyDescent="0.25">
      <c r="A343" s="109" t="s">
        <v>839</v>
      </c>
      <c r="B343" s="110" t="s">
        <v>500</v>
      </c>
      <c r="C343" s="110" t="s">
        <v>256</v>
      </c>
      <c r="D343" s="110" t="s">
        <v>136</v>
      </c>
      <c r="E343" s="111" t="s">
        <v>6</v>
      </c>
      <c r="F343" s="85">
        <f>F344+F351</f>
        <v>23547089.976</v>
      </c>
      <c r="G343" s="85">
        <f>G344+G351</f>
        <v>19955093.399999999</v>
      </c>
    </row>
    <row r="344" spans="1:8" ht="42.8" customHeight="1" outlineLevel="7" x14ac:dyDescent="0.3">
      <c r="A344" s="123" t="s">
        <v>368</v>
      </c>
      <c r="B344" s="80" t="s">
        <v>500</v>
      </c>
      <c r="C344" s="80" t="s">
        <v>256</v>
      </c>
      <c r="D344" s="80" t="s">
        <v>228</v>
      </c>
      <c r="E344" s="83" t="s">
        <v>6</v>
      </c>
      <c r="F344" s="82">
        <f>F345+F348</f>
        <v>19052341.359999999</v>
      </c>
      <c r="G344" s="82">
        <f>G345+G348</f>
        <v>19955093.399999999</v>
      </c>
    </row>
    <row r="345" spans="1:8" ht="55.05" outlineLevel="7" x14ac:dyDescent="0.25">
      <c r="A345" s="81" t="s">
        <v>73</v>
      </c>
      <c r="B345" s="80" t="s">
        <v>500</v>
      </c>
      <c r="C345" s="80" t="s">
        <v>256</v>
      </c>
      <c r="D345" s="80" t="s">
        <v>137</v>
      </c>
      <c r="E345" s="83" t="s">
        <v>6</v>
      </c>
      <c r="F345" s="82">
        <f t="shared" si="21"/>
        <v>18953228.359999999</v>
      </c>
      <c r="G345" s="82">
        <f t="shared" si="21"/>
        <v>19955093.399999999</v>
      </c>
    </row>
    <row r="346" spans="1:8" ht="36.700000000000003" outlineLevel="7" x14ac:dyDescent="0.25">
      <c r="A346" s="81" t="s">
        <v>37</v>
      </c>
      <c r="B346" s="80" t="s">
        <v>500</v>
      </c>
      <c r="C346" s="80" t="s">
        <v>256</v>
      </c>
      <c r="D346" s="80" t="s">
        <v>137</v>
      </c>
      <c r="E346" s="83" t="s">
        <v>38</v>
      </c>
      <c r="F346" s="82">
        <f t="shared" si="21"/>
        <v>18953228.359999999</v>
      </c>
      <c r="G346" s="82">
        <f t="shared" si="21"/>
        <v>19955093.399999999</v>
      </c>
    </row>
    <row r="347" spans="1:8" ht="20.25" customHeight="1" outlineLevel="7" x14ac:dyDescent="0.3">
      <c r="A347" s="123" t="s">
        <v>74</v>
      </c>
      <c r="B347" s="80" t="s">
        <v>500</v>
      </c>
      <c r="C347" s="80" t="s">
        <v>256</v>
      </c>
      <c r="D347" s="80" t="s">
        <v>137</v>
      </c>
      <c r="E347" s="83" t="s">
        <v>75</v>
      </c>
      <c r="F347" s="82">
        <f>19052341.36-99113</f>
        <v>18953228.359999999</v>
      </c>
      <c r="G347" s="82">
        <v>19955093.399999999</v>
      </c>
    </row>
    <row r="348" spans="1:8" ht="77.95" customHeight="1" outlineLevel="7" x14ac:dyDescent="0.3">
      <c r="A348" s="123" t="s">
        <v>710</v>
      </c>
      <c r="B348" s="80" t="s">
        <v>500</v>
      </c>
      <c r="C348" s="80" t="s">
        <v>256</v>
      </c>
      <c r="D348" s="80" t="s">
        <v>711</v>
      </c>
      <c r="E348" s="83" t="s">
        <v>6</v>
      </c>
      <c r="F348" s="82">
        <f>F349</f>
        <v>99113</v>
      </c>
      <c r="G348" s="82">
        <f>G349</f>
        <v>0</v>
      </c>
    </row>
    <row r="349" spans="1:8" s="172" customFormat="1" ht="36.700000000000003" outlineLevel="1" x14ac:dyDescent="0.25">
      <c r="A349" s="81" t="s">
        <v>37</v>
      </c>
      <c r="B349" s="80" t="s">
        <v>500</v>
      </c>
      <c r="C349" s="80" t="s">
        <v>256</v>
      </c>
      <c r="D349" s="80" t="s">
        <v>711</v>
      </c>
      <c r="E349" s="83" t="s">
        <v>38</v>
      </c>
      <c r="F349" s="82">
        <f>F350</f>
        <v>99113</v>
      </c>
      <c r="G349" s="82">
        <f>G350</f>
        <v>0</v>
      </c>
      <c r="H349" s="171"/>
    </row>
    <row r="350" spans="1:8" outlineLevel="2" x14ac:dyDescent="0.3">
      <c r="A350" s="123" t="s">
        <v>74</v>
      </c>
      <c r="B350" s="80" t="s">
        <v>500</v>
      </c>
      <c r="C350" s="80" t="s">
        <v>256</v>
      </c>
      <c r="D350" s="80" t="s">
        <v>711</v>
      </c>
      <c r="E350" s="83" t="s">
        <v>75</v>
      </c>
      <c r="F350" s="82">
        <v>99113</v>
      </c>
      <c r="G350" s="82">
        <v>0</v>
      </c>
    </row>
    <row r="351" spans="1:8" s="172" customFormat="1" outlineLevel="3" x14ac:dyDescent="0.25">
      <c r="A351" s="121" t="s">
        <v>597</v>
      </c>
      <c r="B351" s="110" t="s">
        <v>500</v>
      </c>
      <c r="C351" s="110" t="s">
        <v>256</v>
      </c>
      <c r="D351" s="110" t="s">
        <v>598</v>
      </c>
      <c r="E351" s="111" t="s">
        <v>6</v>
      </c>
      <c r="F351" s="82">
        <f t="shared" ref="F351:G353" si="22">F352</f>
        <v>4494748.6160000004</v>
      </c>
      <c r="G351" s="82">
        <f t="shared" si="22"/>
        <v>0</v>
      </c>
      <c r="H351" s="171"/>
    </row>
    <row r="352" spans="1:8" ht="101.25" customHeight="1" outlineLevel="3" x14ac:dyDescent="0.25">
      <c r="A352" s="81" t="s">
        <v>575</v>
      </c>
      <c r="B352" s="80" t="s">
        <v>500</v>
      </c>
      <c r="C352" s="80" t="s">
        <v>256</v>
      </c>
      <c r="D352" s="80" t="s">
        <v>599</v>
      </c>
      <c r="E352" s="80" t="s">
        <v>6</v>
      </c>
      <c r="F352" s="82">
        <f t="shared" si="22"/>
        <v>4494748.6160000004</v>
      </c>
      <c r="G352" s="82">
        <f t="shared" si="22"/>
        <v>0</v>
      </c>
    </row>
    <row r="353" spans="1:7" ht="36.700000000000003" outlineLevel="7" x14ac:dyDescent="0.25">
      <c r="A353" s="81" t="s">
        <v>37</v>
      </c>
      <c r="B353" s="80" t="s">
        <v>500</v>
      </c>
      <c r="C353" s="80" t="s">
        <v>256</v>
      </c>
      <c r="D353" s="80" t="s">
        <v>599</v>
      </c>
      <c r="E353" s="80" t="s">
        <v>38</v>
      </c>
      <c r="F353" s="82">
        <f t="shared" si="22"/>
        <v>4494748.6160000004</v>
      </c>
      <c r="G353" s="82">
        <f t="shared" si="22"/>
        <v>0</v>
      </c>
    </row>
    <row r="354" spans="1:7" outlineLevel="7" x14ac:dyDescent="0.25">
      <c r="A354" s="81" t="s">
        <v>74</v>
      </c>
      <c r="B354" s="80" t="s">
        <v>500</v>
      </c>
      <c r="C354" s="80" t="s">
        <v>256</v>
      </c>
      <c r="D354" s="80" t="s">
        <v>599</v>
      </c>
      <c r="E354" s="80" t="s">
        <v>75</v>
      </c>
      <c r="F354" s="82">
        <f>4367650+127098.616</f>
        <v>4494748.6160000004</v>
      </c>
      <c r="G354" s="82">
        <v>0</v>
      </c>
    </row>
    <row r="355" spans="1:7" outlineLevel="7" x14ac:dyDescent="0.25">
      <c r="A355" s="109" t="s">
        <v>79</v>
      </c>
      <c r="B355" s="110" t="s">
        <v>500</v>
      </c>
      <c r="C355" s="110" t="s">
        <v>80</v>
      </c>
      <c r="D355" s="110" t="s">
        <v>126</v>
      </c>
      <c r="E355" s="111" t="s">
        <v>6</v>
      </c>
      <c r="F355" s="85">
        <f>F356+F380</f>
        <v>39865848.490000002</v>
      </c>
      <c r="G355" s="85">
        <f>G356+G380</f>
        <v>38332823.850000001</v>
      </c>
    </row>
    <row r="356" spans="1:7" outlineLevel="7" x14ac:dyDescent="0.25">
      <c r="A356" s="81" t="s">
        <v>81</v>
      </c>
      <c r="B356" s="80" t="s">
        <v>500</v>
      </c>
      <c r="C356" s="80" t="s">
        <v>82</v>
      </c>
      <c r="D356" s="80" t="s">
        <v>126</v>
      </c>
      <c r="E356" s="83" t="s">
        <v>6</v>
      </c>
      <c r="F356" s="82">
        <f>F357</f>
        <v>36253940.93</v>
      </c>
      <c r="G356" s="82">
        <f>G357</f>
        <v>38332823.850000001</v>
      </c>
    </row>
    <row r="357" spans="1:7" ht="55.05" outlineLevel="7" x14ac:dyDescent="0.25">
      <c r="A357" s="109" t="s">
        <v>839</v>
      </c>
      <c r="B357" s="110" t="s">
        <v>500</v>
      </c>
      <c r="C357" s="110" t="s">
        <v>82</v>
      </c>
      <c r="D357" s="110" t="s">
        <v>136</v>
      </c>
      <c r="E357" s="111" t="s">
        <v>6</v>
      </c>
      <c r="F357" s="85">
        <f>F358+F375+F362</f>
        <v>36253940.93</v>
      </c>
      <c r="G357" s="85">
        <f>G358+G375+G362</f>
        <v>38332823.850000001</v>
      </c>
    </row>
    <row r="358" spans="1:7" ht="39.25" customHeight="1" outlineLevel="7" x14ac:dyDescent="0.25">
      <c r="A358" s="81" t="s">
        <v>370</v>
      </c>
      <c r="B358" s="80" t="s">
        <v>500</v>
      </c>
      <c r="C358" s="80" t="s">
        <v>82</v>
      </c>
      <c r="D358" s="80" t="s">
        <v>227</v>
      </c>
      <c r="E358" s="83" t="s">
        <v>6</v>
      </c>
      <c r="F358" s="82">
        <f>F372+F369+F359</f>
        <v>9978834.7300000004</v>
      </c>
      <c r="G358" s="82">
        <f>G372+G369+G359</f>
        <v>10589257.890000001</v>
      </c>
    </row>
    <row r="359" spans="1:7" ht="55.05" outlineLevel="7" x14ac:dyDescent="0.25">
      <c r="A359" s="25" t="s">
        <v>84</v>
      </c>
      <c r="B359" s="80" t="s">
        <v>500</v>
      </c>
      <c r="C359" s="80" t="s">
        <v>82</v>
      </c>
      <c r="D359" s="80" t="s">
        <v>141</v>
      </c>
      <c r="E359" s="83" t="s">
        <v>6</v>
      </c>
      <c r="F359" s="82">
        <f>F360</f>
        <v>9805789.5800000001</v>
      </c>
      <c r="G359" s="82">
        <f>G360</f>
        <v>10416212.74</v>
      </c>
    </row>
    <row r="360" spans="1:7" ht="36.700000000000003" outlineLevel="7" x14ac:dyDescent="0.25">
      <c r="A360" s="81" t="s">
        <v>37</v>
      </c>
      <c r="B360" s="80" t="s">
        <v>500</v>
      </c>
      <c r="C360" s="80" t="s">
        <v>82</v>
      </c>
      <c r="D360" s="80" t="s">
        <v>141</v>
      </c>
      <c r="E360" s="83" t="s">
        <v>38</v>
      </c>
      <c r="F360" s="82">
        <f>F361</f>
        <v>9805789.5800000001</v>
      </c>
      <c r="G360" s="82">
        <f>G361</f>
        <v>10416212.74</v>
      </c>
    </row>
    <row r="361" spans="1:7" outlineLevel="7" x14ac:dyDescent="0.25">
      <c r="A361" s="81" t="s">
        <v>74</v>
      </c>
      <c r="B361" s="80" t="s">
        <v>500</v>
      </c>
      <c r="C361" s="80" t="s">
        <v>82</v>
      </c>
      <c r="D361" s="80" t="s">
        <v>141</v>
      </c>
      <c r="E361" s="83" t="s">
        <v>75</v>
      </c>
      <c r="F361" s="131">
        <v>9805789.5800000001</v>
      </c>
      <c r="G361" s="131">
        <v>10416212.74</v>
      </c>
    </row>
    <row r="362" spans="1:7" ht="36.700000000000003" outlineLevel="7" x14ac:dyDescent="0.25">
      <c r="A362" s="81" t="s">
        <v>678</v>
      </c>
      <c r="B362" s="80" t="s">
        <v>500</v>
      </c>
      <c r="C362" s="80" t="s">
        <v>82</v>
      </c>
      <c r="D362" s="80" t="s">
        <v>677</v>
      </c>
      <c r="E362" s="83" t="s">
        <v>6</v>
      </c>
      <c r="F362" s="82">
        <f>F363+F366</f>
        <v>25737149.199999999</v>
      </c>
      <c r="G362" s="82">
        <f>G363+G366</f>
        <v>26997065.960000001</v>
      </c>
    </row>
    <row r="363" spans="1:7" ht="36.700000000000003" customHeight="1" outlineLevel="3" x14ac:dyDescent="0.25">
      <c r="A363" s="25" t="s">
        <v>84</v>
      </c>
      <c r="B363" s="80" t="s">
        <v>500</v>
      </c>
      <c r="C363" s="80" t="s">
        <v>82</v>
      </c>
      <c r="D363" s="80" t="s">
        <v>676</v>
      </c>
      <c r="E363" s="83" t="s">
        <v>6</v>
      </c>
      <c r="F363" s="82">
        <f>F364</f>
        <v>25737149.199999999</v>
      </c>
      <c r="G363" s="82">
        <f>G364</f>
        <v>26997065.960000001</v>
      </c>
    </row>
    <row r="364" spans="1:7" ht="36.700000000000003" outlineLevel="3" x14ac:dyDescent="0.25">
      <c r="A364" s="81" t="s">
        <v>37</v>
      </c>
      <c r="B364" s="80" t="s">
        <v>500</v>
      </c>
      <c r="C364" s="80" t="s">
        <v>82</v>
      </c>
      <c r="D364" s="80" t="s">
        <v>676</v>
      </c>
      <c r="E364" s="83" t="s">
        <v>38</v>
      </c>
      <c r="F364" s="82">
        <f>F365</f>
        <v>25737149.199999999</v>
      </c>
      <c r="G364" s="82">
        <f>G365</f>
        <v>26997065.960000001</v>
      </c>
    </row>
    <row r="365" spans="1:7" ht="19.7" customHeight="1" outlineLevel="3" x14ac:dyDescent="0.25">
      <c r="A365" s="81" t="s">
        <v>74</v>
      </c>
      <c r="B365" s="80" t="s">
        <v>500</v>
      </c>
      <c r="C365" s="80" t="s">
        <v>82</v>
      </c>
      <c r="D365" s="80" t="s">
        <v>676</v>
      </c>
      <c r="E365" s="83" t="s">
        <v>75</v>
      </c>
      <c r="F365" s="131">
        <v>25737149.199999999</v>
      </c>
      <c r="G365" s="131">
        <v>26997065.960000001</v>
      </c>
    </row>
    <row r="366" spans="1:7" ht="102.6" customHeight="1" outlineLevel="7" x14ac:dyDescent="0.3">
      <c r="A366" s="123" t="s">
        <v>710</v>
      </c>
      <c r="B366" s="80" t="s">
        <v>500</v>
      </c>
      <c r="C366" s="80" t="s">
        <v>82</v>
      </c>
      <c r="D366" s="80" t="s">
        <v>712</v>
      </c>
      <c r="E366" s="83" t="s">
        <v>6</v>
      </c>
      <c r="F366" s="82">
        <f>F367</f>
        <v>0</v>
      </c>
      <c r="G366" s="82">
        <f>G367</f>
        <v>0</v>
      </c>
    </row>
    <row r="367" spans="1:7" ht="31.95" customHeight="1" outlineLevel="5" x14ac:dyDescent="0.25">
      <c r="A367" s="81" t="s">
        <v>37</v>
      </c>
      <c r="B367" s="80" t="s">
        <v>500</v>
      </c>
      <c r="C367" s="80" t="s">
        <v>82</v>
      </c>
      <c r="D367" s="80" t="s">
        <v>712</v>
      </c>
      <c r="E367" s="83" t="s">
        <v>38</v>
      </c>
      <c r="F367" s="82">
        <f>F368</f>
        <v>0</v>
      </c>
      <c r="G367" s="82">
        <f>G368</f>
        <v>0</v>
      </c>
    </row>
    <row r="368" spans="1:7" outlineLevel="6" x14ac:dyDescent="0.3">
      <c r="A368" s="123" t="s">
        <v>74</v>
      </c>
      <c r="B368" s="80" t="s">
        <v>500</v>
      </c>
      <c r="C368" s="80" t="s">
        <v>82</v>
      </c>
      <c r="D368" s="80" t="s">
        <v>712</v>
      </c>
      <c r="E368" s="83" t="s">
        <v>75</v>
      </c>
      <c r="F368" s="131">
        <v>0</v>
      </c>
      <c r="G368" s="131">
        <v>0</v>
      </c>
    </row>
    <row r="369" spans="1:8" ht="91.7" outlineLevel="7" x14ac:dyDescent="0.25">
      <c r="A369" s="100" t="s">
        <v>393</v>
      </c>
      <c r="B369" s="80" t="s">
        <v>500</v>
      </c>
      <c r="C369" s="80" t="s">
        <v>82</v>
      </c>
      <c r="D369" s="80" t="s">
        <v>294</v>
      </c>
      <c r="E369" s="83" t="s">
        <v>6</v>
      </c>
      <c r="F369" s="82">
        <f>F370</f>
        <v>168005</v>
      </c>
      <c r="G369" s="82">
        <f>G370</f>
        <v>168005</v>
      </c>
    </row>
    <row r="370" spans="1:8" ht="36.700000000000003" outlineLevel="7" x14ac:dyDescent="0.25">
      <c r="A370" s="81" t="s">
        <v>37</v>
      </c>
      <c r="B370" s="80" t="s">
        <v>500</v>
      </c>
      <c r="C370" s="80" t="s">
        <v>82</v>
      </c>
      <c r="D370" s="80" t="s">
        <v>294</v>
      </c>
      <c r="E370" s="83" t="s">
        <v>38</v>
      </c>
      <c r="F370" s="82">
        <f>F371</f>
        <v>168005</v>
      </c>
      <c r="G370" s="82">
        <f>G371</f>
        <v>168005</v>
      </c>
    </row>
    <row r="371" spans="1:8" outlineLevel="7" x14ac:dyDescent="0.25">
      <c r="A371" s="81" t="s">
        <v>74</v>
      </c>
      <c r="B371" s="80" t="s">
        <v>500</v>
      </c>
      <c r="C371" s="80" t="s">
        <v>82</v>
      </c>
      <c r="D371" s="80" t="s">
        <v>294</v>
      </c>
      <c r="E371" s="83" t="s">
        <v>75</v>
      </c>
      <c r="F371" s="131">
        <v>168005</v>
      </c>
      <c r="G371" s="131">
        <v>168005</v>
      </c>
    </row>
    <row r="372" spans="1:8" ht="73.400000000000006" outlineLevel="7" x14ac:dyDescent="0.25">
      <c r="A372" s="81" t="s">
        <v>307</v>
      </c>
      <c r="B372" s="80" t="s">
        <v>500</v>
      </c>
      <c r="C372" s="80" t="s">
        <v>82</v>
      </c>
      <c r="D372" s="80" t="s">
        <v>308</v>
      </c>
      <c r="E372" s="83" t="s">
        <v>6</v>
      </c>
      <c r="F372" s="82">
        <f>F373</f>
        <v>5040.1499999999996</v>
      </c>
      <c r="G372" s="82">
        <f>G373</f>
        <v>5040.1499999999996</v>
      </c>
    </row>
    <row r="373" spans="1:8" ht="36.700000000000003" outlineLevel="7" x14ac:dyDescent="0.25">
      <c r="A373" s="81" t="s">
        <v>37</v>
      </c>
      <c r="B373" s="80" t="s">
        <v>500</v>
      </c>
      <c r="C373" s="80" t="s">
        <v>82</v>
      </c>
      <c r="D373" s="80" t="s">
        <v>308</v>
      </c>
      <c r="E373" s="83" t="s">
        <v>38</v>
      </c>
      <c r="F373" s="82">
        <f>F374</f>
        <v>5040.1499999999996</v>
      </c>
      <c r="G373" s="82">
        <f>G374</f>
        <v>5040.1499999999996</v>
      </c>
    </row>
    <row r="374" spans="1:8" outlineLevel="7" x14ac:dyDescent="0.25">
      <c r="A374" s="81" t="s">
        <v>74</v>
      </c>
      <c r="B374" s="80" t="s">
        <v>500</v>
      </c>
      <c r="C374" s="80" t="s">
        <v>82</v>
      </c>
      <c r="D374" s="80" t="s">
        <v>308</v>
      </c>
      <c r="E374" s="83" t="s">
        <v>75</v>
      </c>
      <c r="F374" s="98">
        <v>5040.1499999999996</v>
      </c>
      <c r="G374" s="98">
        <v>5040.1499999999996</v>
      </c>
    </row>
    <row r="375" spans="1:8" ht="36.700000000000003" outlineLevel="7" x14ac:dyDescent="0.25">
      <c r="A375" s="81" t="s">
        <v>211</v>
      </c>
      <c r="B375" s="80" t="s">
        <v>500</v>
      </c>
      <c r="C375" s="80" t="s">
        <v>82</v>
      </c>
      <c r="D375" s="80" t="s">
        <v>229</v>
      </c>
      <c r="E375" s="83" t="s">
        <v>6</v>
      </c>
      <c r="F375" s="98">
        <f>F376</f>
        <v>537957</v>
      </c>
      <c r="G375" s="98">
        <f>G376</f>
        <v>746500</v>
      </c>
    </row>
    <row r="376" spans="1:8" outlineLevel="7" x14ac:dyDescent="0.25">
      <c r="A376" s="81" t="s">
        <v>83</v>
      </c>
      <c r="B376" s="80" t="s">
        <v>500</v>
      </c>
      <c r="C376" s="80" t="s">
        <v>82</v>
      </c>
      <c r="D376" s="80" t="s">
        <v>140</v>
      </c>
      <c r="E376" s="83" t="s">
        <v>6</v>
      </c>
      <c r="F376" s="82">
        <f>F377</f>
        <v>537957</v>
      </c>
      <c r="G376" s="82">
        <f>G377</f>
        <v>746500</v>
      </c>
    </row>
    <row r="377" spans="1:8" s="172" customFormat="1" ht="36.700000000000003" outlineLevel="1" x14ac:dyDescent="0.25">
      <c r="A377" s="81" t="s">
        <v>37</v>
      </c>
      <c r="B377" s="80" t="s">
        <v>500</v>
      </c>
      <c r="C377" s="80" t="s">
        <v>82</v>
      </c>
      <c r="D377" s="80" t="s">
        <v>140</v>
      </c>
      <c r="E377" s="83" t="s">
        <v>38</v>
      </c>
      <c r="F377" s="82">
        <f>F378+F379</f>
        <v>537957</v>
      </c>
      <c r="G377" s="82">
        <f>G378+G379</f>
        <v>746500</v>
      </c>
      <c r="H377" s="171"/>
    </row>
    <row r="378" spans="1:8" outlineLevel="2" x14ac:dyDescent="0.25">
      <c r="A378" s="81" t="s">
        <v>74</v>
      </c>
      <c r="B378" s="80" t="s">
        <v>500</v>
      </c>
      <c r="C378" s="80" t="s">
        <v>82</v>
      </c>
      <c r="D378" s="80" t="s">
        <v>140</v>
      </c>
      <c r="E378" s="83" t="s">
        <v>75</v>
      </c>
      <c r="F378" s="82">
        <f>632500-208543</f>
        <v>423957</v>
      </c>
      <c r="G378" s="82">
        <v>632500</v>
      </c>
    </row>
    <row r="379" spans="1:8" ht="55.55" customHeight="1" outlineLevel="4" x14ac:dyDescent="0.25">
      <c r="A379" s="81" t="s">
        <v>371</v>
      </c>
      <c r="B379" s="80" t="s">
        <v>500</v>
      </c>
      <c r="C379" s="80" t="s">
        <v>82</v>
      </c>
      <c r="D379" s="80" t="s">
        <v>140</v>
      </c>
      <c r="E379" s="83" t="s">
        <v>252</v>
      </c>
      <c r="F379" s="82">
        <v>114000</v>
      </c>
      <c r="G379" s="82">
        <v>114000</v>
      </c>
    </row>
    <row r="380" spans="1:8" ht="35.5" customHeight="1" outlineLevel="5" x14ac:dyDescent="0.25">
      <c r="A380" s="81" t="s">
        <v>522</v>
      </c>
      <c r="B380" s="80" t="s">
        <v>500</v>
      </c>
      <c r="C380" s="80" t="s">
        <v>523</v>
      </c>
      <c r="D380" s="80" t="s">
        <v>126</v>
      </c>
      <c r="E380" s="80" t="s">
        <v>6</v>
      </c>
      <c r="F380" s="82">
        <f>F381+F389</f>
        <v>3611907.56</v>
      </c>
      <c r="G380" s="82">
        <f t="shared" ref="F380:G384" si="23">G381</f>
        <v>0</v>
      </c>
    </row>
    <row r="381" spans="1:8" ht="54.7" customHeight="1" outlineLevel="6" x14ac:dyDescent="0.25">
      <c r="A381" s="81" t="s">
        <v>369</v>
      </c>
      <c r="B381" s="80" t="s">
        <v>500</v>
      </c>
      <c r="C381" s="80" t="s">
        <v>523</v>
      </c>
      <c r="D381" s="80" t="s">
        <v>136</v>
      </c>
      <c r="E381" s="80" t="s">
        <v>6</v>
      </c>
      <c r="F381" s="82">
        <f t="shared" si="23"/>
        <v>208543</v>
      </c>
      <c r="G381" s="82">
        <f t="shared" si="23"/>
        <v>0</v>
      </c>
    </row>
    <row r="382" spans="1:8" ht="41.3" customHeight="1" outlineLevel="7" x14ac:dyDescent="0.25">
      <c r="A382" s="81" t="s">
        <v>211</v>
      </c>
      <c r="B382" s="80" t="s">
        <v>500</v>
      </c>
      <c r="C382" s="80" t="s">
        <v>523</v>
      </c>
      <c r="D382" s="80" t="s">
        <v>229</v>
      </c>
      <c r="E382" s="80" t="s">
        <v>6</v>
      </c>
      <c r="F382" s="82">
        <f>F383+F386</f>
        <v>208543</v>
      </c>
      <c r="G382" s="82">
        <f>G383+G386</f>
        <v>0</v>
      </c>
    </row>
    <row r="383" spans="1:8" ht="87.65" customHeight="1" outlineLevel="7" x14ac:dyDescent="0.25">
      <c r="A383" s="81" t="s">
        <v>872</v>
      </c>
      <c r="B383" s="80" t="s">
        <v>500</v>
      </c>
      <c r="C383" s="80" t="s">
        <v>523</v>
      </c>
      <c r="D383" s="80" t="s">
        <v>871</v>
      </c>
      <c r="E383" s="80" t="s">
        <v>6</v>
      </c>
      <c r="F383" s="82">
        <f t="shared" si="23"/>
        <v>0</v>
      </c>
      <c r="G383" s="82">
        <f t="shared" si="23"/>
        <v>0</v>
      </c>
    </row>
    <row r="384" spans="1:8" s="172" customFormat="1" ht="48.25" customHeight="1" outlineLevel="7" x14ac:dyDescent="0.25">
      <c r="A384" s="81" t="s">
        <v>37</v>
      </c>
      <c r="B384" s="80" t="s">
        <v>500</v>
      </c>
      <c r="C384" s="80" t="s">
        <v>523</v>
      </c>
      <c r="D384" s="80" t="s">
        <v>871</v>
      </c>
      <c r="E384" s="80" t="s">
        <v>38</v>
      </c>
      <c r="F384" s="82">
        <f t="shared" si="23"/>
        <v>0</v>
      </c>
      <c r="G384" s="82">
        <f t="shared" si="23"/>
        <v>0</v>
      </c>
      <c r="H384" s="171"/>
    </row>
    <row r="385" spans="1:8" ht="23.3" customHeight="1" outlineLevel="7" x14ac:dyDescent="0.25">
      <c r="A385" s="81" t="s">
        <v>74</v>
      </c>
      <c r="B385" s="80" t="s">
        <v>500</v>
      </c>
      <c r="C385" s="80" t="s">
        <v>523</v>
      </c>
      <c r="D385" s="80" t="s">
        <v>871</v>
      </c>
      <c r="E385" s="80" t="s">
        <v>75</v>
      </c>
      <c r="F385" s="82">
        <v>0</v>
      </c>
      <c r="G385" s="82"/>
    </row>
    <row r="386" spans="1:8" ht="59.3" customHeight="1" outlineLevel="7" x14ac:dyDescent="0.25">
      <c r="A386" s="81" t="s">
        <v>524</v>
      </c>
      <c r="B386" s="80" t="s">
        <v>500</v>
      </c>
      <c r="C386" s="80" t="s">
        <v>523</v>
      </c>
      <c r="D386" s="80" t="s">
        <v>525</v>
      </c>
      <c r="E386" s="80" t="s">
        <v>6</v>
      </c>
      <c r="F386" s="82">
        <f>F387</f>
        <v>208543</v>
      </c>
      <c r="G386" s="82">
        <f>G387</f>
        <v>0</v>
      </c>
    </row>
    <row r="387" spans="1:8" ht="57.25" customHeight="1" outlineLevel="7" x14ac:dyDescent="0.25">
      <c r="A387" s="81" t="s">
        <v>37</v>
      </c>
      <c r="B387" s="80" t="s">
        <v>500</v>
      </c>
      <c r="C387" s="80" t="s">
        <v>523</v>
      </c>
      <c r="D387" s="80" t="s">
        <v>525</v>
      </c>
      <c r="E387" s="80" t="s">
        <v>38</v>
      </c>
      <c r="F387" s="82">
        <f>F388</f>
        <v>208543</v>
      </c>
      <c r="G387" s="82">
        <f>G388</f>
        <v>0</v>
      </c>
    </row>
    <row r="388" spans="1:8" ht="28.55" customHeight="1" outlineLevel="7" x14ac:dyDescent="0.25">
      <c r="A388" s="81" t="s">
        <v>74</v>
      </c>
      <c r="B388" s="80" t="s">
        <v>500</v>
      </c>
      <c r="C388" s="80" t="s">
        <v>523</v>
      </c>
      <c r="D388" s="80" t="s">
        <v>525</v>
      </c>
      <c r="E388" s="80" t="s">
        <v>75</v>
      </c>
      <c r="F388" s="82">
        <v>208543</v>
      </c>
      <c r="G388" s="82">
        <v>0</v>
      </c>
    </row>
    <row r="389" spans="1:8" ht="62.5" customHeight="1" outlineLevel="7" x14ac:dyDescent="0.25">
      <c r="A389" s="109" t="s">
        <v>847</v>
      </c>
      <c r="B389" s="110" t="s">
        <v>500</v>
      </c>
      <c r="C389" s="110" t="s">
        <v>523</v>
      </c>
      <c r="D389" s="110" t="s">
        <v>331</v>
      </c>
      <c r="E389" s="110" t="s">
        <v>6</v>
      </c>
      <c r="F389" s="82">
        <f>F390</f>
        <v>3403364.56</v>
      </c>
      <c r="G389" s="82">
        <v>0</v>
      </c>
    </row>
    <row r="390" spans="1:8" ht="39.4" customHeight="1" outlineLevel="7" x14ac:dyDescent="0.25">
      <c r="A390" s="81" t="s">
        <v>345</v>
      </c>
      <c r="B390" s="80" t="s">
        <v>500</v>
      </c>
      <c r="C390" s="80" t="s">
        <v>523</v>
      </c>
      <c r="D390" s="80" t="s">
        <v>332</v>
      </c>
      <c r="E390" s="80" t="s">
        <v>6</v>
      </c>
      <c r="F390" s="82">
        <f>F391</f>
        <v>3403364.56</v>
      </c>
      <c r="G390" s="82">
        <v>0</v>
      </c>
    </row>
    <row r="391" spans="1:8" ht="20.25" customHeight="1" outlineLevel="7" x14ac:dyDescent="0.25">
      <c r="A391" s="81" t="s">
        <v>909</v>
      </c>
      <c r="B391" s="80" t="s">
        <v>500</v>
      </c>
      <c r="C391" s="80" t="s">
        <v>523</v>
      </c>
      <c r="D391" s="80" t="s">
        <v>908</v>
      </c>
      <c r="E391" s="80" t="s">
        <v>6</v>
      </c>
      <c r="F391" s="82">
        <f>F392</f>
        <v>3403364.56</v>
      </c>
      <c r="G391" s="82">
        <v>0</v>
      </c>
    </row>
    <row r="392" spans="1:8" ht="20.25" customHeight="1" outlineLevel="7" x14ac:dyDescent="0.25">
      <c r="A392" s="81" t="s">
        <v>15</v>
      </c>
      <c r="B392" s="80" t="s">
        <v>500</v>
      </c>
      <c r="C392" s="80" t="s">
        <v>523</v>
      </c>
      <c r="D392" s="80" t="s">
        <v>908</v>
      </c>
      <c r="E392" s="80" t="s">
        <v>16</v>
      </c>
      <c r="F392" s="82">
        <f>F393</f>
        <v>3403364.56</v>
      </c>
      <c r="G392" s="82">
        <v>0</v>
      </c>
    </row>
    <row r="393" spans="1:8" ht="20.25" customHeight="1" outlineLevel="7" x14ac:dyDescent="0.25">
      <c r="A393" s="81" t="s">
        <v>17</v>
      </c>
      <c r="B393" s="80" t="s">
        <v>500</v>
      </c>
      <c r="C393" s="80" t="s">
        <v>523</v>
      </c>
      <c r="D393" s="80" t="s">
        <v>908</v>
      </c>
      <c r="E393" s="80" t="s">
        <v>18</v>
      </c>
      <c r="F393" s="82">
        <f>3301263.62+102100.94</f>
        <v>3403364.56</v>
      </c>
      <c r="G393" s="82">
        <v>0</v>
      </c>
    </row>
    <row r="394" spans="1:8" outlineLevel="7" x14ac:dyDescent="0.25">
      <c r="A394" s="109" t="s">
        <v>85</v>
      </c>
      <c r="B394" s="110" t="s">
        <v>500</v>
      </c>
      <c r="C394" s="110" t="s">
        <v>86</v>
      </c>
      <c r="D394" s="110" t="s">
        <v>126</v>
      </c>
      <c r="E394" s="111" t="s">
        <v>6</v>
      </c>
      <c r="F394" s="85">
        <f>F395+F400+F415</f>
        <v>65496624.950000003</v>
      </c>
      <c r="G394" s="85">
        <f>G395+G400+G415</f>
        <v>66246024.810000002</v>
      </c>
    </row>
    <row r="395" spans="1:8" outlineLevel="7" x14ac:dyDescent="0.25">
      <c r="A395" s="81" t="s">
        <v>87</v>
      </c>
      <c r="B395" s="80" t="s">
        <v>500</v>
      </c>
      <c r="C395" s="80" t="s">
        <v>88</v>
      </c>
      <c r="D395" s="80" t="s">
        <v>126</v>
      </c>
      <c r="E395" s="83" t="s">
        <v>6</v>
      </c>
      <c r="F395" s="82">
        <f t="shared" ref="F395:G398" si="24">F396</f>
        <v>5386176</v>
      </c>
      <c r="G395" s="82">
        <f t="shared" si="24"/>
        <v>5386176</v>
      </c>
    </row>
    <row r="396" spans="1:8" ht="36.700000000000003" outlineLevel="7" x14ac:dyDescent="0.25">
      <c r="A396" s="109" t="s">
        <v>132</v>
      </c>
      <c r="B396" s="110" t="s">
        <v>500</v>
      </c>
      <c r="C396" s="110" t="s">
        <v>88</v>
      </c>
      <c r="D396" s="110" t="s">
        <v>127</v>
      </c>
      <c r="E396" s="111" t="s">
        <v>6</v>
      </c>
      <c r="F396" s="85">
        <f t="shared" si="24"/>
        <v>5386176</v>
      </c>
      <c r="G396" s="85">
        <f t="shared" si="24"/>
        <v>5386176</v>
      </c>
    </row>
    <row r="397" spans="1:8" s="172" customFormat="1" ht="26.5" customHeight="1" outlineLevel="7" x14ac:dyDescent="0.25">
      <c r="A397" s="81" t="s">
        <v>89</v>
      </c>
      <c r="B397" s="80" t="s">
        <v>500</v>
      </c>
      <c r="C397" s="80" t="s">
        <v>88</v>
      </c>
      <c r="D397" s="80" t="s">
        <v>142</v>
      </c>
      <c r="E397" s="83" t="s">
        <v>6</v>
      </c>
      <c r="F397" s="82">
        <f t="shared" si="24"/>
        <v>5386176</v>
      </c>
      <c r="G397" s="82">
        <f t="shared" si="24"/>
        <v>5386176</v>
      </c>
      <c r="H397" s="171"/>
    </row>
    <row r="398" spans="1:8" ht="25.5" customHeight="1" outlineLevel="7" x14ac:dyDescent="0.25">
      <c r="A398" s="81" t="s">
        <v>90</v>
      </c>
      <c r="B398" s="80" t="s">
        <v>500</v>
      </c>
      <c r="C398" s="80" t="s">
        <v>88</v>
      </c>
      <c r="D398" s="80" t="s">
        <v>142</v>
      </c>
      <c r="E398" s="83" t="s">
        <v>91</v>
      </c>
      <c r="F398" s="82">
        <f t="shared" si="24"/>
        <v>5386176</v>
      </c>
      <c r="G398" s="82">
        <f t="shared" si="24"/>
        <v>5386176</v>
      </c>
    </row>
    <row r="399" spans="1:8" ht="36.700000000000003" outlineLevel="7" x14ac:dyDescent="0.25">
      <c r="A399" s="81" t="s">
        <v>92</v>
      </c>
      <c r="B399" s="80" t="s">
        <v>500</v>
      </c>
      <c r="C399" s="80" t="s">
        <v>88</v>
      </c>
      <c r="D399" s="80" t="s">
        <v>142</v>
      </c>
      <c r="E399" s="83" t="s">
        <v>93</v>
      </c>
      <c r="F399" s="131">
        <v>5386176</v>
      </c>
      <c r="G399" s="131">
        <v>5386176</v>
      </c>
    </row>
    <row r="400" spans="1:8" outlineLevel="7" x14ac:dyDescent="0.25">
      <c r="A400" s="81" t="s">
        <v>94</v>
      </c>
      <c r="B400" s="80" t="s">
        <v>500</v>
      </c>
      <c r="C400" s="80" t="s">
        <v>95</v>
      </c>
      <c r="D400" s="80" t="s">
        <v>126</v>
      </c>
      <c r="E400" s="83" t="s">
        <v>6</v>
      </c>
      <c r="F400" s="82">
        <f>F401+F411+F406</f>
        <v>985609.95000000007</v>
      </c>
      <c r="G400" s="82">
        <f>G401+G411+G406</f>
        <v>1030535.6699999999</v>
      </c>
    </row>
    <row r="401" spans="1:7" ht="55.05" outlineLevel="7" x14ac:dyDescent="0.25">
      <c r="A401" s="109" t="s">
        <v>932</v>
      </c>
      <c r="B401" s="80" t="s">
        <v>500</v>
      </c>
      <c r="C401" s="110" t="s">
        <v>95</v>
      </c>
      <c r="D401" s="110" t="s">
        <v>129</v>
      </c>
      <c r="E401" s="111" t="s">
        <v>6</v>
      </c>
      <c r="F401" s="85">
        <f t="shared" ref="F401:G404" si="25">F402</f>
        <v>150000</v>
      </c>
      <c r="G401" s="85">
        <f t="shared" si="25"/>
        <v>150000</v>
      </c>
    </row>
    <row r="402" spans="1:7" ht="44.5" customHeight="1" outlineLevel="7" x14ac:dyDescent="0.25">
      <c r="A402" s="81" t="s">
        <v>372</v>
      </c>
      <c r="B402" s="80" t="s">
        <v>500</v>
      </c>
      <c r="C402" s="80" t="s">
        <v>95</v>
      </c>
      <c r="D402" s="80" t="s">
        <v>441</v>
      </c>
      <c r="E402" s="83" t="s">
        <v>6</v>
      </c>
      <c r="F402" s="82">
        <f t="shared" si="25"/>
        <v>150000</v>
      </c>
      <c r="G402" s="82">
        <f t="shared" si="25"/>
        <v>150000</v>
      </c>
    </row>
    <row r="403" spans="1:7" ht="36.700000000000003" outlineLevel="7" x14ac:dyDescent="0.25">
      <c r="A403" s="81" t="s">
        <v>99</v>
      </c>
      <c r="B403" s="80" t="s">
        <v>500</v>
      </c>
      <c r="C403" s="80" t="s">
        <v>95</v>
      </c>
      <c r="D403" s="80" t="s">
        <v>416</v>
      </c>
      <c r="E403" s="83" t="s">
        <v>6</v>
      </c>
      <c r="F403" s="82">
        <f t="shared" si="25"/>
        <v>150000</v>
      </c>
      <c r="G403" s="82">
        <f t="shared" si="25"/>
        <v>150000</v>
      </c>
    </row>
    <row r="404" spans="1:7" outlineLevel="7" x14ac:dyDescent="0.25">
      <c r="A404" s="81" t="s">
        <v>90</v>
      </c>
      <c r="B404" s="80" t="s">
        <v>500</v>
      </c>
      <c r="C404" s="80" t="s">
        <v>95</v>
      </c>
      <c r="D404" s="80" t="s">
        <v>416</v>
      </c>
      <c r="E404" s="83" t="s">
        <v>91</v>
      </c>
      <c r="F404" s="82">
        <f t="shared" si="25"/>
        <v>150000</v>
      </c>
      <c r="G404" s="82">
        <f t="shared" si="25"/>
        <v>150000</v>
      </c>
    </row>
    <row r="405" spans="1:7" ht="36.700000000000003" outlineLevel="7" x14ac:dyDescent="0.25">
      <c r="A405" s="81" t="s">
        <v>97</v>
      </c>
      <c r="B405" s="80" t="s">
        <v>500</v>
      </c>
      <c r="C405" s="80" t="s">
        <v>95</v>
      </c>
      <c r="D405" s="80" t="s">
        <v>416</v>
      </c>
      <c r="E405" s="83" t="s">
        <v>98</v>
      </c>
      <c r="F405" s="131">
        <v>150000</v>
      </c>
      <c r="G405" s="131">
        <v>150000</v>
      </c>
    </row>
    <row r="406" spans="1:7" ht="55.05" outlineLevel="1" x14ac:dyDescent="0.25">
      <c r="A406" s="109" t="s">
        <v>855</v>
      </c>
      <c r="B406" s="80" t="s">
        <v>500</v>
      </c>
      <c r="C406" s="110" t="s">
        <v>95</v>
      </c>
      <c r="D406" s="110" t="s">
        <v>374</v>
      </c>
      <c r="E406" s="111" t="s">
        <v>6</v>
      </c>
      <c r="F406" s="122">
        <f t="shared" ref="F406:G409" si="26">F407</f>
        <v>735609.95000000007</v>
      </c>
      <c r="G406" s="122">
        <f t="shared" si="26"/>
        <v>780535.66999999993</v>
      </c>
    </row>
    <row r="407" spans="1:7" ht="62.5" customHeight="1" outlineLevel="1" x14ac:dyDescent="0.25">
      <c r="A407" s="81" t="s">
        <v>394</v>
      </c>
      <c r="B407" s="80" t="s">
        <v>500</v>
      </c>
      <c r="C407" s="80" t="s">
        <v>95</v>
      </c>
      <c r="D407" s="80" t="s">
        <v>375</v>
      </c>
      <c r="E407" s="83" t="s">
        <v>6</v>
      </c>
      <c r="F407" s="98">
        <f t="shared" si="26"/>
        <v>735609.95000000007</v>
      </c>
      <c r="G407" s="98">
        <f t="shared" si="26"/>
        <v>780535.66999999993</v>
      </c>
    </row>
    <row r="408" spans="1:7" ht="36.700000000000003" outlineLevel="1" x14ac:dyDescent="0.25">
      <c r="A408" s="81" t="s">
        <v>96</v>
      </c>
      <c r="B408" s="80" t="s">
        <v>500</v>
      </c>
      <c r="C408" s="80" t="s">
        <v>95</v>
      </c>
      <c r="D408" s="80" t="s">
        <v>376</v>
      </c>
      <c r="E408" s="83" t="s">
        <v>6</v>
      </c>
      <c r="F408" s="82">
        <f t="shared" si="26"/>
        <v>735609.95000000007</v>
      </c>
      <c r="G408" s="82">
        <f t="shared" si="26"/>
        <v>780535.66999999993</v>
      </c>
    </row>
    <row r="409" spans="1:7" outlineLevel="1" x14ac:dyDescent="0.25">
      <c r="A409" s="81" t="s">
        <v>90</v>
      </c>
      <c r="B409" s="80" t="s">
        <v>500</v>
      </c>
      <c r="C409" s="80" t="s">
        <v>95</v>
      </c>
      <c r="D409" s="80" t="s">
        <v>376</v>
      </c>
      <c r="E409" s="83" t="s">
        <v>91</v>
      </c>
      <c r="F409" s="98">
        <f t="shared" si="26"/>
        <v>735609.95000000007</v>
      </c>
      <c r="G409" s="98">
        <f t="shared" si="26"/>
        <v>780535.66999999993</v>
      </c>
    </row>
    <row r="410" spans="1:7" ht="36.700000000000003" outlineLevel="1" x14ac:dyDescent="0.25">
      <c r="A410" s="81" t="s">
        <v>97</v>
      </c>
      <c r="B410" s="80" t="s">
        <v>500</v>
      </c>
      <c r="C410" s="80" t="s">
        <v>95</v>
      </c>
      <c r="D410" s="80" t="s">
        <v>376</v>
      </c>
      <c r="E410" s="83" t="s">
        <v>98</v>
      </c>
      <c r="F410" s="82">
        <f>628827.65+173500-66717.7</f>
        <v>735609.95000000007</v>
      </c>
      <c r="G410" s="82">
        <f>686133.22+173500-79097.55</f>
        <v>780535.66999999993</v>
      </c>
    </row>
    <row r="411" spans="1:7" ht="36.700000000000003" outlineLevel="1" x14ac:dyDescent="0.25">
      <c r="A411" s="109" t="s">
        <v>132</v>
      </c>
      <c r="B411" s="110" t="s">
        <v>500</v>
      </c>
      <c r="C411" s="110" t="s">
        <v>95</v>
      </c>
      <c r="D411" s="110" t="s">
        <v>127</v>
      </c>
      <c r="E411" s="111" t="s">
        <v>6</v>
      </c>
      <c r="F411" s="122">
        <f t="shared" ref="F411:G413" si="27">F412</f>
        <v>100000</v>
      </c>
      <c r="G411" s="122">
        <f t="shared" si="27"/>
        <v>100000</v>
      </c>
    </row>
    <row r="412" spans="1:7" ht="36.700000000000003" outlineLevel="1" x14ac:dyDescent="0.25">
      <c r="A412" s="81" t="s">
        <v>526</v>
      </c>
      <c r="B412" s="80" t="s">
        <v>500</v>
      </c>
      <c r="C412" s="80" t="s">
        <v>95</v>
      </c>
      <c r="D412" s="80" t="s">
        <v>539</v>
      </c>
      <c r="E412" s="83" t="s">
        <v>6</v>
      </c>
      <c r="F412" s="98">
        <f t="shared" si="27"/>
        <v>100000</v>
      </c>
      <c r="G412" s="98">
        <f t="shared" si="27"/>
        <v>100000</v>
      </c>
    </row>
    <row r="413" spans="1:7" outlineLevel="1" x14ac:dyDescent="0.25">
      <c r="A413" s="81" t="s">
        <v>90</v>
      </c>
      <c r="B413" s="80" t="s">
        <v>500</v>
      </c>
      <c r="C413" s="80" t="s">
        <v>95</v>
      </c>
      <c r="D413" s="80" t="s">
        <v>539</v>
      </c>
      <c r="E413" s="83" t="s">
        <v>91</v>
      </c>
      <c r="F413" s="98">
        <f t="shared" si="27"/>
        <v>100000</v>
      </c>
      <c r="G413" s="98">
        <f t="shared" si="27"/>
        <v>100000</v>
      </c>
    </row>
    <row r="414" spans="1:7" ht="20.25" customHeight="1" outlineLevel="1" x14ac:dyDescent="0.25">
      <c r="A414" s="81" t="s">
        <v>309</v>
      </c>
      <c r="B414" s="80" t="s">
        <v>500</v>
      </c>
      <c r="C414" s="80" t="s">
        <v>95</v>
      </c>
      <c r="D414" s="80" t="s">
        <v>539</v>
      </c>
      <c r="E414" s="83" t="s">
        <v>310</v>
      </c>
      <c r="F414" s="82">
        <f>потребность!I407</f>
        <v>100000</v>
      </c>
      <c r="G414" s="82">
        <v>100000</v>
      </c>
    </row>
    <row r="415" spans="1:7" outlineLevel="1" x14ac:dyDescent="0.25">
      <c r="A415" s="81" t="s">
        <v>123</v>
      </c>
      <c r="B415" s="80" t="s">
        <v>500</v>
      </c>
      <c r="C415" s="80" t="s">
        <v>124</v>
      </c>
      <c r="D415" s="80" t="s">
        <v>126</v>
      </c>
      <c r="E415" s="83" t="s">
        <v>6</v>
      </c>
      <c r="F415" s="98">
        <f>F416</f>
        <v>59124839</v>
      </c>
      <c r="G415" s="98">
        <f>G416</f>
        <v>59829313.140000001</v>
      </c>
    </row>
    <row r="416" spans="1:7" ht="36.700000000000003" outlineLevel="1" x14ac:dyDescent="0.25">
      <c r="A416" s="109" t="s">
        <v>132</v>
      </c>
      <c r="B416" s="110" t="s">
        <v>500</v>
      </c>
      <c r="C416" s="110" t="s">
        <v>124</v>
      </c>
      <c r="D416" s="110" t="s">
        <v>127</v>
      </c>
      <c r="E416" s="111" t="s">
        <v>6</v>
      </c>
      <c r="F416" s="122">
        <f>F417</f>
        <v>59124839</v>
      </c>
      <c r="G416" s="122">
        <f>G417</f>
        <v>59829313.140000001</v>
      </c>
    </row>
    <row r="417" spans="1:8" outlineLevel="1" x14ac:dyDescent="0.25">
      <c r="A417" s="81" t="s">
        <v>277</v>
      </c>
      <c r="B417" s="80" t="s">
        <v>500</v>
      </c>
      <c r="C417" s="80" t="s">
        <v>124</v>
      </c>
      <c r="D417" s="80" t="s">
        <v>276</v>
      </c>
      <c r="E417" s="83" t="s">
        <v>6</v>
      </c>
      <c r="F417" s="98">
        <f>F430+F418+F421+F427+F433</f>
        <v>59124839</v>
      </c>
      <c r="G417" s="98">
        <f>G430+G418+G421+G427+G433</f>
        <v>59829313.140000001</v>
      </c>
    </row>
    <row r="418" spans="1:8" ht="95.3" customHeight="1" outlineLevel="1" x14ac:dyDescent="0.25">
      <c r="A418" s="81" t="s">
        <v>429</v>
      </c>
      <c r="B418" s="80" t="s">
        <v>500</v>
      </c>
      <c r="C418" s="80" t="s">
        <v>124</v>
      </c>
      <c r="D418" s="80" t="s">
        <v>430</v>
      </c>
      <c r="E418" s="83" t="s">
        <v>6</v>
      </c>
      <c r="F418" s="82">
        <f>F419</f>
        <v>0</v>
      </c>
      <c r="G418" s="82">
        <f>G419</f>
        <v>0</v>
      </c>
    </row>
    <row r="419" spans="1:8" outlineLevel="1" x14ac:dyDescent="0.25">
      <c r="A419" s="81" t="s">
        <v>90</v>
      </c>
      <c r="B419" s="80" t="s">
        <v>500</v>
      </c>
      <c r="C419" s="80" t="s">
        <v>124</v>
      </c>
      <c r="D419" s="80" t="s">
        <v>430</v>
      </c>
      <c r="E419" s="83" t="s">
        <v>91</v>
      </c>
      <c r="F419" s="82">
        <f>F420</f>
        <v>0</v>
      </c>
      <c r="G419" s="82">
        <f>G420</f>
        <v>0</v>
      </c>
    </row>
    <row r="420" spans="1:8" ht="36.700000000000003" outlineLevel="1" x14ac:dyDescent="0.25">
      <c r="A420" s="81" t="s">
        <v>92</v>
      </c>
      <c r="B420" s="80" t="s">
        <v>500</v>
      </c>
      <c r="C420" s="80" t="s">
        <v>124</v>
      </c>
      <c r="D420" s="80" t="s">
        <v>430</v>
      </c>
      <c r="E420" s="83" t="s">
        <v>93</v>
      </c>
      <c r="F420" s="82">
        <f>1325680.27-1325680.27</f>
        <v>0</v>
      </c>
      <c r="G420" s="82">
        <f>1378706.84-1378706.84</f>
        <v>0</v>
      </c>
    </row>
    <row r="421" spans="1:8" s="172" customFormat="1" ht="110.05" outlineLevel="1" x14ac:dyDescent="0.25">
      <c r="A421" s="100" t="s">
        <v>431</v>
      </c>
      <c r="B421" s="80" t="s">
        <v>500</v>
      </c>
      <c r="C421" s="80" t="s">
        <v>124</v>
      </c>
      <c r="D421" s="80" t="s">
        <v>432</v>
      </c>
      <c r="E421" s="83" t="s">
        <v>6</v>
      </c>
      <c r="F421" s="82">
        <f>F422+F424</f>
        <v>22604954.34</v>
      </c>
      <c r="G421" s="82">
        <f>G422+G424</f>
        <v>23309428.48</v>
      </c>
      <c r="H421" s="171"/>
    </row>
    <row r="422" spans="1:8" ht="36.700000000000003" outlineLevel="1" x14ac:dyDescent="0.25">
      <c r="A422" s="81" t="s">
        <v>15</v>
      </c>
      <c r="B422" s="80" t="s">
        <v>500</v>
      </c>
      <c r="C422" s="80" t="s">
        <v>124</v>
      </c>
      <c r="D422" s="80" t="s">
        <v>432</v>
      </c>
      <c r="E422" s="83" t="s">
        <v>16</v>
      </c>
      <c r="F422" s="82">
        <f>F423</f>
        <v>130000</v>
      </c>
      <c r="G422" s="82">
        <f>G423</f>
        <v>130000</v>
      </c>
    </row>
    <row r="423" spans="1:8" s="172" customFormat="1" ht="37.549999999999997" customHeight="1" outlineLevel="1" x14ac:dyDescent="0.25">
      <c r="A423" s="81" t="s">
        <v>17</v>
      </c>
      <c r="B423" s="80" t="s">
        <v>500</v>
      </c>
      <c r="C423" s="80" t="s">
        <v>124</v>
      </c>
      <c r="D423" s="80" t="s">
        <v>432</v>
      </c>
      <c r="E423" s="83" t="s">
        <v>18</v>
      </c>
      <c r="F423" s="82">
        <v>130000</v>
      </c>
      <c r="G423" s="82">
        <v>130000</v>
      </c>
      <c r="H423" s="171"/>
    </row>
    <row r="424" spans="1:8" outlineLevel="1" x14ac:dyDescent="0.25">
      <c r="A424" s="81" t="s">
        <v>90</v>
      </c>
      <c r="B424" s="80" t="s">
        <v>500</v>
      </c>
      <c r="C424" s="80" t="s">
        <v>124</v>
      </c>
      <c r="D424" s="80" t="s">
        <v>432</v>
      </c>
      <c r="E424" s="83" t="s">
        <v>91</v>
      </c>
      <c r="F424" s="82">
        <f>F425+F426</f>
        <v>22474954.34</v>
      </c>
      <c r="G424" s="82">
        <f>G425+G426</f>
        <v>23179428.48</v>
      </c>
    </row>
    <row r="425" spans="1:8" ht="21.25" customHeight="1" outlineLevel="1" x14ac:dyDescent="0.25">
      <c r="A425" s="81" t="s">
        <v>92</v>
      </c>
      <c r="B425" s="80" t="s">
        <v>500</v>
      </c>
      <c r="C425" s="80" t="s">
        <v>124</v>
      </c>
      <c r="D425" s="80" t="s">
        <v>432</v>
      </c>
      <c r="E425" s="83" t="s">
        <v>93</v>
      </c>
      <c r="F425" s="82">
        <v>20474954.34</v>
      </c>
      <c r="G425" s="82">
        <v>21179428.48</v>
      </c>
    </row>
    <row r="426" spans="1:8" ht="35.5" customHeight="1" outlineLevel="1" x14ac:dyDescent="0.25">
      <c r="A426" s="81" t="s">
        <v>97</v>
      </c>
      <c r="B426" s="80" t="s">
        <v>500</v>
      </c>
      <c r="C426" s="80" t="s">
        <v>124</v>
      </c>
      <c r="D426" s="80" t="s">
        <v>432</v>
      </c>
      <c r="E426" s="83" t="s">
        <v>98</v>
      </c>
      <c r="F426" s="82">
        <v>2000000</v>
      </c>
      <c r="G426" s="82">
        <v>2000000</v>
      </c>
    </row>
    <row r="427" spans="1:8" ht="0.7" customHeight="1" outlineLevel="1" x14ac:dyDescent="0.25">
      <c r="A427" s="100" t="s">
        <v>760</v>
      </c>
      <c r="B427" s="80" t="s">
        <v>500</v>
      </c>
      <c r="C427" s="80" t="s">
        <v>124</v>
      </c>
      <c r="D427" s="80" t="s">
        <v>295</v>
      </c>
      <c r="E427" s="83" t="s">
        <v>6</v>
      </c>
      <c r="F427" s="82">
        <f>F428</f>
        <v>0</v>
      </c>
      <c r="G427" s="82">
        <f>G428</f>
        <v>0</v>
      </c>
    </row>
    <row r="428" spans="1:8" ht="18" customHeight="1" outlineLevel="1" x14ac:dyDescent="0.25">
      <c r="A428" s="81" t="s">
        <v>264</v>
      </c>
      <c r="B428" s="80" t="s">
        <v>500</v>
      </c>
      <c r="C428" s="80" t="s">
        <v>124</v>
      </c>
      <c r="D428" s="80" t="s">
        <v>295</v>
      </c>
      <c r="E428" s="83" t="s">
        <v>265</v>
      </c>
      <c r="F428" s="82">
        <f>F429</f>
        <v>0</v>
      </c>
      <c r="G428" s="82">
        <f>G429</f>
        <v>0</v>
      </c>
    </row>
    <row r="429" spans="1:8" ht="18" customHeight="1" outlineLevel="1" x14ac:dyDescent="0.25">
      <c r="A429" s="81" t="s">
        <v>266</v>
      </c>
      <c r="B429" s="80" t="s">
        <v>500</v>
      </c>
      <c r="C429" s="80" t="s">
        <v>124</v>
      </c>
      <c r="D429" s="80" t="s">
        <v>295</v>
      </c>
      <c r="E429" s="83" t="s">
        <v>267</v>
      </c>
      <c r="F429" s="82">
        <v>0</v>
      </c>
      <c r="G429" s="82">
        <v>0</v>
      </c>
    </row>
    <row r="430" spans="1:8" ht="115.5" customHeight="1" outlineLevel="1" x14ac:dyDescent="0.25">
      <c r="A430" s="100" t="s">
        <v>656</v>
      </c>
      <c r="B430" s="80" t="s">
        <v>500</v>
      </c>
      <c r="C430" s="80" t="s">
        <v>124</v>
      </c>
      <c r="D430" s="80" t="s">
        <v>295</v>
      </c>
      <c r="E430" s="83" t="s">
        <v>6</v>
      </c>
      <c r="F430" s="98">
        <f>F431</f>
        <v>20305313.620000001</v>
      </c>
      <c r="G430" s="98">
        <f>G431</f>
        <v>20305313.620000001</v>
      </c>
    </row>
    <row r="431" spans="1:8" ht="55.05" outlineLevel="1" x14ac:dyDescent="0.25">
      <c r="A431" s="81" t="s">
        <v>264</v>
      </c>
      <c r="B431" s="80" t="s">
        <v>500</v>
      </c>
      <c r="C431" s="80" t="s">
        <v>124</v>
      </c>
      <c r="D431" s="80" t="s">
        <v>295</v>
      </c>
      <c r="E431" s="83" t="s">
        <v>265</v>
      </c>
      <c r="F431" s="98">
        <f>F432</f>
        <v>20305313.620000001</v>
      </c>
      <c r="G431" s="98">
        <f>G432</f>
        <v>20305313.620000001</v>
      </c>
    </row>
    <row r="432" spans="1:8" outlineLevel="1" x14ac:dyDescent="0.25">
      <c r="A432" s="81" t="s">
        <v>266</v>
      </c>
      <c r="B432" s="80" t="s">
        <v>500</v>
      </c>
      <c r="C432" s="80" t="s">
        <v>124</v>
      </c>
      <c r="D432" s="80" t="s">
        <v>295</v>
      </c>
      <c r="E432" s="83" t="s">
        <v>267</v>
      </c>
      <c r="F432" s="82">
        <v>20305313.620000001</v>
      </c>
      <c r="G432" s="82">
        <v>20305313.620000001</v>
      </c>
    </row>
    <row r="433" spans="1:8" ht="101.25" customHeight="1" outlineLevel="1" x14ac:dyDescent="0.25">
      <c r="A433" s="100" t="s">
        <v>759</v>
      </c>
      <c r="B433" s="80" t="s">
        <v>500</v>
      </c>
      <c r="C433" s="80" t="s">
        <v>124</v>
      </c>
      <c r="D433" s="80" t="s">
        <v>792</v>
      </c>
      <c r="E433" s="83" t="s">
        <v>6</v>
      </c>
      <c r="F433" s="82">
        <f>F434</f>
        <v>16214571.039999999</v>
      </c>
      <c r="G433" s="82">
        <f>G434</f>
        <v>16214571.039999999</v>
      </c>
    </row>
    <row r="434" spans="1:8" ht="55.05" outlineLevel="1" x14ac:dyDescent="0.25">
      <c r="A434" s="81" t="s">
        <v>264</v>
      </c>
      <c r="B434" s="80" t="s">
        <v>500</v>
      </c>
      <c r="C434" s="80" t="s">
        <v>124</v>
      </c>
      <c r="D434" s="80" t="s">
        <v>792</v>
      </c>
      <c r="E434" s="83" t="s">
        <v>265</v>
      </c>
      <c r="F434" s="82">
        <f>F435</f>
        <v>16214571.039999999</v>
      </c>
      <c r="G434" s="82">
        <f>G435</f>
        <v>16214571.039999999</v>
      </c>
    </row>
    <row r="435" spans="1:8" outlineLevel="1" x14ac:dyDescent="0.25">
      <c r="A435" s="81" t="s">
        <v>266</v>
      </c>
      <c r="B435" s="80" t="s">
        <v>500</v>
      </c>
      <c r="C435" s="80" t="s">
        <v>124</v>
      </c>
      <c r="D435" s="80" t="s">
        <v>792</v>
      </c>
      <c r="E435" s="83" t="s">
        <v>267</v>
      </c>
      <c r="F435" s="82">
        <v>16214571.039999999</v>
      </c>
      <c r="G435" s="82">
        <v>16214571.039999999</v>
      </c>
    </row>
    <row r="436" spans="1:8" outlineLevel="1" x14ac:dyDescent="0.25">
      <c r="A436" s="109" t="s">
        <v>100</v>
      </c>
      <c r="B436" s="110" t="s">
        <v>500</v>
      </c>
      <c r="C436" s="110" t="s">
        <v>101</v>
      </c>
      <c r="D436" s="110" t="s">
        <v>126</v>
      </c>
      <c r="E436" s="111" t="s">
        <v>6</v>
      </c>
      <c r="F436" s="122">
        <f>F437</f>
        <v>1973229.4</v>
      </c>
      <c r="G436" s="122">
        <f>G437</f>
        <v>1035459.8</v>
      </c>
    </row>
    <row r="437" spans="1:8" ht="22.75" customHeight="1" outlineLevel="1" x14ac:dyDescent="0.25">
      <c r="A437" s="81" t="s">
        <v>301</v>
      </c>
      <c r="B437" s="80" t="s">
        <v>500</v>
      </c>
      <c r="C437" s="80" t="s">
        <v>300</v>
      </c>
      <c r="D437" s="80" t="s">
        <v>126</v>
      </c>
      <c r="E437" s="83" t="s">
        <v>6</v>
      </c>
      <c r="F437" s="98">
        <f>F438+F458</f>
        <v>1973229.4</v>
      </c>
      <c r="G437" s="98">
        <f>G438+G458</f>
        <v>1035459.8</v>
      </c>
    </row>
    <row r="438" spans="1:8" ht="20.25" customHeight="1" outlineLevel="1" x14ac:dyDescent="0.25">
      <c r="A438" s="109" t="s">
        <v>377</v>
      </c>
      <c r="B438" s="110" t="s">
        <v>500</v>
      </c>
      <c r="C438" s="110" t="s">
        <v>300</v>
      </c>
      <c r="D438" s="110" t="s">
        <v>200</v>
      </c>
      <c r="E438" s="111" t="s">
        <v>6</v>
      </c>
      <c r="F438" s="122">
        <f>F439+F445</f>
        <v>1923229.4</v>
      </c>
      <c r="G438" s="122">
        <f>G439+G445</f>
        <v>985459.8</v>
      </c>
    </row>
    <row r="439" spans="1:8" ht="55.05" outlineLevel="1" x14ac:dyDescent="0.25">
      <c r="A439" s="81" t="s">
        <v>213</v>
      </c>
      <c r="B439" s="80" t="s">
        <v>500</v>
      </c>
      <c r="C439" s="80" t="s">
        <v>300</v>
      </c>
      <c r="D439" s="80" t="s">
        <v>230</v>
      </c>
      <c r="E439" s="83" t="s">
        <v>6</v>
      </c>
      <c r="F439" s="98">
        <f>F440</f>
        <v>661000</v>
      </c>
      <c r="G439" s="98">
        <f>G440</f>
        <v>661000</v>
      </c>
    </row>
    <row r="440" spans="1:8" ht="20.25" customHeight="1" outlineLevel="1" x14ac:dyDescent="0.25">
      <c r="A440" s="81" t="s">
        <v>102</v>
      </c>
      <c r="B440" s="80" t="s">
        <v>500</v>
      </c>
      <c r="C440" s="80" t="s">
        <v>300</v>
      </c>
      <c r="D440" s="80" t="s">
        <v>201</v>
      </c>
      <c r="E440" s="83" t="s">
        <v>6</v>
      </c>
      <c r="F440" s="98">
        <f>F441+F443</f>
        <v>661000</v>
      </c>
      <c r="G440" s="98">
        <f>G441+G443</f>
        <v>661000</v>
      </c>
    </row>
    <row r="441" spans="1:8" ht="21.25" customHeight="1" outlineLevel="1" x14ac:dyDescent="0.25">
      <c r="A441" s="81" t="s">
        <v>15</v>
      </c>
      <c r="B441" s="80" t="s">
        <v>500</v>
      </c>
      <c r="C441" s="80" t="s">
        <v>300</v>
      </c>
      <c r="D441" s="80" t="s">
        <v>201</v>
      </c>
      <c r="E441" s="83" t="s">
        <v>16</v>
      </c>
      <c r="F441" s="98">
        <f>F442</f>
        <v>631000</v>
      </c>
      <c r="G441" s="98">
        <f>G442</f>
        <v>631000</v>
      </c>
    </row>
    <row r="442" spans="1:8" s="172" customFormat="1" ht="36.700000000000003" outlineLevel="1" x14ac:dyDescent="0.25">
      <c r="A442" s="81" t="s">
        <v>17</v>
      </c>
      <c r="B442" s="80" t="s">
        <v>500</v>
      </c>
      <c r="C442" s="80" t="s">
        <v>300</v>
      </c>
      <c r="D442" s="80" t="s">
        <v>201</v>
      </c>
      <c r="E442" s="83" t="s">
        <v>18</v>
      </c>
      <c r="F442" s="131">
        <v>631000</v>
      </c>
      <c r="G442" s="131">
        <v>631000</v>
      </c>
      <c r="H442" s="171"/>
    </row>
    <row r="443" spans="1:8" ht="24.8" customHeight="1" outlineLevel="2" x14ac:dyDescent="0.25">
      <c r="A443" s="81" t="s">
        <v>271</v>
      </c>
      <c r="B443" s="80" t="s">
        <v>500</v>
      </c>
      <c r="C443" s="80" t="s">
        <v>300</v>
      </c>
      <c r="D443" s="80" t="s">
        <v>201</v>
      </c>
      <c r="E443" s="83" t="s">
        <v>20</v>
      </c>
      <c r="F443" s="98">
        <f>F444</f>
        <v>30000</v>
      </c>
      <c r="G443" s="98">
        <f>G444</f>
        <v>30000</v>
      </c>
    </row>
    <row r="444" spans="1:8" s="172" customFormat="1" ht="27.7" customHeight="1" outlineLevel="3" x14ac:dyDescent="0.25">
      <c r="A444" s="81" t="s">
        <v>272</v>
      </c>
      <c r="B444" s="80" t="s">
        <v>500</v>
      </c>
      <c r="C444" s="80" t="s">
        <v>300</v>
      </c>
      <c r="D444" s="80" t="s">
        <v>201</v>
      </c>
      <c r="E444" s="83" t="s">
        <v>22</v>
      </c>
      <c r="F444" s="98">
        <v>30000</v>
      </c>
      <c r="G444" s="98">
        <v>30000</v>
      </c>
      <c r="H444" s="171"/>
    </row>
    <row r="445" spans="1:8" ht="27.7" customHeight="1" outlineLevel="4" x14ac:dyDescent="0.25">
      <c r="A445" s="81" t="s">
        <v>378</v>
      </c>
      <c r="B445" s="80" t="s">
        <v>500</v>
      </c>
      <c r="C445" s="80" t="s">
        <v>300</v>
      </c>
      <c r="D445" s="80" t="s">
        <v>303</v>
      </c>
      <c r="E445" s="83" t="s">
        <v>6</v>
      </c>
      <c r="F445" s="82">
        <f>F446+F452+F455+F449</f>
        <v>1262229.3999999999</v>
      </c>
      <c r="G445" s="82">
        <f>G446+G452+G455</f>
        <v>324459.8</v>
      </c>
    </row>
    <row r="446" spans="1:8" ht="36.700000000000003" outlineLevel="5" x14ac:dyDescent="0.25">
      <c r="A446" s="81" t="s">
        <v>281</v>
      </c>
      <c r="B446" s="80" t="s">
        <v>500</v>
      </c>
      <c r="C446" s="80" t="s">
        <v>300</v>
      </c>
      <c r="D446" s="80" t="s">
        <v>302</v>
      </c>
      <c r="E446" s="83" t="s">
        <v>6</v>
      </c>
      <c r="F446" s="82">
        <f>F447</f>
        <v>0</v>
      </c>
      <c r="G446" s="82">
        <f>G447</f>
        <v>0</v>
      </c>
    </row>
    <row r="447" spans="1:8" ht="55.05" outlineLevel="6" x14ac:dyDescent="0.25">
      <c r="A447" s="81" t="s">
        <v>264</v>
      </c>
      <c r="B447" s="80" t="s">
        <v>500</v>
      </c>
      <c r="C447" s="80" t="s">
        <v>300</v>
      </c>
      <c r="D447" s="80" t="s">
        <v>302</v>
      </c>
      <c r="E447" s="83" t="s">
        <v>265</v>
      </c>
      <c r="F447" s="82">
        <f>F448</f>
        <v>0</v>
      </c>
      <c r="G447" s="82">
        <f>G448</f>
        <v>0</v>
      </c>
    </row>
    <row r="448" spans="1:8" outlineLevel="7" x14ac:dyDescent="0.25">
      <c r="A448" s="81" t="s">
        <v>266</v>
      </c>
      <c r="B448" s="80" t="s">
        <v>500</v>
      </c>
      <c r="C448" s="80" t="s">
        <v>300</v>
      </c>
      <c r="D448" s="80" t="s">
        <v>302</v>
      </c>
      <c r="E448" s="83" t="s">
        <v>267</v>
      </c>
      <c r="F448" s="98"/>
      <c r="G448" s="98"/>
    </row>
    <row r="449" spans="1:8" ht="36.700000000000003" outlineLevel="7" x14ac:dyDescent="0.25">
      <c r="A449" s="81" t="s">
        <v>281</v>
      </c>
      <c r="B449" s="80" t="s">
        <v>500</v>
      </c>
      <c r="C449" s="80" t="s">
        <v>300</v>
      </c>
      <c r="D449" s="80" t="s">
        <v>302</v>
      </c>
      <c r="E449" s="83" t="s">
        <v>6</v>
      </c>
      <c r="F449" s="98">
        <f>F450</f>
        <v>1093747.2</v>
      </c>
      <c r="G449" s="98">
        <v>0</v>
      </c>
    </row>
    <row r="450" spans="1:8" ht="55.05" outlineLevel="7" x14ac:dyDescent="0.25">
      <c r="A450" s="81" t="s">
        <v>264</v>
      </c>
      <c r="B450" s="80" t="s">
        <v>500</v>
      </c>
      <c r="C450" s="80" t="s">
        <v>300</v>
      </c>
      <c r="D450" s="80" t="s">
        <v>302</v>
      </c>
      <c r="E450" s="83" t="s">
        <v>265</v>
      </c>
      <c r="F450" s="98">
        <f>F451</f>
        <v>1093747.2</v>
      </c>
      <c r="G450" s="98">
        <v>0</v>
      </c>
    </row>
    <row r="451" spans="1:8" outlineLevel="7" x14ac:dyDescent="0.25">
      <c r="A451" s="81" t="s">
        <v>266</v>
      </c>
      <c r="B451" s="80" t="s">
        <v>500</v>
      </c>
      <c r="C451" s="80" t="s">
        <v>300</v>
      </c>
      <c r="D451" s="80" t="s">
        <v>302</v>
      </c>
      <c r="E451" s="83" t="s">
        <v>267</v>
      </c>
      <c r="F451" s="98">
        <v>1093747.2</v>
      </c>
      <c r="G451" s="98">
        <v>0</v>
      </c>
    </row>
    <row r="452" spans="1:8" ht="59.3" customHeight="1" outlineLevel="7" x14ac:dyDescent="0.25">
      <c r="A452" s="81" t="s">
        <v>771</v>
      </c>
      <c r="B452" s="80" t="s">
        <v>500</v>
      </c>
      <c r="C452" s="80" t="s">
        <v>300</v>
      </c>
      <c r="D452" s="80" t="s">
        <v>796</v>
      </c>
      <c r="E452" s="83" t="s">
        <v>6</v>
      </c>
      <c r="F452" s="98">
        <f>F453</f>
        <v>163718</v>
      </c>
      <c r="G452" s="98">
        <f>G453</f>
        <v>315285</v>
      </c>
    </row>
    <row r="453" spans="1:8" ht="36.700000000000003" outlineLevel="7" x14ac:dyDescent="0.25">
      <c r="A453" s="81" t="s">
        <v>15</v>
      </c>
      <c r="B453" s="80" t="s">
        <v>500</v>
      </c>
      <c r="C453" s="80" t="s">
        <v>300</v>
      </c>
      <c r="D453" s="80" t="s">
        <v>796</v>
      </c>
      <c r="E453" s="83" t="s">
        <v>16</v>
      </c>
      <c r="F453" s="98">
        <f>F454</f>
        <v>163718</v>
      </c>
      <c r="G453" s="98">
        <f>G454</f>
        <v>315285</v>
      </c>
    </row>
    <row r="454" spans="1:8" ht="36.700000000000003" outlineLevel="7" x14ac:dyDescent="0.25">
      <c r="A454" s="81" t="s">
        <v>17</v>
      </c>
      <c r="B454" s="80" t="s">
        <v>500</v>
      </c>
      <c r="C454" s="80" t="s">
        <v>300</v>
      </c>
      <c r="D454" s="80" t="s">
        <v>796</v>
      </c>
      <c r="E454" s="83" t="s">
        <v>18</v>
      </c>
      <c r="F454" s="98">
        <v>163718</v>
      </c>
      <c r="G454" s="98">
        <v>315285</v>
      </c>
    </row>
    <row r="455" spans="1:8" ht="73.400000000000006" outlineLevel="7" x14ac:dyDescent="0.25">
      <c r="A455" s="81" t="s">
        <v>911</v>
      </c>
      <c r="B455" s="80" t="s">
        <v>500</v>
      </c>
      <c r="C455" s="80" t="s">
        <v>300</v>
      </c>
      <c r="D455" s="80" t="s">
        <v>797</v>
      </c>
      <c r="E455" s="83" t="s">
        <v>6</v>
      </c>
      <c r="F455" s="98">
        <f>F456</f>
        <v>4764.2</v>
      </c>
      <c r="G455" s="98">
        <f>G456</f>
        <v>9174.7999999999993</v>
      </c>
    </row>
    <row r="456" spans="1:8" ht="36.700000000000003" outlineLevel="7" x14ac:dyDescent="0.25">
      <c r="A456" s="81" t="s">
        <v>15</v>
      </c>
      <c r="B456" s="80" t="s">
        <v>500</v>
      </c>
      <c r="C456" s="80" t="s">
        <v>300</v>
      </c>
      <c r="D456" s="80" t="s">
        <v>797</v>
      </c>
      <c r="E456" s="83" t="s">
        <v>16</v>
      </c>
      <c r="F456" s="98">
        <f>F457</f>
        <v>4764.2</v>
      </c>
      <c r="G456" s="98">
        <f>G457</f>
        <v>9174.7999999999993</v>
      </c>
    </row>
    <row r="457" spans="1:8" ht="36.700000000000003" outlineLevel="7" x14ac:dyDescent="0.25">
      <c r="A457" s="81" t="s">
        <v>17</v>
      </c>
      <c r="B457" s="80" t="s">
        <v>500</v>
      </c>
      <c r="C457" s="80" t="s">
        <v>300</v>
      </c>
      <c r="D457" s="80" t="s">
        <v>797</v>
      </c>
      <c r="E457" s="83" t="s">
        <v>18</v>
      </c>
      <c r="F457" s="98">
        <v>4764.2</v>
      </c>
      <c r="G457" s="98">
        <v>9174.7999999999993</v>
      </c>
    </row>
    <row r="458" spans="1:8" s="170" customFormat="1" ht="65.25" customHeight="1" x14ac:dyDescent="0.25">
      <c r="A458" s="114" t="s">
        <v>828</v>
      </c>
      <c r="B458" s="110" t="s">
        <v>500</v>
      </c>
      <c r="C458" s="110" t="s">
        <v>300</v>
      </c>
      <c r="D458" s="110" t="s">
        <v>463</v>
      </c>
      <c r="E458" s="111" t="s">
        <v>6</v>
      </c>
      <c r="F458" s="82">
        <f t="shared" ref="F458:G461" si="28">F459</f>
        <v>50000</v>
      </c>
      <c r="G458" s="82">
        <f t="shared" si="28"/>
        <v>50000</v>
      </c>
      <c r="H458" s="169"/>
    </row>
    <row r="459" spans="1:8" ht="31.75" customHeight="1" outlineLevel="1" x14ac:dyDescent="0.25">
      <c r="A459" s="124" t="s">
        <v>464</v>
      </c>
      <c r="B459" s="80" t="s">
        <v>500</v>
      </c>
      <c r="C459" s="80" t="s">
        <v>300</v>
      </c>
      <c r="D459" s="80" t="s">
        <v>465</v>
      </c>
      <c r="E459" s="83" t="s">
        <v>6</v>
      </c>
      <c r="F459" s="82">
        <f t="shared" si="28"/>
        <v>50000</v>
      </c>
      <c r="G459" s="82">
        <f t="shared" si="28"/>
        <v>50000</v>
      </c>
    </row>
    <row r="460" spans="1:8" ht="37.549999999999997" customHeight="1" outlineLevel="2" x14ac:dyDescent="0.25">
      <c r="A460" s="81" t="s">
        <v>466</v>
      </c>
      <c r="B460" s="80" t="s">
        <v>500</v>
      </c>
      <c r="C460" s="80" t="s">
        <v>300</v>
      </c>
      <c r="D460" s="80" t="s">
        <v>467</v>
      </c>
      <c r="E460" s="83" t="s">
        <v>6</v>
      </c>
      <c r="F460" s="82">
        <f t="shared" si="28"/>
        <v>50000</v>
      </c>
      <c r="G460" s="82">
        <f t="shared" si="28"/>
        <v>50000</v>
      </c>
    </row>
    <row r="461" spans="1:8" ht="36.700000000000003" outlineLevel="4" x14ac:dyDescent="0.25">
      <c r="A461" s="81" t="s">
        <v>15</v>
      </c>
      <c r="B461" s="80" t="s">
        <v>500</v>
      </c>
      <c r="C461" s="80" t="s">
        <v>300</v>
      </c>
      <c r="D461" s="80" t="s">
        <v>467</v>
      </c>
      <c r="E461" s="83" t="s">
        <v>16</v>
      </c>
      <c r="F461" s="82">
        <f t="shared" si="28"/>
        <v>50000</v>
      </c>
      <c r="G461" s="82">
        <f t="shared" si="28"/>
        <v>50000</v>
      </c>
    </row>
    <row r="462" spans="1:8" ht="36.700000000000003" outlineLevel="5" x14ac:dyDescent="0.25">
      <c r="A462" s="81" t="s">
        <v>17</v>
      </c>
      <c r="B462" s="80" t="s">
        <v>500</v>
      </c>
      <c r="C462" s="80" t="s">
        <v>300</v>
      </c>
      <c r="D462" s="80" t="s">
        <v>467</v>
      </c>
      <c r="E462" s="83" t="s">
        <v>18</v>
      </c>
      <c r="F462" s="98">
        <v>50000</v>
      </c>
      <c r="G462" s="98">
        <v>50000</v>
      </c>
    </row>
    <row r="463" spans="1:8" outlineLevel="6" x14ac:dyDescent="0.25">
      <c r="A463" s="109" t="s">
        <v>103</v>
      </c>
      <c r="B463" s="80" t="s">
        <v>500</v>
      </c>
      <c r="C463" s="110" t="s">
        <v>104</v>
      </c>
      <c r="D463" s="110" t="s">
        <v>126</v>
      </c>
      <c r="E463" s="111" t="s">
        <v>6</v>
      </c>
      <c r="F463" s="85">
        <f t="shared" ref="F463:G468" si="29">F464</f>
        <v>2500000</v>
      </c>
      <c r="G463" s="85">
        <f t="shared" si="29"/>
        <v>2500000</v>
      </c>
    </row>
    <row r="464" spans="1:8" outlineLevel="7" x14ac:dyDescent="0.25">
      <c r="A464" s="81" t="s">
        <v>105</v>
      </c>
      <c r="B464" s="80" t="s">
        <v>500</v>
      </c>
      <c r="C464" s="80" t="s">
        <v>106</v>
      </c>
      <c r="D464" s="80" t="s">
        <v>126</v>
      </c>
      <c r="E464" s="83" t="s">
        <v>6</v>
      </c>
      <c r="F464" s="82">
        <f t="shared" si="29"/>
        <v>2500000</v>
      </c>
      <c r="G464" s="82">
        <f t="shared" si="29"/>
        <v>2500000</v>
      </c>
    </row>
    <row r="465" spans="1:7" ht="55.05" outlineLevel="5" x14ac:dyDescent="0.25">
      <c r="A465" s="109" t="s">
        <v>829</v>
      </c>
      <c r="B465" s="80" t="s">
        <v>500</v>
      </c>
      <c r="C465" s="110" t="s">
        <v>106</v>
      </c>
      <c r="D465" s="110" t="s">
        <v>317</v>
      </c>
      <c r="E465" s="111" t="s">
        <v>6</v>
      </c>
      <c r="F465" s="85">
        <f>F466</f>
        <v>2500000</v>
      </c>
      <c r="G465" s="85">
        <f>G466</f>
        <v>2500000</v>
      </c>
    </row>
    <row r="466" spans="1:7" s="163" customFormat="1" ht="36.700000000000003" outlineLevel="6" x14ac:dyDescent="0.25">
      <c r="A466" s="113" t="s">
        <v>327</v>
      </c>
      <c r="B466" s="80" t="s">
        <v>500</v>
      </c>
      <c r="C466" s="80" t="s">
        <v>106</v>
      </c>
      <c r="D466" s="80" t="s">
        <v>318</v>
      </c>
      <c r="E466" s="83" t="s">
        <v>6</v>
      </c>
      <c r="F466" s="82">
        <f t="shared" si="29"/>
        <v>2500000</v>
      </c>
      <c r="G466" s="82">
        <f t="shared" si="29"/>
        <v>2500000</v>
      </c>
    </row>
    <row r="467" spans="1:7" s="163" customFormat="1" ht="55.05" outlineLevel="7" x14ac:dyDescent="0.25">
      <c r="A467" s="81" t="s">
        <v>107</v>
      </c>
      <c r="B467" s="80" t="s">
        <v>500</v>
      </c>
      <c r="C467" s="80" t="s">
        <v>106</v>
      </c>
      <c r="D467" s="80" t="s">
        <v>319</v>
      </c>
      <c r="E467" s="83" t="s">
        <v>6</v>
      </c>
      <c r="F467" s="82">
        <f t="shared" si="29"/>
        <v>2500000</v>
      </c>
      <c r="G467" s="82">
        <f t="shared" si="29"/>
        <v>2500000</v>
      </c>
    </row>
    <row r="468" spans="1:7" s="163" customFormat="1" ht="36.700000000000003" outlineLevel="6" x14ac:dyDescent="0.25">
      <c r="A468" s="81" t="s">
        <v>37</v>
      </c>
      <c r="B468" s="80" t="s">
        <v>500</v>
      </c>
      <c r="C468" s="80" t="s">
        <v>106</v>
      </c>
      <c r="D468" s="80" t="s">
        <v>319</v>
      </c>
      <c r="E468" s="83" t="s">
        <v>38</v>
      </c>
      <c r="F468" s="82">
        <f t="shared" si="29"/>
        <v>2500000</v>
      </c>
      <c r="G468" s="82">
        <f t="shared" si="29"/>
        <v>2500000</v>
      </c>
    </row>
    <row r="469" spans="1:7" s="163" customFormat="1" ht="20.25" customHeight="1" outlineLevel="7" x14ac:dyDescent="0.25">
      <c r="A469" s="81" t="s">
        <v>39</v>
      </c>
      <c r="B469" s="80" t="s">
        <v>500</v>
      </c>
      <c r="C469" s="80" t="s">
        <v>106</v>
      </c>
      <c r="D469" s="80" t="s">
        <v>319</v>
      </c>
      <c r="E469" s="83" t="s">
        <v>40</v>
      </c>
      <c r="F469" s="82">
        <f>потребность!I456</f>
        <v>2500000</v>
      </c>
      <c r="G469" s="82">
        <v>2500000</v>
      </c>
    </row>
    <row r="470" spans="1:7" s="163" customFormat="1" ht="36.700000000000003" outlineLevel="6" x14ac:dyDescent="0.25">
      <c r="A470" s="104" t="s">
        <v>527</v>
      </c>
      <c r="B470" s="105" t="s">
        <v>501</v>
      </c>
      <c r="C470" s="105" t="s">
        <v>5</v>
      </c>
      <c r="D470" s="105" t="s">
        <v>126</v>
      </c>
      <c r="E470" s="106" t="s">
        <v>6</v>
      </c>
      <c r="F470" s="128">
        <f>F471</f>
        <v>5805481.6399999997</v>
      </c>
      <c r="G470" s="128">
        <f>G471</f>
        <v>6014949.9699999997</v>
      </c>
    </row>
    <row r="471" spans="1:7" s="163" customFormat="1" outlineLevel="7" x14ac:dyDescent="0.25">
      <c r="A471" s="81" t="s">
        <v>7</v>
      </c>
      <c r="B471" s="80" t="s">
        <v>501</v>
      </c>
      <c r="C471" s="80" t="s">
        <v>8</v>
      </c>
      <c r="D471" s="80" t="s">
        <v>126</v>
      </c>
      <c r="E471" s="83" t="s">
        <v>6</v>
      </c>
      <c r="F471" s="82">
        <f>F472+F487+F492</f>
        <v>5805481.6399999997</v>
      </c>
      <c r="G471" s="82">
        <f>G472+G487+G492</f>
        <v>6014949.9699999997</v>
      </c>
    </row>
    <row r="472" spans="1:7" s="163" customFormat="1" ht="73.400000000000006" outlineLevel="5" x14ac:dyDescent="0.25">
      <c r="A472" s="81" t="s">
        <v>108</v>
      </c>
      <c r="B472" s="80" t="s">
        <v>501</v>
      </c>
      <c r="C472" s="80" t="s">
        <v>109</v>
      </c>
      <c r="D472" s="80" t="s">
        <v>126</v>
      </c>
      <c r="E472" s="83" t="s">
        <v>6</v>
      </c>
      <c r="F472" s="82">
        <f>F473</f>
        <v>5668201.6399999997</v>
      </c>
      <c r="G472" s="82">
        <f>G473</f>
        <v>5877669.9699999997</v>
      </c>
    </row>
    <row r="473" spans="1:7" s="163" customFormat="1" ht="36.700000000000003" outlineLevel="6" x14ac:dyDescent="0.25">
      <c r="A473" s="81" t="s">
        <v>132</v>
      </c>
      <c r="B473" s="80" t="s">
        <v>501</v>
      </c>
      <c r="C473" s="80" t="s">
        <v>109</v>
      </c>
      <c r="D473" s="80" t="s">
        <v>127</v>
      </c>
      <c r="E473" s="83" t="s">
        <v>6</v>
      </c>
      <c r="F473" s="82">
        <f>F474+F477+F484</f>
        <v>5668201.6399999997</v>
      </c>
      <c r="G473" s="82">
        <f>G474+G477+G484</f>
        <v>5877669.9699999997</v>
      </c>
    </row>
    <row r="474" spans="1:7" s="163" customFormat="1" ht="36.700000000000003" outlineLevel="7" x14ac:dyDescent="0.25">
      <c r="A474" s="81" t="s">
        <v>528</v>
      </c>
      <c r="B474" s="80" t="s">
        <v>501</v>
      </c>
      <c r="C474" s="80" t="s">
        <v>109</v>
      </c>
      <c r="D474" s="80" t="s">
        <v>529</v>
      </c>
      <c r="E474" s="83" t="s">
        <v>6</v>
      </c>
      <c r="F474" s="82">
        <f>F475</f>
        <v>2618572.2799999998</v>
      </c>
      <c r="G474" s="82">
        <f>G475</f>
        <v>2723315.17</v>
      </c>
    </row>
    <row r="475" spans="1:7" s="163" customFormat="1" ht="37.549999999999997" customHeight="1" outlineLevel="2" x14ac:dyDescent="0.25">
      <c r="A475" s="81" t="s">
        <v>11</v>
      </c>
      <c r="B475" s="80" t="s">
        <v>501</v>
      </c>
      <c r="C475" s="80" t="s">
        <v>109</v>
      </c>
      <c r="D475" s="80" t="s">
        <v>529</v>
      </c>
      <c r="E475" s="83" t="s">
        <v>12</v>
      </c>
      <c r="F475" s="82">
        <f>F476</f>
        <v>2618572.2799999998</v>
      </c>
      <c r="G475" s="82">
        <f>G476</f>
        <v>2723315.17</v>
      </c>
    </row>
    <row r="476" spans="1:7" s="163" customFormat="1" ht="36.700000000000003" outlineLevel="4" x14ac:dyDescent="0.25">
      <c r="A476" s="81" t="s">
        <v>13</v>
      </c>
      <c r="B476" s="80" t="s">
        <v>501</v>
      </c>
      <c r="C476" s="80" t="s">
        <v>109</v>
      </c>
      <c r="D476" s="80" t="s">
        <v>529</v>
      </c>
      <c r="E476" s="83" t="s">
        <v>14</v>
      </c>
      <c r="F476" s="98">
        <v>2618572.2799999998</v>
      </c>
      <c r="G476" s="98">
        <v>2723315.17</v>
      </c>
    </row>
    <row r="477" spans="1:7" s="163" customFormat="1" ht="55.05" outlineLevel="5" x14ac:dyDescent="0.25">
      <c r="A477" s="81" t="s">
        <v>494</v>
      </c>
      <c r="B477" s="80" t="s">
        <v>501</v>
      </c>
      <c r="C477" s="80" t="s">
        <v>109</v>
      </c>
      <c r="D477" s="80" t="s">
        <v>495</v>
      </c>
      <c r="E477" s="83" t="s">
        <v>6</v>
      </c>
      <c r="F477" s="82">
        <f>F478+F480+F482</f>
        <v>2869629.36</v>
      </c>
      <c r="G477" s="82">
        <f>G478+G480+G482</f>
        <v>2974354.8</v>
      </c>
    </row>
    <row r="478" spans="1:7" s="163" customFormat="1" ht="91.7" outlineLevel="6" x14ac:dyDescent="0.25">
      <c r="A478" s="81" t="s">
        <v>11</v>
      </c>
      <c r="B478" s="80" t="s">
        <v>501</v>
      </c>
      <c r="C478" s="80" t="s">
        <v>109</v>
      </c>
      <c r="D478" s="80" t="s">
        <v>495</v>
      </c>
      <c r="E478" s="83" t="s">
        <v>12</v>
      </c>
      <c r="F478" s="82">
        <f>F479</f>
        <v>2618129.36</v>
      </c>
      <c r="G478" s="82">
        <f>G479</f>
        <v>2722854.8</v>
      </c>
    </row>
    <row r="479" spans="1:7" s="163" customFormat="1" ht="36.700000000000003" outlineLevel="7" x14ac:dyDescent="0.25">
      <c r="A479" s="81" t="s">
        <v>13</v>
      </c>
      <c r="B479" s="80" t="s">
        <v>501</v>
      </c>
      <c r="C479" s="80" t="s">
        <v>109</v>
      </c>
      <c r="D479" s="80" t="s">
        <v>495</v>
      </c>
      <c r="E479" s="83" t="s">
        <v>14</v>
      </c>
      <c r="F479" s="82">
        <v>2618129.36</v>
      </c>
      <c r="G479" s="82">
        <v>2722854.8</v>
      </c>
    </row>
    <row r="480" spans="1:7" s="163" customFormat="1" ht="36.700000000000003" outlineLevel="7" x14ac:dyDescent="0.25">
      <c r="A480" s="81" t="s">
        <v>15</v>
      </c>
      <c r="B480" s="80" t="s">
        <v>501</v>
      </c>
      <c r="C480" s="80" t="s">
        <v>109</v>
      </c>
      <c r="D480" s="80" t="s">
        <v>495</v>
      </c>
      <c r="E480" s="83" t="s">
        <v>16</v>
      </c>
      <c r="F480" s="82">
        <f>F481</f>
        <v>246000</v>
      </c>
      <c r="G480" s="82">
        <f>G481</f>
        <v>246000</v>
      </c>
    </row>
    <row r="481" spans="1:8" s="163" customFormat="1" ht="36.700000000000003" outlineLevel="7" x14ac:dyDescent="0.25">
      <c r="A481" s="81" t="s">
        <v>17</v>
      </c>
      <c r="B481" s="80" t="s">
        <v>501</v>
      </c>
      <c r="C481" s="80" t="s">
        <v>109</v>
      </c>
      <c r="D481" s="80" t="s">
        <v>495</v>
      </c>
      <c r="E481" s="83" t="s">
        <v>18</v>
      </c>
      <c r="F481" s="98">
        <v>246000</v>
      </c>
      <c r="G481" s="98">
        <v>246000</v>
      </c>
    </row>
    <row r="482" spans="1:8" outlineLevel="2" x14ac:dyDescent="0.25">
      <c r="A482" s="81" t="s">
        <v>19</v>
      </c>
      <c r="B482" s="80" t="s">
        <v>501</v>
      </c>
      <c r="C482" s="80" t="s">
        <v>109</v>
      </c>
      <c r="D482" s="80" t="s">
        <v>495</v>
      </c>
      <c r="E482" s="83" t="s">
        <v>20</v>
      </c>
      <c r="F482" s="82">
        <f>F483</f>
        <v>5500</v>
      </c>
      <c r="G482" s="82">
        <f>G483</f>
        <v>5500</v>
      </c>
    </row>
    <row r="483" spans="1:8" s="172" customFormat="1" outlineLevel="3" x14ac:dyDescent="0.25">
      <c r="A483" s="81" t="s">
        <v>21</v>
      </c>
      <c r="B483" s="80" t="s">
        <v>501</v>
      </c>
      <c r="C483" s="80" t="s">
        <v>109</v>
      </c>
      <c r="D483" s="80" t="s">
        <v>495</v>
      </c>
      <c r="E483" s="83" t="s">
        <v>22</v>
      </c>
      <c r="F483" s="98">
        <v>5500</v>
      </c>
      <c r="G483" s="98">
        <v>5500</v>
      </c>
      <c r="H483" s="171"/>
    </row>
    <row r="484" spans="1:8" outlineLevel="4" x14ac:dyDescent="0.25">
      <c r="A484" s="81" t="s">
        <v>531</v>
      </c>
      <c r="B484" s="80" t="s">
        <v>501</v>
      </c>
      <c r="C484" s="80" t="s">
        <v>109</v>
      </c>
      <c r="D484" s="80" t="s">
        <v>530</v>
      </c>
      <c r="E484" s="83" t="s">
        <v>6</v>
      </c>
      <c r="F484" s="82">
        <f>F485</f>
        <v>180000</v>
      </c>
      <c r="G484" s="82">
        <f>G485</f>
        <v>180000</v>
      </c>
    </row>
    <row r="485" spans="1:8" ht="91.7" outlineLevel="5" x14ac:dyDescent="0.25">
      <c r="A485" s="81" t="s">
        <v>11</v>
      </c>
      <c r="B485" s="80" t="s">
        <v>501</v>
      </c>
      <c r="C485" s="80" t="s">
        <v>109</v>
      </c>
      <c r="D485" s="80" t="s">
        <v>530</v>
      </c>
      <c r="E485" s="83" t="s">
        <v>12</v>
      </c>
      <c r="F485" s="82">
        <f>F486</f>
        <v>180000</v>
      </c>
      <c r="G485" s="82">
        <f>G486</f>
        <v>180000</v>
      </c>
    </row>
    <row r="486" spans="1:8" ht="32.950000000000003" customHeight="1" outlineLevel="6" x14ac:dyDescent="0.25">
      <c r="A486" s="81" t="s">
        <v>13</v>
      </c>
      <c r="B486" s="80" t="s">
        <v>501</v>
      </c>
      <c r="C486" s="80" t="s">
        <v>109</v>
      </c>
      <c r="D486" s="80" t="s">
        <v>530</v>
      </c>
      <c r="E486" s="83" t="s">
        <v>14</v>
      </c>
      <c r="F486" s="98">
        <v>180000</v>
      </c>
      <c r="G486" s="98">
        <v>180000</v>
      </c>
    </row>
    <row r="487" spans="1:8" ht="22.75" customHeight="1" outlineLevel="7" x14ac:dyDescent="0.25">
      <c r="A487" s="81" t="s">
        <v>9</v>
      </c>
      <c r="B487" s="80" t="s">
        <v>501</v>
      </c>
      <c r="C487" s="80" t="s">
        <v>10</v>
      </c>
      <c r="D487" s="80" t="s">
        <v>126</v>
      </c>
      <c r="E487" s="83" t="s">
        <v>6</v>
      </c>
      <c r="F487" s="82">
        <f t="shared" ref="F487:G490" si="30">F488</f>
        <v>0</v>
      </c>
      <c r="G487" s="82">
        <f t="shared" si="30"/>
        <v>0</v>
      </c>
    </row>
    <row r="488" spans="1:8" s="172" customFormat="1" ht="36.700000000000003" outlineLevel="7" x14ac:dyDescent="0.25">
      <c r="A488" s="81" t="s">
        <v>132</v>
      </c>
      <c r="B488" s="80" t="s">
        <v>501</v>
      </c>
      <c r="C488" s="80" t="s">
        <v>10</v>
      </c>
      <c r="D488" s="80" t="s">
        <v>127</v>
      </c>
      <c r="E488" s="83" t="s">
        <v>6</v>
      </c>
      <c r="F488" s="82">
        <f t="shared" si="30"/>
        <v>0</v>
      </c>
      <c r="G488" s="82">
        <f t="shared" si="30"/>
        <v>0</v>
      </c>
      <c r="H488" s="171"/>
    </row>
    <row r="489" spans="1:8" outlineLevel="7" x14ac:dyDescent="0.25">
      <c r="A489" s="81" t="s">
        <v>120</v>
      </c>
      <c r="B489" s="80" t="s">
        <v>501</v>
      </c>
      <c r="C489" s="80" t="s">
        <v>10</v>
      </c>
      <c r="D489" s="80" t="s">
        <v>143</v>
      </c>
      <c r="E489" s="83" t="s">
        <v>6</v>
      </c>
      <c r="F489" s="82">
        <f t="shared" si="30"/>
        <v>0</v>
      </c>
      <c r="G489" s="82">
        <f t="shared" si="30"/>
        <v>0</v>
      </c>
    </row>
    <row r="490" spans="1:8" ht="91.7" outlineLevel="7" x14ac:dyDescent="0.25">
      <c r="A490" s="81" t="s">
        <v>11</v>
      </c>
      <c r="B490" s="80" t="s">
        <v>501</v>
      </c>
      <c r="C490" s="80" t="s">
        <v>10</v>
      </c>
      <c r="D490" s="80" t="s">
        <v>143</v>
      </c>
      <c r="E490" s="83" t="s">
        <v>12</v>
      </c>
      <c r="F490" s="82">
        <f t="shared" si="30"/>
        <v>0</v>
      </c>
      <c r="G490" s="82">
        <f t="shared" si="30"/>
        <v>0</v>
      </c>
    </row>
    <row r="491" spans="1:8" ht="21.25" customHeight="1" outlineLevel="7" x14ac:dyDescent="0.25">
      <c r="A491" s="81" t="s">
        <v>13</v>
      </c>
      <c r="B491" s="80" t="s">
        <v>501</v>
      </c>
      <c r="C491" s="80" t="s">
        <v>10</v>
      </c>
      <c r="D491" s="80" t="s">
        <v>143</v>
      </c>
      <c r="E491" s="83" t="s">
        <v>14</v>
      </c>
      <c r="F491" s="82"/>
      <c r="G491" s="82"/>
    </row>
    <row r="492" spans="1:8" s="170" customFormat="1" x14ac:dyDescent="0.25">
      <c r="A492" s="81" t="s">
        <v>23</v>
      </c>
      <c r="B492" s="80" t="s">
        <v>501</v>
      </c>
      <c r="C492" s="80" t="s">
        <v>24</v>
      </c>
      <c r="D492" s="80" t="s">
        <v>126</v>
      </c>
      <c r="E492" s="83" t="s">
        <v>6</v>
      </c>
      <c r="F492" s="82">
        <f>F493+F498</f>
        <v>137280</v>
      </c>
      <c r="G492" s="82">
        <f>G493+G498</f>
        <v>137280</v>
      </c>
      <c r="H492" s="173"/>
    </row>
    <row r="493" spans="1:8" s="172" customFormat="1" ht="55.05" outlineLevel="1" x14ac:dyDescent="0.25">
      <c r="A493" s="109" t="s">
        <v>830</v>
      </c>
      <c r="B493" s="110" t="s">
        <v>501</v>
      </c>
      <c r="C493" s="110" t="s">
        <v>24</v>
      </c>
      <c r="D493" s="110" t="s">
        <v>128</v>
      </c>
      <c r="E493" s="111" t="s">
        <v>6</v>
      </c>
      <c r="F493" s="85">
        <f t="shared" ref="F493:G496" si="31">F494</f>
        <v>33280</v>
      </c>
      <c r="G493" s="85">
        <f t="shared" si="31"/>
        <v>33280</v>
      </c>
      <c r="H493" s="171"/>
    </row>
    <row r="494" spans="1:8" ht="55.05" outlineLevel="2" x14ac:dyDescent="0.25">
      <c r="A494" s="113" t="s">
        <v>835</v>
      </c>
      <c r="B494" s="80" t="s">
        <v>501</v>
      </c>
      <c r="C494" s="80" t="s">
        <v>24</v>
      </c>
      <c r="D494" s="80" t="s">
        <v>315</v>
      </c>
      <c r="E494" s="83" t="s">
        <v>6</v>
      </c>
      <c r="F494" s="82">
        <f t="shared" si="31"/>
        <v>33280</v>
      </c>
      <c r="G494" s="82">
        <f t="shared" si="31"/>
        <v>33280</v>
      </c>
    </row>
    <row r="495" spans="1:8" s="172" customFormat="1" outlineLevel="3" x14ac:dyDescent="0.25">
      <c r="A495" s="113" t="s">
        <v>321</v>
      </c>
      <c r="B495" s="80" t="s">
        <v>501</v>
      </c>
      <c r="C495" s="80" t="s">
        <v>24</v>
      </c>
      <c r="D495" s="80" t="s">
        <v>316</v>
      </c>
      <c r="E495" s="83" t="s">
        <v>6</v>
      </c>
      <c r="F495" s="82">
        <f t="shared" si="31"/>
        <v>33280</v>
      </c>
      <c r="G495" s="82">
        <f t="shared" si="31"/>
        <v>33280</v>
      </c>
      <c r="H495" s="171"/>
    </row>
    <row r="496" spans="1:8" ht="36.700000000000003" outlineLevel="4" x14ac:dyDescent="0.25">
      <c r="A496" s="81" t="s">
        <v>15</v>
      </c>
      <c r="B496" s="80" t="s">
        <v>501</v>
      </c>
      <c r="C496" s="80" t="s">
        <v>24</v>
      </c>
      <c r="D496" s="80" t="s">
        <v>316</v>
      </c>
      <c r="E496" s="83" t="s">
        <v>16</v>
      </c>
      <c r="F496" s="82">
        <f t="shared" si="31"/>
        <v>33280</v>
      </c>
      <c r="G496" s="82">
        <f t="shared" si="31"/>
        <v>33280</v>
      </c>
    </row>
    <row r="497" spans="1:7" ht="36.700000000000003" outlineLevel="4" x14ac:dyDescent="0.25">
      <c r="A497" s="81" t="s">
        <v>17</v>
      </c>
      <c r="B497" s="80" t="s">
        <v>501</v>
      </c>
      <c r="C497" s="80" t="s">
        <v>24</v>
      </c>
      <c r="D497" s="80" t="s">
        <v>316</v>
      </c>
      <c r="E497" s="83" t="s">
        <v>18</v>
      </c>
      <c r="F497" s="82">
        <v>33280</v>
      </c>
      <c r="G497" s="82">
        <v>33280</v>
      </c>
    </row>
    <row r="498" spans="1:7" s="163" customFormat="1" ht="36.700000000000003" outlineLevel="5" x14ac:dyDescent="0.25">
      <c r="A498" s="109" t="s">
        <v>132</v>
      </c>
      <c r="B498" s="110" t="s">
        <v>501</v>
      </c>
      <c r="C498" s="110" t="s">
        <v>24</v>
      </c>
      <c r="D498" s="110" t="s">
        <v>127</v>
      </c>
      <c r="E498" s="111" t="s">
        <v>6</v>
      </c>
      <c r="F498" s="133">
        <f t="shared" ref="F498:G500" si="32">F499</f>
        <v>104000</v>
      </c>
      <c r="G498" s="133">
        <f t="shared" si="32"/>
        <v>104000</v>
      </c>
    </row>
    <row r="499" spans="1:7" s="163" customFormat="1" ht="36.700000000000003" outlineLevel="6" x14ac:dyDescent="0.25">
      <c r="A499" s="81" t="s">
        <v>532</v>
      </c>
      <c r="B499" s="80" t="s">
        <v>501</v>
      </c>
      <c r="C499" s="80" t="s">
        <v>24</v>
      </c>
      <c r="D499" s="126">
        <v>9909970201</v>
      </c>
      <c r="E499" s="83" t="s">
        <v>6</v>
      </c>
      <c r="F499" s="131">
        <f t="shared" si="32"/>
        <v>104000</v>
      </c>
      <c r="G499" s="131">
        <f t="shared" si="32"/>
        <v>104000</v>
      </c>
    </row>
    <row r="500" spans="1:7" s="163" customFormat="1" ht="36.700000000000003" outlineLevel="7" x14ac:dyDescent="0.25">
      <c r="A500" s="81" t="s">
        <v>15</v>
      </c>
      <c r="B500" s="80" t="s">
        <v>501</v>
      </c>
      <c r="C500" s="80" t="s">
        <v>24</v>
      </c>
      <c r="D500" s="126">
        <v>9909970201</v>
      </c>
      <c r="E500" s="83" t="s">
        <v>16</v>
      </c>
      <c r="F500" s="131">
        <f t="shared" si="32"/>
        <v>104000</v>
      </c>
      <c r="G500" s="131">
        <f t="shared" si="32"/>
        <v>104000</v>
      </c>
    </row>
    <row r="501" spans="1:7" s="163" customFormat="1" ht="41.3" customHeight="1" outlineLevel="7" x14ac:dyDescent="0.25">
      <c r="A501" s="81" t="s">
        <v>17</v>
      </c>
      <c r="B501" s="80" t="s">
        <v>501</v>
      </c>
      <c r="C501" s="80" t="s">
        <v>24</v>
      </c>
      <c r="D501" s="126">
        <v>9909970201</v>
      </c>
      <c r="E501" s="83" t="s">
        <v>18</v>
      </c>
      <c r="F501" s="82">
        <v>104000</v>
      </c>
      <c r="G501" s="82">
        <v>104000</v>
      </c>
    </row>
    <row r="502" spans="1:7" s="163" customFormat="1" ht="55.05" outlineLevel="7" x14ac:dyDescent="0.25">
      <c r="A502" s="104" t="s">
        <v>546</v>
      </c>
      <c r="B502" s="105" t="s">
        <v>536</v>
      </c>
      <c r="C502" s="105" t="s">
        <v>5</v>
      </c>
      <c r="D502" s="105" t="s">
        <v>126</v>
      </c>
      <c r="E502" s="106" t="s">
        <v>6</v>
      </c>
      <c r="F502" s="128">
        <f>F503+F642+F658</f>
        <v>585353722.39999998</v>
      </c>
      <c r="G502" s="128">
        <f>G503+G642+G658</f>
        <v>608475257.40999997</v>
      </c>
    </row>
    <row r="503" spans="1:7" s="163" customFormat="1" outlineLevel="7" x14ac:dyDescent="0.25">
      <c r="A503" s="109" t="s">
        <v>69</v>
      </c>
      <c r="B503" s="110" t="s">
        <v>536</v>
      </c>
      <c r="C503" s="110" t="s">
        <v>70</v>
      </c>
      <c r="D503" s="110" t="s">
        <v>126</v>
      </c>
      <c r="E503" s="111" t="s">
        <v>6</v>
      </c>
      <c r="F503" s="85">
        <f>F504+F540+F603+F622+F580</f>
        <v>580505853.39999998</v>
      </c>
      <c r="G503" s="85">
        <f>G504+G540+G603+G622+G580</f>
        <v>603986188.40999997</v>
      </c>
    </row>
    <row r="504" spans="1:7" s="163" customFormat="1" outlineLevel="7" x14ac:dyDescent="0.25">
      <c r="A504" s="81" t="s">
        <v>110</v>
      </c>
      <c r="B504" s="80" t="s">
        <v>536</v>
      </c>
      <c r="C504" s="80" t="s">
        <v>111</v>
      </c>
      <c r="D504" s="80" t="s">
        <v>126</v>
      </c>
      <c r="E504" s="83" t="s">
        <v>6</v>
      </c>
      <c r="F504" s="82">
        <f>F505</f>
        <v>136647891</v>
      </c>
      <c r="G504" s="82">
        <f>G505</f>
        <v>141527643.09999999</v>
      </c>
    </row>
    <row r="505" spans="1:7" s="163" customFormat="1" ht="55.05" outlineLevel="7" x14ac:dyDescent="0.25">
      <c r="A505" s="109" t="s">
        <v>825</v>
      </c>
      <c r="B505" s="110" t="s">
        <v>536</v>
      </c>
      <c r="C505" s="110" t="s">
        <v>111</v>
      </c>
      <c r="D505" s="110" t="s">
        <v>138</v>
      </c>
      <c r="E505" s="111" t="s">
        <v>6</v>
      </c>
      <c r="F505" s="85">
        <f>F506</f>
        <v>136647891</v>
      </c>
      <c r="G505" s="85">
        <f>G506</f>
        <v>141527643.09999999</v>
      </c>
    </row>
    <row r="506" spans="1:7" s="163" customFormat="1" ht="55.05" outlineLevel="7" x14ac:dyDescent="0.25">
      <c r="A506" s="81" t="s">
        <v>834</v>
      </c>
      <c r="B506" s="80" t="s">
        <v>536</v>
      </c>
      <c r="C506" s="80" t="s">
        <v>111</v>
      </c>
      <c r="D506" s="80" t="s">
        <v>139</v>
      </c>
      <c r="E506" s="83" t="s">
        <v>6</v>
      </c>
      <c r="F506" s="82">
        <f>F507+F514</f>
        <v>136647891</v>
      </c>
      <c r="G506" s="82">
        <f>G507+G514</f>
        <v>141527643.09999999</v>
      </c>
    </row>
    <row r="507" spans="1:7" s="163" customFormat="1" ht="55.05" outlineLevel="7" x14ac:dyDescent="0.25">
      <c r="A507" s="113" t="s">
        <v>202</v>
      </c>
      <c r="B507" s="80" t="s">
        <v>536</v>
      </c>
      <c r="C507" s="80" t="s">
        <v>111</v>
      </c>
      <c r="D507" s="80" t="s">
        <v>219</v>
      </c>
      <c r="E507" s="83" t="s">
        <v>6</v>
      </c>
      <c r="F507" s="82">
        <f>F508+F511</f>
        <v>134240407.59999999</v>
      </c>
      <c r="G507" s="82">
        <f>G508+G511</f>
        <v>140978143.09999999</v>
      </c>
    </row>
    <row r="508" spans="1:7" s="163" customFormat="1" ht="55.05" outlineLevel="7" x14ac:dyDescent="0.25">
      <c r="A508" s="81" t="s">
        <v>113</v>
      </c>
      <c r="B508" s="80" t="s">
        <v>536</v>
      </c>
      <c r="C508" s="80" t="s">
        <v>111</v>
      </c>
      <c r="D508" s="80" t="s">
        <v>144</v>
      </c>
      <c r="E508" s="83" t="s">
        <v>6</v>
      </c>
      <c r="F508" s="82">
        <f>F509</f>
        <v>48316977.600000001</v>
      </c>
      <c r="G508" s="82">
        <f>G509</f>
        <v>50130008.100000001</v>
      </c>
    </row>
    <row r="509" spans="1:7" s="163" customFormat="1" ht="36.700000000000003" outlineLevel="7" x14ac:dyDescent="0.25">
      <c r="A509" s="81" t="s">
        <v>37</v>
      </c>
      <c r="B509" s="80" t="s">
        <v>536</v>
      </c>
      <c r="C509" s="80" t="s">
        <v>111</v>
      </c>
      <c r="D509" s="80" t="s">
        <v>144</v>
      </c>
      <c r="E509" s="83" t="s">
        <v>38</v>
      </c>
      <c r="F509" s="82">
        <f>F510</f>
        <v>48316977.600000001</v>
      </c>
      <c r="G509" s="82">
        <f>G510</f>
        <v>50130008.100000001</v>
      </c>
    </row>
    <row r="510" spans="1:7" s="163" customFormat="1" outlineLevel="7" x14ac:dyDescent="0.25">
      <c r="A510" s="81" t="s">
        <v>74</v>
      </c>
      <c r="B510" s="80" t="s">
        <v>536</v>
      </c>
      <c r="C510" s="80" t="s">
        <v>111</v>
      </c>
      <c r="D510" s="80" t="s">
        <v>144</v>
      </c>
      <c r="E510" s="83" t="s">
        <v>75</v>
      </c>
      <c r="F510" s="131">
        <f>48674961-357983.4</f>
        <v>48316977.600000001</v>
      </c>
      <c r="G510" s="131">
        <v>50130008.100000001</v>
      </c>
    </row>
    <row r="511" spans="1:7" s="163" customFormat="1" ht="110.05" outlineLevel="7" x14ac:dyDescent="0.25">
      <c r="A511" s="113" t="s">
        <v>397</v>
      </c>
      <c r="B511" s="80" t="s">
        <v>536</v>
      </c>
      <c r="C511" s="80" t="s">
        <v>111</v>
      </c>
      <c r="D511" s="80" t="s">
        <v>145</v>
      </c>
      <c r="E511" s="83" t="s">
        <v>6</v>
      </c>
      <c r="F511" s="82">
        <f>F512</f>
        <v>85923430</v>
      </c>
      <c r="G511" s="82">
        <f>G512</f>
        <v>90848135</v>
      </c>
    </row>
    <row r="512" spans="1:7" s="163" customFormat="1" ht="36.700000000000003" outlineLevel="7" x14ac:dyDescent="0.25">
      <c r="A512" s="81" t="s">
        <v>37</v>
      </c>
      <c r="B512" s="80" t="s">
        <v>536</v>
      </c>
      <c r="C512" s="80" t="s">
        <v>111</v>
      </c>
      <c r="D512" s="80" t="s">
        <v>145</v>
      </c>
      <c r="E512" s="83" t="s">
        <v>38</v>
      </c>
      <c r="F512" s="82">
        <f>F513</f>
        <v>85923430</v>
      </c>
      <c r="G512" s="82">
        <f>G513</f>
        <v>90848135</v>
      </c>
    </row>
    <row r="513" spans="1:8" s="163" customFormat="1" ht="24.8" customHeight="1" outlineLevel="7" x14ac:dyDescent="0.3">
      <c r="A513" s="81" t="s">
        <v>74</v>
      </c>
      <c r="B513" s="80" t="s">
        <v>536</v>
      </c>
      <c r="C513" s="80" t="s">
        <v>111</v>
      </c>
      <c r="D513" s="80" t="s">
        <v>145</v>
      </c>
      <c r="E513" s="83" t="s">
        <v>75</v>
      </c>
      <c r="F513" s="53">
        <v>85923430</v>
      </c>
      <c r="G513" s="53">
        <v>90848135</v>
      </c>
    </row>
    <row r="514" spans="1:8" s="163" customFormat="1" ht="36.700000000000003" outlineLevel="7" x14ac:dyDescent="0.25">
      <c r="A514" s="113" t="s">
        <v>203</v>
      </c>
      <c r="B514" s="80" t="s">
        <v>536</v>
      </c>
      <c r="C514" s="80" t="s">
        <v>111</v>
      </c>
      <c r="D514" s="80" t="s">
        <v>221</v>
      </c>
      <c r="E514" s="83" t="s">
        <v>6</v>
      </c>
      <c r="F514" s="98">
        <f>F533+F515+F518+F521+F524</f>
        <v>2407483.4</v>
      </c>
      <c r="G514" s="98">
        <f>G533+G515+G518+G521+G524</f>
        <v>549500</v>
      </c>
    </row>
    <row r="515" spans="1:8" s="163" customFormat="1" ht="39.75" customHeight="1" outlineLevel="7" x14ac:dyDescent="0.25">
      <c r="A515" s="81" t="s">
        <v>282</v>
      </c>
      <c r="B515" s="80" t="s">
        <v>536</v>
      </c>
      <c r="C515" s="80" t="s">
        <v>111</v>
      </c>
      <c r="D515" s="80" t="s">
        <v>283</v>
      </c>
      <c r="E515" s="83" t="s">
        <v>6</v>
      </c>
      <c r="F515" s="98">
        <f>F516</f>
        <v>97500</v>
      </c>
      <c r="G515" s="98">
        <f>G516</f>
        <v>97500</v>
      </c>
    </row>
    <row r="516" spans="1:8" s="163" customFormat="1" ht="0.7" customHeight="1" outlineLevel="7" x14ac:dyDescent="0.25">
      <c r="A516" s="81" t="s">
        <v>37</v>
      </c>
      <c r="B516" s="80" t="s">
        <v>536</v>
      </c>
      <c r="C516" s="80" t="s">
        <v>111</v>
      </c>
      <c r="D516" s="80" t="s">
        <v>283</v>
      </c>
      <c r="E516" s="83" t="s">
        <v>38</v>
      </c>
      <c r="F516" s="98">
        <f>F517</f>
        <v>97500</v>
      </c>
      <c r="G516" s="98">
        <f>G517</f>
        <v>97500</v>
      </c>
    </row>
    <row r="517" spans="1:8" s="163" customFormat="1" outlineLevel="7" x14ac:dyDescent="0.25">
      <c r="A517" s="81" t="s">
        <v>74</v>
      </c>
      <c r="B517" s="80" t="s">
        <v>536</v>
      </c>
      <c r="C517" s="80" t="s">
        <v>111</v>
      </c>
      <c r="D517" s="80" t="s">
        <v>283</v>
      </c>
      <c r="E517" s="83" t="s">
        <v>75</v>
      </c>
      <c r="F517" s="98">
        <v>97500</v>
      </c>
      <c r="G517" s="98">
        <v>97500</v>
      </c>
    </row>
    <row r="518" spans="1:8" s="163" customFormat="1" ht="36.700000000000003" outlineLevel="7" x14ac:dyDescent="0.25">
      <c r="A518" s="81" t="s">
        <v>268</v>
      </c>
      <c r="B518" s="80" t="s">
        <v>536</v>
      </c>
      <c r="C518" s="80" t="s">
        <v>111</v>
      </c>
      <c r="D518" s="80" t="s">
        <v>284</v>
      </c>
      <c r="E518" s="83" t="s">
        <v>6</v>
      </c>
      <c r="F518" s="131">
        <f>F519</f>
        <v>152000</v>
      </c>
      <c r="G518" s="131">
        <f>G519</f>
        <v>152000</v>
      </c>
    </row>
    <row r="519" spans="1:8" s="163" customFormat="1" ht="36.700000000000003" outlineLevel="7" x14ac:dyDescent="0.25">
      <c r="A519" s="81" t="s">
        <v>37</v>
      </c>
      <c r="B519" s="80" t="s">
        <v>536</v>
      </c>
      <c r="C519" s="80" t="s">
        <v>111</v>
      </c>
      <c r="D519" s="80" t="s">
        <v>284</v>
      </c>
      <c r="E519" s="83" t="s">
        <v>38</v>
      </c>
      <c r="F519" s="131">
        <f>F520</f>
        <v>152000</v>
      </c>
      <c r="G519" s="131">
        <f>G520</f>
        <v>152000</v>
      </c>
    </row>
    <row r="520" spans="1:8" s="163" customFormat="1" outlineLevel="7" x14ac:dyDescent="0.25">
      <c r="A520" s="81" t="s">
        <v>74</v>
      </c>
      <c r="B520" s="80" t="s">
        <v>536</v>
      </c>
      <c r="C520" s="80" t="s">
        <v>111</v>
      </c>
      <c r="D520" s="80" t="s">
        <v>284</v>
      </c>
      <c r="E520" s="83" t="s">
        <v>75</v>
      </c>
      <c r="F520" s="98">
        <v>152000</v>
      </c>
      <c r="G520" s="98">
        <v>152000</v>
      </c>
    </row>
    <row r="521" spans="1:8" s="163" customFormat="1" outlineLevel="7" x14ac:dyDescent="0.25">
      <c r="A521" s="81" t="s">
        <v>311</v>
      </c>
      <c r="B521" s="80" t="s">
        <v>536</v>
      </c>
      <c r="C521" s="80" t="s">
        <v>111</v>
      </c>
      <c r="D521" s="80" t="s">
        <v>534</v>
      </c>
      <c r="E521" s="80" t="s">
        <v>6</v>
      </c>
      <c r="F521" s="98">
        <f>F522</f>
        <v>400000</v>
      </c>
      <c r="G521" s="98">
        <f>G522</f>
        <v>200000</v>
      </c>
    </row>
    <row r="522" spans="1:8" s="163" customFormat="1" ht="36.700000000000003" outlineLevel="7" x14ac:dyDescent="0.25">
      <c r="A522" s="81" t="s">
        <v>37</v>
      </c>
      <c r="B522" s="80" t="s">
        <v>536</v>
      </c>
      <c r="C522" s="80" t="s">
        <v>111</v>
      </c>
      <c r="D522" s="80" t="s">
        <v>534</v>
      </c>
      <c r="E522" s="80" t="s">
        <v>38</v>
      </c>
      <c r="F522" s="98">
        <f>F523</f>
        <v>400000</v>
      </c>
      <c r="G522" s="98">
        <f>G523</f>
        <v>200000</v>
      </c>
    </row>
    <row r="523" spans="1:8" outlineLevel="7" x14ac:dyDescent="0.25">
      <c r="A523" s="81" t="s">
        <v>74</v>
      </c>
      <c r="B523" s="80" t="s">
        <v>536</v>
      </c>
      <c r="C523" s="80" t="s">
        <v>111</v>
      </c>
      <c r="D523" s="80" t="s">
        <v>534</v>
      </c>
      <c r="E523" s="80" t="s">
        <v>75</v>
      </c>
      <c r="F523" s="98">
        <v>400000</v>
      </c>
      <c r="G523" s="98">
        <v>200000</v>
      </c>
    </row>
    <row r="524" spans="1:8" ht="55.05" outlineLevel="7" x14ac:dyDescent="0.25">
      <c r="A524" s="113" t="s">
        <v>458</v>
      </c>
      <c r="B524" s="80" t="s">
        <v>536</v>
      </c>
      <c r="C524" s="80" t="s">
        <v>111</v>
      </c>
      <c r="D524" s="80" t="s">
        <v>459</v>
      </c>
      <c r="E524" s="80" t="s">
        <v>6</v>
      </c>
      <c r="F524" s="98">
        <f>F525</f>
        <v>1400000</v>
      </c>
      <c r="G524" s="98">
        <f>G525</f>
        <v>100000</v>
      </c>
    </row>
    <row r="525" spans="1:8" ht="36.700000000000003" outlineLevel="7" x14ac:dyDescent="0.25">
      <c r="A525" s="81" t="s">
        <v>37</v>
      </c>
      <c r="B525" s="80" t="s">
        <v>536</v>
      </c>
      <c r="C525" s="80" t="s">
        <v>111</v>
      </c>
      <c r="D525" s="80" t="s">
        <v>459</v>
      </c>
      <c r="E525" s="80" t="s">
        <v>38</v>
      </c>
      <c r="F525" s="98">
        <f>F526</f>
        <v>1400000</v>
      </c>
      <c r="G525" s="98">
        <f>G526</f>
        <v>100000</v>
      </c>
    </row>
    <row r="526" spans="1:8" ht="18.7" customHeight="1" outlineLevel="2" x14ac:dyDescent="0.25">
      <c r="A526" s="81" t="s">
        <v>74</v>
      </c>
      <c r="B526" s="80" t="s">
        <v>536</v>
      </c>
      <c r="C526" s="80" t="s">
        <v>111</v>
      </c>
      <c r="D526" s="80" t="s">
        <v>459</v>
      </c>
      <c r="E526" s="80" t="s">
        <v>75</v>
      </c>
      <c r="F526" s="98">
        <v>1400000</v>
      </c>
      <c r="G526" s="98">
        <v>100000</v>
      </c>
    </row>
    <row r="527" spans="1:8" s="172" customFormat="1" ht="21.25" customHeight="1" outlineLevel="3" x14ac:dyDescent="0.25">
      <c r="A527" s="81" t="s">
        <v>725</v>
      </c>
      <c r="B527" s="80" t="s">
        <v>536</v>
      </c>
      <c r="C527" s="80" t="s">
        <v>111</v>
      </c>
      <c r="D527" s="80" t="s">
        <v>726</v>
      </c>
      <c r="E527" s="80" t="s">
        <v>6</v>
      </c>
      <c r="F527" s="98">
        <f>F528</f>
        <v>0</v>
      </c>
      <c r="G527" s="98">
        <f>G528</f>
        <v>0</v>
      </c>
      <c r="H527" s="171"/>
    </row>
    <row r="528" spans="1:8" ht="28.55" customHeight="1" outlineLevel="4" x14ac:dyDescent="0.25">
      <c r="A528" s="81" t="s">
        <v>37</v>
      </c>
      <c r="B528" s="80" t="s">
        <v>536</v>
      </c>
      <c r="C528" s="80" t="s">
        <v>111</v>
      </c>
      <c r="D528" s="80" t="s">
        <v>726</v>
      </c>
      <c r="E528" s="80" t="s">
        <v>38</v>
      </c>
      <c r="F528" s="98">
        <f>F529</f>
        <v>0</v>
      </c>
      <c r="G528" s="98">
        <f>G529</f>
        <v>0</v>
      </c>
    </row>
    <row r="529" spans="1:7" ht="20.25" customHeight="1" outlineLevel="4" x14ac:dyDescent="0.25">
      <c r="A529" s="81" t="s">
        <v>74</v>
      </c>
      <c r="B529" s="80" t="s">
        <v>536</v>
      </c>
      <c r="C529" s="80" t="s">
        <v>111</v>
      </c>
      <c r="D529" s="80" t="s">
        <v>726</v>
      </c>
      <c r="E529" s="80" t="s">
        <v>75</v>
      </c>
      <c r="F529" s="98">
        <v>0</v>
      </c>
      <c r="G529" s="98"/>
    </row>
    <row r="530" spans="1:7" ht="83.25" customHeight="1" outlineLevel="4" x14ac:dyDescent="0.25">
      <c r="A530" s="100" t="s">
        <v>589</v>
      </c>
      <c r="B530" s="80" t="s">
        <v>536</v>
      </c>
      <c r="C530" s="80" t="s">
        <v>111</v>
      </c>
      <c r="D530" s="80" t="s">
        <v>590</v>
      </c>
      <c r="E530" s="80" t="s">
        <v>6</v>
      </c>
      <c r="F530" s="98">
        <f>F531</f>
        <v>0</v>
      </c>
      <c r="G530" s="98">
        <f>G531</f>
        <v>0</v>
      </c>
    </row>
    <row r="531" spans="1:7" ht="36.700000000000003" outlineLevel="4" x14ac:dyDescent="0.25">
      <c r="A531" s="81" t="s">
        <v>37</v>
      </c>
      <c r="B531" s="80" t="s">
        <v>536</v>
      </c>
      <c r="C531" s="80" t="s">
        <v>111</v>
      </c>
      <c r="D531" s="80" t="s">
        <v>590</v>
      </c>
      <c r="E531" s="80" t="s">
        <v>38</v>
      </c>
      <c r="F531" s="98">
        <f>F532</f>
        <v>0</v>
      </c>
      <c r="G531" s="98">
        <f>G532</f>
        <v>0</v>
      </c>
    </row>
    <row r="532" spans="1:7" outlineLevel="4" x14ac:dyDescent="0.25">
      <c r="A532" s="81" t="s">
        <v>74</v>
      </c>
      <c r="B532" s="80" t="s">
        <v>536</v>
      </c>
      <c r="C532" s="80" t="s">
        <v>111</v>
      </c>
      <c r="D532" s="80" t="s">
        <v>590</v>
      </c>
      <c r="E532" s="80" t="s">
        <v>75</v>
      </c>
      <c r="F532" s="98">
        <v>0</v>
      </c>
      <c r="G532" s="98">
        <v>0</v>
      </c>
    </row>
    <row r="533" spans="1:7" ht="64.2" customHeight="1" outlineLevel="5" x14ac:dyDescent="0.25">
      <c r="A533" s="81" t="s">
        <v>443</v>
      </c>
      <c r="B533" s="80" t="s">
        <v>536</v>
      </c>
      <c r="C533" s="80" t="s">
        <v>111</v>
      </c>
      <c r="D533" s="80" t="s">
        <v>444</v>
      </c>
      <c r="E533" s="83" t="s">
        <v>6</v>
      </c>
      <c r="F533" s="131">
        <f>F534</f>
        <v>357983.4</v>
      </c>
      <c r="G533" s="131">
        <f>G534</f>
        <v>0</v>
      </c>
    </row>
    <row r="534" spans="1:7" ht="36.700000000000003" customHeight="1" outlineLevel="6" x14ac:dyDescent="0.25">
      <c r="A534" s="81" t="s">
        <v>37</v>
      </c>
      <c r="B534" s="80" t="s">
        <v>536</v>
      </c>
      <c r="C534" s="80" t="s">
        <v>111</v>
      </c>
      <c r="D534" s="80" t="s">
        <v>444</v>
      </c>
      <c r="E534" s="83" t="s">
        <v>38</v>
      </c>
      <c r="F534" s="131">
        <f>F535</f>
        <v>357983.4</v>
      </c>
      <c r="G534" s="131">
        <f>G535</f>
        <v>0</v>
      </c>
    </row>
    <row r="535" spans="1:7" ht="27.2" customHeight="1" outlineLevel="7" x14ac:dyDescent="0.25">
      <c r="A535" s="81" t="s">
        <v>74</v>
      </c>
      <c r="B535" s="80" t="s">
        <v>536</v>
      </c>
      <c r="C535" s="80" t="s">
        <v>111</v>
      </c>
      <c r="D535" s="80" t="s">
        <v>444</v>
      </c>
      <c r="E535" s="83" t="s">
        <v>75</v>
      </c>
      <c r="F535" s="98">
        <v>357983.4</v>
      </c>
      <c r="G535" s="98"/>
    </row>
    <row r="536" spans="1:7" ht="25.15" customHeight="1" outlineLevel="5" x14ac:dyDescent="0.25">
      <c r="A536" s="114" t="s">
        <v>591</v>
      </c>
      <c r="B536" s="80" t="s">
        <v>536</v>
      </c>
      <c r="C536" s="80" t="s">
        <v>111</v>
      </c>
      <c r="D536" s="80" t="s">
        <v>592</v>
      </c>
      <c r="E536" s="80" t="s">
        <v>6</v>
      </c>
      <c r="F536" s="98">
        <f t="shared" ref="F536:G538" si="33">F537</f>
        <v>0</v>
      </c>
      <c r="G536" s="98">
        <f t="shared" si="33"/>
        <v>0</v>
      </c>
    </row>
    <row r="537" spans="1:7" ht="23.8" customHeight="1" outlineLevel="5" x14ac:dyDescent="0.25">
      <c r="A537" s="113" t="s">
        <v>562</v>
      </c>
      <c r="B537" s="80" t="s">
        <v>536</v>
      </c>
      <c r="C537" s="80" t="s">
        <v>111</v>
      </c>
      <c r="D537" s="80" t="s">
        <v>675</v>
      </c>
      <c r="E537" s="80" t="s">
        <v>6</v>
      </c>
      <c r="F537" s="98">
        <f t="shared" si="33"/>
        <v>0</v>
      </c>
      <c r="G537" s="98">
        <f t="shared" si="33"/>
        <v>0</v>
      </c>
    </row>
    <row r="538" spans="1:7" ht="39.75" customHeight="1" outlineLevel="5" x14ac:dyDescent="0.25">
      <c r="A538" s="81" t="s">
        <v>264</v>
      </c>
      <c r="B538" s="80" t="s">
        <v>536</v>
      </c>
      <c r="C538" s="80" t="s">
        <v>111</v>
      </c>
      <c r="D538" s="80" t="s">
        <v>675</v>
      </c>
      <c r="E538" s="80" t="s">
        <v>265</v>
      </c>
      <c r="F538" s="98">
        <f t="shared" si="33"/>
        <v>0</v>
      </c>
      <c r="G538" s="98">
        <f t="shared" si="33"/>
        <v>0</v>
      </c>
    </row>
    <row r="539" spans="1:7" s="163" customFormat="1" ht="4.75" customHeight="1" outlineLevel="5" x14ac:dyDescent="0.25">
      <c r="A539" s="81" t="s">
        <v>266</v>
      </c>
      <c r="B539" s="80" t="s">
        <v>536</v>
      </c>
      <c r="C539" s="80" t="s">
        <v>111</v>
      </c>
      <c r="D539" s="80" t="s">
        <v>675</v>
      </c>
      <c r="E539" s="80" t="s">
        <v>267</v>
      </c>
      <c r="F539" s="98">
        <v>0</v>
      </c>
      <c r="G539" s="98">
        <v>0</v>
      </c>
    </row>
    <row r="540" spans="1:7" s="163" customFormat="1" outlineLevel="5" x14ac:dyDescent="0.25">
      <c r="A540" s="81" t="s">
        <v>71</v>
      </c>
      <c r="B540" s="80" t="s">
        <v>536</v>
      </c>
      <c r="C540" s="80" t="s">
        <v>72</v>
      </c>
      <c r="D540" s="80" t="s">
        <v>126</v>
      </c>
      <c r="E540" s="83" t="s">
        <v>6</v>
      </c>
      <c r="F540" s="82">
        <f>F541</f>
        <v>391756723.39999998</v>
      </c>
      <c r="G540" s="82">
        <f>G541</f>
        <v>410357303.31</v>
      </c>
    </row>
    <row r="541" spans="1:7" s="163" customFormat="1" ht="55.05" outlineLevel="5" x14ac:dyDescent="0.25">
      <c r="A541" s="109" t="s">
        <v>825</v>
      </c>
      <c r="B541" s="110" t="s">
        <v>536</v>
      </c>
      <c r="C541" s="110" t="s">
        <v>72</v>
      </c>
      <c r="D541" s="110" t="s">
        <v>138</v>
      </c>
      <c r="E541" s="111" t="s">
        <v>6</v>
      </c>
      <c r="F541" s="85">
        <f>F542</f>
        <v>391756723.39999998</v>
      </c>
      <c r="G541" s="85">
        <f>G542</f>
        <v>410357303.31</v>
      </c>
    </row>
    <row r="542" spans="1:7" s="163" customFormat="1" ht="58.75" customHeight="1" outlineLevel="5" x14ac:dyDescent="0.25">
      <c r="A542" s="81" t="s">
        <v>831</v>
      </c>
      <c r="B542" s="80" t="s">
        <v>536</v>
      </c>
      <c r="C542" s="80" t="s">
        <v>72</v>
      </c>
      <c r="D542" s="80" t="s">
        <v>146</v>
      </c>
      <c r="E542" s="83" t="s">
        <v>6</v>
      </c>
      <c r="F542" s="82">
        <f>F543+F556+F572+F576</f>
        <v>391756723.39999998</v>
      </c>
      <c r="G542" s="82">
        <f>G543+G556+G572+G576</f>
        <v>410357303.31</v>
      </c>
    </row>
    <row r="543" spans="1:7" s="163" customFormat="1" ht="55.05" outlineLevel="5" x14ac:dyDescent="0.25">
      <c r="A543" s="113" t="s">
        <v>205</v>
      </c>
      <c r="B543" s="80" t="s">
        <v>536</v>
      </c>
      <c r="C543" s="80" t="s">
        <v>72</v>
      </c>
      <c r="D543" s="80" t="s">
        <v>222</v>
      </c>
      <c r="E543" s="83" t="s">
        <v>6</v>
      </c>
      <c r="F543" s="82">
        <f>F544+F547+F550+F553</f>
        <v>380525659.37</v>
      </c>
      <c r="G543" s="82">
        <f>G544+G547+G550+G553</f>
        <v>400929643</v>
      </c>
    </row>
    <row r="544" spans="1:7" s="163" customFormat="1" ht="73.400000000000006" outlineLevel="5" x14ac:dyDescent="0.25">
      <c r="A544" s="25" t="s">
        <v>593</v>
      </c>
      <c r="B544" s="80" t="s">
        <v>536</v>
      </c>
      <c r="C544" s="80" t="s">
        <v>72</v>
      </c>
      <c r="D544" s="80" t="s">
        <v>594</v>
      </c>
      <c r="E544" s="83" t="s">
        <v>6</v>
      </c>
      <c r="F544" s="82">
        <f>F545</f>
        <v>20475000</v>
      </c>
      <c r="G544" s="82">
        <f>G545</f>
        <v>23400000</v>
      </c>
    </row>
    <row r="545" spans="1:7" s="163" customFormat="1" ht="36.700000000000003" outlineLevel="5" x14ac:dyDescent="0.25">
      <c r="A545" s="81" t="s">
        <v>37</v>
      </c>
      <c r="B545" s="80" t="s">
        <v>536</v>
      </c>
      <c r="C545" s="80" t="s">
        <v>72</v>
      </c>
      <c r="D545" s="80" t="s">
        <v>594</v>
      </c>
      <c r="E545" s="83" t="s">
        <v>38</v>
      </c>
      <c r="F545" s="82">
        <f>F546</f>
        <v>20475000</v>
      </c>
      <c r="G545" s="82">
        <f>G546</f>
        <v>23400000</v>
      </c>
    </row>
    <row r="546" spans="1:7" s="163" customFormat="1" outlineLevel="5" x14ac:dyDescent="0.25">
      <c r="A546" s="81" t="s">
        <v>74</v>
      </c>
      <c r="B546" s="80" t="s">
        <v>536</v>
      </c>
      <c r="C546" s="80" t="s">
        <v>72</v>
      </c>
      <c r="D546" s="80" t="s">
        <v>594</v>
      </c>
      <c r="E546" s="83" t="s">
        <v>75</v>
      </c>
      <c r="F546" s="82">
        <v>20475000</v>
      </c>
      <c r="G546" s="82">
        <f>20475000+2925000</f>
        <v>23400000</v>
      </c>
    </row>
    <row r="547" spans="1:7" s="163" customFormat="1" ht="55.05" outlineLevel="5" x14ac:dyDescent="0.25">
      <c r="A547" s="81" t="s">
        <v>114</v>
      </c>
      <c r="B547" s="80" t="s">
        <v>536</v>
      </c>
      <c r="C547" s="80" t="s">
        <v>72</v>
      </c>
      <c r="D547" s="80" t="s">
        <v>147</v>
      </c>
      <c r="E547" s="83" t="s">
        <v>6</v>
      </c>
      <c r="F547" s="82">
        <f>F548</f>
        <v>95919169.370000005</v>
      </c>
      <c r="G547" s="82">
        <f>G548</f>
        <v>98303417</v>
      </c>
    </row>
    <row r="548" spans="1:7" s="163" customFormat="1" ht="36.700000000000003" outlineLevel="5" x14ac:dyDescent="0.25">
      <c r="A548" s="81" t="s">
        <v>37</v>
      </c>
      <c r="B548" s="80" t="s">
        <v>536</v>
      </c>
      <c r="C548" s="80" t="s">
        <v>72</v>
      </c>
      <c r="D548" s="80" t="s">
        <v>147</v>
      </c>
      <c r="E548" s="83" t="s">
        <v>38</v>
      </c>
      <c r="F548" s="82">
        <f>F549</f>
        <v>95919169.370000005</v>
      </c>
      <c r="G548" s="82">
        <f>G549</f>
        <v>98303417</v>
      </c>
    </row>
    <row r="549" spans="1:7" s="163" customFormat="1" outlineLevel="5" x14ac:dyDescent="0.3">
      <c r="A549" s="81" t="s">
        <v>74</v>
      </c>
      <c r="B549" s="80" t="s">
        <v>536</v>
      </c>
      <c r="C549" s="80" t="s">
        <v>72</v>
      </c>
      <c r="D549" s="80" t="s">
        <v>147</v>
      </c>
      <c r="E549" s="83" t="s">
        <v>75</v>
      </c>
      <c r="F549" s="53">
        <f>98708879.17-1327506.08-1103403.72-358800</f>
        <v>95919169.370000005</v>
      </c>
      <c r="G549" s="53">
        <v>98303417</v>
      </c>
    </row>
    <row r="550" spans="1:7" s="163" customFormat="1" ht="146.75" outlineLevel="5" x14ac:dyDescent="0.25">
      <c r="A550" s="113" t="s">
        <v>400</v>
      </c>
      <c r="B550" s="80" t="s">
        <v>536</v>
      </c>
      <c r="C550" s="80" t="s">
        <v>72</v>
      </c>
      <c r="D550" s="80" t="s">
        <v>148</v>
      </c>
      <c r="E550" s="83" t="s">
        <v>6</v>
      </c>
      <c r="F550" s="82">
        <f>F551</f>
        <v>253254890</v>
      </c>
      <c r="G550" s="82">
        <f>G551</f>
        <v>268349626</v>
      </c>
    </row>
    <row r="551" spans="1:7" s="163" customFormat="1" ht="36.700000000000003" outlineLevel="5" x14ac:dyDescent="0.25">
      <c r="A551" s="81" t="s">
        <v>37</v>
      </c>
      <c r="B551" s="80" t="s">
        <v>536</v>
      </c>
      <c r="C551" s="80" t="s">
        <v>72</v>
      </c>
      <c r="D551" s="80" t="s">
        <v>148</v>
      </c>
      <c r="E551" s="83" t="s">
        <v>38</v>
      </c>
      <c r="F551" s="82">
        <f>F552</f>
        <v>253254890</v>
      </c>
      <c r="G551" s="82">
        <f>G552</f>
        <v>268349626</v>
      </c>
    </row>
    <row r="552" spans="1:7" s="163" customFormat="1" outlineLevel="5" x14ac:dyDescent="0.25">
      <c r="A552" s="81" t="s">
        <v>74</v>
      </c>
      <c r="B552" s="80" t="s">
        <v>536</v>
      </c>
      <c r="C552" s="80" t="s">
        <v>72</v>
      </c>
      <c r="D552" s="80" t="s">
        <v>148</v>
      </c>
      <c r="E552" s="83" t="s">
        <v>75</v>
      </c>
      <c r="F552" s="98">
        <v>253254890</v>
      </c>
      <c r="G552" s="98">
        <v>268349626</v>
      </c>
    </row>
    <row r="553" spans="1:7" s="163" customFormat="1" ht="146.75" outlineLevel="5" x14ac:dyDescent="0.25">
      <c r="A553" s="25" t="s">
        <v>470</v>
      </c>
      <c r="B553" s="80" t="s">
        <v>536</v>
      </c>
      <c r="C553" s="80" t="s">
        <v>72</v>
      </c>
      <c r="D553" s="80" t="s">
        <v>922</v>
      </c>
      <c r="E553" s="83" t="s">
        <v>6</v>
      </c>
      <c r="F553" s="98">
        <f>F554</f>
        <v>10876600</v>
      </c>
      <c r="G553" s="98">
        <f>G554</f>
        <v>10876600</v>
      </c>
    </row>
    <row r="554" spans="1:7" s="163" customFormat="1" ht="36.700000000000003" outlineLevel="5" x14ac:dyDescent="0.25">
      <c r="A554" s="81" t="s">
        <v>37</v>
      </c>
      <c r="B554" s="80" t="s">
        <v>536</v>
      </c>
      <c r="C554" s="80" t="s">
        <v>72</v>
      </c>
      <c r="D554" s="80" t="s">
        <v>922</v>
      </c>
      <c r="E554" s="83" t="s">
        <v>38</v>
      </c>
      <c r="F554" s="98">
        <f>F555</f>
        <v>10876600</v>
      </c>
      <c r="G554" s="98">
        <f>G555</f>
        <v>10876600</v>
      </c>
    </row>
    <row r="555" spans="1:7" outlineLevel="5" x14ac:dyDescent="0.25">
      <c r="A555" s="81" t="s">
        <v>74</v>
      </c>
      <c r="B555" s="80" t="s">
        <v>536</v>
      </c>
      <c r="C555" s="80" t="s">
        <v>72</v>
      </c>
      <c r="D555" s="80" t="s">
        <v>922</v>
      </c>
      <c r="E555" s="83" t="s">
        <v>75</v>
      </c>
      <c r="F555" s="98">
        <v>10876600</v>
      </c>
      <c r="G555" s="98">
        <v>10876600</v>
      </c>
    </row>
    <row r="556" spans="1:7" ht="36.700000000000003" outlineLevel="5" x14ac:dyDescent="0.25">
      <c r="A556" s="113" t="s">
        <v>206</v>
      </c>
      <c r="B556" s="80" t="s">
        <v>536</v>
      </c>
      <c r="C556" s="80" t="s">
        <v>72</v>
      </c>
      <c r="D556" s="80" t="s">
        <v>220</v>
      </c>
      <c r="E556" s="83" t="s">
        <v>6</v>
      </c>
      <c r="F556" s="98">
        <f>F569+F557+F560+F566+F563</f>
        <v>2356579.52</v>
      </c>
      <c r="G556" s="98">
        <f>G569+G557+G560+G566+G563</f>
        <v>662800</v>
      </c>
    </row>
    <row r="557" spans="1:7" ht="36.700000000000003" outlineLevel="5" x14ac:dyDescent="0.25">
      <c r="A557" s="81" t="s">
        <v>268</v>
      </c>
      <c r="B557" s="80" t="s">
        <v>536</v>
      </c>
      <c r="C557" s="80" t="s">
        <v>72</v>
      </c>
      <c r="D557" s="80" t="s">
        <v>269</v>
      </c>
      <c r="E557" s="83" t="s">
        <v>6</v>
      </c>
      <c r="F557" s="131">
        <f>F558</f>
        <v>212800</v>
      </c>
      <c r="G557" s="131">
        <f>G558</f>
        <v>212800</v>
      </c>
    </row>
    <row r="558" spans="1:7" ht="36.700000000000003" outlineLevel="5" x14ac:dyDescent="0.25">
      <c r="A558" s="81" t="s">
        <v>37</v>
      </c>
      <c r="B558" s="80" t="s">
        <v>536</v>
      </c>
      <c r="C558" s="80" t="s">
        <v>72</v>
      </c>
      <c r="D558" s="80" t="s">
        <v>269</v>
      </c>
      <c r="E558" s="83" t="s">
        <v>38</v>
      </c>
      <c r="F558" s="131">
        <f>F559</f>
        <v>212800</v>
      </c>
      <c r="G558" s="131">
        <f>G559</f>
        <v>212800</v>
      </c>
    </row>
    <row r="559" spans="1:7" outlineLevel="5" x14ac:dyDescent="0.25">
      <c r="A559" s="81" t="s">
        <v>74</v>
      </c>
      <c r="B559" s="80" t="s">
        <v>536</v>
      </c>
      <c r="C559" s="80" t="s">
        <v>72</v>
      </c>
      <c r="D559" s="80" t="s">
        <v>269</v>
      </c>
      <c r="E559" s="83" t="s">
        <v>75</v>
      </c>
      <c r="F559" s="98">
        <v>212800</v>
      </c>
      <c r="G559" s="98">
        <v>212800</v>
      </c>
    </row>
    <row r="560" spans="1:7" outlineLevel="5" x14ac:dyDescent="0.25">
      <c r="A560" s="134" t="s">
        <v>311</v>
      </c>
      <c r="B560" s="80" t="s">
        <v>536</v>
      </c>
      <c r="C560" s="80" t="s">
        <v>72</v>
      </c>
      <c r="D560" s="80" t="s">
        <v>312</v>
      </c>
      <c r="E560" s="83" t="s">
        <v>6</v>
      </c>
      <c r="F560" s="131">
        <f>F561</f>
        <v>350000</v>
      </c>
      <c r="G560" s="131">
        <f>G561</f>
        <v>350000</v>
      </c>
    </row>
    <row r="561" spans="1:8" ht="36.700000000000003" outlineLevel="5" x14ac:dyDescent="0.25">
      <c r="A561" s="81" t="s">
        <v>37</v>
      </c>
      <c r="B561" s="80" t="s">
        <v>536</v>
      </c>
      <c r="C561" s="80" t="s">
        <v>72</v>
      </c>
      <c r="D561" s="80" t="s">
        <v>312</v>
      </c>
      <c r="E561" s="83" t="s">
        <v>38</v>
      </c>
      <c r="F561" s="131">
        <f>F562</f>
        <v>350000</v>
      </c>
      <c r="G561" s="131">
        <f>G562</f>
        <v>350000</v>
      </c>
    </row>
    <row r="562" spans="1:8" outlineLevel="5" x14ac:dyDescent="0.25">
      <c r="A562" s="81" t="s">
        <v>74</v>
      </c>
      <c r="B562" s="80" t="s">
        <v>536</v>
      </c>
      <c r="C562" s="80" t="s">
        <v>72</v>
      </c>
      <c r="D562" s="80" t="s">
        <v>312</v>
      </c>
      <c r="E562" s="83" t="s">
        <v>75</v>
      </c>
      <c r="F562" s="98">
        <v>350000</v>
      </c>
      <c r="G562" s="98">
        <v>350000</v>
      </c>
    </row>
    <row r="563" spans="1:8" ht="39.75" customHeight="1" outlineLevel="5" x14ac:dyDescent="0.25">
      <c r="A563" s="113" t="s">
        <v>458</v>
      </c>
      <c r="B563" s="80" t="s">
        <v>536</v>
      </c>
      <c r="C563" s="80" t="s">
        <v>72</v>
      </c>
      <c r="D563" s="80" t="s">
        <v>720</v>
      </c>
      <c r="E563" s="80" t="s">
        <v>6</v>
      </c>
      <c r="F563" s="98">
        <f>F564</f>
        <v>800000</v>
      </c>
      <c r="G563" s="98">
        <f>G564</f>
        <v>100000</v>
      </c>
    </row>
    <row r="564" spans="1:8" ht="36.700000000000003" outlineLevel="5" x14ac:dyDescent="0.25">
      <c r="A564" s="81" t="s">
        <v>37</v>
      </c>
      <c r="B564" s="80" t="s">
        <v>536</v>
      </c>
      <c r="C564" s="80" t="s">
        <v>72</v>
      </c>
      <c r="D564" s="80" t="s">
        <v>720</v>
      </c>
      <c r="E564" s="80" t="s">
        <v>38</v>
      </c>
      <c r="F564" s="98">
        <f>F565</f>
        <v>800000</v>
      </c>
      <c r="G564" s="98">
        <f>G565</f>
        <v>100000</v>
      </c>
    </row>
    <row r="565" spans="1:8" ht="23.95" customHeight="1" outlineLevel="5" x14ac:dyDescent="0.25">
      <c r="A565" s="81" t="s">
        <v>74</v>
      </c>
      <c r="B565" s="80" t="s">
        <v>536</v>
      </c>
      <c r="C565" s="80" t="s">
        <v>72</v>
      </c>
      <c r="D565" s="80" t="s">
        <v>720</v>
      </c>
      <c r="E565" s="80" t="s">
        <v>75</v>
      </c>
      <c r="F565" s="98">
        <v>800000</v>
      </c>
      <c r="G565" s="98">
        <v>100000</v>
      </c>
    </row>
    <row r="566" spans="1:8" ht="52.3" customHeight="1" outlineLevel="5" x14ac:dyDescent="0.25">
      <c r="A566" s="25" t="s">
        <v>595</v>
      </c>
      <c r="B566" s="80" t="s">
        <v>536</v>
      </c>
      <c r="C566" s="80" t="s">
        <v>72</v>
      </c>
      <c r="D566" s="80" t="s">
        <v>596</v>
      </c>
      <c r="E566" s="80" t="s">
        <v>6</v>
      </c>
      <c r="F566" s="98">
        <f>F567</f>
        <v>0</v>
      </c>
      <c r="G566" s="98">
        <f>G567</f>
        <v>0</v>
      </c>
    </row>
    <row r="567" spans="1:8" s="172" customFormat="1" ht="36.700000000000003" outlineLevel="5" x14ac:dyDescent="0.25">
      <c r="A567" s="81" t="s">
        <v>37</v>
      </c>
      <c r="B567" s="80" t="s">
        <v>536</v>
      </c>
      <c r="C567" s="80" t="s">
        <v>72</v>
      </c>
      <c r="D567" s="80" t="s">
        <v>596</v>
      </c>
      <c r="E567" s="80" t="s">
        <v>38</v>
      </c>
      <c r="F567" s="98">
        <f>F568</f>
        <v>0</v>
      </c>
      <c r="G567" s="98">
        <f>G568</f>
        <v>0</v>
      </c>
      <c r="H567" s="171"/>
    </row>
    <row r="568" spans="1:8" ht="38.25" customHeight="1" outlineLevel="4" x14ac:dyDescent="0.25">
      <c r="A568" s="81" t="s">
        <v>74</v>
      </c>
      <c r="B568" s="80" t="s">
        <v>536</v>
      </c>
      <c r="C568" s="80" t="s">
        <v>72</v>
      </c>
      <c r="D568" s="80" t="s">
        <v>596</v>
      </c>
      <c r="E568" s="80" t="s">
        <v>75</v>
      </c>
      <c r="F568" s="98"/>
      <c r="G568" s="98"/>
    </row>
    <row r="569" spans="1:8" ht="36.700000000000003" outlineLevel="4" x14ac:dyDescent="0.25">
      <c r="A569" s="81" t="s">
        <v>445</v>
      </c>
      <c r="B569" s="80" t="s">
        <v>536</v>
      </c>
      <c r="C569" s="80" t="s">
        <v>72</v>
      </c>
      <c r="D569" s="80" t="s">
        <v>446</v>
      </c>
      <c r="E569" s="83" t="s">
        <v>6</v>
      </c>
      <c r="F569" s="131">
        <f>F570</f>
        <v>993779.52</v>
      </c>
      <c r="G569" s="131">
        <f>G570</f>
        <v>0</v>
      </c>
    </row>
    <row r="570" spans="1:8" ht="36.700000000000003" outlineLevel="5" x14ac:dyDescent="0.25">
      <c r="A570" s="81" t="s">
        <v>37</v>
      </c>
      <c r="B570" s="80" t="s">
        <v>536</v>
      </c>
      <c r="C570" s="80" t="s">
        <v>72</v>
      </c>
      <c r="D570" s="80" t="s">
        <v>446</v>
      </c>
      <c r="E570" s="83" t="s">
        <v>38</v>
      </c>
      <c r="F570" s="131">
        <f>F571</f>
        <v>993779.52</v>
      </c>
      <c r="G570" s="131">
        <f>G571</f>
        <v>0</v>
      </c>
    </row>
    <row r="571" spans="1:8" s="163" customFormat="1" outlineLevel="6" x14ac:dyDescent="0.25">
      <c r="A571" s="81" t="s">
        <v>74</v>
      </c>
      <c r="B571" s="80" t="s">
        <v>536</v>
      </c>
      <c r="C571" s="80" t="s">
        <v>72</v>
      </c>
      <c r="D571" s="80" t="s">
        <v>446</v>
      </c>
      <c r="E571" s="83" t="s">
        <v>75</v>
      </c>
      <c r="F571" s="98">
        <v>993779.52</v>
      </c>
      <c r="G571" s="98"/>
    </row>
    <row r="572" spans="1:8" s="163" customFormat="1" ht="36.700000000000003" outlineLevel="7" x14ac:dyDescent="0.25">
      <c r="A572" s="113" t="s">
        <v>275</v>
      </c>
      <c r="B572" s="80" t="s">
        <v>536</v>
      </c>
      <c r="C572" s="80" t="s">
        <v>72</v>
      </c>
      <c r="D572" s="80" t="s">
        <v>223</v>
      </c>
      <c r="E572" s="83" t="s">
        <v>6</v>
      </c>
      <c r="F572" s="98">
        <f t="shared" ref="F572:G574" si="34">F573</f>
        <v>6188850</v>
      </c>
      <c r="G572" s="98">
        <f t="shared" si="34"/>
        <v>6188850</v>
      </c>
    </row>
    <row r="573" spans="1:8" s="163" customFormat="1" ht="110.05" outlineLevel="7" x14ac:dyDescent="0.25">
      <c r="A573" s="135" t="s">
        <v>658</v>
      </c>
      <c r="B573" s="80" t="s">
        <v>536</v>
      </c>
      <c r="C573" s="80" t="s">
        <v>72</v>
      </c>
      <c r="D573" s="80" t="s">
        <v>659</v>
      </c>
      <c r="E573" s="83" t="s">
        <v>6</v>
      </c>
      <c r="F573" s="98">
        <f t="shared" si="34"/>
        <v>6188850</v>
      </c>
      <c r="G573" s="98">
        <f t="shared" si="34"/>
        <v>6188850</v>
      </c>
    </row>
    <row r="574" spans="1:8" s="163" customFormat="1" ht="36.700000000000003" outlineLevel="7" x14ac:dyDescent="0.25">
      <c r="A574" s="81" t="s">
        <v>37</v>
      </c>
      <c r="B574" s="80" t="s">
        <v>536</v>
      </c>
      <c r="C574" s="80" t="s">
        <v>72</v>
      </c>
      <c r="D574" s="80" t="s">
        <v>659</v>
      </c>
      <c r="E574" s="83" t="s">
        <v>38</v>
      </c>
      <c r="F574" s="98">
        <f t="shared" si="34"/>
        <v>6188850</v>
      </c>
      <c r="G574" s="98">
        <f t="shared" si="34"/>
        <v>6188850</v>
      </c>
    </row>
    <row r="575" spans="1:8" s="163" customFormat="1" ht="17.5" customHeight="1" outlineLevel="7" x14ac:dyDescent="0.25">
      <c r="A575" s="81" t="s">
        <v>74</v>
      </c>
      <c r="B575" s="80" t="s">
        <v>536</v>
      </c>
      <c r="C575" s="80" t="s">
        <v>72</v>
      </c>
      <c r="D575" s="80" t="s">
        <v>659</v>
      </c>
      <c r="E575" s="83" t="s">
        <v>75</v>
      </c>
      <c r="F575" s="98">
        <v>6188850</v>
      </c>
      <c r="G575" s="98">
        <v>6188850</v>
      </c>
    </row>
    <row r="576" spans="1:8" s="163" customFormat="1" ht="18.7" customHeight="1" outlineLevel="7" x14ac:dyDescent="0.25">
      <c r="A576" s="25" t="s">
        <v>468</v>
      </c>
      <c r="B576" s="80" t="s">
        <v>536</v>
      </c>
      <c r="C576" s="80" t="s">
        <v>72</v>
      </c>
      <c r="D576" s="80" t="s">
        <v>313</v>
      </c>
      <c r="E576" s="83" t="s">
        <v>6</v>
      </c>
      <c r="F576" s="98">
        <f t="shared" ref="F576:G578" si="35">F577</f>
        <v>2685634.5100000002</v>
      </c>
      <c r="G576" s="98">
        <f t="shared" si="35"/>
        <v>2576010.31</v>
      </c>
    </row>
    <row r="577" spans="1:8" s="163" customFormat="1" ht="21.25" customHeight="1" outlineLevel="7" x14ac:dyDescent="0.25">
      <c r="A577" s="81" t="s">
        <v>469</v>
      </c>
      <c r="B577" s="80" t="s">
        <v>536</v>
      </c>
      <c r="C577" s="80" t="s">
        <v>72</v>
      </c>
      <c r="D577" s="80" t="s">
        <v>654</v>
      </c>
      <c r="E577" s="83" t="s">
        <v>6</v>
      </c>
      <c r="F577" s="98">
        <f t="shared" si="35"/>
        <v>2685634.5100000002</v>
      </c>
      <c r="G577" s="98">
        <f t="shared" si="35"/>
        <v>2576010.31</v>
      </c>
    </row>
    <row r="578" spans="1:8" s="163" customFormat="1" ht="25.5" customHeight="1" outlineLevel="7" x14ac:dyDescent="0.25">
      <c r="A578" s="81" t="s">
        <v>37</v>
      </c>
      <c r="B578" s="80" t="s">
        <v>536</v>
      </c>
      <c r="C578" s="80" t="s">
        <v>72</v>
      </c>
      <c r="D578" s="80" t="s">
        <v>654</v>
      </c>
      <c r="E578" s="83" t="s">
        <v>38</v>
      </c>
      <c r="F578" s="98">
        <f t="shared" si="35"/>
        <v>2685634.5100000002</v>
      </c>
      <c r="G578" s="98">
        <f t="shared" si="35"/>
        <v>2576010.31</v>
      </c>
    </row>
    <row r="579" spans="1:8" s="163" customFormat="1" ht="21.75" customHeight="1" outlineLevel="7" x14ac:dyDescent="0.25">
      <c r="A579" s="81" t="s">
        <v>74</v>
      </c>
      <c r="B579" s="80" t="s">
        <v>536</v>
      </c>
      <c r="C579" s="80" t="s">
        <v>72</v>
      </c>
      <c r="D579" s="80" t="s">
        <v>654</v>
      </c>
      <c r="E579" s="83" t="s">
        <v>75</v>
      </c>
      <c r="F579" s="98">
        <f>2498730+77280.31+109624.2</f>
        <v>2685634.5100000002</v>
      </c>
      <c r="G579" s="98">
        <v>2576010.31</v>
      </c>
    </row>
    <row r="580" spans="1:8" s="163" customFormat="1" outlineLevel="5" x14ac:dyDescent="0.25">
      <c r="A580" s="81" t="s">
        <v>257</v>
      </c>
      <c r="B580" s="80" t="s">
        <v>536</v>
      </c>
      <c r="C580" s="80" t="s">
        <v>256</v>
      </c>
      <c r="D580" s="80" t="s">
        <v>126</v>
      </c>
      <c r="E580" s="83" t="s">
        <v>6</v>
      </c>
      <c r="F580" s="131">
        <f>F581</f>
        <v>28310464</v>
      </c>
      <c r="G580" s="131">
        <f>G581</f>
        <v>28310467</v>
      </c>
    </row>
    <row r="581" spans="1:8" s="163" customFormat="1" ht="55.05" outlineLevel="6" x14ac:dyDescent="0.25">
      <c r="A581" s="109" t="s">
        <v>825</v>
      </c>
      <c r="B581" s="110" t="s">
        <v>536</v>
      </c>
      <c r="C581" s="110" t="s">
        <v>256</v>
      </c>
      <c r="D581" s="110" t="s">
        <v>138</v>
      </c>
      <c r="E581" s="111" t="s">
        <v>6</v>
      </c>
      <c r="F581" s="133">
        <f>F582</f>
        <v>28310464</v>
      </c>
      <c r="G581" s="133">
        <f>G582</f>
        <v>28310467</v>
      </c>
    </row>
    <row r="582" spans="1:8" s="163" customFormat="1" ht="57.25" customHeight="1" outlineLevel="7" x14ac:dyDescent="0.25">
      <c r="A582" s="81" t="s">
        <v>832</v>
      </c>
      <c r="B582" s="80" t="s">
        <v>536</v>
      </c>
      <c r="C582" s="80" t="s">
        <v>256</v>
      </c>
      <c r="D582" s="80" t="s">
        <v>149</v>
      </c>
      <c r="E582" s="83" t="s">
        <v>6</v>
      </c>
      <c r="F582" s="82">
        <f>F583+F587+F597</f>
        <v>28310464</v>
      </c>
      <c r="G582" s="82">
        <f>G583+G587+G597</f>
        <v>28310467</v>
      </c>
    </row>
    <row r="583" spans="1:8" s="163" customFormat="1" ht="23.3" customHeight="1" outlineLevel="7" x14ac:dyDescent="0.25">
      <c r="A583" s="116" t="s">
        <v>207</v>
      </c>
      <c r="B583" s="80" t="s">
        <v>536</v>
      </c>
      <c r="C583" s="80" t="s">
        <v>256</v>
      </c>
      <c r="D583" s="80" t="s">
        <v>224</v>
      </c>
      <c r="E583" s="83" t="s">
        <v>6</v>
      </c>
      <c r="F583" s="82">
        <f t="shared" ref="F583:G585" si="36">F584</f>
        <v>26996964</v>
      </c>
      <c r="G583" s="82">
        <f t="shared" si="36"/>
        <v>26996967</v>
      </c>
    </row>
    <row r="584" spans="1:8" s="163" customFormat="1" ht="22.75" customHeight="1" outlineLevel="7" x14ac:dyDescent="0.25">
      <c r="A584" s="81" t="s">
        <v>115</v>
      </c>
      <c r="B584" s="80" t="s">
        <v>536</v>
      </c>
      <c r="C584" s="80" t="s">
        <v>256</v>
      </c>
      <c r="D584" s="80" t="s">
        <v>151</v>
      </c>
      <c r="E584" s="83" t="s">
        <v>6</v>
      </c>
      <c r="F584" s="82">
        <f t="shared" si="36"/>
        <v>26996964</v>
      </c>
      <c r="G584" s="82">
        <f t="shared" si="36"/>
        <v>26996967</v>
      </c>
    </row>
    <row r="585" spans="1:8" s="163" customFormat="1" ht="24.8" customHeight="1" outlineLevel="7" x14ac:dyDescent="0.25">
      <c r="A585" s="81" t="s">
        <v>37</v>
      </c>
      <c r="B585" s="80" t="s">
        <v>536</v>
      </c>
      <c r="C585" s="80" t="s">
        <v>256</v>
      </c>
      <c r="D585" s="80" t="s">
        <v>151</v>
      </c>
      <c r="E585" s="83" t="s">
        <v>38</v>
      </c>
      <c r="F585" s="82">
        <f t="shared" si="36"/>
        <v>26996964</v>
      </c>
      <c r="G585" s="82">
        <f t="shared" si="36"/>
        <v>26996967</v>
      </c>
    </row>
    <row r="586" spans="1:8" s="163" customFormat="1" ht="27" customHeight="1" outlineLevel="7" x14ac:dyDescent="0.25">
      <c r="A586" s="81" t="s">
        <v>74</v>
      </c>
      <c r="B586" s="80" t="s">
        <v>536</v>
      </c>
      <c r="C586" s="80" t="s">
        <v>256</v>
      </c>
      <c r="D586" s="80" t="s">
        <v>151</v>
      </c>
      <c r="E586" s="83" t="s">
        <v>75</v>
      </c>
      <c r="F586" s="98">
        <v>26996964</v>
      </c>
      <c r="G586" s="98">
        <v>26996967</v>
      </c>
    </row>
    <row r="587" spans="1:8" ht="42.8" customHeight="1" outlineLevel="7" x14ac:dyDescent="0.25">
      <c r="A587" s="113" t="s">
        <v>402</v>
      </c>
      <c r="B587" s="80" t="s">
        <v>536</v>
      </c>
      <c r="C587" s="80" t="s">
        <v>256</v>
      </c>
      <c r="D587" s="80" t="s">
        <v>225</v>
      </c>
      <c r="E587" s="83" t="s">
        <v>6</v>
      </c>
      <c r="F587" s="98">
        <f>F588+F594</f>
        <v>110500</v>
      </c>
      <c r="G587" s="98">
        <f>G588+G594</f>
        <v>110500</v>
      </c>
    </row>
    <row r="588" spans="1:8" ht="36.700000000000003" outlineLevel="7" x14ac:dyDescent="0.25">
      <c r="A588" s="81" t="s">
        <v>268</v>
      </c>
      <c r="B588" s="80" t="s">
        <v>536</v>
      </c>
      <c r="C588" s="80" t="s">
        <v>256</v>
      </c>
      <c r="D588" s="80" t="s">
        <v>288</v>
      </c>
      <c r="E588" s="83" t="s">
        <v>6</v>
      </c>
      <c r="F588" s="131">
        <f>F589</f>
        <v>25000</v>
      </c>
      <c r="G588" s="131">
        <f>G589</f>
        <v>25000</v>
      </c>
    </row>
    <row r="589" spans="1:8" ht="36.700000000000003" outlineLevel="7" x14ac:dyDescent="0.25">
      <c r="A589" s="81" t="s">
        <v>37</v>
      </c>
      <c r="B589" s="80" t="s">
        <v>536</v>
      </c>
      <c r="C589" s="80" t="s">
        <v>256</v>
      </c>
      <c r="D589" s="80" t="s">
        <v>288</v>
      </c>
      <c r="E589" s="83" t="s">
        <v>38</v>
      </c>
      <c r="F589" s="131">
        <f>F590</f>
        <v>25000</v>
      </c>
      <c r="G589" s="131">
        <f>G590</f>
        <v>25000</v>
      </c>
    </row>
    <row r="590" spans="1:8" ht="18" customHeight="1" outlineLevel="2" x14ac:dyDescent="0.25">
      <c r="A590" s="81" t="s">
        <v>74</v>
      </c>
      <c r="B590" s="80" t="s">
        <v>536</v>
      </c>
      <c r="C590" s="80" t="s">
        <v>256</v>
      </c>
      <c r="D590" s="80" t="s">
        <v>288</v>
      </c>
      <c r="E590" s="83" t="s">
        <v>75</v>
      </c>
      <c r="F590" s="98">
        <v>25000</v>
      </c>
      <c r="G590" s="98">
        <v>25000</v>
      </c>
    </row>
    <row r="591" spans="1:8" s="172" customFormat="1" outlineLevel="3" x14ac:dyDescent="0.25">
      <c r="A591" s="134" t="s">
        <v>311</v>
      </c>
      <c r="B591" s="80" t="s">
        <v>536</v>
      </c>
      <c r="C591" s="80" t="s">
        <v>256</v>
      </c>
      <c r="D591" s="80" t="s">
        <v>735</v>
      </c>
      <c r="E591" s="80" t="s">
        <v>6</v>
      </c>
      <c r="F591" s="98">
        <f>F592</f>
        <v>0</v>
      </c>
      <c r="G591" s="98">
        <f>G592</f>
        <v>0</v>
      </c>
      <c r="H591" s="171"/>
    </row>
    <row r="592" spans="1:8" ht="36.700000000000003" outlineLevel="3" x14ac:dyDescent="0.25">
      <c r="A592" s="81" t="s">
        <v>37</v>
      </c>
      <c r="B592" s="80" t="s">
        <v>536</v>
      </c>
      <c r="C592" s="80" t="s">
        <v>256</v>
      </c>
      <c r="D592" s="80" t="s">
        <v>735</v>
      </c>
      <c r="E592" s="80" t="s">
        <v>38</v>
      </c>
      <c r="F592" s="98">
        <f>F593</f>
        <v>0</v>
      </c>
      <c r="G592" s="98">
        <f>G593</f>
        <v>0</v>
      </c>
    </row>
    <row r="593" spans="1:7" ht="19.55" customHeight="1" outlineLevel="3" x14ac:dyDescent="0.25">
      <c r="A593" s="81" t="s">
        <v>74</v>
      </c>
      <c r="B593" s="80" t="s">
        <v>536</v>
      </c>
      <c r="C593" s="80" t="s">
        <v>256</v>
      </c>
      <c r="D593" s="80" t="s">
        <v>735</v>
      </c>
      <c r="E593" s="80" t="s">
        <v>75</v>
      </c>
      <c r="F593" s="98">
        <v>0</v>
      </c>
      <c r="G593" s="98">
        <v>0</v>
      </c>
    </row>
    <row r="594" spans="1:7" ht="26.5" customHeight="1" outlineLevel="3" x14ac:dyDescent="0.25">
      <c r="A594" s="81" t="s">
        <v>112</v>
      </c>
      <c r="B594" s="80" t="s">
        <v>536</v>
      </c>
      <c r="C594" s="80" t="s">
        <v>256</v>
      </c>
      <c r="D594" s="80" t="s">
        <v>150</v>
      </c>
      <c r="E594" s="83" t="s">
        <v>6</v>
      </c>
      <c r="F594" s="82">
        <f>F595</f>
        <v>85500</v>
      </c>
      <c r="G594" s="82">
        <f>G595</f>
        <v>85500</v>
      </c>
    </row>
    <row r="595" spans="1:7" ht="36.700000000000003" outlineLevel="3" x14ac:dyDescent="0.25">
      <c r="A595" s="81" t="s">
        <v>37</v>
      </c>
      <c r="B595" s="80" t="s">
        <v>536</v>
      </c>
      <c r="C595" s="80" t="s">
        <v>256</v>
      </c>
      <c r="D595" s="80" t="s">
        <v>150</v>
      </c>
      <c r="E595" s="83" t="s">
        <v>38</v>
      </c>
      <c r="F595" s="82">
        <f>F596</f>
        <v>85500</v>
      </c>
      <c r="G595" s="82">
        <f>G596</f>
        <v>85500</v>
      </c>
    </row>
    <row r="596" spans="1:7" ht="21.25" customHeight="1" outlineLevel="3" x14ac:dyDescent="0.25">
      <c r="A596" s="81" t="s">
        <v>74</v>
      </c>
      <c r="B596" s="80" t="s">
        <v>536</v>
      </c>
      <c r="C596" s="80" t="s">
        <v>256</v>
      </c>
      <c r="D596" s="80" t="s">
        <v>150</v>
      </c>
      <c r="E596" s="83" t="s">
        <v>75</v>
      </c>
      <c r="F596" s="98">
        <v>85500</v>
      </c>
      <c r="G596" s="98">
        <v>85500</v>
      </c>
    </row>
    <row r="597" spans="1:7" ht="55.05" outlineLevel="3" x14ac:dyDescent="0.25">
      <c r="A597" s="81" t="s">
        <v>754</v>
      </c>
      <c r="B597" s="80" t="s">
        <v>536</v>
      </c>
      <c r="C597" s="80" t="s">
        <v>256</v>
      </c>
      <c r="D597" s="80" t="s">
        <v>755</v>
      </c>
      <c r="E597" s="80" t="s">
        <v>6</v>
      </c>
      <c r="F597" s="98">
        <f>F598</f>
        <v>1203000</v>
      </c>
      <c r="G597" s="98">
        <f>G598</f>
        <v>1203000</v>
      </c>
    </row>
    <row r="598" spans="1:7" ht="36.700000000000003" outlineLevel="3" x14ac:dyDescent="0.25">
      <c r="A598" s="81" t="s">
        <v>37</v>
      </c>
      <c r="B598" s="80" t="s">
        <v>536</v>
      </c>
      <c r="C598" s="80" t="s">
        <v>256</v>
      </c>
      <c r="D598" s="80" t="s">
        <v>756</v>
      </c>
      <c r="E598" s="80" t="s">
        <v>38</v>
      </c>
      <c r="F598" s="98">
        <f>F599</f>
        <v>1203000</v>
      </c>
      <c r="G598" s="98">
        <f>G599</f>
        <v>1203000</v>
      </c>
    </row>
    <row r="599" spans="1:7" outlineLevel="3" x14ac:dyDescent="0.25">
      <c r="A599" s="81" t="s">
        <v>74</v>
      </c>
      <c r="B599" s="80" t="s">
        <v>536</v>
      </c>
      <c r="C599" s="80" t="s">
        <v>256</v>
      </c>
      <c r="D599" s="80" t="s">
        <v>756</v>
      </c>
      <c r="E599" s="80" t="s">
        <v>75</v>
      </c>
      <c r="F599" s="98">
        <v>1203000</v>
      </c>
      <c r="G599" s="98">
        <v>1203000</v>
      </c>
    </row>
    <row r="600" spans="1:7" ht="55.05" outlineLevel="3" x14ac:dyDescent="0.25">
      <c r="A600" s="113" t="s">
        <v>458</v>
      </c>
      <c r="B600" s="80" t="s">
        <v>536</v>
      </c>
      <c r="C600" s="80" t="s">
        <v>256</v>
      </c>
      <c r="D600" s="80" t="s">
        <v>727</v>
      </c>
      <c r="E600" s="80" t="s">
        <v>6</v>
      </c>
      <c r="F600" s="98">
        <f>F601</f>
        <v>100000</v>
      </c>
      <c r="G600" s="98">
        <f>G601</f>
        <v>100000</v>
      </c>
    </row>
    <row r="601" spans="1:7" ht="36.700000000000003" outlineLevel="3" x14ac:dyDescent="0.25">
      <c r="A601" s="81" t="s">
        <v>37</v>
      </c>
      <c r="B601" s="80" t="s">
        <v>536</v>
      </c>
      <c r="C601" s="80" t="s">
        <v>256</v>
      </c>
      <c r="D601" s="80" t="s">
        <v>727</v>
      </c>
      <c r="E601" s="80" t="s">
        <v>38</v>
      </c>
      <c r="F601" s="98">
        <f>F602</f>
        <v>100000</v>
      </c>
      <c r="G601" s="98">
        <f>G602</f>
        <v>100000</v>
      </c>
    </row>
    <row r="602" spans="1:7" outlineLevel="3" x14ac:dyDescent="0.25">
      <c r="A602" s="81" t="s">
        <v>74</v>
      </c>
      <c r="B602" s="80" t="s">
        <v>536</v>
      </c>
      <c r="C602" s="80" t="s">
        <v>256</v>
      </c>
      <c r="D602" s="80" t="s">
        <v>727</v>
      </c>
      <c r="E602" s="80" t="s">
        <v>75</v>
      </c>
      <c r="F602" s="98">
        <v>100000</v>
      </c>
      <c r="G602" s="98">
        <v>100000</v>
      </c>
    </row>
    <row r="603" spans="1:7" outlineLevel="3" x14ac:dyDescent="0.25">
      <c r="A603" s="81" t="s">
        <v>76</v>
      </c>
      <c r="B603" s="80" t="s">
        <v>536</v>
      </c>
      <c r="C603" s="80" t="s">
        <v>77</v>
      </c>
      <c r="D603" s="80" t="s">
        <v>126</v>
      </c>
      <c r="E603" s="83" t="s">
        <v>6</v>
      </c>
      <c r="F603" s="82">
        <f>F604</f>
        <v>2042300</v>
      </c>
      <c r="G603" s="82">
        <f>G604</f>
        <v>2042300</v>
      </c>
    </row>
    <row r="604" spans="1:7" ht="55.05" outlineLevel="3" x14ac:dyDescent="0.25">
      <c r="A604" s="109" t="s">
        <v>825</v>
      </c>
      <c r="B604" s="110" t="s">
        <v>536</v>
      </c>
      <c r="C604" s="110" t="s">
        <v>77</v>
      </c>
      <c r="D604" s="110" t="s">
        <v>138</v>
      </c>
      <c r="E604" s="111" t="s">
        <v>6</v>
      </c>
      <c r="F604" s="85">
        <f>F605+F619</f>
        <v>2042300</v>
      </c>
      <c r="G604" s="85">
        <f>G605+G619</f>
        <v>2042300</v>
      </c>
    </row>
    <row r="605" spans="1:7" ht="55.05" outlineLevel="3" x14ac:dyDescent="0.25">
      <c r="A605" s="81" t="s">
        <v>833</v>
      </c>
      <c r="B605" s="80" t="s">
        <v>536</v>
      </c>
      <c r="C605" s="80" t="s">
        <v>77</v>
      </c>
      <c r="D605" s="80" t="s">
        <v>146</v>
      </c>
      <c r="E605" s="83" t="s">
        <v>6</v>
      </c>
      <c r="F605" s="82">
        <f>F606+F610</f>
        <v>1917300</v>
      </c>
      <c r="G605" s="82">
        <f>G606+G610</f>
        <v>1917300</v>
      </c>
    </row>
    <row r="606" spans="1:7" ht="36.700000000000003" outlineLevel="7" x14ac:dyDescent="0.25">
      <c r="A606" s="113" t="s">
        <v>206</v>
      </c>
      <c r="B606" s="80" t="s">
        <v>536</v>
      </c>
      <c r="C606" s="80" t="s">
        <v>77</v>
      </c>
      <c r="D606" s="80" t="s">
        <v>220</v>
      </c>
      <c r="E606" s="83" t="s">
        <v>6</v>
      </c>
      <c r="F606" s="82">
        <f t="shared" ref="F606:G608" si="37">F607</f>
        <v>70000</v>
      </c>
      <c r="G606" s="82">
        <f t="shared" si="37"/>
        <v>70000</v>
      </c>
    </row>
    <row r="607" spans="1:7" outlineLevel="7" x14ac:dyDescent="0.25">
      <c r="A607" s="81" t="s">
        <v>424</v>
      </c>
      <c r="B607" s="80" t="s">
        <v>536</v>
      </c>
      <c r="C607" s="80" t="s">
        <v>77</v>
      </c>
      <c r="D607" s="80" t="s">
        <v>235</v>
      </c>
      <c r="E607" s="83" t="s">
        <v>6</v>
      </c>
      <c r="F607" s="82">
        <f t="shared" si="37"/>
        <v>70000</v>
      </c>
      <c r="G607" s="82">
        <f t="shared" si="37"/>
        <v>70000</v>
      </c>
    </row>
    <row r="608" spans="1:7" ht="23.3" customHeight="1" outlineLevel="7" x14ac:dyDescent="0.25">
      <c r="A608" s="81" t="s">
        <v>15</v>
      </c>
      <c r="B608" s="80" t="s">
        <v>536</v>
      </c>
      <c r="C608" s="80" t="s">
        <v>77</v>
      </c>
      <c r="D608" s="80" t="s">
        <v>235</v>
      </c>
      <c r="E608" s="83" t="s">
        <v>16</v>
      </c>
      <c r="F608" s="82">
        <f t="shared" si="37"/>
        <v>70000</v>
      </c>
      <c r="G608" s="82">
        <f t="shared" si="37"/>
        <v>70000</v>
      </c>
    </row>
    <row r="609" spans="1:8" ht="36.700000000000003" outlineLevel="2" x14ac:dyDescent="0.25">
      <c r="A609" s="81" t="s">
        <v>17</v>
      </c>
      <c r="B609" s="80" t="s">
        <v>536</v>
      </c>
      <c r="C609" s="80" t="s">
        <v>77</v>
      </c>
      <c r="D609" s="80" t="s">
        <v>235</v>
      </c>
      <c r="E609" s="83" t="s">
        <v>18</v>
      </c>
      <c r="F609" s="98">
        <v>70000</v>
      </c>
      <c r="G609" s="98">
        <v>70000</v>
      </c>
    </row>
    <row r="610" spans="1:8" s="172" customFormat="1" ht="36.700000000000003" outlineLevel="3" x14ac:dyDescent="0.25">
      <c r="A610" s="113" t="s">
        <v>275</v>
      </c>
      <c r="B610" s="80" t="s">
        <v>536</v>
      </c>
      <c r="C610" s="80" t="s">
        <v>77</v>
      </c>
      <c r="D610" s="80" t="s">
        <v>223</v>
      </c>
      <c r="E610" s="80" t="s">
        <v>6</v>
      </c>
      <c r="F610" s="98">
        <f>F611</f>
        <v>1847300</v>
      </c>
      <c r="G610" s="98">
        <f>G611</f>
        <v>1847300</v>
      </c>
      <c r="H610" s="171"/>
    </row>
    <row r="611" spans="1:8" s="172" customFormat="1" ht="91.7" outlineLevel="3" x14ac:dyDescent="0.25">
      <c r="A611" s="100" t="s">
        <v>403</v>
      </c>
      <c r="B611" s="80" t="s">
        <v>536</v>
      </c>
      <c r="C611" s="80" t="s">
        <v>77</v>
      </c>
      <c r="D611" s="80" t="s">
        <v>152</v>
      </c>
      <c r="E611" s="80" t="s">
        <v>6</v>
      </c>
      <c r="F611" s="82">
        <f>F612+F616+F614</f>
        <v>1847300</v>
      </c>
      <c r="G611" s="82">
        <f>G612+G616+G614</f>
        <v>1847300</v>
      </c>
      <c r="H611" s="171"/>
    </row>
    <row r="612" spans="1:8" ht="36.700000000000003" outlineLevel="5" x14ac:dyDescent="0.25">
      <c r="A612" s="81" t="s">
        <v>15</v>
      </c>
      <c r="B612" s="80" t="s">
        <v>536</v>
      </c>
      <c r="C612" s="80" t="s">
        <v>77</v>
      </c>
      <c r="D612" s="80" t="s">
        <v>152</v>
      </c>
      <c r="E612" s="80" t="s">
        <v>16</v>
      </c>
      <c r="F612" s="82">
        <f>F613</f>
        <v>2000</v>
      </c>
      <c r="G612" s="82">
        <f>G613</f>
        <v>2000</v>
      </c>
    </row>
    <row r="613" spans="1:8" ht="36.700000000000003" outlineLevel="6" x14ac:dyDescent="0.25">
      <c r="A613" s="81" t="s">
        <v>17</v>
      </c>
      <c r="B613" s="80" t="s">
        <v>536</v>
      </c>
      <c r="C613" s="80" t="s">
        <v>77</v>
      </c>
      <c r="D613" s="80" t="s">
        <v>152</v>
      </c>
      <c r="E613" s="80" t="s">
        <v>18</v>
      </c>
      <c r="F613" s="98">
        <v>2000</v>
      </c>
      <c r="G613" s="98">
        <v>2000</v>
      </c>
    </row>
    <row r="614" spans="1:8" outlineLevel="7" x14ac:dyDescent="0.25">
      <c r="A614" s="81" t="s">
        <v>90</v>
      </c>
      <c r="B614" s="80" t="s">
        <v>536</v>
      </c>
      <c r="C614" s="80" t="s">
        <v>77</v>
      </c>
      <c r="D614" s="80" t="s">
        <v>152</v>
      </c>
      <c r="E614" s="80" t="s">
        <v>91</v>
      </c>
      <c r="F614" s="82">
        <f>F615</f>
        <v>320000</v>
      </c>
      <c r="G614" s="82">
        <f>G615</f>
        <v>320000</v>
      </c>
    </row>
    <row r="615" spans="1:8" ht="36.700000000000003" outlineLevel="6" x14ac:dyDescent="0.25">
      <c r="A615" s="81" t="s">
        <v>97</v>
      </c>
      <c r="B615" s="80" t="s">
        <v>536</v>
      </c>
      <c r="C615" s="80" t="s">
        <v>77</v>
      </c>
      <c r="D615" s="80" t="s">
        <v>152</v>
      </c>
      <c r="E615" s="80" t="s">
        <v>98</v>
      </c>
      <c r="F615" s="98">
        <v>320000</v>
      </c>
      <c r="G615" s="98">
        <v>320000</v>
      </c>
    </row>
    <row r="616" spans="1:8" ht="21.25" customHeight="1" outlineLevel="7" x14ac:dyDescent="0.25">
      <c r="A616" s="81" t="s">
        <v>37</v>
      </c>
      <c r="B616" s="80" t="s">
        <v>536</v>
      </c>
      <c r="C616" s="80" t="s">
        <v>77</v>
      </c>
      <c r="D616" s="80" t="s">
        <v>152</v>
      </c>
      <c r="E616" s="80" t="s">
        <v>38</v>
      </c>
      <c r="F616" s="82">
        <f>F617</f>
        <v>1525300</v>
      </c>
      <c r="G616" s="82">
        <f>G617</f>
        <v>1525300</v>
      </c>
    </row>
    <row r="617" spans="1:8" outlineLevel="7" x14ac:dyDescent="0.25">
      <c r="A617" s="81" t="s">
        <v>74</v>
      </c>
      <c r="B617" s="80" t="s">
        <v>536</v>
      </c>
      <c r="C617" s="80" t="s">
        <v>77</v>
      </c>
      <c r="D617" s="80" t="s">
        <v>152</v>
      </c>
      <c r="E617" s="80" t="s">
        <v>75</v>
      </c>
      <c r="F617" s="98">
        <v>1525300</v>
      </c>
      <c r="G617" s="98">
        <v>1525300</v>
      </c>
    </row>
    <row r="618" spans="1:8" ht="36.700000000000003" outlineLevel="7" x14ac:dyDescent="0.25">
      <c r="A618" s="25" t="s">
        <v>238</v>
      </c>
      <c r="B618" s="80" t="s">
        <v>536</v>
      </c>
      <c r="C618" s="80" t="s">
        <v>77</v>
      </c>
      <c r="D618" s="80" t="s">
        <v>237</v>
      </c>
      <c r="E618" s="83" t="s">
        <v>6</v>
      </c>
      <c r="F618" s="98">
        <f t="shared" ref="F618:G620" si="38">F619</f>
        <v>125000</v>
      </c>
      <c r="G618" s="98">
        <f t="shared" si="38"/>
        <v>125000</v>
      </c>
    </row>
    <row r="619" spans="1:8" outlineLevel="5" x14ac:dyDescent="0.25">
      <c r="A619" s="81" t="s">
        <v>78</v>
      </c>
      <c r="B619" s="80" t="s">
        <v>536</v>
      </c>
      <c r="C619" s="80" t="s">
        <v>77</v>
      </c>
      <c r="D619" s="80" t="s">
        <v>153</v>
      </c>
      <c r="E619" s="83" t="s">
        <v>6</v>
      </c>
      <c r="F619" s="82">
        <f t="shared" si="38"/>
        <v>125000</v>
      </c>
      <c r="G619" s="82">
        <f t="shared" si="38"/>
        <v>125000</v>
      </c>
    </row>
    <row r="620" spans="1:8" ht="36.700000000000003" outlineLevel="6" x14ac:dyDescent="0.25">
      <c r="A620" s="81" t="s">
        <v>15</v>
      </c>
      <c r="B620" s="80" t="s">
        <v>536</v>
      </c>
      <c r="C620" s="80" t="s">
        <v>77</v>
      </c>
      <c r="D620" s="80" t="s">
        <v>153</v>
      </c>
      <c r="E620" s="83" t="s">
        <v>16</v>
      </c>
      <c r="F620" s="82">
        <f t="shared" si="38"/>
        <v>125000</v>
      </c>
      <c r="G620" s="82">
        <f t="shared" si="38"/>
        <v>125000</v>
      </c>
    </row>
    <row r="621" spans="1:8" ht="36.700000000000003" outlineLevel="7" x14ac:dyDescent="0.25">
      <c r="A621" s="81" t="s">
        <v>17</v>
      </c>
      <c r="B621" s="80" t="s">
        <v>536</v>
      </c>
      <c r="C621" s="80" t="s">
        <v>77</v>
      </c>
      <c r="D621" s="80" t="s">
        <v>153</v>
      </c>
      <c r="E621" s="83" t="s">
        <v>18</v>
      </c>
      <c r="F621" s="98">
        <v>125000</v>
      </c>
      <c r="G621" s="98">
        <v>125000</v>
      </c>
    </row>
    <row r="622" spans="1:8" outlineLevel="6" x14ac:dyDescent="0.25">
      <c r="A622" s="81" t="s">
        <v>116</v>
      </c>
      <c r="B622" s="80" t="s">
        <v>536</v>
      </c>
      <c r="C622" s="80" t="s">
        <v>117</v>
      </c>
      <c r="D622" s="80" t="s">
        <v>126</v>
      </c>
      <c r="E622" s="83" t="s">
        <v>6</v>
      </c>
      <c r="F622" s="82">
        <f>F623</f>
        <v>21748475</v>
      </c>
      <c r="G622" s="82">
        <f>G623</f>
        <v>21748475</v>
      </c>
    </row>
    <row r="623" spans="1:8" ht="51.8" customHeight="1" outlineLevel="7" x14ac:dyDescent="0.25">
      <c r="A623" s="109" t="s">
        <v>827</v>
      </c>
      <c r="B623" s="110" t="s">
        <v>536</v>
      </c>
      <c r="C623" s="110" t="s">
        <v>117</v>
      </c>
      <c r="D623" s="110" t="s">
        <v>138</v>
      </c>
      <c r="E623" s="111" t="s">
        <v>6</v>
      </c>
      <c r="F623" s="136">
        <f>F624</f>
        <v>21748475</v>
      </c>
      <c r="G623" s="136">
        <f>G624</f>
        <v>21748475</v>
      </c>
    </row>
    <row r="624" spans="1:8" ht="36.700000000000003" outlineLevel="6" x14ac:dyDescent="0.25">
      <c r="A624" s="113" t="s">
        <v>209</v>
      </c>
      <c r="B624" s="80" t="s">
        <v>536</v>
      </c>
      <c r="C624" s="80" t="s">
        <v>117</v>
      </c>
      <c r="D624" s="80" t="s">
        <v>226</v>
      </c>
      <c r="E624" s="83" t="s">
        <v>6</v>
      </c>
      <c r="F624" s="85">
        <f>F625+F632+F639</f>
        <v>21748475</v>
      </c>
      <c r="G624" s="85">
        <f>G625+G632+G639</f>
        <v>21748475</v>
      </c>
    </row>
    <row r="625" spans="1:8" ht="55.05" outlineLevel="7" x14ac:dyDescent="0.25">
      <c r="A625" s="81" t="s">
        <v>494</v>
      </c>
      <c r="B625" s="80" t="s">
        <v>536</v>
      </c>
      <c r="C625" s="80" t="s">
        <v>117</v>
      </c>
      <c r="D625" s="80" t="s">
        <v>535</v>
      </c>
      <c r="E625" s="83" t="s">
        <v>6</v>
      </c>
      <c r="F625" s="82">
        <f>F626+F628+F630</f>
        <v>5189242</v>
      </c>
      <c r="G625" s="82">
        <f>G626+G628+G630</f>
        <v>5189242</v>
      </c>
    </row>
    <row r="626" spans="1:8" ht="91.7" outlineLevel="3" x14ac:dyDescent="0.25">
      <c r="A626" s="81" t="s">
        <v>11</v>
      </c>
      <c r="B626" s="80" t="s">
        <v>536</v>
      </c>
      <c r="C626" s="80" t="s">
        <v>117</v>
      </c>
      <c r="D626" s="80" t="s">
        <v>535</v>
      </c>
      <c r="E626" s="83" t="s">
        <v>12</v>
      </c>
      <c r="F626" s="82">
        <f>F627</f>
        <v>5089242</v>
      </c>
      <c r="G626" s="82">
        <f>G627</f>
        <v>5089242</v>
      </c>
    </row>
    <row r="627" spans="1:8" ht="36.700000000000003" outlineLevel="3" x14ac:dyDescent="0.25">
      <c r="A627" s="81" t="s">
        <v>13</v>
      </c>
      <c r="B627" s="80" t="s">
        <v>536</v>
      </c>
      <c r="C627" s="80" t="s">
        <v>117</v>
      </c>
      <c r="D627" s="80" t="s">
        <v>535</v>
      </c>
      <c r="E627" s="83" t="s">
        <v>14</v>
      </c>
      <c r="F627" s="98">
        <f>потребность!I621</f>
        <v>5089242</v>
      </c>
      <c r="G627" s="98">
        <v>5089242</v>
      </c>
    </row>
    <row r="628" spans="1:8" ht="36.700000000000003" outlineLevel="3" x14ac:dyDescent="0.25">
      <c r="A628" s="81" t="s">
        <v>15</v>
      </c>
      <c r="B628" s="80" t="s">
        <v>536</v>
      </c>
      <c r="C628" s="80" t="s">
        <v>117</v>
      </c>
      <c r="D628" s="80" t="s">
        <v>535</v>
      </c>
      <c r="E628" s="83" t="s">
        <v>16</v>
      </c>
      <c r="F628" s="82">
        <f>F629</f>
        <v>100000</v>
      </c>
      <c r="G628" s="82">
        <f>G629</f>
        <v>100000</v>
      </c>
    </row>
    <row r="629" spans="1:8" s="172" customFormat="1" ht="40.75" customHeight="1" outlineLevel="3" x14ac:dyDescent="0.25">
      <c r="A629" s="81" t="s">
        <v>17</v>
      </c>
      <c r="B629" s="80" t="s">
        <v>536</v>
      </c>
      <c r="C629" s="80" t="s">
        <v>117</v>
      </c>
      <c r="D629" s="80" t="s">
        <v>535</v>
      </c>
      <c r="E629" s="83" t="s">
        <v>18</v>
      </c>
      <c r="F629" s="98">
        <f>потребность!I623</f>
        <v>100000</v>
      </c>
      <c r="G629" s="98">
        <v>100000</v>
      </c>
      <c r="H629" s="171"/>
    </row>
    <row r="630" spans="1:8" outlineLevel="3" x14ac:dyDescent="0.25">
      <c r="A630" s="81" t="s">
        <v>19</v>
      </c>
      <c r="B630" s="80" t="s">
        <v>536</v>
      </c>
      <c r="C630" s="80" t="s">
        <v>117</v>
      </c>
      <c r="D630" s="80" t="s">
        <v>535</v>
      </c>
      <c r="E630" s="83" t="s">
        <v>20</v>
      </c>
      <c r="F630" s="131">
        <f>F631</f>
        <v>0</v>
      </c>
      <c r="G630" s="131">
        <f>G631</f>
        <v>0</v>
      </c>
    </row>
    <row r="631" spans="1:8" s="172" customFormat="1" outlineLevel="3" x14ac:dyDescent="0.25">
      <c r="A631" s="81" t="s">
        <v>21</v>
      </c>
      <c r="B631" s="80" t="s">
        <v>536</v>
      </c>
      <c r="C631" s="80" t="s">
        <v>117</v>
      </c>
      <c r="D631" s="80" t="s">
        <v>535</v>
      </c>
      <c r="E631" s="83" t="s">
        <v>22</v>
      </c>
      <c r="F631" s="98">
        <v>0</v>
      </c>
      <c r="G631" s="98">
        <v>0</v>
      </c>
      <c r="H631" s="171"/>
    </row>
    <row r="632" spans="1:8" ht="42.45" customHeight="1" outlineLevel="3" x14ac:dyDescent="0.25">
      <c r="A632" s="81" t="s">
        <v>33</v>
      </c>
      <c r="B632" s="80" t="s">
        <v>536</v>
      </c>
      <c r="C632" s="80" t="s">
        <v>117</v>
      </c>
      <c r="D632" s="80" t="s">
        <v>154</v>
      </c>
      <c r="E632" s="83" t="s">
        <v>6</v>
      </c>
      <c r="F632" s="82">
        <f>F633+F635+F637</f>
        <v>14477700</v>
      </c>
      <c r="G632" s="82">
        <f>G633+G635+G637</f>
        <v>14477700</v>
      </c>
    </row>
    <row r="633" spans="1:8" ht="91.7" outlineLevel="3" x14ac:dyDescent="0.25">
      <c r="A633" s="81" t="s">
        <v>11</v>
      </c>
      <c r="B633" s="80" t="s">
        <v>536</v>
      </c>
      <c r="C633" s="80" t="s">
        <v>117</v>
      </c>
      <c r="D633" s="80" t="s">
        <v>154</v>
      </c>
      <c r="E633" s="83" t="s">
        <v>12</v>
      </c>
      <c r="F633" s="82">
        <f>F634</f>
        <v>11638500</v>
      </c>
      <c r="G633" s="82">
        <f>G634</f>
        <v>11638500</v>
      </c>
    </row>
    <row r="634" spans="1:8" outlineLevel="3" x14ac:dyDescent="0.25">
      <c r="A634" s="81" t="s">
        <v>34</v>
      </c>
      <c r="B634" s="80" t="s">
        <v>536</v>
      </c>
      <c r="C634" s="80" t="s">
        <v>117</v>
      </c>
      <c r="D634" s="80" t="s">
        <v>154</v>
      </c>
      <c r="E634" s="83" t="s">
        <v>35</v>
      </c>
      <c r="F634" s="98">
        <v>11638500</v>
      </c>
      <c r="G634" s="98">
        <v>11638500</v>
      </c>
    </row>
    <row r="635" spans="1:8" ht="36.700000000000003" outlineLevel="3" x14ac:dyDescent="0.25">
      <c r="A635" s="81" t="s">
        <v>15</v>
      </c>
      <c r="B635" s="80" t="s">
        <v>536</v>
      </c>
      <c r="C635" s="80" t="s">
        <v>117</v>
      </c>
      <c r="D635" s="80" t="s">
        <v>154</v>
      </c>
      <c r="E635" s="83" t="s">
        <v>16</v>
      </c>
      <c r="F635" s="82">
        <f>F636</f>
        <v>2800000</v>
      </c>
      <c r="G635" s="82">
        <f>G636</f>
        <v>2800000</v>
      </c>
    </row>
    <row r="636" spans="1:8" ht="36.700000000000003" outlineLevel="3" x14ac:dyDescent="0.25">
      <c r="A636" s="81" t="s">
        <v>17</v>
      </c>
      <c r="B636" s="80" t="s">
        <v>536</v>
      </c>
      <c r="C636" s="80" t="s">
        <v>117</v>
      </c>
      <c r="D636" s="80" t="s">
        <v>154</v>
      </c>
      <c r="E636" s="83" t="s">
        <v>18</v>
      </c>
      <c r="F636" s="98">
        <v>2800000</v>
      </c>
      <c r="G636" s="98">
        <v>2800000</v>
      </c>
    </row>
    <row r="637" spans="1:8" s="172" customFormat="1" outlineLevel="3" x14ac:dyDescent="0.25">
      <c r="A637" s="81" t="s">
        <v>19</v>
      </c>
      <c r="B637" s="80" t="s">
        <v>536</v>
      </c>
      <c r="C637" s="80" t="s">
        <v>117</v>
      </c>
      <c r="D637" s="80" t="s">
        <v>154</v>
      </c>
      <c r="E637" s="83" t="s">
        <v>20</v>
      </c>
      <c r="F637" s="82">
        <f>F638</f>
        <v>39200</v>
      </c>
      <c r="G637" s="82">
        <f>G638</f>
        <v>39200</v>
      </c>
      <c r="H637" s="171"/>
    </row>
    <row r="638" spans="1:8" outlineLevel="3" x14ac:dyDescent="0.25">
      <c r="A638" s="81" t="s">
        <v>21</v>
      </c>
      <c r="B638" s="80" t="s">
        <v>536</v>
      </c>
      <c r="C638" s="80" t="s">
        <v>117</v>
      </c>
      <c r="D638" s="80" t="s">
        <v>154</v>
      </c>
      <c r="E638" s="83" t="s">
        <v>22</v>
      </c>
      <c r="F638" s="98">
        <v>39200</v>
      </c>
      <c r="G638" s="98">
        <v>39200</v>
      </c>
    </row>
    <row r="639" spans="1:8" ht="23.3" customHeight="1" outlineLevel="3" x14ac:dyDescent="0.25">
      <c r="A639" s="25" t="s">
        <v>36</v>
      </c>
      <c r="B639" s="80" t="s">
        <v>536</v>
      </c>
      <c r="C639" s="80" t="s">
        <v>117</v>
      </c>
      <c r="D639" s="80" t="s">
        <v>155</v>
      </c>
      <c r="E639" s="83" t="s">
        <v>6</v>
      </c>
      <c r="F639" s="82">
        <f>F640</f>
        <v>2081533</v>
      </c>
      <c r="G639" s="82">
        <f>G640</f>
        <v>2081533</v>
      </c>
    </row>
    <row r="640" spans="1:8" ht="45.7" customHeight="1" outlineLevel="3" x14ac:dyDescent="0.25">
      <c r="A640" s="81" t="s">
        <v>37</v>
      </c>
      <c r="B640" s="80" t="s">
        <v>536</v>
      </c>
      <c r="C640" s="80" t="s">
        <v>117</v>
      </c>
      <c r="D640" s="80" t="s">
        <v>155</v>
      </c>
      <c r="E640" s="83" t="s">
        <v>38</v>
      </c>
      <c r="F640" s="82">
        <f>F641</f>
        <v>2081533</v>
      </c>
      <c r="G640" s="82">
        <f>G641</f>
        <v>2081533</v>
      </c>
    </row>
    <row r="641" spans="1:8" ht="22.75" customHeight="1" outlineLevel="3" x14ac:dyDescent="0.25">
      <c r="A641" s="81" t="s">
        <v>39</v>
      </c>
      <c r="B641" s="80" t="s">
        <v>536</v>
      </c>
      <c r="C641" s="80" t="s">
        <v>117</v>
      </c>
      <c r="D641" s="80" t="s">
        <v>155</v>
      </c>
      <c r="E641" s="83" t="s">
        <v>40</v>
      </c>
      <c r="F641" s="98">
        <v>2081533</v>
      </c>
      <c r="G641" s="98">
        <v>2081533</v>
      </c>
    </row>
    <row r="642" spans="1:8" ht="27.7" customHeight="1" outlineLevel="3" x14ac:dyDescent="0.25">
      <c r="A642" s="109" t="s">
        <v>85</v>
      </c>
      <c r="B642" s="110" t="s">
        <v>536</v>
      </c>
      <c r="C642" s="110" t="s">
        <v>86</v>
      </c>
      <c r="D642" s="110" t="s">
        <v>126</v>
      </c>
      <c r="E642" s="111" t="s">
        <v>6</v>
      </c>
      <c r="F642" s="85">
        <f>F643+F649</f>
        <v>4489069</v>
      </c>
      <c r="G642" s="85">
        <f>G643+G649</f>
        <v>4489069</v>
      </c>
    </row>
    <row r="643" spans="1:8" outlineLevel="3" x14ac:dyDescent="0.25">
      <c r="A643" s="81" t="s">
        <v>94</v>
      </c>
      <c r="B643" s="80" t="s">
        <v>536</v>
      </c>
      <c r="C643" s="80" t="s">
        <v>95</v>
      </c>
      <c r="D643" s="80" t="s">
        <v>126</v>
      </c>
      <c r="E643" s="83" t="s">
        <v>6</v>
      </c>
      <c r="F643" s="82">
        <f t="shared" ref="F643:G647" si="39">F644</f>
        <v>1310000</v>
      </c>
      <c r="G643" s="82">
        <f t="shared" si="39"/>
        <v>1310000</v>
      </c>
    </row>
    <row r="644" spans="1:8" ht="55.05" outlineLevel="3" x14ac:dyDescent="0.25">
      <c r="A644" s="109" t="s">
        <v>825</v>
      </c>
      <c r="B644" s="110" t="s">
        <v>536</v>
      </c>
      <c r="C644" s="110" t="s">
        <v>95</v>
      </c>
      <c r="D644" s="110" t="s">
        <v>138</v>
      </c>
      <c r="E644" s="111" t="s">
        <v>6</v>
      </c>
      <c r="F644" s="85">
        <f t="shared" si="39"/>
        <v>1310000</v>
      </c>
      <c r="G644" s="85">
        <f t="shared" si="39"/>
        <v>1310000</v>
      </c>
    </row>
    <row r="645" spans="1:8" outlineLevel="3" x14ac:dyDescent="0.25">
      <c r="A645" s="113" t="s">
        <v>738</v>
      </c>
      <c r="B645" s="80" t="s">
        <v>536</v>
      </c>
      <c r="C645" s="80" t="s">
        <v>95</v>
      </c>
      <c r="D645" s="80" t="s">
        <v>736</v>
      </c>
      <c r="E645" s="83" t="s">
        <v>6</v>
      </c>
      <c r="F645" s="82">
        <f t="shared" si="39"/>
        <v>1310000</v>
      </c>
      <c r="G645" s="82">
        <f t="shared" si="39"/>
        <v>1310000</v>
      </c>
    </row>
    <row r="646" spans="1:8" ht="110.05" outlineLevel="3" x14ac:dyDescent="0.25">
      <c r="A646" s="100" t="s">
        <v>405</v>
      </c>
      <c r="B646" s="80" t="s">
        <v>536</v>
      </c>
      <c r="C646" s="80" t="s">
        <v>95</v>
      </c>
      <c r="D646" s="80" t="s">
        <v>737</v>
      </c>
      <c r="E646" s="83" t="s">
        <v>6</v>
      </c>
      <c r="F646" s="82">
        <f t="shared" si="39"/>
        <v>1310000</v>
      </c>
      <c r="G646" s="82">
        <f t="shared" si="39"/>
        <v>1310000</v>
      </c>
    </row>
    <row r="647" spans="1:8" ht="28.55" customHeight="1" outlineLevel="3" x14ac:dyDescent="0.25">
      <c r="A647" s="81" t="s">
        <v>90</v>
      </c>
      <c r="B647" s="80" t="s">
        <v>536</v>
      </c>
      <c r="C647" s="80" t="s">
        <v>95</v>
      </c>
      <c r="D647" s="80" t="s">
        <v>737</v>
      </c>
      <c r="E647" s="83" t="s">
        <v>91</v>
      </c>
      <c r="F647" s="82">
        <f t="shared" si="39"/>
        <v>1310000</v>
      </c>
      <c r="G647" s="82">
        <f t="shared" si="39"/>
        <v>1310000</v>
      </c>
    </row>
    <row r="648" spans="1:8" ht="36.700000000000003" outlineLevel="3" x14ac:dyDescent="0.25">
      <c r="A648" s="81" t="s">
        <v>97</v>
      </c>
      <c r="B648" s="80" t="s">
        <v>536</v>
      </c>
      <c r="C648" s="80" t="s">
        <v>95</v>
      </c>
      <c r="D648" s="80" t="s">
        <v>737</v>
      </c>
      <c r="E648" s="83" t="s">
        <v>98</v>
      </c>
      <c r="F648" s="98">
        <v>1310000</v>
      </c>
      <c r="G648" s="98">
        <v>1310000</v>
      </c>
    </row>
    <row r="649" spans="1:8" outlineLevel="3" x14ac:dyDescent="0.25">
      <c r="A649" s="81" t="s">
        <v>123</v>
      </c>
      <c r="B649" s="80" t="s">
        <v>536</v>
      </c>
      <c r="C649" s="80" t="s">
        <v>124</v>
      </c>
      <c r="D649" s="80" t="s">
        <v>126</v>
      </c>
      <c r="E649" s="83" t="s">
        <v>6</v>
      </c>
      <c r="F649" s="82">
        <f t="shared" ref="F649:G652" si="40">F650</f>
        <v>3179069</v>
      </c>
      <c r="G649" s="82">
        <f t="shared" si="40"/>
        <v>3179069</v>
      </c>
    </row>
    <row r="650" spans="1:8" ht="39.75" customHeight="1" outlineLevel="3" x14ac:dyDescent="0.25">
      <c r="A650" s="109" t="s">
        <v>827</v>
      </c>
      <c r="B650" s="110" t="s">
        <v>536</v>
      </c>
      <c r="C650" s="110" t="s">
        <v>124</v>
      </c>
      <c r="D650" s="110" t="s">
        <v>138</v>
      </c>
      <c r="E650" s="111" t="s">
        <v>6</v>
      </c>
      <c r="F650" s="85">
        <f t="shared" si="40"/>
        <v>3179069</v>
      </c>
      <c r="G650" s="85">
        <f t="shared" si="40"/>
        <v>3179069</v>
      </c>
    </row>
    <row r="651" spans="1:8" ht="37.4" customHeight="1" outlineLevel="3" x14ac:dyDescent="0.25">
      <c r="A651" s="81" t="s">
        <v>834</v>
      </c>
      <c r="B651" s="80" t="s">
        <v>536</v>
      </c>
      <c r="C651" s="80" t="s">
        <v>124</v>
      </c>
      <c r="D651" s="80" t="s">
        <v>139</v>
      </c>
      <c r="E651" s="83" t="s">
        <v>6</v>
      </c>
      <c r="F651" s="82">
        <f t="shared" si="40"/>
        <v>3179069</v>
      </c>
      <c r="G651" s="82">
        <f t="shared" si="40"/>
        <v>3179069</v>
      </c>
    </row>
    <row r="652" spans="1:8" ht="36.700000000000003" outlineLevel="3" x14ac:dyDescent="0.25">
      <c r="A652" s="113" t="s">
        <v>204</v>
      </c>
      <c r="B652" s="80" t="s">
        <v>536</v>
      </c>
      <c r="C652" s="80" t="s">
        <v>124</v>
      </c>
      <c r="D652" s="80" t="s">
        <v>234</v>
      </c>
      <c r="E652" s="83" t="s">
        <v>6</v>
      </c>
      <c r="F652" s="82">
        <f t="shared" si="40"/>
        <v>3179069</v>
      </c>
      <c r="G652" s="82">
        <f t="shared" si="40"/>
        <v>3179069</v>
      </c>
    </row>
    <row r="653" spans="1:8" s="170" customFormat="1" ht="151.5" customHeight="1" x14ac:dyDescent="0.25">
      <c r="A653" s="100" t="s">
        <v>657</v>
      </c>
      <c r="B653" s="80" t="s">
        <v>536</v>
      </c>
      <c r="C653" s="80" t="s">
        <v>124</v>
      </c>
      <c r="D653" s="80" t="s">
        <v>156</v>
      </c>
      <c r="E653" s="83" t="s">
        <v>6</v>
      </c>
      <c r="F653" s="82">
        <f>F656</f>
        <v>3179069</v>
      </c>
      <c r="G653" s="82">
        <f>G656</f>
        <v>3179069</v>
      </c>
      <c r="H653" s="169"/>
    </row>
    <row r="654" spans="1:8" s="170" customFormat="1" ht="0.7" customHeight="1" x14ac:dyDescent="0.25">
      <c r="A654" s="81" t="s">
        <v>15</v>
      </c>
      <c r="B654" s="80" t="s">
        <v>536</v>
      </c>
      <c r="C654" s="80" t="s">
        <v>124</v>
      </c>
      <c r="D654" s="80" t="s">
        <v>156</v>
      </c>
      <c r="E654" s="80" t="s">
        <v>16</v>
      </c>
      <c r="F654" s="82"/>
      <c r="G654" s="82"/>
      <c r="H654" s="169"/>
    </row>
    <row r="655" spans="1:8" s="170" customFormat="1" ht="36.700000000000003" x14ac:dyDescent="0.25">
      <c r="A655" s="81" t="s">
        <v>17</v>
      </c>
      <c r="B655" s="80" t="s">
        <v>536</v>
      </c>
      <c r="C655" s="80" t="s">
        <v>124</v>
      </c>
      <c r="D655" s="80" t="s">
        <v>156</v>
      </c>
      <c r="E655" s="80" t="s">
        <v>18</v>
      </c>
      <c r="F655" s="82"/>
      <c r="G655" s="82"/>
      <c r="H655" s="169"/>
    </row>
    <row r="656" spans="1:8" s="170" customFormat="1" ht="29.25" customHeight="1" x14ac:dyDescent="0.25">
      <c r="A656" s="81" t="s">
        <v>90</v>
      </c>
      <c r="B656" s="80" t="s">
        <v>536</v>
      </c>
      <c r="C656" s="80" t="s">
        <v>124</v>
      </c>
      <c r="D656" s="80" t="s">
        <v>156</v>
      </c>
      <c r="E656" s="83" t="s">
        <v>91</v>
      </c>
      <c r="F656" s="82">
        <f>F657</f>
        <v>3179069</v>
      </c>
      <c r="G656" s="82">
        <f>G657</f>
        <v>3179069</v>
      </c>
      <c r="H656" s="169"/>
    </row>
    <row r="657" spans="1:8" s="170" customFormat="1" ht="40.1" customHeight="1" x14ac:dyDescent="0.25">
      <c r="A657" s="81" t="s">
        <v>97</v>
      </c>
      <c r="B657" s="80" t="s">
        <v>536</v>
      </c>
      <c r="C657" s="80" t="s">
        <v>124</v>
      </c>
      <c r="D657" s="80" t="s">
        <v>156</v>
      </c>
      <c r="E657" s="83" t="s">
        <v>98</v>
      </c>
      <c r="F657" s="98">
        <v>3179069</v>
      </c>
      <c r="G657" s="98">
        <v>3179069</v>
      </c>
      <c r="H657" s="169"/>
    </row>
    <row r="658" spans="1:8" s="170" customFormat="1" ht="19.55" customHeight="1" x14ac:dyDescent="0.25">
      <c r="A658" s="109" t="s">
        <v>100</v>
      </c>
      <c r="B658" s="80" t="s">
        <v>536</v>
      </c>
      <c r="C658" s="80" t="s">
        <v>101</v>
      </c>
      <c r="D658" s="110" t="s">
        <v>126</v>
      </c>
      <c r="E658" s="83" t="s">
        <v>6</v>
      </c>
      <c r="F658" s="98">
        <f t="shared" ref="F658:G663" si="41">F659</f>
        <v>358800</v>
      </c>
      <c r="G658" s="98">
        <f t="shared" si="41"/>
        <v>0</v>
      </c>
      <c r="H658" s="169"/>
    </row>
    <row r="659" spans="1:8" ht="21.25" customHeight="1" x14ac:dyDescent="0.25">
      <c r="A659" s="81" t="s">
        <v>301</v>
      </c>
      <c r="B659" s="80" t="s">
        <v>536</v>
      </c>
      <c r="C659" s="80" t="s">
        <v>300</v>
      </c>
      <c r="D659" s="110" t="s">
        <v>126</v>
      </c>
      <c r="E659" s="83" t="s">
        <v>6</v>
      </c>
      <c r="F659" s="98">
        <f t="shared" si="41"/>
        <v>358800</v>
      </c>
      <c r="G659" s="98">
        <f t="shared" si="41"/>
        <v>0</v>
      </c>
    </row>
    <row r="660" spans="1:8" ht="57.75" customHeight="1" x14ac:dyDescent="0.25">
      <c r="A660" s="109" t="s">
        <v>377</v>
      </c>
      <c r="B660" s="80" t="s">
        <v>536</v>
      </c>
      <c r="C660" s="80" t="s">
        <v>300</v>
      </c>
      <c r="D660" s="110" t="s">
        <v>200</v>
      </c>
      <c r="E660" s="83" t="s">
        <v>6</v>
      </c>
      <c r="F660" s="98">
        <f t="shared" si="41"/>
        <v>358800</v>
      </c>
      <c r="G660" s="98">
        <f t="shared" si="41"/>
        <v>0</v>
      </c>
    </row>
    <row r="661" spans="1:8" ht="58.75" customHeight="1" x14ac:dyDescent="0.25">
      <c r="A661" s="81" t="s">
        <v>213</v>
      </c>
      <c r="B661" s="80" t="s">
        <v>536</v>
      </c>
      <c r="C661" s="80" t="s">
        <v>300</v>
      </c>
      <c r="D661" s="80" t="s">
        <v>674</v>
      </c>
      <c r="E661" s="83" t="s">
        <v>6</v>
      </c>
      <c r="F661" s="98">
        <f t="shared" si="41"/>
        <v>358800</v>
      </c>
      <c r="G661" s="98">
        <f t="shared" si="41"/>
        <v>0</v>
      </c>
    </row>
    <row r="662" spans="1:8" ht="21.75" customHeight="1" x14ac:dyDescent="0.25">
      <c r="A662" s="81" t="s">
        <v>378</v>
      </c>
      <c r="B662" s="80" t="s">
        <v>536</v>
      </c>
      <c r="C662" s="80" t="s">
        <v>300</v>
      </c>
      <c r="D662" s="80" t="s">
        <v>303</v>
      </c>
      <c r="E662" s="83" t="s">
        <v>6</v>
      </c>
      <c r="F662" s="98">
        <f>F663+F666+F669</f>
        <v>358800</v>
      </c>
      <c r="G662" s="98">
        <v>0</v>
      </c>
    </row>
    <row r="663" spans="1:8" ht="37.549999999999997" customHeight="1" x14ac:dyDescent="0.25">
      <c r="A663" s="81" t="s">
        <v>281</v>
      </c>
      <c r="B663" s="80" t="s">
        <v>536</v>
      </c>
      <c r="C663" s="80" t="s">
        <v>300</v>
      </c>
      <c r="D663" s="80" t="s">
        <v>302</v>
      </c>
      <c r="E663" s="83" t="s">
        <v>6</v>
      </c>
      <c r="F663" s="98">
        <f t="shared" si="41"/>
        <v>358800</v>
      </c>
      <c r="G663" s="98">
        <f t="shared" si="41"/>
        <v>0</v>
      </c>
    </row>
    <row r="664" spans="1:8" ht="21.25" customHeight="1" x14ac:dyDescent="0.25">
      <c r="A664" s="81" t="s">
        <v>37</v>
      </c>
      <c r="B664" s="80" t="s">
        <v>536</v>
      </c>
      <c r="C664" s="80" t="s">
        <v>300</v>
      </c>
      <c r="D664" s="80" t="s">
        <v>302</v>
      </c>
      <c r="E664" s="83" t="s">
        <v>38</v>
      </c>
      <c r="F664" s="98">
        <f>F665</f>
        <v>358800</v>
      </c>
      <c r="G664" s="98">
        <f>G665</f>
        <v>0</v>
      </c>
    </row>
    <row r="665" spans="1:8" ht="21.25" customHeight="1" x14ac:dyDescent="0.25">
      <c r="A665" s="81" t="s">
        <v>74</v>
      </c>
      <c r="B665" s="80" t="s">
        <v>536</v>
      </c>
      <c r="C665" s="80" t="s">
        <v>300</v>
      </c>
      <c r="D665" s="80" t="s">
        <v>302</v>
      </c>
      <c r="E665" s="83" t="s">
        <v>75</v>
      </c>
      <c r="F665" s="98">
        <v>358800</v>
      </c>
      <c r="G665" s="98">
        <v>0</v>
      </c>
    </row>
    <row r="666" spans="1:8" ht="18" customHeight="1" x14ac:dyDescent="0.3">
      <c r="A666" s="81" t="s">
        <v>788</v>
      </c>
      <c r="B666" s="80" t="s">
        <v>536</v>
      </c>
      <c r="C666" s="80" t="s">
        <v>300</v>
      </c>
      <c r="D666" s="80" t="s">
        <v>764</v>
      </c>
      <c r="E666" s="83" t="s">
        <v>6</v>
      </c>
      <c r="F666" s="53">
        <f>F667</f>
        <v>0</v>
      </c>
      <c r="G666" s="53">
        <f>G667</f>
        <v>0</v>
      </c>
    </row>
    <row r="667" spans="1:8" s="163" customFormat="1" ht="18.7" customHeight="1" x14ac:dyDescent="0.3">
      <c r="A667" s="81" t="s">
        <v>37</v>
      </c>
      <c r="B667" s="80" t="s">
        <v>536</v>
      </c>
      <c r="C667" s="80" t="s">
        <v>300</v>
      </c>
      <c r="D667" s="80" t="s">
        <v>764</v>
      </c>
      <c r="E667" s="83" t="s">
        <v>38</v>
      </c>
      <c r="F667" s="53">
        <f>F668</f>
        <v>0</v>
      </c>
      <c r="G667" s="53">
        <f>G668</f>
        <v>0</v>
      </c>
    </row>
    <row r="668" spans="1:8" s="163" customFormat="1" ht="21.25" customHeight="1" x14ac:dyDescent="0.25">
      <c r="A668" s="81" t="s">
        <v>74</v>
      </c>
      <c r="B668" s="80" t="s">
        <v>536</v>
      </c>
      <c r="C668" s="80" t="s">
        <v>300</v>
      </c>
      <c r="D668" s="80" t="s">
        <v>764</v>
      </c>
      <c r="E668" s="83" t="s">
        <v>75</v>
      </c>
      <c r="F668" s="98">
        <v>0</v>
      </c>
      <c r="G668" s="98"/>
    </row>
    <row r="669" spans="1:8" s="163" customFormat="1" ht="18.7" customHeight="1" x14ac:dyDescent="0.25">
      <c r="A669" s="81" t="s">
        <v>911</v>
      </c>
      <c r="B669" s="80" t="s">
        <v>536</v>
      </c>
      <c r="C669" s="80" t="s">
        <v>300</v>
      </c>
      <c r="D669" s="80" t="s">
        <v>769</v>
      </c>
      <c r="E669" s="83" t="s">
        <v>6</v>
      </c>
      <c r="F669" s="98">
        <f>F670</f>
        <v>0</v>
      </c>
      <c r="G669" s="98">
        <f>G670</f>
        <v>0</v>
      </c>
    </row>
    <row r="670" spans="1:8" s="163" customFormat="1" ht="18" customHeight="1" x14ac:dyDescent="0.25">
      <c r="A670" s="81" t="s">
        <v>37</v>
      </c>
      <c r="B670" s="80" t="s">
        <v>536</v>
      </c>
      <c r="C670" s="80" t="s">
        <v>300</v>
      </c>
      <c r="D670" s="80" t="s">
        <v>769</v>
      </c>
      <c r="E670" s="83" t="s">
        <v>38</v>
      </c>
      <c r="F670" s="98">
        <f>F671</f>
        <v>0</v>
      </c>
      <c r="G670" s="98">
        <f>G671</f>
        <v>0</v>
      </c>
    </row>
    <row r="671" spans="1:8" s="163" customFormat="1" ht="18.7" customHeight="1" x14ac:dyDescent="0.25">
      <c r="A671" s="81" t="s">
        <v>74</v>
      </c>
      <c r="B671" s="80" t="s">
        <v>536</v>
      </c>
      <c r="C671" s="80" t="s">
        <v>300</v>
      </c>
      <c r="D671" s="80" t="s">
        <v>769</v>
      </c>
      <c r="E671" s="83" t="s">
        <v>75</v>
      </c>
      <c r="F671" s="98">
        <v>0</v>
      </c>
      <c r="G671" s="98"/>
    </row>
    <row r="672" spans="1:8" s="163" customFormat="1" ht="36.700000000000003" x14ac:dyDescent="0.25">
      <c r="A672" s="175" t="s">
        <v>750</v>
      </c>
      <c r="B672" s="139">
        <v>959</v>
      </c>
      <c r="C672" s="140" t="s">
        <v>5</v>
      </c>
      <c r="D672" s="140" t="s">
        <v>126</v>
      </c>
      <c r="E672" s="140" t="s">
        <v>6</v>
      </c>
      <c r="F672" s="141">
        <f>F673</f>
        <v>1510000</v>
      </c>
      <c r="G672" s="141">
        <f t="shared" ref="F672:G674" si="42">G673</f>
        <v>1540000</v>
      </c>
    </row>
    <row r="673" spans="1:12" s="163" customFormat="1" x14ac:dyDescent="0.25">
      <c r="A673" s="81" t="s">
        <v>7</v>
      </c>
      <c r="B673" s="80" t="s">
        <v>751</v>
      </c>
      <c r="C673" s="80" t="s">
        <v>8</v>
      </c>
      <c r="D673" s="80" t="s">
        <v>126</v>
      </c>
      <c r="E673" s="80" t="s">
        <v>6</v>
      </c>
      <c r="F673" s="131">
        <f>F674</f>
        <v>1510000</v>
      </c>
      <c r="G673" s="131">
        <f t="shared" si="42"/>
        <v>1540000</v>
      </c>
    </row>
    <row r="674" spans="1:12" s="163" customFormat="1" ht="55.05" x14ac:dyDescent="0.25">
      <c r="A674" s="81" t="s">
        <v>9</v>
      </c>
      <c r="B674" s="80" t="s">
        <v>751</v>
      </c>
      <c r="C674" s="80" t="s">
        <v>10</v>
      </c>
      <c r="D674" s="80" t="s">
        <v>126</v>
      </c>
      <c r="E674" s="80" t="s">
        <v>6</v>
      </c>
      <c r="F674" s="82">
        <f t="shared" si="42"/>
        <v>1510000</v>
      </c>
      <c r="G674" s="82">
        <f t="shared" si="42"/>
        <v>1540000</v>
      </c>
    </row>
    <row r="675" spans="1:12" s="163" customFormat="1" ht="36.700000000000003" x14ac:dyDescent="0.25">
      <c r="A675" s="81" t="s">
        <v>132</v>
      </c>
      <c r="B675" s="80" t="s">
        <v>751</v>
      </c>
      <c r="C675" s="80" t="s">
        <v>10</v>
      </c>
      <c r="D675" s="80" t="s">
        <v>127</v>
      </c>
      <c r="E675" s="80" t="s">
        <v>6</v>
      </c>
      <c r="F675" s="82">
        <f>F676+F679</f>
        <v>1510000</v>
      </c>
      <c r="G675" s="82">
        <f>G676+G679</f>
        <v>1540000</v>
      </c>
    </row>
    <row r="676" spans="1:12" s="163" customFormat="1" x14ac:dyDescent="0.25">
      <c r="A676" s="81" t="s">
        <v>752</v>
      </c>
      <c r="B676" s="80" t="s">
        <v>751</v>
      </c>
      <c r="C676" s="80" t="s">
        <v>10</v>
      </c>
      <c r="D676" s="80" t="s">
        <v>143</v>
      </c>
      <c r="E676" s="80" t="s">
        <v>6</v>
      </c>
      <c r="F676" s="82">
        <f>F677</f>
        <v>1220000</v>
      </c>
      <c r="G676" s="82">
        <f>G677</f>
        <v>1240000</v>
      </c>
    </row>
    <row r="677" spans="1:12" s="163" customFormat="1" ht="91.7" x14ac:dyDescent="0.25">
      <c r="A677" s="81" t="s">
        <v>11</v>
      </c>
      <c r="B677" s="80" t="s">
        <v>751</v>
      </c>
      <c r="C677" s="80" t="s">
        <v>10</v>
      </c>
      <c r="D677" s="80" t="s">
        <v>143</v>
      </c>
      <c r="E677" s="80" t="s">
        <v>12</v>
      </c>
      <c r="F677" s="82">
        <f>F678</f>
        <v>1220000</v>
      </c>
      <c r="G677" s="82">
        <f>G678</f>
        <v>1240000</v>
      </c>
    </row>
    <row r="678" spans="1:12" s="163" customFormat="1" ht="36.700000000000003" x14ac:dyDescent="0.25">
      <c r="A678" s="81" t="s">
        <v>13</v>
      </c>
      <c r="B678" s="80" t="s">
        <v>751</v>
      </c>
      <c r="C678" s="80" t="s">
        <v>10</v>
      </c>
      <c r="D678" s="80" t="s">
        <v>143</v>
      </c>
      <c r="E678" s="80" t="s">
        <v>14</v>
      </c>
      <c r="F678" s="98">
        <v>1220000</v>
      </c>
      <c r="G678" s="98">
        <v>1240000</v>
      </c>
    </row>
    <row r="679" spans="1:12" s="163" customFormat="1" ht="55.05" x14ac:dyDescent="0.25">
      <c r="A679" s="81" t="s">
        <v>494</v>
      </c>
      <c r="B679" s="80" t="s">
        <v>751</v>
      </c>
      <c r="C679" s="80" t="s">
        <v>10</v>
      </c>
      <c r="D679" s="80" t="s">
        <v>495</v>
      </c>
      <c r="E679" s="80" t="s">
        <v>6</v>
      </c>
      <c r="F679" s="98">
        <f>F680+F682</f>
        <v>290000</v>
      </c>
      <c r="G679" s="98">
        <f>G680+G682</f>
        <v>300000</v>
      </c>
    </row>
    <row r="680" spans="1:12" s="163" customFormat="1" ht="89.7" customHeight="1" x14ac:dyDescent="0.25">
      <c r="A680" s="81" t="s">
        <v>11</v>
      </c>
      <c r="B680" s="80" t="s">
        <v>751</v>
      </c>
      <c r="C680" s="80" t="s">
        <v>10</v>
      </c>
      <c r="D680" s="80" t="s">
        <v>495</v>
      </c>
      <c r="E680" s="80" t="s">
        <v>12</v>
      </c>
      <c r="F680" s="98">
        <f>F681</f>
        <v>210000</v>
      </c>
      <c r="G680" s="98">
        <f>G681</f>
        <v>220000</v>
      </c>
    </row>
    <row r="681" spans="1:12" s="163" customFormat="1" ht="36.700000000000003" x14ac:dyDescent="0.25">
      <c r="A681" s="81" t="s">
        <v>13</v>
      </c>
      <c r="B681" s="80" t="s">
        <v>751</v>
      </c>
      <c r="C681" s="80" t="s">
        <v>10</v>
      </c>
      <c r="D681" s="80" t="s">
        <v>495</v>
      </c>
      <c r="E681" s="80" t="s">
        <v>14</v>
      </c>
      <c r="F681" s="98">
        <v>210000</v>
      </c>
      <c r="G681" s="98">
        <v>220000</v>
      </c>
    </row>
    <row r="682" spans="1:12" s="163" customFormat="1" ht="36.700000000000003" x14ac:dyDescent="0.25">
      <c r="A682" s="81" t="s">
        <v>15</v>
      </c>
      <c r="B682" s="80" t="s">
        <v>751</v>
      </c>
      <c r="C682" s="80" t="s">
        <v>10</v>
      </c>
      <c r="D682" s="80" t="s">
        <v>495</v>
      </c>
      <c r="E682" s="80" t="s">
        <v>16</v>
      </c>
      <c r="F682" s="98">
        <f>F683</f>
        <v>80000</v>
      </c>
      <c r="G682" s="98">
        <f>G683</f>
        <v>80000</v>
      </c>
      <c r="K682" s="163">
        <f>F692-F686</f>
        <v>420446250.00000006</v>
      </c>
      <c r="L682" s="163">
        <f>G692-G686</f>
        <v>426043749.99699998</v>
      </c>
    </row>
    <row r="683" spans="1:12" s="163" customFormat="1" ht="36.700000000000003" x14ac:dyDescent="0.25">
      <c r="A683" s="81" t="s">
        <v>17</v>
      </c>
      <c r="B683" s="80" t="s">
        <v>751</v>
      </c>
      <c r="C683" s="80" t="s">
        <v>10</v>
      </c>
      <c r="D683" s="80" t="s">
        <v>495</v>
      </c>
      <c r="E683" s="80" t="s">
        <v>18</v>
      </c>
      <c r="F683" s="98">
        <f>потребность!I677</f>
        <v>80000</v>
      </c>
      <c r="G683" s="98">
        <v>80000</v>
      </c>
      <c r="I683" s="683" t="s">
        <v>802</v>
      </c>
      <c r="J683" s="683"/>
      <c r="K683" s="229">
        <f>K682*2.5%</f>
        <v>10511156.250000002</v>
      </c>
      <c r="L683" s="229"/>
    </row>
    <row r="684" spans="1:12" s="163" customFormat="1" x14ac:dyDescent="0.3">
      <c r="A684" s="176" t="s">
        <v>768</v>
      </c>
      <c r="B684" s="177"/>
      <c r="C684" s="177"/>
      <c r="D684" s="178"/>
      <c r="E684" s="177"/>
      <c r="F684" s="128">
        <f>F14+F36+F470+F502+F672</f>
        <v>898268501.43599999</v>
      </c>
      <c r="G684" s="128">
        <f>G14+G36+G470+G502+G672</f>
        <v>916699181.36699998</v>
      </c>
      <c r="I684" s="683" t="s">
        <v>803</v>
      </c>
      <c r="J684" s="683"/>
      <c r="K684" s="229">
        <f>L682*5%</f>
        <v>21302187.499850001</v>
      </c>
    </row>
    <row r="685" spans="1:12" s="163" customFormat="1" x14ac:dyDescent="0.3">
      <c r="A685" s="162"/>
      <c r="B685" s="7"/>
      <c r="C685" s="7"/>
      <c r="D685" s="179" t="s">
        <v>798</v>
      </c>
      <c r="E685" s="7"/>
      <c r="F685" s="180">
        <f>'прил 8'!C9</f>
        <v>171948000</v>
      </c>
      <c r="G685" s="180">
        <f>'прил 8'!D9</f>
        <v>172218000</v>
      </c>
    </row>
    <row r="686" spans="1:12" s="163" customFormat="1" x14ac:dyDescent="0.3">
      <c r="A686" s="162"/>
      <c r="B686" s="7"/>
      <c r="C686" s="7"/>
      <c r="D686" s="179" t="s">
        <v>538</v>
      </c>
      <c r="E686" s="7"/>
      <c r="F686" s="180">
        <f>F653+F646+F611+F576+F573+F553+F550+F546+F513+F454+F433+F421+F418+F408+F369+F352+F304+F295+F188+F182+F161+F152+F147+F142+F137+F129+F134+F53+F430+F380-411090.13+129.24-102100.94-109624.2-208543</f>
        <v>482120951.43599993</v>
      </c>
      <c r="G686" s="180">
        <f>G653+G646+G611+G576+G573+G553+G550+G546+G513+G454+G433+G421+G418+G408+G369+G352+G304+G295+G188+G182+G161+G152+G147+G142+G137+G129+G134+G53+G430-287538.11</f>
        <v>499266331.37</v>
      </c>
    </row>
    <row r="687" spans="1:12" s="163" customFormat="1" x14ac:dyDescent="0.3">
      <c r="A687" s="162"/>
      <c r="B687" s="7"/>
      <c r="C687" s="7"/>
      <c r="D687" s="230" t="s">
        <v>799</v>
      </c>
      <c r="E687" s="7"/>
      <c r="F687" s="231">
        <f>F685*2.5%</f>
        <v>4298700</v>
      </c>
      <c r="G687" s="231">
        <f>G685*5%</f>
        <v>8610900</v>
      </c>
    </row>
    <row r="688" spans="1:12" s="163" customFormat="1" x14ac:dyDescent="0.3">
      <c r="A688" s="162"/>
      <c r="B688" s="7"/>
      <c r="C688" s="7"/>
      <c r="D688" s="179"/>
      <c r="E688" s="7"/>
      <c r="F688" s="180">
        <f>F685+F686</f>
        <v>654068951.43599987</v>
      </c>
      <c r="G688" s="180">
        <f>G685+G686</f>
        <v>671484331.37</v>
      </c>
    </row>
    <row r="689" spans="1:7" s="163" customFormat="1" x14ac:dyDescent="0.3">
      <c r="A689" s="162"/>
      <c r="B689" s="7"/>
      <c r="C689" s="7"/>
      <c r="D689" s="179" t="s">
        <v>800</v>
      </c>
      <c r="E689" s="7"/>
      <c r="F689" s="180">
        <v>411090.13</v>
      </c>
      <c r="G689" s="180">
        <v>287538.11</v>
      </c>
    </row>
    <row r="690" spans="1:7" s="163" customFormat="1" x14ac:dyDescent="0.3">
      <c r="A690" s="162"/>
      <c r="B690" s="7"/>
      <c r="C690" s="7"/>
      <c r="D690" s="179" t="s">
        <v>801</v>
      </c>
      <c r="E690" s="7"/>
      <c r="F690" s="180"/>
    </row>
    <row r="691" spans="1:7" s="163" customFormat="1" x14ac:dyDescent="0.3">
      <c r="A691" s="162"/>
      <c r="B691" s="7"/>
      <c r="C691" s="7"/>
      <c r="D691" s="179"/>
      <c r="E691" s="7"/>
      <c r="F691" s="180"/>
    </row>
    <row r="692" spans="1:7" s="163" customFormat="1" x14ac:dyDescent="0.3">
      <c r="A692" s="162"/>
      <c r="B692" s="7"/>
      <c r="C692" s="7"/>
      <c r="D692" s="179"/>
      <c r="E692" s="7"/>
      <c r="F692" s="180">
        <f>F684+F687</f>
        <v>902567201.43599999</v>
      </c>
      <c r="G692" s="180">
        <f>G684+G687</f>
        <v>925310081.36699998</v>
      </c>
    </row>
    <row r="693" spans="1:7" s="163" customFormat="1" x14ac:dyDescent="0.3">
      <c r="A693" s="162"/>
      <c r="B693" s="7"/>
      <c r="C693" s="7"/>
      <c r="D693" s="179"/>
      <c r="E693" s="7"/>
      <c r="F693" s="180">
        <f>'прил 8'!C63</f>
        <v>965296782.8599999</v>
      </c>
      <c r="G693" s="180">
        <f>'прил 8'!D63</f>
        <v>972108154.78999996</v>
      </c>
    </row>
    <row r="694" spans="1:7" s="163" customFormat="1" x14ac:dyDescent="0.3">
      <c r="A694" s="162"/>
      <c r="B694" s="7"/>
      <c r="C694" s="7"/>
      <c r="D694" s="179"/>
      <c r="E694" s="7"/>
      <c r="F694" s="180">
        <f>F693-F692</f>
        <v>62729581.423999906</v>
      </c>
      <c r="G694" s="180">
        <f>G693-G692</f>
        <v>46798073.422999978</v>
      </c>
    </row>
    <row r="695" spans="1:7" s="163" customFormat="1" x14ac:dyDescent="0.3">
      <c r="A695" s="162"/>
      <c r="B695" s="7"/>
      <c r="C695" s="7"/>
      <c r="D695" s="179"/>
      <c r="E695" s="7"/>
      <c r="F695" s="180"/>
    </row>
    <row r="696" spans="1:7" s="163" customFormat="1" x14ac:dyDescent="0.3">
      <c r="A696" s="162"/>
      <c r="B696" s="7"/>
      <c r="C696" s="7"/>
      <c r="D696" s="179"/>
      <c r="E696" s="7"/>
      <c r="F696" s="180"/>
    </row>
    <row r="697" spans="1:7" s="163" customFormat="1" x14ac:dyDescent="0.3">
      <c r="A697" s="162"/>
      <c r="B697" s="7" t="s">
        <v>824</v>
      </c>
      <c r="C697" s="7"/>
      <c r="D697" s="179"/>
      <c r="E697" s="7"/>
      <c r="F697" s="181">
        <f>F399+F420+F425</f>
        <v>25861130.34</v>
      </c>
      <c r="G697" s="181">
        <f>G399+G420+G425</f>
        <v>26565604.48</v>
      </c>
    </row>
    <row r="698" spans="1:7" s="163" customFormat="1" x14ac:dyDescent="0.3">
      <c r="A698" s="162"/>
      <c r="B698" s="7"/>
      <c r="C698" s="7"/>
      <c r="D698" s="179"/>
      <c r="E698" s="7"/>
      <c r="F698" s="182"/>
    </row>
    <row r="699" spans="1:7" s="163" customFormat="1" x14ac:dyDescent="0.3">
      <c r="A699" s="162"/>
      <c r="B699" s="7"/>
      <c r="C699" s="7"/>
      <c r="D699" s="179"/>
      <c r="E699" s="7"/>
      <c r="F699" s="180"/>
    </row>
    <row r="704" spans="1:7" s="163" customFormat="1" x14ac:dyDescent="0.3">
      <c r="A704" s="162"/>
      <c r="B704" s="7" t="s">
        <v>662</v>
      </c>
      <c r="C704" s="7"/>
      <c r="D704" s="180"/>
      <c r="E704" s="7"/>
      <c r="F704" s="183"/>
      <c r="G704" s="180"/>
    </row>
    <row r="705" spans="1:7" s="163" customFormat="1" x14ac:dyDescent="0.3">
      <c r="A705" s="162"/>
      <c r="B705" s="7" t="s">
        <v>661</v>
      </c>
      <c r="C705" s="7"/>
      <c r="D705" s="180"/>
      <c r="E705" s="7"/>
      <c r="F705" s="183"/>
      <c r="G705" s="180"/>
    </row>
  </sheetData>
  <mergeCells count="11">
    <mergeCell ref="F3:G3"/>
    <mergeCell ref="F4:G4"/>
    <mergeCell ref="E2:G2"/>
    <mergeCell ref="F5:G5"/>
    <mergeCell ref="F7:G7"/>
    <mergeCell ref="E6:G6"/>
    <mergeCell ref="I684:J684"/>
    <mergeCell ref="A9:F9"/>
    <mergeCell ref="A10:F10"/>
    <mergeCell ref="A11:F11"/>
    <mergeCell ref="I683:J683"/>
  </mergeCells>
  <pageMargins left="1.1811023622047243" right="0.39370078740157483" top="0.78740157480314965" bottom="0.78740157480314965" header="0.31496062992125984" footer="0.31496062992125984"/>
  <pageSetup paperSize="9" scale="59" orientation="portrait" r:id="rId1"/>
  <rowBreaks count="5" manualBreakCount="5">
    <brk id="368" max="6" man="1"/>
    <brk id="404" max="6" man="1"/>
    <brk id="475" max="6" man="1"/>
    <brk id="571" max="6" man="1"/>
    <brk id="609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720"/>
  <sheetViews>
    <sheetView view="pageBreakPreview" topLeftCell="A295" zoomScaleNormal="100" zoomScaleSheetLayoutView="100" workbookViewId="0">
      <selection activeCell="A307" sqref="A307"/>
    </sheetView>
  </sheetViews>
  <sheetFormatPr defaultRowHeight="18.350000000000001" outlineLevelRow="7" x14ac:dyDescent="0.3"/>
  <cols>
    <col min="1" max="1" width="62.375" style="162" customWidth="1"/>
    <col min="2" max="2" width="6.375" style="7" customWidth="1"/>
    <col min="3" max="3" width="6.625" style="7" customWidth="1"/>
    <col min="4" max="4" width="15.875" style="7" customWidth="1"/>
    <col min="5" max="5" width="6.875" style="7" customWidth="1"/>
    <col min="6" max="6" width="19.125" style="630" customWidth="1"/>
    <col min="7" max="7" width="19.375" style="617" customWidth="1"/>
    <col min="8" max="8" width="9" style="163"/>
    <col min="9" max="10" width="9" style="5"/>
    <col min="11" max="11" width="18.375" style="5" bestFit="1" customWidth="1"/>
    <col min="12" max="12" width="16.125" style="5" customWidth="1"/>
    <col min="13" max="238" width="9" style="5"/>
    <col min="239" max="239" width="75.875" style="5" customWidth="1"/>
    <col min="240" max="241" width="7.625" style="5" customWidth="1"/>
    <col min="242" max="242" width="9.625" style="5" customWidth="1"/>
    <col min="243" max="243" width="7.625" style="5" customWidth="1"/>
    <col min="244" max="247" width="0" style="5" hidden="1" customWidth="1"/>
    <col min="248" max="248" width="14.375" style="5" customWidth="1"/>
    <col min="249" max="254" width="0" style="5" hidden="1" customWidth="1"/>
    <col min="255" max="255" width="10.125" style="5" bestFit="1" customWidth="1"/>
    <col min="256" max="494" width="9" style="5"/>
    <col min="495" max="495" width="75.875" style="5" customWidth="1"/>
    <col min="496" max="497" width="7.625" style="5" customWidth="1"/>
    <col min="498" max="498" width="9.625" style="5" customWidth="1"/>
    <col min="499" max="499" width="7.625" style="5" customWidth="1"/>
    <col min="500" max="503" width="0" style="5" hidden="1" customWidth="1"/>
    <col min="504" max="504" width="14.375" style="5" customWidth="1"/>
    <col min="505" max="510" width="0" style="5" hidden="1" customWidth="1"/>
    <col min="511" max="511" width="10.125" style="5" bestFit="1" customWidth="1"/>
    <col min="512" max="750" width="9" style="5"/>
    <col min="751" max="751" width="75.875" style="5" customWidth="1"/>
    <col min="752" max="753" width="7.625" style="5" customWidth="1"/>
    <col min="754" max="754" width="9.625" style="5" customWidth="1"/>
    <col min="755" max="755" width="7.625" style="5" customWidth="1"/>
    <col min="756" max="759" width="0" style="5" hidden="1" customWidth="1"/>
    <col min="760" max="760" width="14.375" style="5" customWidth="1"/>
    <col min="761" max="766" width="0" style="5" hidden="1" customWidth="1"/>
    <col min="767" max="767" width="10.125" style="5" bestFit="1" customWidth="1"/>
    <col min="768" max="1006" width="9" style="5"/>
    <col min="1007" max="1007" width="75.875" style="5" customWidth="1"/>
    <col min="1008" max="1009" width="7.625" style="5" customWidth="1"/>
    <col min="1010" max="1010" width="9.625" style="5" customWidth="1"/>
    <col min="1011" max="1011" width="7.625" style="5" customWidth="1"/>
    <col min="1012" max="1015" width="0" style="5" hidden="1" customWidth="1"/>
    <col min="1016" max="1016" width="14.375" style="5" customWidth="1"/>
    <col min="1017" max="1022" width="0" style="5" hidden="1" customWidth="1"/>
    <col min="1023" max="1023" width="10.125" style="5" bestFit="1" customWidth="1"/>
    <col min="1024" max="1262" width="9" style="5"/>
    <col min="1263" max="1263" width="75.875" style="5" customWidth="1"/>
    <col min="1264" max="1265" width="7.625" style="5" customWidth="1"/>
    <col min="1266" max="1266" width="9.625" style="5" customWidth="1"/>
    <col min="1267" max="1267" width="7.625" style="5" customWidth="1"/>
    <col min="1268" max="1271" width="0" style="5" hidden="1" customWidth="1"/>
    <col min="1272" max="1272" width="14.375" style="5" customWidth="1"/>
    <col min="1273" max="1278" width="0" style="5" hidden="1" customWidth="1"/>
    <col min="1279" max="1279" width="10.125" style="5" bestFit="1" customWidth="1"/>
    <col min="1280" max="1518" width="9" style="5"/>
    <col min="1519" max="1519" width="75.875" style="5" customWidth="1"/>
    <col min="1520" max="1521" width="7.625" style="5" customWidth="1"/>
    <col min="1522" max="1522" width="9.625" style="5" customWidth="1"/>
    <col min="1523" max="1523" width="7.625" style="5" customWidth="1"/>
    <col min="1524" max="1527" width="0" style="5" hidden="1" customWidth="1"/>
    <col min="1528" max="1528" width="14.375" style="5" customWidth="1"/>
    <col min="1529" max="1534" width="0" style="5" hidden="1" customWidth="1"/>
    <col min="1535" max="1535" width="10.125" style="5" bestFit="1" customWidth="1"/>
    <col min="1536" max="1774" width="9" style="5"/>
    <col min="1775" max="1775" width="75.875" style="5" customWidth="1"/>
    <col min="1776" max="1777" width="7.625" style="5" customWidth="1"/>
    <col min="1778" max="1778" width="9.625" style="5" customWidth="1"/>
    <col min="1779" max="1779" width="7.625" style="5" customWidth="1"/>
    <col min="1780" max="1783" width="0" style="5" hidden="1" customWidth="1"/>
    <col min="1784" max="1784" width="14.375" style="5" customWidth="1"/>
    <col min="1785" max="1790" width="0" style="5" hidden="1" customWidth="1"/>
    <col min="1791" max="1791" width="10.125" style="5" bestFit="1" customWidth="1"/>
    <col min="1792" max="2030" width="9" style="5"/>
    <col min="2031" max="2031" width="75.875" style="5" customWidth="1"/>
    <col min="2032" max="2033" width="7.625" style="5" customWidth="1"/>
    <col min="2034" max="2034" width="9.625" style="5" customWidth="1"/>
    <col min="2035" max="2035" width="7.625" style="5" customWidth="1"/>
    <col min="2036" max="2039" width="0" style="5" hidden="1" customWidth="1"/>
    <col min="2040" max="2040" width="14.375" style="5" customWidth="1"/>
    <col min="2041" max="2046" width="0" style="5" hidden="1" customWidth="1"/>
    <col min="2047" max="2047" width="10.125" style="5" bestFit="1" customWidth="1"/>
    <col min="2048" max="2286" width="9" style="5"/>
    <col min="2287" max="2287" width="75.875" style="5" customWidth="1"/>
    <col min="2288" max="2289" width="7.625" style="5" customWidth="1"/>
    <col min="2290" max="2290" width="9.625" style="5" customWidth="1"/>
    <col min="2291" max="2291" width="7.625" style="5" customWidth="1"/>
    <col min="2292" max="2295" width="0" style="5" hidden="1" customWidth="1"/>
    <col min="2296" max="2296" width="14.375" style="5" customWidth="1"/>
    <col min="2297" max="2302" width="0" style="5" hidden="1" customWidth="1"/>
    <col min="2303" max="2303" width="10.125" style="5" bestFit="1" customWidth="1"/>
    <col min="2304" max="2542" width="9" style="5"/>
    <col min="2543" max="2543" width="75.875" style="5" customWidth="1"/>
    <col min="2544" max="2545" width="7.625" style="5" customWidth="1"/>
    <col min="2546" max="2546" width="9.625" style="5" customWidth="1"/>
    <col min="2547" max="2547" width="7.625" style="5" customWidth="1"/>
    <col min="2548" max="2551" width="0" style="5" hidden="1" customWidth="1"/>
    <col min="2552" max="2552" width="14.375" style="5" customWidth="1"/>
    <col min="2553" max="2558" width="0" style="5" hidden="1" customWidth="1"/>
    <col min="2559" max="2559" width="10.125" style="5" bestFit="1" customWidth="1"/>
    <col min="2560" max="2798" width="9" style="5"/>
    <col min="2799" max="2799" width="75.875" style="5" customWidth="1"/>
    <col min="2800" max="2801" width="7.625" style="5" customWidth="1"/>
    <col min="2802" max="2802" width="9.625" style="5" customWidth="1"/>
    <col min="2803" max="2803" width="7.625" style="5" customWidth="1"/>
    <col min="2804" max="2807" width="0" style="5" hidden="1" customWidth="1"/>
    <col min="2808" max="2808" width="14.375" style="5" customWidth="1"/>
    <col min="2809" max="2814" width="0" style="5" hidden="1" customWidth="1"/>
    <col min="2815" max="2815" width="10.125" style="5" bestFit="1" customWidth="1"/>
    <col min="2816" max="3054" width="9" style="5"/>
    <col min="3055" max="3055" width="75.875" style="5" customWidth="1"/>
    <col min="3056" max="3057" width="7.625" style="5" customWidth="1"/>
    <col min="3058" max="3058" width="9.625" style="5" customWidth="1"/>
    <col min="3059" max="3059" width="7.625" style="5" customWidth="1"/>
    <col min="3060" max="3063" width="0" style="5" hidden="1" customWidth="1"/>
    <col min="3064" max="3064" width="14.375" style="5" customWidth="1"/>
    <col min="3065" max="3070" width="0" style="5" hidden="1" customWidth="1"/>
    <col min="3071" max="3071" width="10.125" style="5" bestFit="1" customWidth="1"/>
    <col min="3072" max="3310" width="9" style="5"/>
    <col min="3311" max="3311" width="75.875" style="5" customWidth="1"/>
    <col min="3312" max="3313" width="7.625" style="5" customWidth="1"/>
    <col min="3314" max="3314" width="9.625" style="5" customWidth="1"/>
    <col min="3315" max="3315" width="7.625" style="5" customWidth="1"/>
    <col min="3316" max="3319" width="0" style="5" hidden="1" customWidth="1"/>
    <col min="3320" max="3320" width="14.375" style="5" customWidth="1"/>
    <col min="3321" max="3326" width="0" style="5" hidden="1" customWidth="1"/>
    <col min="3327" max="3327" width="10.125" style="5" bestFit="1" customWidth="1"/>
    <col min="3328" max="3566" width="9" style="5"/>
    <col min="3567" max="3567" width="75.875" style="5" customWidth="1"/>
    <col min="3568" max="3569" width="7.625" style="5" customWidth="1"/>
    <col min="3570" max="3570" width="9.625" style="5" customWidth="1"/>
    <col min="3571" max="3571" width="7.625" style="5" customWidth="1"/>
    <col min="3572" max="3575" width="0" style="5" hidden="1" customWidth="1"/>
    <col min="3576" max="3576" width="14.375" style="5" customWidth="1"/>
    <col min="3577" max="3582" width="0" style="5" hidden="1" customWidth="1"/>
    <col min="3583" max="3583" width="10.125" style="5" bestFit="1" customWidth="1"/>
    <col min="3584" max="3822" width="9" style="5"/>
    <col min="3823" max="3823" width="75.875" style="5" customWidth="1"/>
    <col min="3824" max="3825" width="7.625" style="5" customWidth="1"/>
    <col min="3826" max="3826" width="9.625" style="5" customWidth="1"/>
    <col min="3827" max="3827" width="7.625" style="5" customWidth="1"/>
    <col min="3828" max="3831" width="0" style="5" hidden="1" customWidth="1"/>
    <col min="3832" max="3832" width="14.375" style="5" customWidth="1"/>
    <col min="3833" max="3838" width="0" style="5" hidden="1" customWidth="1"/>
    <col min="3839" max="3839" width="10.125" style="5" bestFit="1" customWidth="1"/>
    <col min="3840" max="4078" width="9" style="5"/>
    <col min="4079" max="4079" width="75.875" style="5" customWidth="1"/>
    <col min="4080" max="4081" width="7.625" style="5" customWidth="1"/>
    <col min="4082" max="4082" width="9.625" style="5" customWidth="1"/>
    <col min="4083" max="4083" width="7.625" style="5" customWidth="1"/>
    <col min="4084" max="4087" width="0" style="5" hidden="1" customWidth="1"/>
    <col min="4088" max="4088" width="14.375" style="5" customWidth="1"/>
    <col min="4089" max="4094" width="0" style="5" hidden="1" customWidth="1"/>
    <col min="4095" max="4095" width="10.125" style="5" bestFit="1" customWidth="1"/>
    <col min="4096" max="4334" width="9" style="5"/>
    <col min="4335" max="4335" width="75.875" style="5" customWidth="1"/>
    <col min="4336" max="4337" width="7.625" style="5" customWidth="1"/>
    <col min="4338" max="4338" width="9.625" style="5" customWidth="1"/>
    <col min="4339" max="4339" width="7.625" style="5" customWidth="1"/>
    <col min="4340" max="4343" width="0" style="5" hidden="1" customWidth="1"/>
    <col min="4344" max="4344" width="14.375" style="5" customWidth="1"/>
    <col min="4345" max="4350" width="0" style="5" hidden="1" customWidth="1"/>
    <col min="4351" max="4351" width="10.125" style="5" bestFit="1" customWidth="1"/>
    <col min="4352" max="4590" width="9" style="5"/>
    <col min="4591" max="4591" width="75.875" style="5" customWidth="1"/>
    <col min="4592" max="4593" width="7.625" style="5" customWidth="1"/>
    <col min="4594" max="4594" width="9.625" style="5" customWidth="1"/>
    <col min="4595" max="4595" width="7.625" style="5" customWidth="1"/>
    <col min="4596" max="4599" width="0" style="5" hidden="1" customWidth="1"/>
    <col min="4600" max="4600" width="14.375" style="5" customWidth="1"/>
    <col min="4601" max="4606" width="0" style="5" hidden="1" customWidth="1"/>
    <col min="4607" max="4607" width="10.125" style="5" bestFit="1" customWidth="1"/>
    <col min="4608" max="4846" width="9" style="5"/>
    <col min="4847" max="4847" width="75.875" style="5" customWidth="1"/>
    <col min="4848" max="4849" width="7.625" style="5" customWidth="1"/>
    <col min="4850" max="4850" width="9.625" style="5" customWidth="1"/>
    <col min="4851" max="4851" width="7.625" style="5" customWidth="1"/>
    <col min="4852" max="4855" width="0" style="5" hidden="1" customWidth="1"/>
    <col min="4856" max="4856" width="14.375" style="5" customWidth="1"/>
    <col min="4857" max="4862" width="0" style="5" hidden="1" customWidth="1"/>
    <col min="4863" max="4863" width="10.125" style="5" bestFit="1" customWidth="1"/>
    <col min="4864" max="5102" width="9" style="5"/>
    <col min="5103" max="5103" width="75.875" style="5" customWidth="1"/>
    <col min="5104" max="5105" width="7.625" style="5" customWidth="1"/>
    <col min="5106" max="5106" width="9.625" style="5" customWidth="1"/>
    <col min="5107" max="5107" width="7.625" style="5" customWidth="1"/>
    <col min="5108" max="5111" width="0" style="5" hidden="1" customWidth="1"/>
    <col min="5112" max="5112" width="14.375" style="5" customWidth="1"/>
    <col min="5113" max="5118" width="0" style="5" hidden="1" customWidth="1"/>
    <col min="5119" max="5119" width="10.125" style="5" bestFit="1" customWidth="1"/>
    <col min="5120" max="5358" width="9" style="5"/>
    <col min="5359" max="5359" width="75.875" style="5" customWidth="1"/>
    <col min="5360" max="5361" width="7.625" style="5" customWidth="1"/>
    <col min="5362" max="5362" width="9.625" style="5" customWidth="1"/>
    <col min="5363" max="5363" width="7.625" style="5" customWidth="1"/>
    <col min="5364" max="5367" width="0" style="5" hidden="1" customWidth="1"/>
    <col min="5368" max="5368" width="14.375" style="5" customWidth="1"/>
    <col min="5369" max="5374" width="0" style="5" hidden="1" customWidth="1"/>
    <col min="5375" max="5375" width="10.125" style="5" bestFit="1" customWidth="1"/>
    <col min="5376" max="5614" width="9" style="5"/>
    <col min="5615" max="5615" width="75.875" style="5" customWidth="1"/>
    <col min="5616" max="5617" width="7.625" style="5" customWidth="1"/>
    <col min="5618" max="5618" width="9.625" style="5" customWidth="1"/>
    <col min="5619" max="5619" width="7.625" style="5" customWidth="1"/>
    <col min="5620" max="5623" width="0" style="5" hidden="1" customWidth="1"/>
    <col min="5624" max="5624" width="14.375" style="5" customWidth="1"/>
    <col min="5625" max="5630" width="0" style="5" hidden="1" customWidth="1"/>
    <col min="5631" max="5631" width="10.125" style="5" bestFit="1" customWidth="1"/>
    <col min="5632" max="5870" width="9" style="5"/>
    <col min="5871" max="5871" width="75.875" style="5" customWidth="1"/>
    <col min="5872" max="5873" width="7.625" style="5" customWidth="1"/>
    <col min="5874" max="5874" width="9.625" style="5" customWidth="1"/>
    <col min="5875" max="5875" width="7.625" style="5" customWidth="1"/>
    <col min="5876" max="5879" width="0" style="5" hidden="1" customWidth="1"/>
    <col min="5880" max="5880" width="14.375" style="5" customWidth="1"/>
    <col min="5881" max="5886" width="0" style="5" hidden="1" customWidth="1"/>
    <col min="5887" max="5887" width="10.125" style="5" bestFit="1" customWidth="1"/>
    <col min="5888" max="6126" width="9" style="5"/>
    <col min="6127" max="6127" width="75.875" style="5" customWidth="1"/>
    <col min="6128" max="6129" width="7.625" style="5" customWidth="1"/>
    <col min="6130" max="6130" width="9.625" style="5" customWidth="1"/>
    <col min="6131" max="6131" width="7.625" style="5" customWidth="1"/>
    <col min="6132" max="6135" width="0" style="5" hidden="1" customWidth="1"/>
    <col min="6136" max="6136" width="14.375" style="5" customWidth="1"/>
    <col min="6137" max="6142" width="0" style="5" hidden="1" customWidth="1"/>
    <col min="6143" max="6143" width="10.125" style="5" bestFit="1" customWidth="1"/>
    <col min="6144" max="6382" width="9" style="5"/>
    <col min="6383" max="6383" width="75.875" style="5" customWidth="1"/>
    <col min="6384" max="6385" width="7.625" style="5" customWidth="1"/>
    <col min="6386" max="6386" width="9.625" style="5" customWidth="1"/>
    <col min="6387" max="6387" width="7.625" style="5" customWidth="1"/>
    <col min="6388" max="6391" width="0" style="5" hidden="1" customWidth="1"/>
    <col min="6392" max="6392" width="14.375" style="5" customWidth="1"/>
    <col min="6393" max="6398" width="0" style="5" hidden="1" customWidth="1"/>
    <col min="6399" max="6399" width="10.125" style="5" bestFit="1" customWidth="1"/>
    <col min="6400" max="6638" width="9" style="5"/>
    <col min="6639" max="6639" width="75.875" style="5" customWidth="1"/>
    <col min="6640" max="6641" width="7.625" style="5" customWidth="1"/>
    <col min="6642" max="6642" width="9.625" style="5" customWidth="1"/>
    <col min="6643" max="6643" width="7.625" style="5" customWidth="1"/>
    <col min="6644" max="6647" width="0" style="5" hidden="1" customWidth="1"/>
    <col min="6648" max="6648" width="14.375" style="5" customWidth="1"/>
    <col min="6649" max="6654" width="0" style="5" hidden="1" customWidth="1"/>
    <col min="6655" max="6655" width="10.125" style="5" bestFit="1" customWidth="1"/>
    <col min="6656" max="6894" width="9" style="5"/>
    <col min="6895" max="6895" width="75.875" style="5" customWidth="1"/>
    <col min="6896" max="6897" width="7.625" style="5" customWidth="1"/>
    <col min="6898" max="6898" width="9.625" style="5" customWidth="1"/>
    <col min="6899" max="6899" width="7.625" style="5" customWidth="1"/>
    <col min="6900" max="6903" width="0" style="5" hidden="1" customWidth="1"/>
    <col min="6904" max="6904" width="14.375" style="5" customWidth="1"/>
    <col min="6905" max="6910" width="0" style="5" hidden="1" customWidth="1"/>
    <col min="6911" max="6911" width="10.125" style="5" bestFit="1" customWidth="1"/>
    <col min="6912" max="7150" width="9" style="5"/>
    <col min="7151" max="7151" width="75.875" style="5" customWidth="1"/>
    <col min="7152" max="7153" width="7.625" style="5" customWidth="1"/>
    <col min="7154" max="7154" width="9.625" style="5" customWidth="1"/>
    <col min="7155" max="7155" width="7.625" style="5" customWidth="1"/>
    <col min="7156" max="7159" width="0" style="5" hidden="1" customWidth="1"/>
    <col min="7160" max="7160" width="14.375" style="5" customWidth="1"/>
    <col min="7161" max="7166" width="0" style="5" hidden="1" customWidth="1"/>
    <col min="7167" max="7167" width="10.125" style="5" bestFit="1" customWidth="1"/>
    <col min="7168" max="7406" width="9" style="5"/>
    <col min="7407" max="7407" width="75.875" style="5" customWidth="1"/>
    <col min="7408" max="7409" width="7.625" style="5" customWidth="1"/>
    <col min="7410" max="7410" width="9.625" style="5" customWidth="1"/>
    <col min="7411" max="7411" width="7.625" style="5" customWidth="1"/>
    <col min="7412" max="7415" width="0" style="5" hidden="1" customWidth="1"/>
    <col min="7416" max="7416" width="14.375" style="5" customWidth="1"/>
    <col min="7417" max="7422" width="0" style="5" hidden="1" customWidth="1"/>
    <col min="7423" max="7423" width="10.125" style="5" bestFit="1" customWidth="1"/>
    <col min="7424" max="7662" width="9" style="5"/>
    <col min="7663" max="7663" width="75.875" style="5" customWidth="1"/>
    <col min="7664" max="7665" width="7.625" style="5" customWidth="1"/>
    <col min="7666" max="7666" width="9.625" style="5" customWidth="1"/>
    <col min="7667" max="7667" width="7.625" style="5" customWidth="1"/>
    <col min="7668" max="7671" width="0" style="5" hidden="1" customWidth="1"/>
    <col min="7672" max="7672" width="14.375" style="5" customWidth="1"/>
    <col min="7673" max="7678" width="0" style="5" hidden="1" customWidth="1"/>
    <col min="7679" max="7679" width="10.125" style="5" bestFit="1" customWidth="1"/>
    <col min="7680" max="7918" width="9" style="5"/>
    <col min="7919" max="7919" width="75.875" style="5" customWidth="1"/>
    <col min="7920" max="7921" width="7.625" style="5" customWidth="1"/>
    <col min="7922" max="7922" width="9.625" style="5" customWidth="1"/>
    <col min="7923" max="7923" width="7.625" style="5" customWidth="1"/>
    <col min="7924" max="7927" width="0" style="5" hidden="1" customWidth="1"/>
    <col min="7928" max="7928" width="14.375" style="5" customWidth="1"/>
    <col min="7929" max="7934" width="0" style="5" hidden="1" customWidth="1"/>
    <col min="7935" max="7935" width="10.125" style="5" bestFit="1" customWidth="1"/>
    <col min="7936" max="8174" width="9" style="5"/>
    <col min="8175" max="8175" width="75.875" style="5" customWidth="1"/>
    <col min="8176" max="8177" width="7.625" style="5" customWidth="1"/>
    <col min="8178" max="8178" width="9.625" style="5" customWidth="1"/>
    <col min="8179" max="8179" width="7.625" style="5" customWidth="1"/>
    <col min="8180" max="8183" width="0" style="5" hidden="1" customWidth="1"/>
    <col min="8184" max="8184" width="14.375" style="5" customWidth="1"/>
    <col min="8185" max="8190" width="0" style="5" hidden="1" customWidth="1"/>
    <col min="8191" max="8191" width="10.125" style="5" bestFit="1" customWidth="1"/>
    <col min="8192" max="8430" width="9" style="5"/>
    <col min="8431" max="8431" width="75.875" style="5" customWidth="1"/>
    <col min="8432" max="8433" width="7.625" style="5" customWidth="1"/>
    <col min="8434" max="8434" width="9.625" style="5" customWidth="1"/>
    <col min="8435" max="8435" width="7.625" style="5" customWidth="1"/>
    <col min="8436" max="8439" width="0" style="5" hidden="1" customWidth="1"/>
    <col min="8440" max="8440" width="14.375" style="5" customWidth="1"/>
    <col min="8441" max="8446" width="0" style="5" hidden="1" customWidth="1"/>
    <col min="8447" max="8447" width="10.125" style="5" bestFit="1" customWidth="1"/>
    <col min="8448" max="8686" width="9" style="5"/>
    <col min="8687" max="8687" width="75.875" style="5" customWidth="1"/>
    <col min="8688" max="8689" width="7.625" style="5" customWidth="1"/>
    <col min="8690" max="8690" width="9.625" style="5" customWidth="1"/>
    <col min="8691" max="8691" width="7.625" style="5" customWidth="1"/>
    <col min="8692" max="8695" width="0" style="5" hidden="1" customWidth="1"/>
    <col min="8696" max="8696" width="14.375" style="5" customWidth="1"/>
    <col min="8697" max="8702" width="0" style="5" hidden="1" customWidth="1"/>
    <col min="8703" max="8703" width="10.125" style="5" bestFit="1" customWidth="1"/>
    <col min="8704" max="8942" width="9" style="5"/>
    <col min="8943" max="8943" width="75.875" style="5" customWidth="1"/>
    <col min="8944" max="8945" width="7.625" style="5" customWidth="1"/>
    <col min="8946" max="8946" width="9.625" style="5" customWidth="1"/>
    <col min="8947" max="8947" width="7.625" style="5" customWidth="1"/>
    <col min="8948" max="8951" width="0" style="5" hidden="1" customWidth="1"/>
    <col min="8952" max="8952" width="14.375" style="5" customWidth="1"/>
    <col min="8953" max="8958" width="0" style="5" hidden="1" customWidth="1"/>
    <col min="8959" max="8959" width="10.125" style="5" bestFit="1" customWidth="1"/>
    <col min="8960" max="9198" width="9" style="5"/>
    <col min="9199" max="9199" width="75.875" style="5" customWidth="1"/>
    <col min="9200" max="9201" width="7.625" style="5" customWidth="1"/>
    <col min="9202" max="9202" width="9.625" style="5" customWidth="1"/>
    <col min="9203" max="9203" width="7.625" style="5" customWidth="1"/>
    <col min="9204" max="9207" width="0" style="5" hidden="1" customWidth="1"/>
    <col min="9208" max="9208" width="14.375" style="5" customWidth="1"/>
    <col min="9209" max="9214" width="0" style="5" hidden="1" customWidth="1"/>
    <col min="9215" max="9215" width="10.125" style="5" bestFit="1" customWidth="1"/>
    <col min="9216" max="9454" width="9" style="5"/>
    <col min="9455" max="9455" width="75.875" style="5" customWidth="1"/>
    <col min="9456" max="9457" width="7.625" style="5" customWidth="1"/>
    <col min="9458" max="9458" width="9.625" style="5" customWidth="1"/>
    <col min="9459" max="9459" width="7.625" style="5" customWidth="1"/>
    <col min="9460" max="9463" width="0" style="5" hidden="1" customWidth="1"/>
    <col min="9464" max="9464" width="14.375" style="5" customWidth="1"/>
    <col min="9465" max="9470" width="0" style="5" hidden="1" customWidth="1"/>
    <col min="9471" max="9471" width="10.125" style="5" bestFit="1" customWidth="1"/>
    <col min="9472" max="9710" width="9" style="5"/>
    <col min="9711" max="9711" width="75.875" style="5" customWidth="1"/>
    <col min="9712" max="9713" width="7.625" style="5" customWidth="1"/>
    <col min="9714" max="9714" width="9.625" style="5" customWidth="1"/>
    <col min="9715" max="9715" width="7.625" style="5" customWidth="1"/>
    <col min="9716" max="9719" width="0" style="5" hidden="1" customWidth="1"/>
    <col min="9720" max="9720" width="14.375" style="5" customWidth="1"/>
    <col min="9721" max="9726" width="0" style="5" hidden="1" customWidth="1"/>
    <col min="9727" max="9727" width="10.125" style="5" bestFit="1" customWidth="1"/>
    <col min="9728" max="9966" width="9" style="5"/>
    <col min="9967" max="9967" width="75.875" style="5" customWidth="1"/>
    <col min="9968" max="9969" width="7.625" style="5" customWidth="1"/>
    <col min="9970" max="9970" width="9.625" style="5" customWidth="1"/>
    <col min="9971" max="9971" width="7.625" style="5" customWidth="1"/>
    <col min="9972" max="9975" width="0" style="5" hidden="1" customWidth="1"/>
    <col min="9976" max="9976" width="14.375" style="5" customWidth="1"/>
    <col min="9977" max="9982" width="0" style="5" hidden="1" customWidth="1"/>
    <col min="9983" max="9983" width="10.125" style="5" bestFit="1" customWidth="1"/>
    <col min="9984" max="10222" width="9" style="5"/>
    <col min="10223" max="10223" width="75.875" style="5" customWidth="1"/>
    <col min="10224" max="10225" width="7.625" style="5" customWidth="1"/>
    <col min="10226" max="10226" width="9.625" style="5" customWidth="1"/>
    <col min="10227" max="10227" width="7.625" style="5" customWidth="1"/>
    <col min="10228" max="10231" width="0" style="5" hidden="1" customWidth="1"/>
    <col min="10232" max="10232" width="14.375" style="5" customWidth="1"/>
    <col min="10233" max="10238" width="0" style="5" hidden="1" customWidth="1"/>
    <col min="10239" max="10239" width="10.125" style="5" bestFit="1" customWidth="1"/>
    <col min="10240" max="10478" width="9" style="5"/>
    <col min="10479" max="10479" width="75.875" style="5" customWidth="1"/>
    <col min="10480" max="10481" width="7.625" style="5" customWidth="1"/>
    <col min="10482" max="10482" width="9.625" style="5" customWidth="1"/>
    <col min="10483" max="10483" width="7.625" style="5" customWidth="1"/>
    <col min="10484" max="10487" width="0" style="5" hidden="1" customWidth="1"/>
    <col min="10488" max="10488" width="14.375" style="5" customWidth="1"/>
    <col min="10489" max="10494" width="0" style="5" hidden="1" customWidth="1"/>
    <col min="10495" max="10495" width="10.125" style="5" bestFit="1" customWidth="1"/>
    <col min="10496" max="10734" width="9" style="5"/>
    <col min="10735" max="10735" width="75.875" style="5" customWidth="1"/>
    <col min="10736" max="10737" width="7.625" style="5" customWidth="1"/>
    <col min="10738" max="10738" width="9.625" style="5" customWidth="1"/>
    <col min="10739" max="10739" width="7.625" style="5" customWidth="1"/>
    <col min="10740" max="10743" width="0" style="5" hidden="1" customWidth="1"/>
    <col min="10744" max="10744" width="14.375" style="5" customWidth="1"/>
    <col min="10745" max="10750" width="0" style="5" hidden="1" customWidth="1"/>
    <col min="10751" max="10751" width="10.125" style="5" bestFit="1" customWidth="1"/>
    <col min="10752" max="10990" width="9" style="5"/>
    <col min="10991" max="10991" width="75.875" style="5" customWidth="1"/>
    <col min="10992" max="10993" width="7.625" style="5" customWidth="1"/>
    <col min="10994" max="10994" width="9.625" style="5" customWidth="1"/>
    <col min="10995" max="10995" width="7.625" style="5" customWidth="1"/>
    <col min="10996" max="10999" width="0" style="5" hidden="1" customWidth="1"/>
    <col min="11000" max="11000" width="14.375" style="5" customWidth="1"/>
    <col min="11001" max="11006" width="0" style="5" hidden="1" customWidth="1"/>
    <col min="11007" max="11007" width="10.125" style="5" bestFit="1" customWidth="1"/>
    <col min="11008" max="11246" width="9" style="5"/>
    <col min="11247" max="11247" width="75.875" style="5" customWidth="1"/>
    <col min="11248" max="11249" width="7.625" style="5" customWidth="1"/>
    <col min="11250" max="11250" width="9.625" style="5" customWidth="1"/>
    <col min="11251" max="11251" width="7.625" style="5" customWidth="1"/>
    <col min="11252" max="11255" width="0" style="5" hidden="1" customWidth="1"/>
    <col min="11256" max="11256" width="14.375" style="5" customWidth="1"/>
    <col min="11257" max="11262" width="0" style="5" hidden="1" customWidth="1"/>
    <col min="11263" max="11263" width="10.125" style="5" bestFit="1" customWidth="1"/>
    <col min="11264" max="11502" width="9" style="5"/>
    <col min="11503" max="11503" width="75.875" style="5" customWidth="1"/>
    <col min="11504" max="11505" width="7.625" style="5" customWidth="1"/>
    <col min="11506" max="11506" width="9.625" style="5" customWidth="1"/>
    <col min="11507" max="11507" width="7.625" style="5" customWidth="1"/>
    <col min="11508" max="11511" width="0" style="5" hidden="1" customWidth="1"/>
    <col min="11512" max="11512" width="14.375" style="5" customWidth="1"/>
    <col min="11513" max="11518" width="0" style="5" hidden="1" customWidth="1"/>
    <col min="11519" max="11519" width="10.125" style="5" bestFit="1" customWidth="1"/>
    <col min="11520" max="11758" width="9" style="5"/>
    <col min="11759" max="11759" width="75.875" style="5" customWidth="1"/>
    <col min="11760" max="11761" width="7.625" style="5" customWidth="1"/>
    <col min="11762" max="11762" width="9.625" style="5" customWidth="1"/>
    <col min="11763" max="11763" width="7.625" style="5" customWidth="1"/>
    <col min="11764" max="11767" width="0" style="5" hidden="1" customWidth="1"/>
    <col min="11768" max="11768" width="14.375" style="5" customWidth="1"/>
    <col min="11769" max="11774" width="0" style="5" hidden="1" customWidth="1"/>
    <col min="11775" max="11775" width="10.125" style="5" bestFit="1" customWidth="1"/>
    <col min="11776" max="12014" width="9" style="5"/>
    <col min="12015" max="12015" width="75.875" style="5" customWidth="1"/>
    <col min="12016" max="12017" width="7.625" style="5" customWidth="1"/>
    <col min="12018" max="12018" width="9.625" style="5" customWidth="1"/>
    <col min="12019" max="12019" width="7.625" style="5" customWidth="1"/>
    <col min="12020" max="12023" width="0" style="5" hidden="1" customWidth="1"/>
    <col min="12024" max="12024" width="14.375" style="5" customWidth="1"/>
    <col min="12025" max="12030" width="0" style="5" hidden="1" customWidth="1"/>
    <col min="12031" max="12031" width="10.125" style="5" bestFit="1" customWidth="1"/>
    <col min="12032" max="12270" width="9" style="5"/>
    <col min="12271" max="12271" width="75.875" style="5" customWidth="1"/>
    <col min="12272" max="12273" width="7.625" style="5" customWidth="1"/>
    <col min="12274" max="12274" width="9.625" style="5" customWidth="1"/>
    <col min="12275" max="12275" width="7.625" style="5" customWidth="1"/>
    <col min="12276" max="12279" width="0" style="5" hidden="1" customWidth="1"/>
    <col min="12280" max="12280" width="14.375" style="5" customWidth="1"/>
    <col min="12281" max="12286" width="0" style="5" hidden="1" customWidth="1"/>
    <col min="12287" max="12287" width="10.125" style="5" bestFit="1" customWidth="1"/>
    <col min="12288" max="12526" width="9" style="5"/>
    <col min="12527" max="12527" width="75.875" style="5" customWidth="1"/>
    <col min="12528" max="12529" width="7.625" style="5" customWidth="1"/>
    <col min="12530" max="12530" width="9.625" style="5" customWidth="1"/>
    <col min="12531" max="12531" width="7.625" style="5" customWidth="1"/>
    <col min="12532" max="12535" width="0" style="5" hidden="1" customWidth="1"/>
    <col min="12536" max="12536" width="14.375" style="5" customWidth="1"/>
    <col min="12537" max="12542" width="0" style="5" hidden="1" customWidth="1"/>
    <col min="12543" max="12543" width="10.125" style="5" bestFit="1" customWidth="1"/>
    <col min="12544" max="12782" width="9" style="5"/>
    <col min="12783" max="12783" width="75.875" style="5" customWidth="1"/>
    <col min="12784" max="12785" width="7.625" style="5" customWidth="1"/>
    <col min="12786" max="12786" width="9.625" style="5" customWidth="1"/>
    <col min="12787" max="12787" width="7.625" style="5" customWidth="1"/>
    <col min="12788" max="12791" width="0" style="5" hidden="1" customWidth="1"/>
    <col min="12792" max="12792" width="14.375" style="5" customWidth="1"/>
    <col min="12793" max="12798" width="0" style="5" hidden="1" customWidth="1"/>
    <col min="12799" max="12799" width="10.125" style="5" bestFit="1" customWidth="1"/>
    <col min="12800" max="13038" width="9" style="5"/>
    <col min="13039" max="13039" width="75.875" style="5" customWidth="1"/>
    <col min="13040" max="13041" width="7.625" style="5" customWidth="1"/>
    <col min="13042" max="13042" width="9.625" style="5" customWidth="1"/>
    <col min="13043" max="13043" width="7.625" style="5" customWidth="1"/>
    <col min="13044" max="13047" width="0" style="5" hidden="1" customWidth="1"/>
    <col min="13048" max="13048" width="14.375" style="5" customWidth="1"/>
    <col min="13049" max="13054" width="0" style="5" hidden="1" customWidth="1"/>
    <col min="13055" max="13055" width="10.125" style="5" bestFit="1" customWidth="1"/>
    <col min="13056" max="13294" width="9" style="5"/>
    <col min="13295" max="13295" width="75.875" style="5" customWidth="1"/>
    <col min="13296" max="13297" width="7.625" style="5" customWidth="1"/>
    <col min="13298" max="13298" width="9.625" style="5" customWidth="1"/>
    <col min="13299" max="13299" width="7.625" style="5" customWidth="1"/>
    <col min="13300" max="13303" width="0" style="5" hidden="1" customWidth="1"/>
    <col min="13304" max="13304" width="14.375" style="5" customWidth="1"/>
    <col min="13305" max="13310" width="0" style="5" hidden="1" customWidth="1"/>
    <col min="13311" max="13311" width="10.125" style="5" bestFit="1" customWidth="1"/>
    <col min="13312" max="13550" width="9" style="5"/>
    <col min="13551" max="13551" width="75.875" style="5" customWidth="1"/>
    <col min="13552" max="13553" width="7.625" style="5" customWidth="1"/>
    <col min="13554" max="13554" width="9.625" style="5" customWidth="1"/>
    <col min="13555" max="13555" width="7.625" style="5" customWidth="1"/>
    <col min="13556" max="13559" width="0" style="5" hidden="1" customWidth="1"/>
    <col min="13560" max="13560" width="14.375" style="5" customWidth="1"/>
    <col min="13561" max="13566" width="0" style="5" hidden="1" customWidth="1"/>
    <col min="13567" max="13567" width="10.125" style="5" bestFit="1" customWidth="1"/>
    <col min="13568" max="13806" width="9" style="5"/>
    <col min="13807" max="13807" width="75.875" style="5" customWidth="1"/>
    <col min="13808" max="13809" width="7.625" style="5" customWidth="1"/>
    <col min="13810" max="13810" width="9.625" style="5" customWidth="1"/>
    <col min="13811" max="13811" width="7.625" style="5" customWidth="1"/>
    <col min="13812" max="13815" width="0" style="5" hidden="1" customWidth="1"/>
    <col min="13816" max="13816" width="14.375" style="5" customWidth="1"/>
    <col min="13817" max="13822" width="0" style="5" hidden="1" customWidth="1"/>
    <col min="13823" max="13823" width="10.125" style="5" bestFit="1" customWidth="1"/>
    <col min="13824" max="14062" width="9" style="5"/>
    <col min="14063" max="14063" width="75.875" style="5" customWidth="1"/>
    <col min="14064" max="14065" width="7.625" style="5" customWidth="1"/>
    <col min="14066" max="14066" width="9.625" style="5" customWidth="1"/>
    <col min="14067" max="14067" width="7.625" style="5" customWidth="1"/>
    <col min="14068" max="14071" width="0" style="5" hidden="1" customWidth="1"/>
    <col min="14072" max="14072" width="14.375" style="5" customWidth="1"/>
    <col min="14073" max="14078" width="0" style="5" hidden="1" customWidth="1"/>
    <col min="14079" max="14079" width="10.125" style="5" bestFit="1" customWidth="1"/>
    <col min="14080" max="14318" width="9" style="5"/>
    <col min="14319" max="14319" width="75.875" style="5" customWidth="1"/>
    <col min="14320" max="14321" width="7.625" style="5" customWidth="1"/>
    <col min="14322" max="14322" width="9.625" style="5" customWidth="1"/>
    <col min="14323" max="14323" width="7.625" style="5" customWidth="1"/>
    <col min="14324" max="14327" width="0" style="5" hidden="1" customWidth="1"/>
    <col min="14328" max="14328" width="14.375" style="5" customWidth="1"/>
    <col min="14329" max="14334" width="0" style="5" hidden="1" customWidth="1"/>
    <col min="14335" max="14335" width="10.125" style="5" bestFit="1" customWidth="1"/>
    <col min="14336" max="14574" width="9" style="5"/>
    <col min="14575" max="14575" width="75.875" style="5" customWidth="1"/>
    <col min="14576" max="14577" width="7.625" style="5" customWidth="1"/>
    <col min="14578" max="14578" width="9.625" style="5" customWidth="1"/>
    <col min="14579" max="14579" width="7.625" style="5" customWidth="1"/>
    <col min="14580" max="14583" width="0" style="5" hidden="1" customWidth="1"/>
    <col min="14584" max="14584" width="14.375" style="5" customWidth="1"/>
    <col min="14585" max="14590" width="0" style="5" hidden="1" customWidth="1"/>
    <col min="14591" max="14591" width="10.125" style="5" bestFit="1" customWidth="1"/>
    <col min="14592" max="14830" width="9" style="5"/>
    <col min="14831" max="14831" width="75.875" style="5" customWidth="1"/>
    <col min="14832" max="14833" width="7.625" style="5" customWidth="1"/>
    <col min="14834" max="14834" width="9.625" style="5" customWidth="1"/>
    <col min="14835" max="14835" width="7.625" style="5" customWidth="1"/>
    <col min="14836" max="14839" width="0" style="5" hidden="1" customWidth="1"/>
    <col min="14840" max="14840" width="14.375" style="5" customWidth="1"/>
    <col min="14841" max="14846" width="0" style="5" hidden="1" customWidth="1"/>
    <col min="14847" max="14847" width="10.125" style="5" bestFit="1" customWidth="1"/>
    <col min="14848" max="15086" width="9" style="5"/>
    <col min="15087" max="15087" width="75.875" style="5" customWidth="1"/>
    <col min="15088" max="15089" width="7.625" style="5" customWidth="1"/>
    <col min="15090" max="15090" width="9.625" style="5" customWidth="1"/>
    <col min="15091" max="15091" width="7.625" style="5" customWidth="1"/>
    <col min="15092" max="15095" width="0" style="5" hidden="1" customWidth="1"/>
    <col min="15096" max="15096" width="14.375" style="5" customWidth="1"/>
    <col min="15097" max="15102" width="0" style="5" hidden="1" customWidth="1"/>
    <col min="15103" max="15103" width="10.125" style="5" bestFit="1" customWidth="1"/>
    <col min="15104" max="15342" width="9" style="5"/>
    <col min="15343" max="15343" width="75.875" style="5" customWidth="1"/>
    <col min="15344" max="15345" width="7.625" style="5" customWidth="1"/>
    <col min="15346" max="15346" width="9.625" style="5" customWidth="1"/>
    <col min="15347" max="15347" width="7.625" style="5" customWidth="1"/>
    <col min="15348" max="15351" width="0" style="5" hidden="1" customWidth="1"/>
    <col min="15352" max="15352" width="14.375" style="5" customWidth="1"/>
    <col min="15353" max="15358" width="0" style="5" hidden="1" customWidth="1"/>
    <col min="15359" max="15359" width="10.125" style="5" bestFit="1" customWidth="1"/>
    <col min="15360" max="15598" width="9" style="5"/>
    <col min="15599" max="15599" width="75.875" style="5" customWidth="1"/>
    <col min="15600" max="15601" width="7.625" style="5" customWidth="1"/>
    <col min="15602" max="15602" width="9.625" style="5" customWidth="1"/>
    <col min="15603" max="15603" width="7.625" style="5" customWidth="1"/>
    <col min="15604" max="15607" width="0" style="5" hidden="1" customWidth="1"/>
    <col min="15608" max="15608" width="14.375" style="5" customWidth="1"/>
    <col min="15609" max="15614" width="0" style="5" hidden="1" customWidth="1"/>
    <col min="15615" max="15615" width="10.125" style="5" bestFit="1" customWidth="1"/>
    <col min="15616" max="15854" width="9" style="5"/>
    <col min="15855" max="15855" width="75.875" style="5" customWidth="1"/>
    <col min="15856" max="15857" width="7.625" style="5" customWidth="1"/>
    <col min="15858" max="15858" width="9.625" style="5" customWidth="1"/>
    <col min="15859" max="15859" width="7.625" style="5" customWidth="1"/>
    <col min="15860" max="15863" width="0" style="5" hidden="1" customWidth="1"/>
    <col min="15864" max="15864" width="14.375" style="5" customWidth="1"/>
    <col min="15865" max="15870" width="0" style="5" hidden="1" customWidth="1"/>
    <col min="15871" max="15871" width="10.125" style="5" bestFit="1" customWidth="1"/>
    <col min="15872" max="16110" width="9" style="5"/>
    <col min="16111" max="16111" width="75.875" style="5" customWidth="1"/>
    <col min="16112" max="16113" width="7.625" style="5" customWidth="1"/>
    <col min="16114" max="16114" width="9.625" style="5" customWidth="1"/>
    <col min="16115" max="16115" width="7.625" style="5" customWidth="1"/>
    <col min="16116" max="16119" width="0" style="5" hidden="1" customWidth="1"/>
    <col min="16120" max="16120" width="14.375" style="5" customWidth="1"/>
    <col min="16121" max="16126" width="0" style="5" hidden="1" customWidth="1"/>
    <col min="16127" max="16127" width="10.125" style="5" bestFit="1" customWidth="1"/>
    <col min="16128" max="16384" width="9" style="5"/>
  </cols>
  <sheetData>
    <row r="1" spans="1:8" x14ac:dyDescent="0.3">
      <c r="F1" s="684" t="s">
        <v>820</v>
      </c>
      <c r="G1" s="684"/>
    </row>
    <row r="2" spans="1:8" x14ac:dyDescent="0.3">
      <c r="E2" s="672" t="s">
        <v>929</v>
      </c>
      <c r="F2" s="672"/>
      <c r="G2" s="672"/>
    </row>
    <row r="3" spans="1:8" x14ac:dyDescent="0.3">
      <c r="F3" s="684" t="s">
        <v>653</v>
      </c>
      <c r="G3" s="684"/>
    </row>
    <row r="4" spans="1:8" x14ac:dyDescent="0.3">
      <c r="F4" s="8"/>
      <c r="G4" s="617" t="s">
        <v>1079</v>
      </c>
    </row>
    <row r="5" spans="1:8" s="165" customFormat="1" x14ac:dyDescent="0.3">
      <c r="A5" s="678" t="s">
        <v>240</v>
      </c>
      <c r="B5" s="678"/>
      <c r="C5" s="678"/>
      <c r="D5" s="678"/>
      <c r="E5" s="678"/>
      <c r="F5" s="678"/>
      <c r="G5" s="618"/>
      <c r="H5" s="164"/>
    </row>
    <row r="6" spans="1:8" s="165" customFormat="1" x14ac:dyDescent="0.3">
      <c r="A6" s="677" t="s">
        <v>1041</v>
      </c>
      <c r="B6" s="677"/>
      <c r="C6" s="677"/>
      <c r="D6" s="677"/>
      <c r="E6" s="677"/>
      <c r="F6" s="677"/>
      <c r="G6" s="618"/>
      <c r="H6" s="164"/>
    </row>
    <row r="7" spans="1:8" s="165" customFormat="1" x14ac:dyDescent="0.3">
      <c r="A7" s="677" t="s">
        <v>898</v>
      </c>
      <c r="B7" s="677"/>
      <c r="C7" s="677"/>
      <c r="D7" s="677"/>
      <c r="E7" s="677"/>
      <c r="F7" s="677"/>
      <c r="G7" s="618"/>
      <c r="H7" s="164"/>
    </row>
    <row r="8" spans="1:8" s="165" customFormat="1" x14ac:dyDescent="0.3">
      <c r="A8" s="166"/>
      <c r="B8" s="583"/>
      <c r="C8" s="583"/>
      <c r="D8" s="583"/>
      <c r="E8" s="583"/>
      <c r="F8" s="619"/>
      <c r="G8" s="619" t="s">
        <v>408</v>
      </c>
      <c r="H8" s="164"/>
    </row>
    <row r="9" spans="1:8" ht="36.700000000000003" x14ac:dyDescent="0.25">
      <c r="A9" s="168" t="s">
        <v>0</v>
      </c>
      <c r="B9" s="168" t="s">
        <v>1</v>
      </c>
      <c r="C9" s="168" t="s">
        <v>2</v>
      </c>
      <c r="D9" s="168" t="s">
        <v>3</v>
      </c>
      <c r="E9" s="168" t="s">
        <v>4</v>
      </c>
      <c r="F9" s="92" t="s">
        <v>791</v>
      </c>
      <c r="G9" s="92" t="s">
        <v>1042</v>
      </c>
    </row>
    <row r="10" spans="1:8" s="170" customFormat="1" ht="55.05" x14ac:dyDescent="0.25">
      <c r="A10" s="104" t="s">
        <v>493</v>
      </c>
      <c r="B10" s="105" t="s">
        <v>499</v>
      </c>
      <c r="C10" s="105" t="s">
        <v>5</v>
      </c>
      <c r="D10" s="105" t="s">
        <v>126</v>
      </c>
      <c r="E10" s="106" t="s">
        <v>6</v>
      </c>
      <c r="F10" s="620">
        <f>F11</f>
        <v>8500186.379999999</v>
      </c>
      <c r="G10" s="620">
        <f>G11</f>
        <v>8540154.75</v>
      </c>
      <c r="H10" s="169"/>
    </row>
    <row r="11" spans="1:8" outlineLevel="1" x14ac:dyDescent="0.25">
      <c r="A11" s="81" t="s">
        <v>7</v>
      </c>
      <c r="B11" s="80" t="s">
        <v>499</v>
      </c>
      <c r="C11" s="80" t="s">
        <v>8</v>
      </c>
      <c r="D11" s="80" t="s">
        <v>126</v>
      </c>
      <c r="E11" s="83" t="s">
        <v>6</v>
      </c>
      <c r="F11" s="621">
        <f>F12+F21</f>
        <v>8500186.379999999</v>
      </c>
      <c r="G11" s="621">
        <f>G12+G21</f>
        <v>8540154.75</v>
      </c>
    </row>
    <row r="12" spans="1:8" ht="39.25" customHeight="1" outlineLevel="2" x14ac:dyDescent="0.25">
      <c r="A12" s="81" t="s">
        <v>9</v>
      </c>
      <c r="B12" s="80" t="s">
        <v>499</v>
      </c>
      <c r="C12" s="80" t="s">
        <v>10</v>
      </c>
      <c r="D12" s="80" t="s">
        <v>126</v>
      </c>
      <c r="E12" s="83" t="s">
        <v>6</v>
      </c>
      <c r="F12" s="621">
        <f>F13</f>
        <v>7898658.3799999999</v>
      </c>
      <c r="G12" s="621">
        <f>G13</f>
        <v>8014564.75</v>
      </c>
    </row>
    <row r="13" spans="1:8" ht="36.700000000000003" outlineLevel="4" x14ac:dyDescent="0.25">
      <c r="A13" s="81" t="s">
        <v>132</v>
      </c>
      <c r="B13" s="80" t="s">
        <v>499</v>
      </c>
      <c r="C13" s="80" t="s">
        <v>10</v>
      </c>
      <c r="D13" s="80" t="s">
        <v>127</v>
      </c>
      <c r="E13" s="83" t="s">
        <v>6</v>
      </c>
      <c r="F13" s="621">
        <f>F14</f>
        <v>7898658.3799999999</v>
      </c>
      <c r="G13" s="621">
        <f>G14</f>
        <v>8014564.75</v>
      </c>
    </row>
    <row r="14" spans="1:8" ht="55.05" outlineLevel="5" x14ac:dyDescent="0.25">
      <c r="A14" s="81" t="s">
        <v>494</v>
      </c>
      <c r="B14" s="80" t="s">
        <v>499</v>
      </c>
      <c r="C14" s="80" t="s">
        <v>10</v>
      </c>
      <c r="D14" s="80" t="s">
        <v>495</v>
      </c>
      <c r="E14" s="83" t="s">
        <v>6</v>
      </c>
      <c r="F14" s="621">
        <f>F15+F17+F19</f>
        <v>7898658.3799999999</v>
      </c>
      <c r="G14" s="621">
        <f>G15+G17+G19</f>
        <v>8014564.75</v>
      </c>
    </row>
    <row r="15" spans="1:8" ht="76.75" customHeight="1" outlineLevel="6" x14ac:dyDescent="0.25">
      <c r="A15" s="81" t="s">
        <v>11</v>
      </c>
      <c r="B15" s="80" t="s">
        <v>499</v>
      </c>
      <c r="C15" s="80" t="s">
        <v>10</v>
      </c>
      <c r="D15" s="80" t="s">
        <v>495</v>
      </c>
      <c r="E15" s="83" t="s">
        <v>12</v>
      </c>
      <c r="F15" s="621">
        <f>F16</f>
        <v>7603584.3799999999</v>
      </c>
      <c r="G15" s="621">
        <f>G16</f>
        <v>7707727.75</v>
      </c>
    </row>
    <row r="16" spans="1:8" ht="36.700000000000003" outlineLevel="7" x14ac:dyDescent="0.25">
      <c r="A16" s="81" t="s">
        <v>13</v>
      </c>
      <c r="B16" s="80" t="s">
        <v>499</v>
      </c>
      <c r="C16" s="80" t="s">
        <v>10</v>
      </c>
      <c r="D16" s="80" t="s">
        <v>495</v>
      </c>
      <c r="E16" s="83" t="s">
        <v>14</v>
      </c>
      <c r="F16" s="622">
        <f>5839926.56+1763657.82</f>
        <v>7603584.3799999999</v>
      </c>
      <c r="G16" s="622">
        <f>1834204.13+6073523.62-200000</f>
        <v>7707727.75</v>
      </c>
    </row>
    <row r="17" spans="1:8" ht="36.700000000000003" outlineLevel="6" x14ac:dyDescent="0.25">
      <c r="A17" s="81" t="s">
        <v>15</v>
      </c>
      <c r="B17" s="80" t="s">
        <v>499</v>
      </c>
      <c r="C17" s="80" t="s">
        <v>10</v>
      </c>
      <c r="D17" s="80" t="s">
        <v>495</v>
      </c>
      <c r="E17" s="83" t="s">
        <v>16</v>
      </c>
      <c r="F17" s="621">
        <f>F18</f>
        <v>294074</v>
      </c>
      <c r="G17" s="621">
        <f>G18</f>
        <v>305837</v>
      </c>
    </row>
    <row r="18" spans="1:8" ht="18.7" customHeight="1" outlineLevel="7" x14ac:dyDescent="0.25">
      <c r="A18" s="81" t="s">
        <v>17</v>
      </c>
      <c r="B18" s="80" t="s">
        <v>499</v>
      </c>
      <c r="C18" s="80" t="s">
        <v>10</v>
      </c>
      <c r="D18" s="80" t="s">
        <v>495</v>
      </c>
      <c r="E18" s="83" t="s">
        <v>18</v>
      </c>
      <c r="F18" s="622">
        <v>294074</v>
      </c>
      <c r="G18" s="622">
        <v>305837</v>
      </c>
    </row>
    <row r="19" spans="1:8" outlineLevel="6" x14ac:dyDescent="0.25">
      <c r="A19" s="81" t="s">
        <v>19</v>
      </c>
      <c r="B19" s="80" t="s">
        <v>499</v>
      </c>
      <c r="C19" s="80" t="s">
        <v>10</v>
      </c>
      <c r="D19" s="80" t="s">
        <v>495</v>
      </c>
      <c r="E19" s="83" t="s">
        <v>20</v>
      </c>
      <c r="F19" s="621">
        <f>F20</f>
        <v>1000</v>
      </c>
      <c r="G19" s="621">
        <f>G20</f>
        <v>1000</v>
      </c>
    </row>
    <row r="20" spans="1:8" outlineLevel="7" x14ac:dyDescent="0.25">
      <c r="A20" s="81" t="s">
        <v>21</v>
      </c>
      <c r="B20" s="80" t="s">
        <v>499</v>
      </c>
      <c r="C20" s="80" t="s">
        <v>10</v>
      </c>
      <c r="D20" s="80" t="s">
        <v>495</v>
      </c>
      <c r="E20" s="83" t="s">
        <v>22</v>
      </c>
      <c r="F20" s="622">
        <v>1000</v>
      </c>
      <c r="G20" s="622">
        <v>1000</v>
      </c>
    </row>
    <row r="21" spans="1:8" outlineLevel="2" x14ac:dyDescent="0.25">
      <c r="A21" s="81" t="s">
        <v>23</v>
      </c>
      <c r="B21" s="80" t="s">
        <v>499</v>
      </c>
      <c r="C21" s="80" t="s">
        <v>24</v>
      </c>
      <c r="D21" s="80" t="s">
        <v>126</v>
      </c>
      <c r="E21" s="83" t="s">
        <v>6</v>
      </c>
      <c r="F21" s="621">
        <f>F22+F27</f>
        <v>601528</v>
      </c>
      <c r="G21" s="621">
        <f>G22+G27</f>
        <v>525590</v>
      </c>
    </row>
    <row r="22" spans="1:8" s="172" customFormat="1" ht="57.75" customHeight="1" outlineLevel="3" x14ac:dyDescent="0.25">
      <c r="A22" s="109" t="s">
        <v>830</v>
      </c>
      <c r="B22" s="110" t="s">
        <v>499</v>
      </c>
      <c r="C22" s="110" t="s">
        <v>24</v>
      </c>
      <c r="D22" s="110" t="s">
        <v>128</v>
      </c>
      <c r="E22" s="111" t="s">
        <v>6</v>
      </c>
      <c r="F22" s="623">
        <f t="shared" ref="F22:G25" si="0">F23</f>
        <v>63000</v>
      </c>
      <c r="G22" s="623">
        <f t="shared" si="0"/>
        <v>65520</v>
      </c>
      <c r="H22" s="171"/>
    </row>
    <row r="23" spans="1:8" ht="61.5" customHeight="1" outlineLevel="4" x14ac:dyDescent="0.25">
      <c r="A23" s="81" t="s">
        <v>854</v>
      </c>
      <c r="B23" s="80" t="s">
        <v>499</v>
      </c>
      <c r="C23" s="80" t="s">
        <v>24</v>
      </c>
      <c r="D23" s="80" t="s">
        <v>315</v>
      </c>
      <c r="E23" s="83" t="s">
        <v>6</v>
      </c>
      <c r="F23" s="621">
        <f t="shared" si="0"/>
        <v>63000</v>
      </c>
      <c r="G23" s="621">
        <f t="shared" si="0"/>
        <v>65520</v>
      </c>
    </row>
    <row r="24" spans="1:8" outlineLevel="5" x14ac:dyDescent="0.25">
      <c r="A24" s="113" t="s">
        <v>321</v>
      </c>
      <c r="B24" s="80" t="s">
        <v>499</v>
      </c>
      <c r="C24" s="80" t="s">
        <v>24</v>
      </c>
      <c r="D24" s="80" t="s">
        <v>316</v>
      </c>
      <c r="E24" s="83" t="s">
        <v>6</v>
      </c>
      <c r="F24" s="621">
        <f t="shared" si="0"/>
        <v>63000</v>
      </c>
      <c r="G24" s="621">
        <f t="shared" si="0"/>
        <v>65520</v>
      </c>
    </row>
    <row r="25" spans="1:8" ht="36.700000000000003" outlineLevel="6" x14ac:dyDescent="0.25">
      <c r="A25" s="81" t="s">
        <v>15</v>
      </c>
      <c r="B25" s="80" t="s">
        <v>499</v>
      </c>
      <c r="C25" s="80" t="s">
        <v>24</v>
      </c>
      <c r="D25" s="80" t="s">
        <v>316</v>
      </c>
      <c r="E25" s="83" t="s">
        <v>16</v>
      </c>
      <c r="F25" s="621">
        <f t="shared" si="0"/>
        <v>63000</v>
      </c>
      <c r="G25" s="621">
        <f t="shared" si="0"/>
        <v>65520</v>
      </c>
    </row>
    <row r="26" spans="1:8" ht="19.55" customHeight="1" outlineLevel="7" x14ac:dyDescent="0.25">
      <c r="A26" s="81" t="s">
        <v>17</v>
      </c>
      <c r="B26" s="80" t="s">
        <v>499</v>
      </c>
      <c r="C26" s="80" t="s">
        <v>24</v>
      </c>
      <c r="D26" s="80" t="s">
        <v>316</v>
      </c>
      <c r="E26" s="83" t="s">
        <v>18</v>
      </c>
      <c r="F26" s="622">
        <v>63000</v>
      </c>
      <c r="G26" s="622">
        <v>65520</v>
      </c>
    </row>
    <row r="27" spans="1:8" s="172" customFormat="1" ht="62.5" customHeight="1" outlineLevel="7" x14ac:dyDescent="0.25">
      <c r="A27" s="114" t="s">
        <v>829</v>
      </c>
      <c r="B27" s="110" t="s">
        <v>499</v>
      </c>
      <c r="C27" s="80" t="s">
        <v>24</v>
      </c>
      <c r="D27" s="110" t="s">
        <v>317</v>
      </c>
      <c r="E27" s="111" t="s">
        <v>6</v>
      </c>
      <c r="F27" s="624">
        <f t="shared" ref="F27:G30" si="1">F28</f>
        <v>538528</v>
      </c>
      <c r="G27" s="624">
        <f t="shared" si="1"/>
        <v>460070</v>
      </c>
      <c r="H27" s="171"/>
    </row>
    <row r="28" spans="1:8" ht="42.8" customHeight="1" outlineLevel="7" x14ac:dyDescent="0.25">
      <c r="A28" s="116" t="s">
        <v>249</v>
      </c>
      <c r="B28" s="80" t="s">
        <v>499</v>
      </c>
      <c r="C28" s="80" t="s">
        <v>24</v>
      </c>
      <c r="D28" s="80" t="s">
        <v>318</v>
      </c>
      <c r="E28" s="83" t="s">
        <v>6</v>
      </c>
      <c r="F28" s="622">
        <f t="shared" si="1"/>
        <v>538528</v>
      </c>
      <c r="G28" s="622">
        <f t="shared" si="1"/>
        <v>460070</v>
      </c>
    </row>
    <row r="29" spans="1:8" ht="39.75" customHeight="1" outlineLevel="5" x14ac:dyDescent="0.25">
      <c r="A29" s="81" t="s">
        <v>25</v>
      </c>
      <c r="B29" s="80" t="s">
        <v>499</v>
      </c>
      <c r="C29" s="80" t="s">
        <v>24</v>
      </c>
      <c r="D29" s="80" t="s">
        <v>329</v>
      </c>
      <c r="E29" s="83" t="s">
        <v>6</v>
      </c>
      <c r="F29" s="621">
        <f t="shared" si="1"/>
        <v>538528</v>
      </c>
      <c r="G29" s="621">
        <f t="shared" si="1"/>
        <v>460070</v>
      </c>
    </row>
    <row r="30" spans="1:8" ht="36.700000000000003" outlineLevel="6" x14ac:dyDescent="0.25">
      <c r="A30" s="81" t="s">
        <v>15</v>
      </c>
      <c r="B30" s="80" t="s">
        <v>499</v>
      </c>
      <c r="C30" s="80" t="s">
        <v>24</v>
      </c>
      <c r="D30" s="80" t="s">
        <v>329</v>
      </c>
      <c r="E30" s="83" t="s">
        <v>16</v>
      </c>
      <c r="F30" s="621">
        <f t="shared" si="1"/>
        <v>538528</v>
      </c>
      <c r="G30" s="621">
        <f t="shared" si="1"/>
        <v>460070</v>
      </c>
    </row>
    <row r="31" spans="1:8" ht="21.25" customHeight="1" outlineLevel="7" x14ac:dyDescent="0.25">
      <c r="A31" s="81" t="s">
        <v>17</v>
      </c>
      <c r="B31" s="80" t="s">
        <v>499</v>
      </c>
      <c r="C31" s="80" t="s">
        <v>24</v>
      </c>
      <c r="D31" s="80" t="s">
        <v>329</v>
      </c>
      <c r="E31" s="83" t="s">
        <v>18</v>
      </c>
      <c r="F31" s="621">
        <v>538528</v>
      </c>
      <c r="G31" s="621">
        <f>560070-100000</f>
        <v>460070</v>
      </c>
    </row>
    <row r="32" spans="1:8" s="170" customFormat="1" ht="36.700000000000003" x14ac:dyDescent="0.25">
      <c r="A32" s="104" t="s">
        <v>1078</v>
      </c>
      <c r="B32" s="105" t="s">
        <v>500</v>
      </c>
      <c r="C32" s="105" t="s">
        <v>5</v>
      </c>
      <c r="D32" s="105" t="s">
        <v>126</v>
      </c>
      <c r="E32" s="106" t="s">
        <v>6</v>
      </c>
      <c r="F32" s="620">
        <f>F33+F160+F170+F226+F328+F344+F358+F403+F468+F445+F181</f>
        <v>314027922.85000002</v>
      </c>
      <c r="G32" s="620">
        <f>G33+G160+G170+G226+G328+G344+G358+G403+G468+G445+G181</f>
        <v>295861834.57000005</v>
      </c>
      <c r="H32" s="173"/>
    </row>
    <row r="33" spans="1:12" s="172" customFormat="1" outlineLevel="1" x14ac:dyDescent="0.25">
      <c r="A33" s="109" t="s">
        <v>7</v>
      </c>
      <c r="B33" s="110" t="s">
        <v>500</v>
      </c>
      <c r="C33" s="110" t="s">
        <v>8</v>
      </c>
      <c r="D33" s="110" t="s">
        <v>126</v>
      </c>
      <c r="E33" s="111" t="s">
        <v>6</v>
      </c>
      <c r="F33" s="623">
        <f>F34+F39+F46+F52+F62+F57</f>
        <v>102382693</v>
      </c>
      <c r="G33" s="623">
        <f>G34+G39+G46+G52+G62+G57</f>
        <v>94274890</v>
      </c>
      <c r="H33" s="171"/>
    </row>
    <row r="34" spans="1:12" ht="55.05" outlineLevel="2" x14ac:dyDescent="0.25">
      <c r="A34" s="81" t="s">
        <v>28</v>
      </c>
      <c r="B34" s="80" t="s">
        <v>500</v>
      </c>
      <c r="C34" s="80" t="s">
        <v>29</v>
      </c>
      <c r="D34" s="80" t="s">
        <v>126</v>
      </c>
      <c r="E34" s="83" t="s">
        <v>6</v>
      </c>
      <c r="F34" s="621">
        <f t="shared" ref="F34:G37" si="2">F35</f>
        <v>2819261</v>
      </c>
      <c r="G34" s="621">
        <f t="shared" si="2"/>
        <v>2846110</v>
      </c>
    </row>
    <row r="35" spans="1:12" ht="36.700000000000003" outlineLevel="3" x14ac:dyDescent="0.25">
      <c r="A35" s="81" t="s">
        <v>132</v>
      </c>
      <c r="B35" s="80" t="s">
        <v>500</v>
      </c>
      <c r="C35" s="80" t="s">
        <v>29</v>
      </c>
      <c r="D35" s="80" t="s">
        <v>127</v>
      </c>
      <c r="E35" s="83" t="s">
        <v>6</v>
      </c>
      <c r="F35" s="621">
        <f t="shared" si="2"/>
        <v>2819261</v>
      </c>
      <c r="G35" s="621">
        <f t="shared" si="2"/>
        <v>2846110</v>
      </c>
    </row>
    <row r="36" spans="1:12" outlineLevel="5" x14ac:dyDescent="0.25">
      <c r="A36" s="81" t="s">
        <v>496</v>
      </c>
      <c r="B36" s="80" t="s">
        <v>500</v>
      </c>
      <c r="C36" s="80" t="s">
        <v>29</v>
      </c>
      <c r="D36" s="80" t="s">
        <v>497</v>
      </c>
      <c r="E36" s="83" t="s">
        <v>6</v>
      </c>
      <c r="F36" s="621">
        <f t="shared" si="2"/>
        <v>2819261</v>
      </c>
      <c r="G36" s="621">
        <f t="shared" si="2"/>
        <v>2846110</v>
      </c>
    </row>
    <row r="37" spans="1:12" ht="91.7" outlineLevel="6" x14ac:dyDescent="0.25">
      <c r="A37" s="81" t="s">
        <v>11</v>
      </c>
      <c r="B37" s="80" t="s">
        <v>500</v>
      </c>
      <c r="C37" s="80" t="s">
        <v>29</v>
      </c>
      <c r="D37" s="80" t="s">
        <v>497</v>
      </c>
      <c r="E37" s="83" t="s">
        <v>12</v>
      </c>
      <c r="F37" s="621">
        <f t="shared" si="2"/>
        <v>2819261</v>
      </c>
      <c r="G37" s="621">
        <f t="shared" si="2"/>
        <v>2846110</v>
      </c>
    </row>
    <row r="38" spans="1:12" ht="36.700000000000003" outlineLevel="7" x14ac:dyDescent="0.25">
      <c r="A38" s="81" t="s">
        <v>13</v>
      </c>
      <c r="B38" s="80" t="s">
        <v>500</v>
      </c>
      <c r="C38" s="80" t="s">
        <v>29</v>
      </c>
      <c r="D38" s="80" t="s">
        <v>497</v>
      </c>
      <c r="E38" s="83" t="s">
        <v>14</v>
      </c>
      <c r="F38" s="621">
        <v>2819261</v>
      </c>
      <c r="G38" s="621">
        <v>2846110</v>
      </c>
    </row>
    <row r="39" spans="1:12" ht="37.549999999999997" customHeight="1" outlineLevel="2" x14ac:dyDescent="0.25">
      <c r="A39" s="81" t="s">
        <v>30</v>
      </c>
      <c r="B39" s="80" t="s">
        <v>500</v>
      </c>
      <c r="C39" s="80" t="s">
        <v>31</v>
      </c>
      <c r="D39" s="80" t="s">
        <v>126</v>
      </c>
      <c r="E39" s="83" t="s">
        <v>6</v>
      </c>
      <c r="F39" s="621">
        <f>F40</f>
        <v>24468530</v>
      </c>
      <c r="G39" s="621">
        <f>G40</f>
        <v>21717190</v>
      </c>
    </row>
    <row r="40" spans="1:12" ht="36.700000000000003" outlineLevel="3" x14ac:dyDescent="0.25">
      <c r="A40" s="81" t="s">
        <v>132</v>
      </c>
      <c r="B40" s="80" t="s">
        <v>500</v>
      </c>
      <c r="C40" s="80" t="s">
        <v>31</v>
      </c>
      <c r="D40" s="80" t="s">
        <v>127</v>
      </c>
      <c r="E40" s="83" t="s">
        <v>6</v>
      </c>
      <c r="F40" s="621">
        <f>F41</f>
        <v>24468530</v>
      </c>
      <c r="G40" s="621">
        <f>G41</f>
        <v>21717190</v>
      </c>
    </row>
    <row r="41" spans="1:12" ht="55.05" outlineLevel="5" x14ac:dyDescent="0.25">
      <c r="A41" s="81" t="s">
        <v>494</v>
      </c>
      <c r="B41" s="80" t="s">
        <v>500</v>
      </c>
      <c r="C41" s="80" t="s">
        <v>31</v>
      </c>
      <c r="D41" s="80" t="s">
        <v>495</v>
      </c>
      <c r="E41" s="83" t="s">
        <v>6</v>
      </c>
      <c r="F41" s="621">
        <f>F42+F44</f>
        <v>24468530</v>
      </c>
      <c r="G41" s="621">
        <f>G42+G44</f>
        <v>21717190</v>
      </c>
    </row>
    <row r="42" spans="1:12" ht="91.7" outlineLevel="6" x14ac:dyDescent="0.25">
      <c r="A42" s="81" t="s">
        <v>11</v>
      </c>
      <c r="B42" s="80" t="s">
        <v>500</v>
      </c>
      <c r="C42" s="80" t="s">
        <v>31</v>
      </c>
      <c r="D42" s="80" t="s">
        <v>495</v>
      </c>
      <c r="E42" s="83" t="s">
        <v>12</v>
      </c>
      <c r="F42" s="621">
        <f>F43</f>
        <v>24366530</v>
      </c>
      <c r="G42" s="621">
        <f>G43</f>
        <v>21615190</v>
      </c>
    </row>
    <row r="43" spans="1:12" ht="36.700000000000003" outlineLevel="7" x14ac:dyDescent="0.25">
      <c r="A43" s="81" t="s">
        <v>13</v>
      </c>
      <c r="B43" s="80" t="s">
        <v>500</v>
      </c>
      <c r="C43" s="80" t="s">
        <v>31</v>
      </c>
      <c r="D43" s="80" t="s">
        <v>495</v>
      </c>
      <c r="E43" s="83" t="s">
        <v>14</v>
      </c>
      <c r="F43" s="622">
        <f>24866530-500000</f>
        <v>24366530</v>
      </c>
      <c r="G43" s="622">
        <f>25115190-3500000</f>
        <v>21615190</v>
      </c>
    </row>
    <row r="44" spans="1:12" ht="36.700000000000003" outlineLevel="6" x14ac:dyDescent="0.25">
      <c r="A44" s="81" t="s">
        <v>15</v>
      </c>
      <c r="B44" s="80" t="s">
        <v>500</v>
      </c>
      <c r="C44" s="80" t="s">
        <v>31</v>
      </c>
      <c r="D44" s="80" t="s">
        <v>495</v>
      </c>
      <c r="E44" s="83" t="s">
        <v>16</v>
      </c>
      <c r="F44" s="621">
        <f>F45</f>
        <v>102000</v>
      </c>
      <c r="G44" s="621">
        <f>G45</f>
        <v>102000</v>
      </c>
    </row>
    <row r="45" spans="1:12" s="163" customFormat="1" ht="21.25" customHeight="1" outlineLevel="7" x14ac:dyDescent="0.25">
      <c r="A45" s="81" t="s">
        <v>17</v>
      </c>
      <c r="B45" s="80" t="s">
        <v>500</v>
      </c>
      <c r="C45" s="80" t="s">
        <v>31</v>
      </c>
      <c r="D45" s="80" t="s">
        <v>495</v>
      </c>
      <c r="E45" s="83" t="s">
        <v>18</v>
      </c>
      <c r="F45" s="622">
        <v>102000</v>
      </c>
      <c r="G45" s="622">
        <v>102000</v>
      </c>
      <c r="I45" s="5"/>
      <c r="J45" s="5"/>
      <c r="K45" s="5"/>
      <c r="L45" s="5"/>
    </row>
    <row r="46" spans="1:12" s="163" customFormat="1" outlineLevel="7" x14ac:dyDescent="0.25">
      <c r="A46" s="81" t="s">
        <v>260</v>
      </c>
      <c r="B46" s="80" t="s">
        <v>500</v>
      </c>
      <c r="C46" s="80" t="s">
        <v>261</v>
      </c>
      <c r="D46" s="80" t="s">
        <v>126</v>
      </c>
      <c r="E46" s="83" t="s">
        <v>6</v>
      </c>
      <c r="F46" s="622">
        <f>F47</f>
        <v>11023</v>
      </c>
      <c r="G46" s="622">
        <f>G47</f>
        <v>11023</v>
      </c>
      <c r="I46" s="5"/>
      <c r="J46" s="5"/>
      <c r="K46" s="5"/>
      <c r="L46" s="5"/>
    </row>
    <row r="47" spans="1:12" s="163" customFormat="1" ht="36.700000000000003" outlineLevel="7" x14ac:dyDescent="0.25">
      <c r="A47" s="81" t="s">
        <v>132</v>
      </c>
      <c r="B47" s="80" t="s">
        <v>500</v>
      </c>
      <c r="C47" s="80" t="s">
        <v>261</v>
      </c>
      <c r="D47" s="80" t="s">
        <v>127</v>
      </c>
      <c r="E47" s="83" t="s">
        <v>6</v>
      </c>
      <c r="F47" s="622">
        <f>F49</f>
        <v>11023</v>
      </c>
      <c r="G47" s="622">
        <f>G49</f>
        <v>11023</v>
      </c>
      <c r="I47" s="5"/>
      <c r="J47" s="5"/>
      <c r="K47" s="5"/>
      <c r="L47" s="5"/>
    </row>
    <row r="48" spans="1:12" s="163" customFormat="1" outlineLevel="7" x14ac:dyDescent="0.25">
      <c r="A48" s="81" t="s">
        <v>277</v>
      </c>
      <c r="B48" s="80" t="s">
        <v>500</v>
      </c>
      <c r="C48" s="80" t="s">
        <v>261</v>
      </c>
      <c r="D48" s="80" t="s">
        <v>276</v>
      </c>
      <c r="E48" s="83" t="s">
        <v>6</v>
      </c>
      <c r="F48" s="622">
        <f t="shared" ref="F48:G50" si="3">F49</f>
        <v>11023</v>
      </c>
      <c r="G48" s="622">
        <f t="shared" si="3"/>
        <v>11023</v>
      </c>
      <c r="I48" s="5"/>
      <c r="J48" s="5"/>
      <c r="K48" s="5"/>
      <c r="L48" s="5"/>
    </row>
    <row r="49" spans="1:12" s="163" customFormat="1" ht="95.3" customHeight="1" outlineLevel="7" x14ac:dyDescent="0.25">
      <c r="A49" s="81" t="s">
        <v>410</v>
      </c>
      <c r="B49" s="80" t="s">
        <v>500</v>
      </c>
      <c r="C49" s="80" t="s">
        <v>261</v>
      </c>
      <c r="D49" s="80" t="s">
        <v>285</v>
      </c>
      <c r="E49" s="83" t="s">
        <v>6</v>
      </c>
      <c r="F49" s="622">
        <f t="shared" si="3"/>
        <v>11023</v>
      </c>
      <c r="G49" s="622">
        <f t="shared" si="3"/>
        <v>11023</v>
      </c>
      <c r="I49" s="5"/>
      <c r="J49" s="5"/>
      <c r="K49" s="5"/>
      <c r="L49" s="5"/>
    </row>
    <row r="50" spans="1:12" s="163" customFormat="1" ht="36.700000000000003" outlineLevel="7" x14ac:dyDescent="0.25">
      <c r="A50" s="81" t="s">
        <v>15</v>
      </c>
      <c r="B50" s="80" t="s">
        <v>500</v>
      </c>
      <c r="C50" s="80" t="s">
        <v>261</v>
      </c>
      <c r="D50" s="80" t="s">
        <v>285</v>
      </c>
      <c r="E50" s="83" t="s">
        <v>16</v>
      </c>
      <c r="F50" s="622">
        <f t="shared" si="3"/>
        <v>11023</v>
      </c>
      <c r="G50" s="622">
        <f t="shared" si="3"/>
        <v>11023</v>
      </c>
      <c r="I50" s="5"/>
      <c r="J50" s="5"/>
      <c r="K50" s="5"/>
      <c r="L50" s="5"/>
    </row>
    <row r="51" spans="1:12" s="163" customFormat="1" ht="19.55" customHeight="1" outlineLevel="7" x14ac:dyDescent="0.25">
      <c r="A51" s="81" t="s">
        <v>17</v>
      </c>
      <c r="B51" s="80" t="s">
        <v>500</v>
      </c>
      <c r="C51" s="80" t="s">
        <v>261</v>
      </c>
      <c r="D51" s="80" t="s">
        <v>285</v>
      </c>
      <c r="E51" s="83" t="s">
        <v>18</v>
      </c>
      <c r="F51" s="621">
        <v>11023</v>
      </c>
      <c r="G51" s="621">
        <v>11023</v>
      </c>
      <c r="I51" s="5"/>
      <c r="J51" s="5"/>
      <c r="K51" s="5"/>
      <c r="L51" s="5"/>
    </row>
    <row r="52" spans="1:12" s="163" customFormat="1" ht="36.700000000000003" customHeight="1" outlineLevel="2" x14ac:dyDescent="0.25">
      <c r="A52" s="81" t="s">
        <v>9</v>
      </c>
      <c r="B52" s="80" t="s">
        <v>500</v>
      </c>
      <c r="C52" s="80" t="s">
        <v>10</v>
      </c>
      <c r="D52" s="80" t="s">
        <v>126</v>
      </c>
      <c r="E52" s="83" t="s">
        <v>6</v>
      </c>
      <c r="F52" s="621">
        <f t="shared" ref="F52:G55" si="4">F53</f>
        <v>866195</v>
      </c>
      <c r="G52" s="621">
        <f t="shared" si="4"/>
        <v>874860</v>
      </c>
      <c r="I52" s="5"/>
      <c r="J52" s="5"/>
      <c r="K52" s="5"/>
      <c r="L52" s="5"/>
    </row>
    <row r="53" spans="1:12" s="163" customFormat="1" ht="36.700000000000003" outlineLevel="4" x14ac:dyDescent="0.25">
      <c r="A53" s="81" t="s">
        <v>132</v>
      </c>
      <c r="B53" s="80" t="s">
        <v>500</v>
      </c>
      <c r="C53" s="80" t="s">
        <v>10</v>
      </c>
      <c r="D53" s="80" t="s">
        <v>127</v>
      </c>
      <c r="E53" s="83" t="s">
        <v>6</v>
      </c>
      <c r="F53" s="621">
        <f t="shared" si="4"/>
        <v>866195</v>
      </c>
      <c r="G53" s="621">
        <f t="shared" si="4"/>
        <v>874860</v>
      </c>
      <c r="I53" s="5"/>
      <c r="J53" s="5"/>
      <c r="K53" s="5"/>
      <c r="L53" s="5"/>
    </row>
    <row r="54" spans="1:12" s="163" customFormat="1" ht="36.700000000000003" outlineLevel="5" x14ac:dyDescent="0.25">
      <c r="A54" s="81" t="s">
        <v>498</v>
      </c>
      <c r="B54" s="80" t="s">
        <v>500</v>
      </c>
      <c r="C54" s="80" t="s">
        <v>10</v>
      </c>
      <c r="D54" s="80" t="s">
        <v>537</v>
      </c>
      <c r="E54" s="83" t="s">
        <v>6</v>
      </c>
      <c r="F54" s="621">
        <f t="shared" si="4"/>
        <v>866195</v>
      </c>
      <c r="G54" s="621">
        <f t="shared" si="4"/>
        <v>874860</v>
      </c>
      <c r="I54" s="5"/>
      <c r="J54" s="5"/>
      <c r="K54" s="5"/>
      <c r="L54" s="5"/>
    </row>
    <row r="55" spans="1:12" s="163" customFormat="1" ht="91.7" outlineLevel="6" x14ac:dyDescent="0.25">
      <c r="A55" s="81" t="s">
        <v>11</v>
      </c>
      <c r="B55" s="80" t="s">
        <v>500</v>
      </c>
      <c r="C55" s="80" t="s">
        <v>10</v>
      </c>
      <c r="D55" s="80" t="s">
        <v>537</v>
      </c>
      <c r="E55" s="83" t="s">
        <v>12</v>
      </c>
      <c r="F55" s="621">
        <f t="shared" si="4"/>
        <v>866195</v>
      </c>
      <c r="G55" s="621">
        <f t="shared" si="4"/>
        <v>874860</v>
      </c>
      <c r="I55" s="5"/>
      <c r="J55" s="5"/>
      <c r="K55" s="5"/>
      <c r="L55" s="5"/>
    </row>
    <row r="56" spans="1:12" s="163" customFormat="1" ht="31.75" customHeight="1" outlineLevel="7" x14ac:dyDescent="0.25">
      <c r="A56" s="81" t="s">
        <v>13</v>
      </c>
      <c r="B56" s="80" t="s">
        <v>500</v>
      </c>
      <c r="C56" s="80" t="s">
        <v>10</v>
      </c>
      <c r="D56" s="80" t="s">
        <v>537</v>
      </c>
      <c r="E56" s="83" t="s">
        <v>14</v>
      </c>
      <c r="F56" s="621">
        <v>866195</v>
      </c>
      <c r="G56" s="621">
        <v>874860</v>
      </c>
      <c r="I56" s="5"/>
      <c r="J56" s="5"/>
      <c r="K56" s="5"/>
      <c r="L56" s="5"/>
    </row>
    <row r="57" spans="1:12" s="163" customFormat="1" hidden="1" outlineLevel="7" x14ac:dyDescent="0.25">
      <c r="A57" s="81" t="s">
        <v>698</v>
      </c>
      <c r="B57" s="80" t="s">
        <v>500</v>
      </c>
      <c r="C57" s="80" t="s">
        <v>695</v>
      </c>
      <c r="D57" s="80" t="s">
        <v>126</v>
      </c>
      <c r="E57" s="80" t="s">
        <v>6</v>
      </c>
      <c r="F57" s="621">
        <f t="shared" ref="F57:G60" si="5">F58</f>
        <v>0</v>
      </c>
      <c r="G57" s="621">
        <f t="shared" si="5"/>
        <v>0</v>
      </c>
      <c r="I57" s="5"/>
      <c r="J57" s="5"/>
      <c r="K57" s="5"/>
      <c r="L57" s="5"/>
    </row>
    <row r="58" spans="1:12" s="163" customFormat="1" ht="36.700000000000003" hidden="1" outlineLevel="7" x14ac:dyDescent="0.25">
      <c r="A58" s="81" t="s">
        <v>132</v>
      </c>
      <c r="B58" s="80" t="s">
        <v>500</v>
      </c>
      <c r="C58" s="80" t="s">
        <v>695</v>
      </c>
      <c r="D58" s="80" t="s">
        <v>127</v>
      </c>
      <c r="E58" s="80" t="s">
        <v>6</v>
      </c>
      <c r="F58" s="621">
        <f t="shared" si="5"/>
        <v>0</v>
      </c>
      <c r="G58" s="621">
        <f t="shared" si="5"/>
        <v>0</v>
      </c>
      <c r="I58" s="5"/>
      <c r="J58" s="5"/>
      <c r="K58" s="5"/>
      <c r="L58" s="5"/>
    </row>
    <row r="59" spans="1:12" s="163" customFormat="1" ht="36.700000000000003" hidden="1" outlineLevel="7" x14ac:dyDescent="0.25">
      <c r="A59" s="81" t="s">
        <v>697</v>
      </c>
      <c r="B59" s="80" t="s">
        <v>500</v>
      </c>
      <c r="C59" s="80" t="s">
        <v>695</v>
      </c>
      <c r="D59" s="80" t="s">
        <v>539</v>
      </c>
      <c r="E59" s="80" t="s">
        <v>6</v>
      </c>
      <c r="F59" s="621">
        <f t="shared" si="5"/>
        <v>0</v>
      </c>
      <c r="G59" s="621">
        <f t="shared" si="5"/>
        <v>0</v>
      </c>
      <c r="I59" s="5"/>
      <c r="J59" s="5"/>
      <c r="K59" s="5"/>
      <c r="L59" s="5"/>
    </row>
    <row r="60" spans="1:12" s="163" customFormat="1" hidden="1" outlineLevel="7" x14ac:dyDescent="0.25">
      <c r="A60" s="81" t="s">
        <v>19</v>
      </c>
      <c r="B60" s="80" t="s">
        <v>500</v>
      </c>
      <c r="C60" s="80" t="s">
        <v>695</v>
      </c>
      <c r="D60" s="80" t="s">
        <v>539</v>
      </c>
      <c r="E60" s="80" t="s">
        <v>20</v>
      </c>
      <c r="F60" s="621">
        <f t="shared" si="5"/>
        <v>0</v>
      </c>
      <c r="G60" s="621">
        <f t="shared" si="5"/>
        <v>0</v>
      </c>
      <c r="I60" s="5"/>
      <c r="J60" s="5"/>
      <c r="K60" s="5"/>
      <c r="L60" s="5"/>
    </row>
    <row r="61" spans="1:12" hidden="1" outlineLevel="7" x14ac:dyDescent="0.25">
      <c r="A61" s="81" t="s">
        <v>696</v>
      </c>
      <c r="B61" s="80" t="s">
        <v>500</v>
      </c>
      <c r="C61" s="80" t="s">
        <v>695</v>
      </c>
      <c r="D61" s="80" t="s">
        <v>539</v>
      </c>
      <c r="E61" s="80" t="s">
        <v>694</v>
      </c>
      <c r="F61" s="621"/>
      <c r="G61" s="621"/>
    </row>
    <row r="62" spans="1:12" outlineLevel="2" collapsed="1" x14ac:dyDescent="0.25">
      <c r="A62" s="81" t="s">
        <v>23</v>
      </c>
      <c r="B62" s="80" t="s">
        <v>500</v>
      </c>
      <c r="C62" s="80" t="s">
        <v>24</v>
      </c>
      <c r="D62" s="80" t="s">
        <v>126</v>
      </c>
      <c r="E62" s="83" t="s">
        <v>6</v>
      </c>
      <c r="F62" s="621">
        <f>F63+F88+F101+F93+F113+F108</f>
        <v>74217684</v>
      </c>
      <c r="G62" s="621">
        <f>G63+G88+G101+G93+G113+G108</f>
        <v>68825707</v>
      </c>
    </row>
    <row r="63" spans="1:12" s="172" customFormat="1" ht="59.3" customHeight="1" outlineLevel="3" x14ac:dyDescent="0.25">
      <c r="A63" s="109" t="s">
        <v>853</v>
      </c>
      <c r="B63" s="110" t="s">
        <v>500</v>
      </c>
      <c r="C63" s="110" t="s">
        <v>24</v>
      </c>
      <c r="D63" s="110" t="s">
        <v>128</v>
      </c>
      <c r="E63" s="111" t="s">
        <v>6</v>
      </c>
      <c r="F63" s="623">
        <f>F64+F71+F79</f>
        <v>25008695</v>
      </c>
      <c r="G63" s="623">
        <f>G64+G71+G79</f>
        <v>21389195</v>
      </c>
      <c r="H63" s="171"/>
    </row>
    <row r="64" spans="1:12" ht="57.25" customHeight="1" outlineLevel="7" x14ac:dyDescent="0.25">
      <c r="A64" s="81" t="s">
        <v>835</v>
      </c>
      <c r="B64" s="80" t="s">
        <v>500</v>
      </c>
      <c r="C64" s="80" t="s">
        <v>24</v>
      </c>
      <c r="D64" s="80" t="s">
        <v>315</v>
      </c>
      <c r="E64" s="83" t="s">
        <v>6</v>
      </c>
      <c r="F64" s="622">
        <f>F65+F68</f>
        <v>845385</v>
      </c>
      <c r="G64" s="622">
        <f>G65+G68</f>
        <v>745385</v>
      </c>
    </row>
    <row r="65" spans="1:7" outlineLevel="7" x14ac:dyDescent="0.25">
      <c r="A65" s="81" t="s">
        <v>321</v>
      </c>
      <c r="B65" s="80" t="s">
        <v>500</v>
      </c>
      <c r="C65" s="80" t="s">
        <v>24</v>
      </c>
      <c r="D65" s="80" t="s">
        <v>316</v>
      </c>
      <c r="E65" s="83" t="s">
        <v>6</v>
      </c>
      <c r="F65" s="622">
        <f>F66</f>
        <v>745385</v>
      </c>
      <c r="G65" s="622">
        <f>G66</f>
        <v>645385</v>
      </c>
    </row>
    <row r="66" spans="1:7" ht="36.700000000000003" outlineLevel="7" x14ac:dyDescent="0.25">
      <c r="A66" s="81" t="s">
        <v>15</v>
      </c>
      <c r="B66" s="80" t="s">
        <v>500</v>
      </c>
      <c r="C66" s="80" t="s">
        <v>24</v>
      </c>
      <c r="D66" s="80" t="s">
        <v>316</v>
      </c>
      <c r="E66" s="83" t="s">
        <v>16</v>
      </c>
      <c r="F66" s="621">
        <f>F67</f>
        <v>745385</v>
      </c>
      <c r="G66" s="621">
        <f>G67</f>
        <v>645385</v>
      </c>
    </row>
    <row r="67" spans="1:7" ht="21.25" customHeight="1" outlineLevel="7" x14ac:dyDescent="0.25">
      <c r="A67" s="81" t="s">
        <v>17</v>
      </c>
      <c r="B67" s="80" t="s">
        <v>500</v>
      </c>
      <c r="C67" s="80" t="s">
        <v>24</v>
      </c>
      <c r="D67" s="80" t="s">
        <v>316</v>
      </c>
      <c r="E67" s="83" t="s">
        <v>18</v>
      </c>
      <c r="F67" s="622">
        <v>745385</v>
      </c>
      <c r="G67" s="622">
        <f>745385-100000</f>
        <v>645385</v>
      </c>
    </row>
    <row r="68" spans="1:7" outlineLevel="7" x14ac:dyDescent="0.25">
      <c r="A68" s="81" t="s">
        <v>322</v>
      </c>
      <c r="B68" s="80" t="s">
        <v>500</v>
      </c>
      <c r="C68" s="80" t="s">
        <v>24</v>
      </c>
      <c r="D68" s="80" t="s">
        <v>323</v>
      </c>
      <c r="E68" s="83" t="s">
        <v>6</v>
      </c>
      <c r="F68" s="622">
        <f>F69</f>
        <v>100000</v>
      </c>
      <c r="G68" s="622">
        <f>G69</f>
        <v>100000</v>
      </c>
    </row>
    <row r="69" spans="1:7" ht="36.700000000000003" outlineLevel="7" x14ac:dyDescent="0.25">
      <c r="A69" s="81" t="s">
        <v>15</v>
      </c>
      <c r="B69" s="80" t="s">
        <v>500</v>
      </c>
      <c r="C69" s="80" t="s">
        <v>24</v>
      </c>
      <c r="D69" s="80" t="s">
        <v>323</v>
      </c>
      <c r="E69" s="83" t="s">
        <v>16</v>
      </c>
      <c r="F69" s="621">
        <f>F70</f>
        <v>100000</v>
      </c>
      <c r="G69" s="621">
        <f>G70</f>
        <v>100000</v>
      </c>
    </row>
    <row r="70" spans="1:7" ht="19.55" customHeight="1" outlineLevel="7" x14ac:dyDescent="0.25">
      <c r="A70" s="81" t="s">
        <v>17</v>
      </c>
      <c r="B70" s="80" t="s">
        <v>500</v>
      </c>
      <c r="C70" s="80" t="s">
        <v>24</v>
      </c>
      <c r="D70" s="80" t="s">
        <v>323</v>
      </c>
      <c r="E70" s="83" t="s">
        <v>18</v>
      </c>
      <c r="F70" s="621">
        <v>100000</v>
      </c>
      <c r="G70" s="621">
        <v>100000</v>
      </c>
    </row>
    <row r="71" spans="1:7" ht="46.55" customHeight="1" outlineLevel="7" x14ac:dyDescent="0.25">
      <c r="A71" s="81" t="s">
        <v>216</v>
      </c>
      <c r="B71" s="80" t="s">
        <v>500</v>
      </c>
      <c r="C71" s="80" t="s">
        <v>24</v>
      </c>
      <c r="D71" s="80" t="s">
        <v>231</v>
      </c>
      <c r="E71" s="83" t="s">
        <v>6</v>
      </c>
      <c r="F71" s="622">
        <f>F72</f>
        <v>22712210</v>
      </c>
      <c r="G71" s="622">
        <f>G72</f>
        <v>19492710</v>
      </c>
    </row>
    <row r="72" spans="1:7" ht="55.05" outlineLevel="5" x14ac:dyDescent="0.25">
      <c r="A72" s="81" t="s">
        <v>33</v>
      </c>
      <c r="B72" s="80" t="s">
        <v>500</v>
      </c>
      <c r="C72" s="80" t="s">
        <v>24</v>
      </c>
      <c r="D72" s="80" t="s">
        <v>130</v>
      </c>
      <c r="E72" s="83" t="s">
        <v>6</v>
      </c>
      <c r="F72" s="621">
        <f>F73+F75+F77</f>
        <v>22712210</v>
      </c>
      <c r="G72" s="621">
        <f>G73+G75+G77</f>
        <v>19492710</v>
      </c>
    </row>
    <row r="73" spans="1:7" ht="91.7" outlineLevel="6" x14ac:dyDescent="0.25">
      <c r="A73" s="81" t="s">
        <v>11</v>
      </c>
      <c r="B73" s="80" t="s">
        <v>500</v>
      </c>
      <c r="C73" s="80" t="s">
        <v>24</v>
      </c>
      <c r="D73" s="80" t="s">
        <v>130</v>
      </c>
      <c r="E73" s="83" t="s">
        <v>12</v>
      </c>
      <c r="F73" s="621">
        <f>F74</f>
        <v>11824960</v>
      </c>
      <c r="G73" s="621">
        <f>G74</f>
        <v>9869965</v>
      </c>
    </row>
    <row r="74" spans="1:7" outlineLevel="7" x14ac:dyDescent="0.25">
      <c r="A74" s="81" t="s">
        <v>34</v>
      </c>
      <c r="B74" s="80" t="s">
        <v>500</v>
      </c>
      <c r="C74" s="80" t="s">
        <v>24</v>
      </c>
      <c r="D74" s="80" t="s">
        <v>130</v>
      </c>
      <c r="E74" s="83" t="s">
        <v>35</v>
      </c>
      <c r="F74" s="622">
        <f>12374960-550000</f>
        <v>11824960</v>
      </c>
      <c r="G74" s="622">
        <f>12869965-3000000</f>
        <v>9869965</v>
      </c>
    </row>
    <row r="75" spans="1:7" ht="36.700000000000003" outlineLevel="6" x14ac:dyDescent="0.25">
      <c r="A75" s="81" t="s">
        <v>15</v>
      </c>
      <c r="B75" s="80" t="s">
        <v>500</v>
      </c>
      <c r="C75" s="80" t="s">
        <v>24</v>
      </c>
      <c r="D75" s="80" t="s">
        <v>130</v>
      </c>
      <c r="E75" s="83" t="s">
        <v>16</v>
      </c>
      <c r="F75" s="621">
        <f>F76</f>
        <v>10088000</v>
      </c>
      <c r="G75" s="621">
        <f>G76</f>
        <v>8791520</v>
      </c>
    </row>
    <row r="76" spans="1:7" ht="21.25" customHeight="1" outlineLevel="7" x14ac:dyDescent="0.25">
      <c r="A76" s="81" t="s">
        <v>17</v>
      </c>
      <c r="B76" s="80" t="s">
        <v>500</v>
      </c>
      <c r="C76" s="80" t="s">
        <v>24</v>
      </c>
      <c r="D76" s="80" t="s">
        <v>130</v>
      </c>
      <c r="E76" s="83" t="s">
        <v>18</v>
      </c>
      <c r="F76" s="622">
        <f>11373250-1285250</f>
        <v>10088000</v>
      </c>
      <c r="G76" s="622">
        <f>11828180-3036660</f>
        <v>8791520</v>
      </c>
    </row>
    <row r="77" spans="1:7" outlineLevel="6" x14ac:dyDescent="0.25">
      <c r="A77" s="81" t="s">
        <v>19</v>
      </c>
      <c r="B77" s="80" t="s">
        <v>500</v>
      </c>
      <c r="C77" s="80" t="s">
        <v>24</v>
      </c>
      <c r="D77" s="80" t="s">
        <v>130</v>
      </c>
      <c r="E77" s="83" t="s">
        <v>20</v>
      </c>
      <c r="F77" s="621">
        <f>F78</f>
        <v>799250</v>
      </c>
      <c r="G77" s="621">
        <f>G78</f>
        <v>831225</v>
      </c>
    </row>
    <row r="78" spans="1:7" outlineLevel="7" x14ac:dyDescent="0.25">
      <c r="A78" s="81" t="s">
        <v>21</v>
      </c>
      <c r="B78" s="80" t="s">
        <v>500</v>
      </c>
      <c r="C78" s="80" t="s">
        <v>24</v>
      </c>
      <c r="D78" s="80" t="s">
        <v>130</v>
      </c>
      <c r="E78" s="83" t="s">
        <v>22</v>
      </c>
      <c r="F78" s="622">
        <v>799250</v>
      </c>
      <c r="G78" s="622">
        <v>831225</v>
      </c>
    </row>
    <row r="79" spans="1:7" outlineLevel="7" x14ac:dyDescent="0.25">
      <c r="A79" s="81" t="s">
        <v>748</v>
      </c>
      <c r="B79" s="80" t="s">
        <v>500</v>
      </c>
      <c r="C79" s="80" t="s">
        <v>24</v>
      </c>
      <c r="D79" s="80" t="s">
        <v>692</v>
      </c>
      <c r="E79" s="80" t="s">
        <v>6</v>
      </c>
      <c r="F79" s="621">
        <f>F80+F83</f>
        <v>1451100</v>
      </c>
      <c r="G79" s="621">
        <f>G80+G83</f>
        <v>1151100</v>
      </c>
    </row>
    <row r="80" spans="1:7" ht="36.700000000000003" hidden="1" outlineLevel="7" x14ac:dyDescent="0.25">
      <c r="A80" s="25" t="s">
        <v>717</v>
      </c>
      <c r="B80" s="80" t="s">
        <v>500</v>
      </c>
      <c r="C80" s="80" t="s">
        <v>24</v>
      </c>
      <c r="D80" s="80" t="s">
        <v>691</v>
      </c>
      <c r="E80" s="80" t="s">
        <v>6</v>
      </c>
      <c r="F80" s="621">
        <f>F81</f>
        <v>0</v>
      </c>
      <c r="G80" s="621">
        <f>G81</f>
        <v>0</v>
      </c>
    </row>
    <row r="81" spans="1:8" ht="36.700000000000003" hidden="1" outlineLevel="7" x14ac:dyDescent="0.25">
      <c r="A81" s="81" t="s">
        <v>15</v>
      </c>
      <c r="B81" s="80" t="s">
        <v>500</v>
      </c>
      <c r="C81" s="80" t="s">
        <v>24</v>
      </c>
      <c r="D81" s="80" t="s">
        <v>691</v>
      </c>
      <c r="E81" s="80" t="s">
        <v>16</v>
      </c>
      <c r="F81" s="621">
        <f>F82</f>
        <v>0</v>
      </c>
      <c r="G81" s="621">
        <f>G82</f>
        <v>0</v>
      </c>
    </row>
    <row r="82" spans="1:8" ht="36.700000000000003" hidden="1" outlineLevel="7" x14ac:dyDescent="0.25">
      <c r="A82" s="81" t="s">
        <v>17</v>
      </c>
      <c r="B82" s="80" t="s">
        <v>500</v>
      </c>
      <c r="C82" s="80" t="s">
        <v>24</v>
      </c>
      <c r="D82" s="80" t="s">
        <v>691</v>
      </c>
      <c r="E82" s="80" t="s">
        <v>18</v>
      </c>
      <c r="F82" s="622"/>
      <c r="G82" s="622"/>
    </row>
    <row r="83" spans="1:8" ht="36.700000000000003" outlineLevel="7" x14ac:dyDescent="0.25">
      <c r="A83" s="81" t="s">
        <v>690</v>
      </c>
      <c r="B83" s="80" t="s">
        <v>500</v>
      </c>
      <c r="C83" s="80" t="s">
        <v>24</v>
      </c>
      <c r="D83" s="80" t="s">
        <v>689</v>
      </c>
      <c r="E83" s="80" t="s">
        <v>6</v>
      </c>
      <c r="F83" s="621">
        <f>F86+F84</f>
        <v>1451100</v>
      </c>
      <c r="G83" s="621">
        <f>G86+G84</f>
        <v>1151100</v>
      </c>
    </row>
    <row r="84" spans="1:8" ht="94.75" customHeight="1" outlineLevel="7" x14ac:dyDescent="0.25">
      <c r="A84" s="81" t="s">
        <v>11</v>
      </c>
      <c r="B84" s="80" t="s">
        <v>500</v>
      </c>
      <c r="C84" s="80" t="s">
        <v>24</v>
      </c>
      <c r="D84" s="80" t="s">
        <v>689</v>
      </c>
      <c r="E84" s="80" t="s">
        <v>12</v>
      </c>
      <c r="F84" s="621">
        <f>F85</f>
        <v>116000</v>
      </c>
      <c r="G84" s="621">
        <f>G85</f>
        <v>116000</v>
      </c>
    </row>
    <row r="85" spans="1:8" ht="36.700000000000003" outlineLevel="7" x14ac:dyDescent="0.25">
      <c r="A85" s="81" t="s">
        <v>13</v>
      </c>
      <c r="B85" s="80" t="s">
        <v>500</v>
      </c>
      <c r="C85" s="80" t="s">
        <v>24</v>
      </c>
      <c r="D85" s="80" t="s">
        <v>689</v>
      </c>
      <c r="E85" s="80" t="s">
        <v>14</v>
      </c>
      <c r="F85" s="621">
        <v>116000</v>
      </c>
      <c r="G85" s="621">
        <v>116000</v>
      </c>
    </row>
    <row r="86" spans="1:8" ht="36.700000000000003" outlineLevel="7" x14ac:dyDescent="0.25">
      <c r="A86" s="81" t="s">
        <v>15</v>
      </c>
      <c r="B86" s="80" t="s">
        <v>500</v>
      </c>
      <c r="C86" s="80" t="s">
        <v>24</v>
      </c>
      <c r="D86" s="80" t="s">
        <v>689</v>
      </c>
      <c r="E86" s="80" t="s">
        <v>16</v>
      </c>
      <c r="F86" s="621">
        <f>F87</f>
        <v>1335100</v>
      </c>
      <c r="G86" s="621">
        <f>G87</f>
        <v>1035100</v>
      </c>
    </row>
    <row r="87" spans="1:8" ht="36.700000000000003" outlineLevel="7" x14ac:dyDescent="0.25">
      <c r="A87" s="81" t="s">
        <v>17</v>
      </c>
      <c r="B87" s="80" t="s">
        <v>500</v>
      </c>
      <c r="C87" s="80" t="s">
        <v>24</v>
      </c>
      <c r="D87" s="80" t="s">
        <v>689</v>
      </c>
      <c r="E87" s="80" t="s">
        <v>18</v>
      </c>
      <c r="F87" s="622">
        <v>1335100</v>
      </c>
      <c r="G87" s="622">
        <f>1335100-300000</f>
        <v>1035100</v>
      </c>
    </row>
    <row r="88" spans="1:8" s="172" customFormat="1" ht="55.05" outlineLevel="7" x14ac:dyDescent="0.25">
      <c r="A88" s="109" t="s">
        <v>852</v>
      </c>
      <c r="B88" s="110" t="s">
        <v>500</v>
      </c>
      <c r="C88" s="110" t="s">
        <v>24</v>
      </c>
      <c r="D88" s="110" t="s">
        <v>131</v>
      </c>
      <c r="E88" s="111" t="s">
        <v>6</v>
      </c>
      <c r="F88" s="623">
        <f t="shared" ref="F88:G91" si="6">F89</f>
        <v>50000</v>
      </c>
      <c r="G88" s="623">
        <f t="shared" si="6"/>
        <v>50000</v>
      </c>
      <c r="H88" s="171"/>
    </row>
    <row r="89" spans="1:8" outlineLevel="7" x14ac:dyDescent="0.25">
      <c r="A89" s="81" t="s">
        <v>324</v>
      </c>
      <c r="B89" s="80" t="s">
        <v>500</v>
      </c>
      <c r="C89" s="80" t="s">
        <v>24</v>
      </c>
      <c r="D89" s="80" t="s">
        <v>233</v>
      </c>
      <c r="E89" s="83" t="s">
        <v>6</v>
      </c>
      <c r="F89" s="621">
        <f t="shared" si="6"/>
        <v>50000</v>
      </c>
      <c r="G89" s="621">
        <f t="shared" si="6"/>
        <v>50000</v>
      </c>
    </row>
    <row r="90" spans="1:8" ht="36.700000000000003" outlineLevel="7" x14ac:dyDescent="0.25">
      <c r="A90" s="81" t="s">
        <v>325</v>
      </c>
      <c r="B90" s="80" t="s">
        <v>500</v>
      </c>
      <c r="C90" s="80" t="s">
        <v>24</v>
      </c>
      <c r="D90" s="80" t="s">
        <v>326</v>
      </c>
      <c r="E90" s="83" t="s">
        <v>6</v>
      </c>
      <c r="F90" s="621">
        <f t="shared" si="6"/>
        <v>50000</v>
      </c>
      <c r="G90" s="621">
        <f t="shared" si="6"/>
        <v>50000</v>
      </c>
    </row>
    <row r="91" spans="1:8" ht="36.700000000000003" outlineLevel="7" x14ac:dyDescent="0.25">
      <c r="A91" s="81" t="s">
        <v>15</v>
      </c>
      <c r="B91" s="80" t="s">
        <v>500</v>
      </c>
      <c r="C91" s="80" t="s">
        <v>24</v>
      </c>
      <c r="D91" s="80" t="s">
        <v>326</v>
      </c>
      <c r="E91" s="83" t="s">
        <v>16</v>
      </c>
      <c r="F91" s="621">
        <f t="shared" si="6"/>
        <v>50000</v>
      </c>
      <c r="G91" s="621">
        <f t="shared" si="6"/>
        <v>50000</v>
      </c>
    </row>
    <row r="92" spans="1:8" ht="21.25" customHeight="1" outlineLevel="7" x14ac:dyDescent="0.25">
      <c r="A92" s="81" t="s">
        <v>17</v>
      </c>
      <c r="B92" s="80" t="s">
        <v>500</v>
      </c>
      <c r="C92" s="80" t="s">
        <v>24</v>
      </c>
      <c r="D92" s="80" t="s">
        <v>326</v>
      </c>
      <c r="E92" s="83" t="s">
        <v>18</v>
      </c>
      <c r="F92" s="622">
        <v>50000</v>
      </c>
      <c r="G92" s="622">
        <v>50000</v>
      </c>
    </row>
    <row r="93" spans="1:8" s="172" customFormat="1" ht="59.3" customHeight="1" outlineLevel="7" x14ac:dyDescent="0.25">
      <c r="A93" s="109" t="s">
        <v>829</v>
      </c>
      <c r="B93" s="110" t="s">
        <v>500</v>
      </c>
      <c r="C93" s="110" t="s">
        <v>24</v>
      </c>
      <c r="D93" s="110" t="s">
        <v>317</v>
      </c>
      <c r="E93" s="111" t="s">
        <v>6</v>
      </c>
      <c r="F93" s="623">
        <f>F94</f>
        <v>1178105</v>
      </c>
      <c r="G93" s="623">
        <f>G94</f>
        <v>1097105</v>
      </c>
      <c r="H93" s="171"/>
    </row>
    <row r="94" spans="1:8" ht="42.8" customHeight="1" outlineLevel="7" x14ac:dyDescent="0.25">
      <c r="A94" s="113" t="s">
        <v>327</v>
      </c>
      <c r="B94" s="80" t="s">
        <v>500</v>
      </c>
      <c r="C94" s="80" t="s">
        <v>24</v>
      </c>
      <c r="D94" s="80" t="s">
        <v>318</v>
      </c>
      <c r="E94" s="83" t="s">
        <v>6</v>
      </c>
      <c r="F94" s="621">
        <f>F95+F98</f>
        <v>1178105</v>
      </c>
      <c r="G94" s="621">
        <f>G95+G98</f>
        <v>1097105</v>
      </c>
    </row>
    <row r="95" spans="1:8" ht="37.549999999999997" customHeight="1" outlineLevel="7" x14ac:dyDescent="0.25">
      <c r="A95" s="113" t="s">
        <v>328</v>
      </c>
      <c r="B95" s="80" t="s">
        <v>500</v>
      </c>
      <c r="C95" s="80" t="s">
        <v>24</v>
      </c>
      <c r="D95" s="80" t="s">
        <v>329</v>
      </c>
      <c r="E95" s="83" t="s">
        <v>6</v>
      </c>
      <c r="F95" s="621">
        <f>F96</f>
        <v>1130340</v>
      </c>
      <c r="G95" s="621">
        <f>G96</f>
        <v>1047430</v>
      </c>
    </row>
    <row r="96" spans="1:8" ht="36.700000000000003" outlineLevel="7" x14ac:dyDescent="0.25">
      <c r="A96" s="81" t="s">
        <v>15</v>
      </c>
      <c r="B96" s="80" t="s">
        <v>500</v>
      </c>
      <c r="C96" s="80" t="s">
        <v>24</v>
      </c>
      <c r="D96" s="80" t="s">
        <v>329</v>
      </c>
      <c r="E96" s="83" t="s">
        <v>16</v>
      </c>
      <c r="F96" s="621">
        <f>F97</f>
        <v>1130340</v>
      </c>
      <c r="G96" s="621">
        <f>G97</f>
        <v>1047430</v>
      </c>
    </row>
    <row r="97" spans="1:8" ht="18.7" customHeight="1" outlineLevel="7" x14ac:dyDescent="0.25">
      <c r="A97" s="81" t="s">
        <v>17</v>
      </c>
      <c r="B97" s="80" t="s">
        <v>500</v>
      </c>
      <c r="C97" s="80" t="s">
        <v>24</v>
      </c>
      <c r="D97" s="80" t="s">
        <v>329</v>
      </c>
      <c r="E97" s="83" t="s">
        <v>18</v>
      </c>
      <c r="F97" s="622">
        <f>5630340-4500000</f>
        <v>1130340</v>
      </c>
      <c r="G97" s="622">
        <f>1347430-300000</f>
        <v>1047430</v>
      </c>
    </row>
    <row r="98" spans="1:8" ht="36.700000000000003" outlineLevel="7" x14ac:dyDescent="0.25">
      <c r="A98" s="113" t="s">
        <v>330</v>
      </c>
      <c r="B98" s="80" t="s">
        <v>500</v>
      </c>
      <c r="C98" s="80" t="s">
        <v>24</v>
      </c>
      <c r="D98" s="80" t="s">
        <v>319</v>
      </c>
      <c r="E98" s="83" t="s">
        <v>6</v>
      </c>
      <c r="F98" s="621">
        <f>F99</f>
        <v>47765</v>
      </c>
      <c r="G98" s="621">
        <f>G99</f>
        <v>49675</v>
      </c>
    </row>
    <row r="99" spans="1:8" ht="36.700000000000003" outlineLevel="7" x14ac:dyDescent="0.25">
      <c r="A99" s="81" t="s">
        <v>15</v>
      </c>
      <c r="B99" s="80" t="s">
        <v>500</v>
      </c>
      <c r="C99" s="80" t="s">
        <v>24</v>
      </c>
      <c r="D99" s="80" t="s">
        <v>319</v>
      </c>
      <c r="E99" s="83" t="s">
        <v>16</v>
      </c>
      <c r="F99" s="621">
        <f>F100</f>
        <v>47765</v>
      </c>
      <c r="G99" s="621">
        <f>G100</f>
        <v>49675</v>
      </c>
    </row>
    <row r="100" spans="1:8" ht="19.55" customHeight="1" outlineLevel="7" x14ac:dyDescent="0.25">
      <c r="A100" s="81" t="s">
        <v>17</v>
      </c>
      <c r="B100" s="80" t="s">
        <v>500</v>
      </c>
      <c r="C100" s="80" t="s">
        <v>24</v>
      </c>
      <c r="D100" s="80" t="s">
        <v>319</v>
      </c>
      <c r="E100" s="83" t="s">
        <v>18</v>
      </c>
      <c r="F100" s="621">
        <v>47765</v>
      </c>
      <c r="G100" s="621">
        <v>49675</v>
      </c>
    </row>
    <row r="101" spans="1:8" s="172" customFormat="1" ht="55.05" outlineLevel="7" x14ac:dyDescent="0.25">
      <c r="A101" s="109" t="s">
        <v>851</v>
      </c>
      <c r="B101" s="110" t="s">
        <v>500</v>
      </c>
      <c r="C101" s="110" t="s">
        <v>24</v>
      </c>
      <c r="D101" s="110" t="s">
        <v>331</v>
      </c>
      <c r="E101" s="111" t="s">
        <v>6</v>
      </c>
      <c r="F101" s="623">
        <f>F102</f>
        <v>1300000</v>
      </c>
      <c r="G101" s="623">
        <f>G102</f>
        <v>600000</v>
      </c>
      <c r="H101" s="171"/>
    </row>
    <row r="102" spans="1:8" ht="42.8" customHeight="1" outlineLevel="7" x14ac:dyDescent="0.25">
      <c r="A102" s="81" t="s">
        <v>215</v>
      </c>
      <c r="B102" s="80" t="s">
        <v>500</v>
      </c>
      <c r="C102" s="80" t="s">
        <v>24</v>
      </c>
      <c r="D102" s="80" t="s">
        <v>332</v>
      </c>
      <c r="E102" s="83" t="s">
        <v>6</v>
      </c>
      <c r="F102" s="621">
        <f>F103</f>
        <v>1300000</v>
      </c>
      <c r="G102" s="621">
        <f>G103</f>
        <v>600000</v>
      </c>
    </row>
    <row r="103" spans="1:8" ht="73.400000000000006" outlineLevel="5" x14ac:dyDescent="0.25">
      <c r="A103" s="81" t="s">
        <v>32</v>
      </c>
      <c r="B103" s="80" t="s">
        <v>500</v>
      </c>
      <c r="C103" s="80" t="s">
        <v>24</v>
      </c>
      <c r="D103" s="80" t="s">
        <v>333</v>
      </c>
      <c r="E103" s="83" t="s">
        <v>6</v>
      </c>
      <c r="F103" s="621">
        <f>F104+F106</f>
        <v>1300000</v>
      </c>
      <c r="G103" s="621">
        <f>G104+G106</f>
        <v>600000</v>
      </c>
    </row>
    <row r="104" spans="1:8" ht="36.700000000000003" outlineLevel="6" x14ac:dyDescent="0.25">
      <c r="A104" s="81" t="s">
        <v>15</v>
      </c>
      <c r="B104" s="80" t="s">
        <v>500</v>
      </c>
      <c r="C104" s="80" t="s">
        <v>24</v>
      </c>
      <c r="D104" s="80" t="s">
        <v>333</v>
      </c>
      <c r="E104" s="83" t="s">
        <v>16</v>
      </c>
      <c r="F104" s="621">
        <f>F105</f>
        <v>1160000</v>
      </c>
      <c r="G104" s="621">
        <f>G105</f>
        <v>460000</v>
      </c>
    </row>
    <row r="105" spans="1:8" ht="20.25" customHeight="1" outlineLevel="7" x14ac:dyDescent="0.25">
      <c r="A105" s="81" t="s">
        <v>17</v>
      </c>
      <c r="B105" s="80" t="s">
        <v>500</v>
      </c>
      <c r="C105" s="80" t="s">
        <v>24</v>
      </c>
      <c r="D105" s="80" t="s">
        <v>333</v>
      </c>
      <c r="E105" s="83" t="s">
        <v>18</v>
      </c>
      <c r="F105" s="621">
        <f>1460000-300000</f>
        <v>1160000</v>
      </c>
      <c r="G105" s="621">
        <f>1460000-1000000</f>
        <v>460000</v>
      </c>
    </row>
    <row r="106" spans="1:8" outlineLevel="6" x14ac:dyDescent="0.25">
      <c r="A106" s="81" t="s">
        <v>19</v>
      </c>
      <c r="B106" s="80" t="s">
        <v>500</v>
      </c>
      <c r="C106" s="80" t="s">
        <v>24</v>
      </c>
      <c r="D106" s="80" t="s">
        <v>333</v>
      </c>
      <c r="E106" s="83" t="s">
        <v>20</v>
      </c>
      <c r="F106" s="621">
        <f>F107</f>
        <v>140000</v>
      </c>
      <c r="G106" s="621">
        <f>G107</f>
        <v>140000</v>
      </c>
    </row>
    <row r="107" spans="1:8" outlineLevel="7" x14ac:dyDescent="0.25">
      <c r="A107" s="81" t="s">
        <v>21</v>
      </c>
      <c r="B107" s="80" t="s">
        <v>500</v>
      </c>
      <c r="C107" s="80" t="s">
        <v>24</v>
      </c>
      <c r="D107" s="80" t="s">
        <v>333</v>
      </c>
      <c r="E107" s="83" t="s">
        <v>22</v>
      </c>
      <c r="F107" s="622">
        <v>140000</v>
      </c>
      <c r="G107" s="622">
        <v>140000</v>
      </c>
    </row>
    <row r="108" spans="1:8" ht="55.05" outlineLevel="7" x14ac:dyDescent="0.25">
      <c r="A108" s="109" t="s">
        <v>950</v>
      </c>
      <c r="B108" s="110" t="s">
        <v>500</v>
      </c>
      <c r="C108" s="110" t="s">
        <v>24</v>
      </c>
      <c r="D108" s="110" t="s">
        <v>952</v>
      </c>
      <c r="E108" s="110" t="s">
        <v>6</v>
      </c>
      <c r="F108" s="622">
        <f t="shared" ref="F108:G111" si="7">F109</f>
        <v>30000</v>
      </c>
      <c r="G108" s="622">
        <f t="shared" si="7"/>
        <v>30000</v>
      </c>
    </row>
    <row r="109" spans="1:8" ht="36.700000000000003" outlineLevel="7" x14ac:dyDescent="0.25">
      <c r="A109" s="81" t="s">
        <v>951</v>
      </c>
      <c r="B109" s="80" t="s">
        <v>500</v>
      </c>
      <c r="C109" s="80" t="s">
        <v>24</v>
      </c>
      <c r="D109" s="80" t="s">
        <v>953</v>
      </c>
      <c r="E109" s="80" t="s">
        <v>6</v>
      </c>
      <c r="F109" s="622">
        <f t="shared" si="7"/>
        <v>30000</v>
      </c>
      <c r="G109" s="622">
        <f t="shared" si="7"/>
        <v>30000</v>
      </c>
    </row>
    <row r="110" spans="1:8" outlineLevel="7" x14ac:dyDescent="0.25">
      <c r="A110" s="81" t="s">
        <v>322</v>
      </c>
      <c r="B110" s="80" t="s">
        <v>500</v>
      </c>
      <c r="C110" s="80" t="s">
        <v>24</v>
      </c>
      <c r="D110" s="80" t="s">
        <v>954</v>
      </c>
      <c r="E110" s="80" t="s">
        <v>6</v>
      </c>
      <c r="F110" s="622">
        <f t="shared" si="7"/>
        <v>30000</v>
      </c>
      <c r="G110" s="622">
        <f t="shared" si="7"/>
        <v>30000</v>
      </c>
    </row>
    <row r="111" spans="1:8" ht="36.700000000000003" outlineLevel="7" x14ac:dyDescent="0.25">
      <c r="A111" s="81" t="s">
        <v>15</v>
      </c>
      <c r="B111" s="80" t="s">
        <v>500</v>
      </c>
      <c r="C111" s="80" t="s">
        <v>24</v>
      </c>
      <c r="D111" s="80" t="s">
        <v>954</v>
      </c>
      <c r="E111" s="80" t="s">
        <v>16</v>
      </c>
      <c r="F111" s="622">
        <f t="shared" si="7"/>
        <v>30000</v>
      </c>
      <c r="G111" s="622">
        <f t="shared" si="7"/>
        <v>30000</v>
      </c>
    </row>
    <row r="112" spans="1:8" ht="36.700000000000003" outlineLevel="7" x14ac:dyDescent="0.25">
      <c r="A112" s="81" t="s">
        <v>17</v>
      </c>
      <c r="B112" s="80" t="s">
        <v>500</v>
      </c>
      <c r="C112" s="80" t="s">
        <v>24</v>
      </c>
      <c r="D112" s="80" t="s">
        <v>954</v>
      </c>
      <c r="E112" s="80" t="s">
        <v>18</v>
      </c>
      <c r="F112" s="622">
        <v>30000</v>
      </c>
      <c r="G112" s="622">
        <v>30000</v>
      </c>
    </row>
    <row r="113" spans="1:12" ht="36.700000000000003" outlineLevel="3" x14ac:dyDescent="0.25">
      <c r="A113" s="81" t="s">
        <v>132</v>
      </c>
      <c r="B113" s="80" t="s">
        <v>500</v>
      </c>
      <c r="C113" s="80" t="s">
        <v>24</v>
      </c>
      <c r="D113" s="80" t="s">
        <v>127</v>
      </c>
      <c r="E113" s="83" t="s">
        <v>6</v>
      </c>
      <c r="F113" s="621">
        <f>F131+F114+F128+F119</f>
        <v>46650884</v>
      </c>
      <c r="G113" s="621">
        <f>G131+G114+G128+G119</f>
        <v>45659407</v>
      </c>
    </row>
    <row r="114" spans="1:12" ht="51.65" customHeight="1" outlineLevel="5" x14ac:dyDescent="0.25">
      <c r="A114" s="81" t="s">
        <v>494</v>
      </c>
      <c r="B114" s="80" t="s">
        <v>500</v>
      </c>
      <c r="C114" s="80" t="s">
        <v>24</v>
      </c>
      <c r="D114" s="80" t="s">
        <v>495</v>
      </c>
      <c r="E114" s="83" t="s">
        <v>6</v>
      </c>
      <c r="F114" s="621">
        <f>F115+F117</f>
        <v>38385000</v>
      </c>
      <c r="G114" s="621">
        <f>G115+G117</f>
        <v>37382120</v>
      </c>
    </row>
    <row r="115" spans="1:12" ht="42.45" customHeight="1" outlineLevel="6" x14ac:dyDescent="0.25">
      <c r="A115" s="81" t="s">
        <v>11</v>
      </c>
      <c r="B115" s="80" t="s">
        <v>500</v>
      </c>
      <c r="C115" s="80" t="s">
        <v>24</v>
      </c>
      <c r="D115" s="80" t="s">
        <v>495</v>
      </c>
      <c r="E115" s="83" t="s">
        <v>12</v>
      </c>
      <c r="F115" s="621">
        <f>F116</f>
        <v>38365000</v>
      </c>
      <c r="G115" s="621">
        <f>G116</f>
        <v>37362120</v>
      </c>
    </row>
    <row r="116" spans="1:12" s="163" customFormat="1" ht="52.3" customHeight="1" outlineLevel="7" x14ac:dyDescent="0.25">
      <c r="A116" s="81" t="s">
        <v>13</v>
      </c>
      <c r="B116" s="80" t="s">
        <v>500</v>
      </c>
      <c r="C116" s="80" t="s">
        <v>24</v>
      </c>
      <c r="D116" s="80" t="s">
        <v>495</v>
      </c>
      <c r="E116" s="83" t="s">
        <v>14</v>
      </c>
      <c r="F116" s="621">
        <f>40633580-1938580-300000-30000</f>
        <v>38365000</v>
      </c>
      <c r="G116" s="621">
        <f>41039920-1547800-2100000-30000</f>
        <v>37362120</v>
      </c>
      <c r="I116" s="5"/>
      <c r="J116" s="5"/>
      <c r="K116" s="5"/>
      <c r="L116" s="5"/>
    </row>
    <row r="117" spans="1:12" s="163" customFormat="1" ht="53.7" customHeight="1" outlineLevel="7" x14ac:dyDescent="0.25">
      <c r="A117" s="81" t="s">
        <v>15</v>
      </c>
      <c r="B117" s="80" t="s">
        <v>500</v>
      </c>
      <c r="C117" s="80" t="s">
        <v>24</v>
      </c>
      <c r="D117" s="80" t="s">
        <v>495</v>
      </c>
      <c r="E117" s="83" t="s">
        <v>16</v>
      </c>
      <c r="F117" s="622">
        <f>F118</f>
        <v>20000</v>
      </c>
      <c r="G117" s="622">
        <f>G118</f>
        <v>20000</v>
      </c>
      <c r="I117" s="5"/>
      <c r="J117" s="5"/>
      <c r="K117" s="5"/>
      <c r="L117" s="5"/>
    </row>
    <row r="118" spans="1:12" s="163" customFormat="1" ht="39.4" customHeight="1" outlineLevel="7" x14ac:dyDescent="0.25">
      <c r="A118" s="81" t="s">
        <v>17</v>
      </c>
      <c r="B118" s="80" t="s">
        <v>500</v>
      </c>
      <c r="C118" s="80" t="s">
        <v>24</v>
      </c>
      <c r="D118" s="80" t="s">
        <v>495</v>
      </c>
      <c r="E118" s="83" t="s">
        <v>18</v>
      </c>
      <c r="F118" s="621">
        <v>20000</v>
      </c>
      <c r="G118" s="621">
        <v>20000</v>
      </c>
      <c r="I118" s="5"/>
      <c r="J118" s="5"/>
      <c r="K118" s="5"/>
      <c r="L118" s="5"/>
    </row>
    <row r="119" spans="1:12" s="163" customFormat="1" ht="39.25" hidden="1" customHeight="1" outlineLevel="7" x14ac:dyDescent="0.25">
      <c r="A119" s="81" t="s">
        <v>688</v>
      </c>
      <c r="B119" s="80" t="s">
        <v>500</v>
      </c>
      <c r="C119" s="80" t="s">
        <v>24</v>
      </c>
      <c r="D119" s="80" t="s">
        <v>686</v>
      </c>
      <c r="E119" s="80" t="s">
        <v>6</v>
      </c>
      <c r="F119" s="621">
        <f>F120</f>
        <v>0</v>
      </c>
      <c r="G119" s="621">
        <f>G120</f>
        <v>0</v>
      </c>
      <c r="I119" s="5"/>
      <c r="J119" s="5"/>
      <c r="K119" s="5"/>
      <c r="L119" s="5"/>
    </row>
    <row r="120" spans="1:12" s="163" customFormat="1" ht="28.55" hidden="1" customHeight="1" outlineLevel="7" x14ac:dyDescent="0.25">
      <c r="A120" s="81" t="s">
        <v>19</v>
      </c>
      <c r="B120" s="80" t="s">
        <v>500</v>
      </c>
      <c r="C120" s="80" t="s">
        <v>24</v>
      </c>
      <c r="D120" s="80" t="s">
        <v>686</v>
      </c>
      <c r="E120" s="80" t="s">
        <v>20</v>
      </c>
      <c r="F120" s="621">
        <f>F121+F122</f>
        <v>0</v>
      </c>
      <c r="G120" s="621">
        <f>G121+G122</f>
        <v>0</v>
      </c>
      <c r="I120" s="5"/>
      <c r="J120" s="5"/>
      <c r="K120" s="5"/>
      <c r="L120" s="5"/>
    </row>
    <row r="121" spans="1:12" s="163" customFormat="1" ht="18.7" hidden="1" customHeight="1" outlineLevel="7" x14ac:dyDescent="0.25">
      <c r="A121" s="81" t="s">
        <v>715</v>
      </c>
      <c r="B121" s="80" t="s">
        <v>500</v>
      </c>
      <c r="C121" s="80" t="s">
        <v>24</v>
      </c>
      <c r="D121" s="80" t="s">
        <v>686</v>
      </c>
      <c r="E121" s="118" t="s">
        <v>716</v>
      </c>
      <c r="F121" s="621">
        <v>0</v>
      </c>
      <c r="G121" s="621">
        <v>0</v>
      </c>
      <c r="I121" s="5"/>
      <c r="J121" s="5"/>
      <c r="K121" s="5"/>
      <c r="L121" s="5"/>
    </row>
    <row r="122" spans="1:12" s="163" customFormat="1" ht="18" hidden="1" customHeight="1" outlineLevel="7" x14ac:dyDescent="0.25">
      <c r="A122" s="81" t="s">
        <v>687</v>
      </c>
      <c r="B122" s="80" t="s">
        <v>500</v>
      </c>
      <c r="C122" s="80" t="s">
        <v>24</v>
      </c>
      <c r="D122" s="80" t="s">
        <v>686</v>
      </c>
      <c r="E122" s="80" t="s">
        <v>22</v>
      </c>
      <c r="F122" s="621"/>
      <c r="G122" s="621"/>
      <c r="I122" s="5"/>
      <c r="J122" s="5"/>
      <c r="K122" s="5"/>
      <c r="L122" s="5"/>
    </row>
    <row r="123" spans="1:12" s="163" customFormat="1" ht="36" hidden="1" customHeight="1" outlineLevel="7" x14ac:dyDescent="0.25">
      <c r="A123" s="25" t="s">
        <v>600</v>
      </c>
      <c r="B123" s="80" t="s">
        <v>500</v>
      </c>
      <c r="C123" s="80" t="s">
        <v>24</v>
      </c>
      <c r="D123" s="80" t="s">
        <v>601</v>
      </c>
      <c r="E123" s="80" t="s">
        <v>6</v>
      </c>
      <c r="F123" s="621">
        <f>F124</f>
        <v>0</v>
      </c>
      <c r="G123" s="621">
        <f>G124</f>
        <v>0</v>
      </c>
      <c r="I123" s="5"/>
      <c r="J123" s="5"/>
      <c r="K123" s="5"/>
      <c r="L123" s="5"/>
    </row>
    <row r="124" spans="1:12" s="163" customFormat="1" ht="18.7" hidden="1" customHeight="1" outlineLevel="7" x14ac:dyDescent="0.25">
      <c r="A124" s="81" t="s">
        <v>15</v>
      </c>
      <c r="B124" s="80" t="s">
        <v>500</v>
      </c>
      <c r="C124" s="80" t="s">
        <v>24</v>
      </c>
      <c r="D124" s="80" t="s">
        <v>601</v>
      </c>
      <c r="E124" s="80" t="s">
        <v>16</v>
      </c>
      <c r="F124" s="621">
        <f>F125</f>
        <v>0</v>
      </c>
      <c r="G124" s="621">
        <f>G125</f>
        <v>0</v>
      </c>
      <c r="I124" s="5"/>
      <c r="J124" s="5"/>
      <c r="K124" s="5"/>
      <c r="L124" s="5"/>
    </row>
    <row r="125" spans="1:12" s="163" customFormat="1" ht="18.7" hidden="1" customHeight="1" outlineLevel="7" x14ac:dyDescent="0.25">
      <c r="A125" s="81" t="s">
        <v>17</v>
      </c>
      <c r="B125" s="80" t="s">
        <v>500</v>
      </c>
      <c r="C125" s="80" t="s">
        <v>24</v>
      </c>
      <c r="D125" s="80" t="s">
        <v>601</v>
      </c>
      <c r="E125" s="80" t="s">
        <v>18</v>
      </c>
      <c r="F125" s="621"/>
      <c r="G125" s="621"/>
      <c r="I125" s="5"/>
      <c r="J125" s="5"/>
      <c r="K125" s="5"/>
      <c r="L125" s="5"/>
    </row>
    <row r="126" spans="1:12" s="163" customFormat="1" ht="18.7" hidden="1" customHeight="1" outlineLevel="7" x14ac:dyDescent="0.25">
      <c r="A126" s="81" t="s">
        <v>90</v>
      </c>
      <c r="B126" s="80" t="s">
        <v>500</v>
      </c>
      <c r="C126" s="80" t="s">
        <v>24</v>
      </c>
      <c r="D126" s="80" t="s">
        <v>601</v>
      </c>
      <c r="E126" s="80" t="s">
        <v>91</v>
      </c>
      <c r="F126" s="621">
        <f>F127</f>
        <v>0</v>
      </c>
      <c r="G126" s="621">
        <f>G127</f>
        <v>0</v>
      </c>
      <c r="I126" s="5"/>
      <c r="J126" s="5"/>
      <c r="K126" s="5"/>
      <c r="L126" s="5"/>
    </row>
    <row r="127" spans="1:12" s="163" customFormat="1" ht="38.25" hidden="1" customHeight="1" outlineLevel="7" x14ac:dyDescent="0.25">
      <c r="A127" s="81" t="s">
        <v>97</v>
      </c>
      <c r="B127" s="80" t="s">
        <v>500</v>
      </c>
      <c r="C127" s="80" t="s">
        <v>24</v>
      </c>
      <c r="D127" s="80" t="s">
        <v>601</v>
      </c>
      <c r="E127" s="80" t="s">
        <v>98</v>
      </c>
      <c r="F127" s="621">
        <v>0</v>
      </c>
      <c r="G127" s="621">
        <v>0</v>
      </c>
      <c r="I127" s="5"/>
      <c r="J127" s="5"/>
      <c r="K127" s="5"/>
      <c r="L127" s="5"/>
    </row>
    <row r="128" spans="1:12" s="163" customFormat="1" ht="19.55" customHeight="1" outlineLevel="7" x14ac:dyDescent="0.25">
      <c r="A128" s="81" t="s">
        <v>503</v>
      </c>
      <c r="B128" s="80" t="s">
        <v>500</v>
      </c>
      <c r="C128" s="80" t="s">
        <v>24</v>
      </c>
      <c r="D128" s="80" t="s">
        <v>502</v>
      </c>
      <c r="E128" s="83" t="s">
        <v>6</v>
      </c>
      <c r="F128" s="622">
        <f>F129</f>
        <v>200000</v>
      </c>
      <c r="G128" s="622">
        <f>G129</f>
        <v>0</v>
      </c>
      <c r="I128" s="5"/>
      <c r="J128" s="5"/>
      <c r="K128" s="5"/>
      <c r="L128" s="5"/>
    </row>
    <row r="129" spans="1:12" s="163" customFormat="1" ht="36.700000000000003" outlineLevel="7" x14ac:dyDescent="0.25">
      <c r="A129" s="81" t="s">
        <v>15</v>
      </c>
      <c r="B129" s="80" t="s">
        <v>500</v>
      </c>
      <c r="C129" s="80" t="s">
        <v>24</v>
      </c>
      <c r="D129" s="80" t="s">
        <v>502</v>
      </c>
      <c r="E129" s="83" t="s">
        <v>16</v>
      </c>
      <c r="F129" s="622">
        <f>F130</f>
        <v>200000</v>
      </c>
      <c r="G129" s="622">
        <f>G130</f>
        <v>0</v>
      </c>
      <c r="I129" s="5"/>
      <c r="J129" s="5"/>
      <c r="K129" s="5"/>
      <c r="L129" s="5"/>
    </row>
    <row r="130" spans="1:12" s="163" customFormat="1" ht="20.25" customHeight="1" outlineLevel="7" x14ac:dyDescent="0.25">
      <c r="A130" s="81" t="s">
        <v>17</v>
      </c>
      <c r="B130" s="80" t="s">
        <v>500</v>
      </c>
      <c r="C130" s="80" t="s">
        <v>24</v>
      </c>
      <c r="D130" s="80" t="s">
        <v>502</v>
      </c>
      <c r="E130" s="83" t="s">
        <v>18</v>
      </c>
      <c r="F130" s="621">
        <v>200000</v>
      </c>
      <c r="G130" s="621">
        <f>200000-200000</f>
        <v>0</v>
      </c>
      <c r="I130" s="5"/>
      <c r="J130" s="5"/>
      <c r="K130" s="5"/>
      <c r="L130" s="5"/>
    </row>
    <row r="131" spans="1:12" s="163" customFormat="1" outlineLevel="3" x14ac:dyDescent="0.25">
      <c r="A131" s="81" t="s">
        <v>277</v>
      </c>
      <c r="B131" s="80" t="s">
        <v>500</v>
      </c>
      <c r="C131" s="80" t="s">
        <v>24</v>
      </c>
      <c r="D131" s="80" t="s">
        <v>276</v>
      </c>
      <c r="E131" s="83" t="s">
        <v>6</v>
      </c>
      <c r="F131" s="621">
        <f>F155+F132+F140+F145+F150+F137</f>
        <v>8065884</v>
      </c>
      <c r="G131" s="621">
        <f>G155+G132+G140+G145+G150+G137</f>
        <v>8277287</v>
      </c>
      <c r="I131" s="5"/>
      <c r="J131" s="5"/>
      <c r="K131" s="5"/>
      <c r="L131" s="5"/>
    </row>
    <row r="132" spans="1:12" s="163" customFormat="1" ht="77.45" customHeight="1" outlineLevel="3" x14ac:dyDescent="0.25">
      <c r="A132" s="100" t="s">
        <v>438</v>
      </c>
      <c r="B132" s="80" t="s">
        <v>500</v>
      </c>
      <c r="C132" s="80" t="s">
        <v>24</v>
      </c>
      <c r="D132" s="80" t="s">
        <v>278</v>
      </c>
      <c r="E132" s="83" t="s">
        <v>6</v>
      </c>
      <c r="F132" s="621">
        <f>F133+F135</f>
        <v>1490622</v>
      </c>
      <c r="G132" s="621">
        <f>G133+G135</f>
        <v>1490622</v>
      </c>
      <c r="I132" s="5"/>
      <c r="J132" s="5"/>
      <c r="K132" s="5"/>
      <c r="L132" s="5"/>
    </row>
    <row r="133" spans="1:12" s="163" customFormat="1" ht="91.7" outlineLevel="3" x14ac:dyDescent="0.25">
      <c r="A133" s="81" t="s">
        <v>11</v>
      </c>
      <c r="B133" s="80" t="s">
        <v>500</v>
      </c>
      <c r="C133" s="80" t="s">
        <v>24</v>
      </c>
      <c r="D133" s="80" t="s">
        <v>278</v>
      </c>
      <c r="E133" s="83" t="s">
        <v>12</v>
      </c>
      <c r="F133" s="621">
        <f>F134</f>
        <v>1475622</v>
      </c>
      <c r="G133" s="621">
        <f>G134</f>
        <v>1475622</v>
      </c>
      <c r="I133" s="5"/>
      <c r="J133" s="5"/>
      <c r="K133" s="5"/>
      <c r="L133" s="5"/>
    </row>
    <row r="134" spans="1:12" s="163" customFormat="1" ht="36.700000000000003" outlineLevel="3" x14ac:dyDescent="0.25">
      <c r="A134" s="81" t="s">
        <v>13</v>
      </c>
      <c r="B134" s="80" t="s">
        <v>500</v>
      </c>
      <c r="C134" s="80" t="s">
        <v>24</v>
      </c>
      <c r="D134" s="80" t="s">
        <v>278</v>
      </c>
      <c r="E134" s="83" t="s">
        <v>14</v>
      </c>
      <c r="F134" s="621">
        <f>1490622-15000</f>
        <v>1475622</v>
      </c>
      <c r="G134" s="621">
        <f>1490622-15000</f>
        <v>1475622</v>
      </c>
      <c r="I134" s="5"/>
      <c r="J134" s="5"/>
      <c r="K134" s="5"/>
      <c r="L134" s="5"/>
    </row>
    <row r="135" spans="1:12" s="163" customFormat="1" ht="47.25" customHeight="1" outlineLevel="7" x14ac:dyDescent="0.25">
      <c r="A135" s="81" t="s">
        <v>15</v>
      </c>
      <c r="B135" s="80" t="s">
        <v>500</v>
      </c>
      <c r="C135" s="80" t="s">
        <v>24</v>
      </c>
      <c r="D135" s="80" t="s">
        <v>278</v>
      </c>
      <c r="E135" s="83" t="s">
        <v>16</v>
      </c>
      <c r="F135" s="621">
        <f>F136</f>
        <v>15000</v>
      </c>
      <c r="G135" s="621">
        <f>G136</f>
        <v>15000</v>
      </c>
      <c r="I135" s="5"/>
      <c r="J135" s="5"/>
      <c r="K135" s="5"/>
      <c r="L135" s="5"/>
    </row>
    <row r="136" spans="1:12" s="163" customFormat="1" ht="36.700000000000003" outlineLevel="7" x14ac:dyDescent="0.25">
      <c r="A136" s="81" t="s">
        <v>17</v>
      </c>
      <c r="B136" s="80" t="s">
        <v>500</v>
      </c>
      <c r="C136" s="80" t="s">
        <v>24</v>
      </c>
      <c r="D136" s="80" t="s">
        <v>278</v>
      </c>
      <c r="E136" s="83" t="s">
        <v>18</v>
      </c>
      <c r="F136" s="621">
        <v>15000</v>
      </c>
      <c r="G136" s="621">
        <v>15000</v>
      </c>
      <c r="I136" s="5"/>
      <c r="J136" s="5"/>
      <c r="K136" s="5"/>
      <c r="L136" s="5"/>
    </row>
    <row r="137" spans="1:12" s="163" customFormat="1" ht="93.75" customHeight="1" outlineLevel="7" x14ac:dyDescent="0.25">
      <c r="A137" s="81" t="s">
        <v>722</v>
      </c>
      <c r="B137" s="80" t="s">
        <v>500</v>
      </c>
      <c r="C137" s="80" t="s">
        <v>24</v>
      </c>
      <c r="D137" s="80" t="s">
        <v>721</v>
      </c>
      <c r="E137" s="80" t="s">
        <v>6</v>
      </c>
      <c r="F137" s="621">
        <f>F138</f>
        <v>353579</v>
      </c>
      <c r="G137" s="621">
        <f>G138</f>
        <v>353579</v>
      </c>
      <c r="I137" s="5"/>
      <c r="J137" s="5"/>
      <c r="K137" s="5"/>
      <c r="L137" s="5"/>
    </row>
    <row r="138" spans="1:12" s="163" customFormat="1" ht="36.700000000000003" outlineLevel="7" x14ac:dyDescent="0.25">
      <c r="A138" s="81" t="s">
        <v>13</v>
      </c>
      <c r="B138" s="80" t="s">
        <v>500</v>
      </c>
      <c r="C138" s="80" t="s">
        <v>24</v>
      </c>
      <c r="D138" s="80" t="s">
        <v>721</v>
      </c>
      <c r="E138" s="80" t="s">
        <v>12</v>
      </c>
      <c r="F138" s="621">
        <f>F139</f>
        <v>353579</v>
      </c>
      <c r="G138" s="621">
        <f>G139</f>
        <v>353579</v>
      </c>
      <c r="I138" s="5"/>
      <c r="J138" s="5"/>
      <c r="K138" s="5"/>
      <c r="L138" s="5"/>
    </row>
    <row r="139" spans="1:12" s="163" customFormat="1" ht="20.25" customHeight="1" outlineLevel="7" x14ac:dyDescent="0.25">
      <c r="A139" s="81" t="s">
        <v>15</v>
      </c>
      <c r="B139" s="80" t="s">
        <v>500</v>
      </c>
      <c r="C139" s="80" t="s">
        <v>24</v>
      </c>
      <c r="D139" s="80" t="s">
        <v>721</v>
      </c>
      <c r="E139" s="80" t="s">
        <v>14</v>
      </c>
      <c r="F139" s="621">
        <v>353579</v>
      </c>
      <c r="G139" s="621">
        <v>353579</v>
      </c>
      <c r="I139" s="5"/>
      <c r="J139" s="5"/>
      <c r="K139" s="5"/>
      <c r="L139" s="5"/>
    </row>
    <row r="140" spans="1:12" s="163" customFormat="1" ht="36.700000000000003" customHeight="1" outlineLevel="7" x14ac:dyDescent="0.25">
      <c r="A140" s="100" t="s">
        <v>573</v>
      </c>
      <c r="B140" s="80" t="s">
        <v>500</v>
      </c>
      <c r="C140" s="80" t="s">
        <v>24</v>
      </c>
      <c r="D140" s="80" t="s">
        <v>580</v>
      </c>
      <c r="E140" s="83" t="s">
        <v>6</v>
      </c>
      <c r="F140" s="621">
        <f>F141+F143</f>
        <v>2391123</v>
      </c>
      <c r="G140" s="621">
        <f>G141+G143</f>
        <v>2486767</v>
      </c>
      <c r="I140" s="5"/>
      <c r="J140" s="5"/>
      <c r="K140" s="5"/>
      <c r="L140" s="5"/>
    </row>
    <row r="141" spans="1:12" s="163" customFormat="1" ht="39.75" customHeight="1" outlineLevel="7" x14ac:dyDescent="0.25">
      <c r="A141" s="81" t="s">
        <v>11</v>
      </c>
      <c r="B141" s="80" t="s">
        <v>500</v>
      </c>
      <c r="C141" s="80" t="s">
        <v>24</v>
      </c>
      <c r="D141" s="80" t="s">
        <v>580</v>
      </c>
      <c r="E141" s="83" t="s">
        <v>12</v>
      </c>
      <c r="F141" s="621">
        <f>F142</f>
        <v>2376123</v>
      </c>
      <c r="G141" s="621">
        <f>G142</f>
        <v>2471767</v>
      </c>
      <c r="I141" s="5"/>
      <c r="J141" s="5"/>
      <c r="K141" s="5"/>
      <c r="L141" s="5"/>
    </row>
    <row r="142" spans="1:12" s="163" customFormat="1" ht="39.75" customHeight="1" outlineLevel="7" x14ac:dyDescent="0.25">
      <c r="A142" s="81" t="s">
        <v>13</v>
      </c>
      <c r="B142" s="80" t="s">
        <v>500</v>
      </c>
      <c r="C142" s="80" t="s">
        <v>24</v>
      </c>
      <c r="D142" s="80" t="s">
        <v>580</v>
      </c>
      <c r="E142" s="83" t="s">
        <v>14</v>
      </c>
      <c r="F142" s="621">
        <f>2391123-15000</f>
        <v>2376123</v>
      </c>
      <c r="G142" s="621">
        <f>2486767-15000</f>
        <v>2471767</v>
      </c>
      <c r="I142" s="5"/>
      <c r="J142" s="5"/>
      <c r="K142" s="5"/>
      <c r="L142" s="5"/>
    </row>
    <row r="143" spans="1:12" s="163" customFormat="1" ht="36.700000000000003" outlineLevel="7" x14ac:dyDescent="0.25">
      <c r="A143" s="81" t="s">
        <v>15</v>
      </c>
      <c r="B143" s="80" t="s">
        <v>500</v>
      </c>
      <c r="C143" s="80" t="s">
        <v>24</v>
      </c>
      <c r="D143" s="80" t="s">
        <v>580</v>
      </c>
      <c r="E143" s="83" t="s">
        <v>16</v>
      </c>
      <c r="F143" s="621">
        <f>F144</f>
        <v>15000</v>
      </c>
      <c r="G143" s="621">
        <f>G144</f>
        <v>15000</v>
      </c>
      <c r="I143" s="5"/>
      <c r="J143" s="5"/>
      <c r="K143" s="5"/>
      <c r="L143" s="5"/>
    </row>
    <row r="144" spans="1:12" s="163" customFormat="1" ht="36.700000000000003" outlineLevel="7" x14ac:dyDescent="0.25">
      <c r="A144" s="81" t="s">
        <v>17</v>
      </c>
      <c r="B144" s="80" t="s">
        <v>500</v>
      </c>
      <c r="C144" s="80" t="s">
        <v>24</v>
      </c>
      <c r="D144" s="80" t="s">
        <v>580</v>
      </c>
      <c r="E144" s="83" t="s">
        <v>18</v>
      </c>
      <c r="F144" s="621">
        <v>15000</v>
      </c>
      <c r="G144" s="621">
        <v>15000</v>
      </c>
      <c r="I144" s="5"/>
      <c r="J144" s="5"/>
      <c r="K144" s="5"/>
      <c r="L144" s="5"/>
    </row>
    <row r="145" spans="1:12" s="163" customFormat="1" ht="73.400000000000006" outlineLevel="7" x14ac:dyDescent="0.25">
      <c r="A145" s="100" t="s">
        <v>382</v>
      </c>
      <c r="B145" s="80" t="s">
        <v>500</v>
      </c>
      <c r="C145" s="80" t="s">
        <v>24</v>
      </c>
      <c r="D145" s="80" t="s">
        <v>279</v>
      </c>
      <c r="E145" s="83" t="s">
        <v>6</v>
      </c>
      <c r="F145" s="621">
        <f>F146+F148</f>
        <v>992018</v>
      </c>
      <c r="G145" s="621">
        <f>G146+G148</f>
        <v>1029099</v>
      </c>
      <c r="I145" s="5"/>
      <c r="J145" s="5"/>
      <c r="K145" s="5"/>
      <c r="L145" s="5"/>
    </row>
    <row r="146" spans="1:12" s="163" customFormat="1" ht="91.7" outlineLevel="7" x14ac:dyDescent="0.25">
      <c r="A146" s="81" t="s">
        <v>11</v>
      </c>
      <c r="B146" s="80" t="s">
        <v>500</v>
      </c>
      <c r="C146" s="80" t="s">
        <v>24</v>
      </c>
      <c r="D146" s="80" t="s">
        <v>279</v>
      </c>
      <c r="E146" s="83" t="s">
        <v>12</v>
      </c>
      <c r="F146" s="621">
        <f>F147</f>
        <v>947018</v>
      </c>
      <c r="G146" s="621">
        <f>G147</f>
        <v>984099</v>
      </c>
      <c r="I146" s="5"/>
      <c r="J146" s="5"/>
      <c r="K146" s="5"/>
      <c r="L146" s="5"/>
    </row>
    <row r="147" spans="1:12" s="163" customFormat="1" ht="21.25" customHeight="1" outlineLevel="7" x14ac:dyDescent="0.25">
      <c r="A147" s="81" t="s">
        <v>13</v>
      </c>
      <c r="B147" s="80" t="s">
        <v>500</v>
      </c>
      <c r="C147" s="80" t="s">
        <v>24</v>
      </c>
      <c r="D147" s="80" t="s">
        <v>279</v>
      </c>
      <c r="E147" s="83" t="s">
        <v>14</v>
      </c>
      <c r="F147" s="622">
        <f>992018-F149</f>
        <v>947018</v>
      </c>
      <c r="G147" s="622">
        <f>1029099-G149</f>
        <v>984099</v>
      </c>
      <c r="I147" s="5"/>
      <c r="J147" s="5"/>
      <c r="K147" s="5"/>
      <c r="L147" s="5"/>
    </row>
    <row r="148" spans="1:12" s="163" customFormat="1" ht="56.25" customHeight="1" outlineLevel="7" x14ac:dyDescent="0.25">
      <c r="A148" s="81" t="s">
        <v>15</v>
      </c>
      <c r="B148" s="80" t="s">
        <v>500</v>
      </c>
      <c r="C148" s="80" t="s">
        <v>24</v>
      </c>
      <c r="D148" s="80" t="s">
        <v>279</v>
      </c>
      <c r="E148" s="83" t="s">
        <v>16</v>
      </c>
      <c r="F148" s="621">
        <f>F149</f>
        <v>45000</v>
      </c>
      <c r="G148" s="621">
        <f>G149</f>
        <v>45000</v>
      </c>
      <c r="I148" s="5"/>
      <c r="J148" s="5"/>
      <c r="K148" s="5"/>
      <c r="L148" s="5"/>
    </row>
    <row r="149" spans="1:12" s="163" customFormat="1" ht="36.700000000000003" outlineLevel="7" x14ac:dyDescent="0.25">
      <c r="A149" s="81" t="s">
        <v>17</v>
      </c>
      <c r="B149" s="80" t="s">
        <v>500</v>
      </c>
      <c r="C149" s="80" t="s">
        <v>24</v>
      </c>
      <c r="D149" s="80" t="s">
        <v>279</v>
      </c>
      <c r="E149" s="83" t="s">
        <v>18</v>
      </c>
      <c r="F149" s="621">
        <v>45000</v>
      </c>
      <c r="G149" s="621">
        <v>45000</v>
      </c>
      <c r="I149" s="5"/>
      <c r="J149" s="5"/>
      <c r="K149" s="5"/>
      <c r="L149" s="5"/>
    </row>
    <row r="150" spans="1:12" s="163" customFormat="1" ht="55.05" outlineLevel="7" x14ac:dyDescent="0.25">
      <c r="A150" s="81" t="s">
        <v>406</v>
      </c>
      <c r="B150" s="80" t="s">
        <v>500</v>
      </c>
      <c r="C150" s="80" t="s">
        <v>24</v>
      </c>
      <c r="D150" s="80" t="s">
        <v>407</v>
      </c>
      <c r="E150" s="83" t="s">
        <v>6</v>
      </c>
      <c r="F150" s="621">
        <f>F151+F153</f>
        <v>2124542</v>
      </c>
      <c r="G150" s="621">
        <f>G151+G153</f>
        <v>2203220</v>
      </c>
      <c r="I150" s="5"/>
      <c r="J150" s="5"/>
      <c r="K150" s="5"/>
      <c r="L150" s="5"/>
    </row>
    <row r="151" spans="1:12" s="163" customFormat="1" ht="91.7" outlineLevel="7" x14ac:dyDescent="0.25">
      <c r="A151" s="81" t="s">
        <v>11</v>
      </c>
      <c r="B151" s="80" t="s">
        <v>500</v>
      </c>
      <c r="C151" s="80" t="s">
        <v>24</v>
      </c>
      <c r="D151" s="80" t="s">
        <v>407</v>
      </c>
      <c r="E151" s="83" t="s">
        <v>12</v>
      </c>
      <c r="F151" s="621">
        <f>F152</f>
        <v>1966942</v>
      </c>
      <c r="G151" s="621">
        <f>G152</f>
        <v>2045620</v>
      </c>
      <c r="I151" s="5"/>
      <c r="J151" s="5"/>
      <c r="K151" s="5"/>
      <c r="L151" s="5"/>
    </row>
    <row r="152" spans="1:12" s="163" customFormat="1" ht="21.25" customHeight="1" outlineLevel="7" x14ac:dyDescent="0.25">
      <c r="A152" s="81" t="s">
        <v>13</v>
      </c>
      <c r="B152" s="80" t="s">
        <v>500</v>
      </c>
      <c r="C152" s="80" t="s">
        <v>24</v>
      </c>
      <c r="D152" s="80" t="s">
        <v>407</v>
      </c>
      <c r="E152" s="83" t="s">
        <v>14</v>
      </c>
      <c r="F152" s="621">
        <f>2124542-F154</f>
        <v>1966942</v>
      </c>
      <c r="G152" s="621">
        <f>2203220-G154</f>
        <v>2045620</v>
      </c>
      <c r="I152" s="5"/>
      <c r="J152" s="5"/>
      <c r="K152" s="5"/>
      <c r="L152" s="5"/>
    </row>
    <row r="153" spans="1:12" s="163" customFormat="1" ht="38.25" customHeight="1" outlineLevel="7" x14ac:dyDescent="0.25">
      <c r="A153" s="81" t="s">
        <v>15</v>
      </c>
      <c r="B153" s="80" t="s">
        <v>500</v>
      </c>
      <c r="C153" s="80" t="s">
        <v>24</v>
      </c>
      <c r="D153" s="80" t="s">
        <v>407</v>
      </c>
      <c r="E153" s="83" t="s">
        <v>16</v>
      </c>
      <c r="F153" s="621">
        <f>F154</f>
        <v>157600</v>
      </c>
      <c r="G153" s="621">
        <f>G154</f>
        <v>157600</v>
      </c>
      <c r="I153" s="5"/>
      <c r="J153" s="5"/>
      <c r="K153" s="5"/>
      <c r="L153" s="5"/>
    </row>
    <row r="154" spans="1:12" s="163" customFormat="1" ht="36.700000000000003" outlineLevel="7" x14ac:dyDescent="0.25">
      <c r="A154" s="81" t="s">
        <v>17</v>
      </c>
      <c r="B154" s="80" t="s">
        <v>500</v>
      </c>
      <c r="C154" s="80" t="s">
        <v>24</v>
      </c>
      <c r="D154" s="80" t="s">
        <v>407</v>
      </c>
      <c r="E154" s="83" t="s">
        <v>18</v>
      </c>
      <c r="F154" s="621">
        <v>157600</v>
      </c>
      <c r="G154" s="621">
        <v>157600</v>
      </c>
      <c r="I154" s="5"/>
      <c r="J154" s="5"/>
      <c r="K154" s="5"/>
      <c r="L154" s="5"/>
    </row>
    <row r="155" spans="1:12" s="163" customFormat="1" ht="120.25" customHeight="1" outlineLevel="7" x14ac:dyDescent="0.25">
      <c r="A155" s="100" t="s">
        <v>656</v>
      </c>
      <c r="B155" s="80" t="s">
        <v>500</v>
      </c>
      <c r="C155" s="80" t="s">
        <v>24</v>
      </c>
      <c r="D155" s="80" t="s">
        <v>295</v>
      </c>
      <c r="E155" s="83" t="s">
        <v>6</v>
      </c>
      <c r="F155" s="621">
        <f>F156+F158</f>
        <v>714000</v>
      </c>
      <c r="G155" s="621">
        <f>G156+G158</f>
        <v>714000</v>
      </c>
      <c r="I155" s="5"/>
      <c r="J155" s="5"/>
      <c r="K155" s="5"/>
      <c r="L155" s="5"/>
    </row>
    <row r="156" spans="1:12" s="163" customFormat="1" ht="91.7" outlineLevel="7" x14ac:dyDescent="0.25">
      <c r="A156" s="81" t="s">
        <v>11</v>
      </c>
      <c r="B156" s="80" t="s">
        <v>500</v>
      </c>
      <c r="C156" s="80" t="s">
        <v>24</v>
      </c>
      <c r="D156" s="80" t="s">
        <v>295</v>
      </c>
      <c r="E156" s="83" t="s">
        <v>12</v>
      </c>
      <c r="F156" s="621">
        <f>F157</f>
        <v>654000</v>
      </c>
      <c r="G156" s="621">
        <f>G157</f>
        <v>654000</v>
      </c>
      <c r="I156" s="5"/>
      <c r="J156" s="5"/>
      <c r="K156" s="5"/>
      <c r="L156" s="5"/>
    </row>
    <row r="157" spans="1:12" s="163" customFormat="1" ht="19.55" customHeight="1" outlineLevel="7" x14ac:dyDescent="0.25">
      <c r="A157" s="81" t="s">
        <v>13</v>
      </c>
      <c r="B157" s="80" t="s">
        <v>500</v>
      </c>
      <c r="C157" s="80" t="s">
        <v>24</v>
      </c>
      <c r="D157" s="80" t="s">
        <v>295</v>
      </c>
      <c r="E157" s="83" t="s">
        <v>14</v>
      </c>
      <c r="F157" s="621">
        <v>654000</v>
      </c>
      <c r="G157" s="621">
        <v>654000</v>
      </c>
      <c r="I157" s="5"/>
      <c r="J157" s="5"/>
      <c r="K157" s="5"/>
      <c r="L157" s="5"/>
    </row>
    <row r="158" spans="1:12" s="163" customFormat="1" ht="41.3" customHeight="1" outlineLevel="3" x14ac:dyDescent="0.25">
      <c r="A158" s="81" t="s">
        <v>15</v>
      </c>
      <c r="B158" s="80" t="s">
        <v>500</v>
      </c>
      <c r="C158" s="80" t="s">
        <v>24</v>
      </c>
      <c r="D158" s="80" t="s">
        <v>295</v>
      </c>
      <c r="E158" s="83" t="s">
        <v>16</v>
      </c>
      <c r="F158" s="621">
        <f>F159</f>
        <v>60000</v>
      </c>
      <c r="G158" s="621">
        <f>G159</f>
        <v>60000</v>
      </c>
      <c r="I158" s="5"/>
      <c r="J158" s="5"/>
      <c r="K158" s="5"/>
      <c r="L158" s="5"/>
    </row>
    <row r="159" spans="1:12" s="163" customFormat="1" ht="36.700000000000003" outlineLevel="3" x14ac:dyDescent="0.25">
      <c r="A159" s="81" t="s">
        <v>17</v>
      </c>
      <c r="B159" s="80" t="s">
        <v>500</v>
      </c>
      <c r="C159" s="80" t="s">
        <v>24</v>
      </c>
      <c r="D159" s="80" t="s">
        <v>295</v>
      </c>
      <c r="E159" s="83" t="s">
        <v>18</v>
      </c>
      <c r="F159" s="621">
        <v>60000</v>
      </c>
      <c r="G159" s="621">
        <v>60000</v>
      </c>
      <c r="I159" s="5"/>
      <c r="J159" s="5"/>
      <c r="K159" s="5"/>
      <c r="L159" s="5"/>
    </row>
    <row r="160" spans="1:12" s="163" customFormat="1" ht="23.3" customHeight="1" outlineLevel="3" x14ac:dyDescent="0.25">
      <c r="A160" s="109" t="s">
        <v>581</v>
      </c>
      <c r="B160" s="110" t="s">
        <v>500</v>
      </c>
      <c r="C160" s="110" t="s">
        <v>26</v>
      </c>
      <c r="D160" s="110" t="s">
        <v>126</v>
      </c>
      <c r="E160" s="111" t="s">
        <v>6</v>
      </c>
      <c r="F160" s="621">
        <f t="shared" ref="F160:G165" si="8">F161</f>
        <v>2021840</v>
      </c>
      <c r="G160" s="621">
        <f t="shared" si="8"/>
        <v>2083920</v>
      </c>
      <c r="I160" s="5"/>
      <c r="J160" s="5"/>
      <c r="K160" s="5"/>
      <c r="L160" s="5"/>
    </row>
    <row r="161" spans="1:12" s="163" customFormat="1" ht="20.25" customHeight="1" outlineLevel="3" x14ac:dyDescent="0.25">
      <c r="A161" s="81" t="s">
        <v>582</v>
      </c>
      <c r="B161" s="80" t="s">
        <v>500</v>
      </c>
      <c r="C161" s="80" t="s">
        <v>583</v>
      </c>
      <c r="D161" s="80" t="s">
        <v>126</v>
      </c>
      <c r="E161" s="83" t="s">
        <v>6</v>
      </c>
      <c r="F161" s="621">
        <f t="shared" si="8"/>
        <v>2021840</v>
      </c>
      <c r="G161" s="621">
        <f t="shared" si="8"/>
        <v>2083920</v>
      </c>
      <c r="I161" s="5"/>
      <c r="J161" s="5"/>
      <c r="K161" s="5"/>
      <c r="L161" s="5"/>
    </row>
    <row r="162" spans="1:12" s="163" customFormat="1" ht="36.700000000000003" outlineLevel="3" x14ac:dyDescent="0.25">
      <c r="A162" s="81" t="s">
        <v>132</v>
      </c>
      <c r="B162" s="80" t="s">
        <v>500</v>
      </c>
      <c r="C162" s="80" t="s">
        <v>583</v>
      </c>
      <c r="D162" s="80" t="s">
        <v>127</v>
      </c>
      <c r="E162" s="83" t="s">
        <v>6</v>
      </c>
      <c r="F162" s="621">
        <f>F163+F167</f>
        <v>2021840</v>
      </c>
      <c r="G162" s="621">
        <f>G163+G167</f>
        <v>2083920</v>
      </c>
      <c r="I162" s="5"/>
      <c r="J162" s="5"/>
      <c r="K162" s="5"/>
      <c r="L162" s="5"/>
    </row>
    <row r="163" spans="1:12" s="163" customFormat="1" ht="19.55" customHeight="1" outlineLevel="3" x14ac:dyDescent="0.25">
      <c r="A163" s="81" t="s">
        <v>277</v>
      </c>
      <c r="B163" s="80" t="s">
        <v>500</v>
      </c>
      <c r="C163" s="80" t="s">
        <v>583</v>
      </c>
      <c r="D163" s="80" t="s">
        <v>276</v>
      </c>
      <c r="E163" s="83" t="s">
        <v>6</v>
      </c>
      <c r="F163" s="621">
        <f t="shared" si="8"/>
        <v>1741840</v>
      </c>
      <c r="G163" s="621">
        <f t="shared" si="8"/>
        <v>1803920</v>
      </c>
      <c r="I163" s="5"/>
      <c r="J163" s="5"/>
      <c r="K163" s="5"/>
      <c r="L163" s="5"/>
    </row>
    <row r="164" spans="1:12" ht="19.55" customHeight="1" outlineLevel="3" x14ac:dyDescent="0.25">
      <c r="A164" s="113" t="s">
        <v>584</v>
      </c>
      <c r="B164" s="80" t="s">
        <v>500</v>
      </c>
      <c r="C164" s="80" t="s">
        <v>583</v>
      </c>
      <c r="D164" s="80" t="s">
        <v>585</v>
      </c>
      <c r="E164" s="83" t="s">
        <v>6</v>
      </c>
      <c r="F164" s="621">
        <f t="shared" si="8"/>
        <v>1741840</v>
      </c>
      <c r="G164" s="621">
        <f t="shared" si="8"/>
        <v>1803920</v>
      </c>
    </row>
    <row r="165" spans="1:12" ht="95.1" customHeight="1" outlineLevel="3" x14ac:dyDescent="0.25">
      <c r="A165" s="81" t="s">
        <v>11</v>
      </c>
      <c r="B165" s="80" t="s">
        <v>500</v>
      </c>
      <c r="C165" s="80" t="s">
        <v>583</v>
      </c>
      <c r="D165" s="80" t="s">
        <v>585</v>
      </c>
      <c r="E165" s="83" t="s">
        <v>12</v>
      </c>
      <c r="F165" s="621">
        <f t="shared" si="8"/>
        <v>1741840</v>
      </c>
      <c r="G165" s="621">
        <f t="shared" si="8"/>
        <v>1803920</v>
      </c>
    </row>
    <row r="166" spans="1:12" ht="36.700000000000003" outlineLevel="3" x14ac:dyDescent="0.25">
      <c r="A166" s="81" t="s">
        <v>13</v>
      </c>
      <c r="B166" s="80" t="s">
        <v>500</v>
      </c>
      <c r="C166" s="80" t="s">
        <v>583</v>
      </c>
      <c r="D166" s="80" t="s">
        <v>585</v>
      </c>
      <c r="E166" s="83" t="s">
        <v>14</v>
      </c>
      <c r="F166" s="621">
        <v>1741840</v>
      </c>
      <c r="G166" s="621">
        <v>1803920</v>
      </c>
    </row>
    <row r="167" spans="1:12" ht="55.05" outlineLevel="3" x14ac:dyDescent="0.25">
      <c r="A167" s="113" t="s">
        <v>723</v>
      </c>
      <c r="B167" s="80" t="s">
        <v>500</v>
      </c>
      <c r="C167" s="80" t="s">
        <v>583</v>
      </c>
      <c r="D167" s="80" t="s">
        <v>728</v>
      </c>
      <c r="E167" s="80" t="s">
        <v>6</v>
      </c>
      <c r="F167" s="621">
        <f>F168</f>
        <v>280000</v>
      </c>
      <c r="G167" s="621">
        <f>G168</f>
        <v>280000</v>
      </c>
    </row>
    <row r="168" spans="1:12" ht="91.7" outlineLevel="3" x14ac:dyDescent="0.25">
      <c r="A168" s="81" t="s">
        <v>11</v>
      </c>
      <c r="B168" s="80" t="s">
        <v>500</v>
      </c>
      <c r="C168" s="80" t="s">
        <v>583</v>
      </c>
      <c r="D168" s="80" t="s">
        <v>728</v>
      </c>
      <c r="E168" s="80" t="s">
        <v>12</v>
      </c>
      <c r="F168" s="621">
        <f>F169</f>
        <v>280000</v>
      </c>
      <c r="G168" s="621">
        <f>G169</f>
        <v>280000</v>
      </c>
    </row>
    <row r="169" spans="1:12" ht="36.700000000000003" outlineLevel="3" x14ac:dyDescent="0.25">
      <c r="A169" s="81" t="s">
        <v>13</v>
      </c>
      <c r="B169" s="80" t="s">
        <v>500</v>
      </c>
      <c r="C169" s="80" t="s">
        <v>583</v>
      </c>
      <c r="D169" s="80" t="s">
        <v>728</v>
      </c>
      <c r="E169" s="80" t="s">
        <v>14</v>
      </c>
      <c r="F169" s="621">
        <v>280000</v>
      </c>
      <c r="G169" s="621">
        <v>280000</v>
      </c>
    </row>
    <row r="170" spans="1:12" ht="36.700000000000003" outlineLevel="3" x14ac:dyDescent="0.25">
      <c r="A170" s="109" t="s">
        <v>41</v>
      </c>
      <c r="B170" s="110" t="s">
        <v>500</v>
      </c>
      <c r="C170" s="110" t="s">
        <v>42</v>
      </c>
      <c r="D170" s="110" t="s">
        <v>126</v>
      </c>
      <c r="E170" s="111" t="s">
        <v>6</v>
      </c>
      <c r="F170" s="623">
        <f>F171+F176</f>
        <v>805000</v>
      </c>
      <c r="G170" s="623">
        <f>G171+G176</f>
        <v>505000</v>
      </c>
    </row>
    <row r="171" spans="1:12" ht="55.05" outlineLevel="3" x14ac:dyDescent="0.25">
      <c r="A171" s="81" t="s">
        <v>43</v>
      </c>
      <c r="B171" s="80" t="s">
        <v>500</v>
      </c>
      <c r="C171" s="80" t="s">
        <v>44</v>
      </c>
      <c r="D171" s="80" t="s">
        <v>126</v>
      </c>
      <c r="E171" s="83" t="s">
        <v>6</v>
      </c>
      <c r="F171" s="621">
        <f t="shared" ref="F171:G174" si="9">F172</f>
        <v>200000</v>
      </c>
      <c r="G171" s="621">
        <f t="shared" si="9"/>
        <v>100000</v>
      </c>
    </row>
    <row r="172" spans="1:12" ht="36.700000000000003" outlineLevel="3" x14ac:dyDescent="0.25">
      <c r="A172" s="81" t="s">
        <v>132</v>
      </c>
      <c r="B172" s="80" t="s">
        <v>500</v>
      </c>
      <c r="C172" s="80" t="s">
        <v>44</v>
      </c>
      <c r="D172" s="80" t="s">
        <v>127</v>
      </c>
      <c r="E172" s="83" t="s">
        <v>6</v>
      </c>
      <c r="F172" s="621">
        <f t="shared" si="9"/>
        <v>200000</v>
      </c>
      <c r="G172" s="621">
        <f t="shared" si="9"/>
        <v>100000</v>
      </c>
    </row>
    <row r="173" spans="1:12" s="172" customFormat="1" ht="36.700000000000003" outlineLevel="1" x14ac:dyDescent="0.25">
      <c r="A173" s="81" t="s">
        <v>45</v>
      </c>
      <c r="B173" s="80" t="s">
        <v>500</v>
      </c>
      <c r="C173" s="80" t="s">
        <v>44</v>
      </c>
      <c r="D173" s="80" t="s">
        <v>133</v>
      </c>
      <c r="E173" s="83" t="s">
        <v>6</v>
      </c>
      <c r="F173" s="621">
        <f t="shared" si="9"/>
        <v>200000</v>
      </c>
      <c r="G173" s="621">
        <f t="shared" si="9"/>
        <v>100000</v>
      </c>
      <c r="H173" s="171"/>
    </row>
    <row r="174" spans="1:12" ht="36.700000000000003" outlineLevel="2" x14ac:dyDescent="0.25">
      <c r="A174" s="81" t="s">
        <v>15</v>
      </c>
      <c r="B174" s="80" t="s">
        <v>500</v>
      </c>
      <c r="C174" s="80" t="s">
        <v>44</v>
      </c>
      <c r="D174" s="80" t="s">
        <v>133</v>
      </c>
      <c r="E174" s="83" t="s">
        <v>16</v>
      </c>
      <c r="F174" s="621">
        <f t="shared" si="9"/>
        <v>200000</v>
      </c>
      <c r="G174" s="621">
        <f t="shared" si="9"/>
        <v>100000</v>
      </c>
    </row>
    <row r="175" spans="1:12" ht="36.700000000000003" outlineLevel="4" x14ac:dyDescent="0.25">
      <c r="A175" s="81" t="s">
        <v>17</v>
      </c>
      <c r="B175" s="80" t="s">
        <v>500</v>
      </c>
      <c r="C175" s="80" t="s">
        <v>44</v>
      </c>
      <c r="D175" s="80" t="s">
        <v>133</v>
      </c>
      <c r="E175" s="83" t="s">
        <v>18</v>
      </c>
      <c r="F175" s="621">
        <v>200000</v>
      </c>
      <c r="G175" s="621">
        <f>200000-100000</f>
        <v>100000</v>
      </c>
    </row>
    <row r="176" spans="1:12" outlineLevel="5" x14ac:dyDescent="0.25">
      <c r="A176" s="81" t="s">
        <v>504</v>
      </c>
      <c r="B176" s="80" t="s">
        <v>500</v>
      </c>
      <c r="C176" s="80" t="s">
        <v>505</v>
      </c>
      <c r="D176" s="80" t="s">
        <v>126</v>
      </c>
      <c r="E176" s="83" t="s">
        <v>6</v>
      </c>
      <c r="F176" s="621">
        <f t="shared" ref="F176:G179" si="10">F177</f>
        <v>605000</v>
      </c>
      <c r="G176" s="621">
        <f t="shared" si="10"/>
        <v>405000</v>
      </c>
    </row>
    <row r="177" spans="1:8" ht="36.700000000000003" outlineLevel="6" x14ac:dyDescent="0.25">
      <c r="A177" s="81" t="s">
        <v>132</v>
      </c>
      <c r="B177" s="80" t="s">
        <v>500</v>
      </c>
      <c r="C177" s="80" t="s">
        <v>505</v>
      </c>
      <c r="D177" s="80" t="s">
        <v>127</v>
      </c>
      <c r="E177" s="83" t="s">
        <v>6</v>
      </c>
      <c r="F177" s="621">
        <f t="shared" si="10"/>
        <v>605000</v>
      </c>
      <c r="G177" s="621">
        <f t="shared" si="10"/>
        <v>405000</v>
      </c>
    </row>
    <row r="178" spans="1:8" ht="48.25" customHeight="1" outlineLevel="7" x14ac:dyDescent="0.25">
      <c r="A178" s="81" t="s">
        <v>506</v>
      </c>
      <c r="B178" s="80" t="s">
        <v>500</v>
      </c>
      <c r="C178" s="80" t="s">
        <v>505</v>
      </c>
      <c r="D178" s="80" t="s">
        <v>685</v>
      </c>
      <c r="E178" s="83" t="s">
        <v>6</v>
      </c>
      <c r="F178" s="621">
        <f t="shared" si="10"/>
        <v>605000</v>
      </c>
      <c r="G178" s="621">
        <f t="shared" si="10"/>
        <v>405000</v>
      </c>
    </row>
    <row r="179" spans="1:8" ht="20.25" customHeight="1" outlineLevel="7" x14ac:dyDescent="0.25">
      <c r="A179" s="81" t="s">
        <v>15</v>
      </c>
      <c r="B179" s="80" t="s">
        <v>500</v>
      </c>
      <c r="C179" s="80" t="s">
        <v>505</v>
      </c>
      <c r="D179" s="80" t="s">
        <v>685</v>
      </c>
      <c r="E179" s="83" t="s">
        <v>16</v>
      </c>
      <c r="F179" s="621">
        <f t="shared" si="10"/>
        <v>605000</v>
      </c>
      <c r="G179" s="621">
        <f t="shared" si="10"/>
        <v>405000</v>
      </c>
    </row>
    <row r="180" spans="1:8" ht="36.700000000000003" outlineLevel="7" x14ac:dyDescent="0.25">
      <c r="A180" s="81" t="s">
        <v>17</v>
      </c>
      <c r="B180" s="80" t="s">
        <v>500</v>
      </c>
      <c r="C180" s="80" t="s">
        <v>505</v>
      </c>
      <c r="D180" s="80" t="s">
        <v>685</v>
      </c>
      <c r="E180" s="83" t="s">
        <v>18</v>
      </c>
      <c r="F180" s="621">
        <f>1605000-1000000</f>
        <v>605000</v>
      </c>
      <c r="G180" s="621">
        <f>1605000-1200000</f>
        <v>405000</v>
      </c>
    </row>
    <row r="181" spans="1:8" ht="20.25" customHeight="1" outlineLevel="7" x14ac:dyDescent="0.25">
      <c r="A181" s="109" t="s">
        <v>119</v>
      </c>
      <c r="B181" s="110" t="s">
        <v>500</v>
      </c>
      <c r="C181" s="110" t="s">
        <v>46</v>
      </c>
      <c r="D181" s="110" t="s">
        <v>126</v>
      </c>
      <c r="E181" s="111" t="s">
        <v>6</v>
      </c>
      <c r="F181" s="623">
        <f>F199+F188+F211+F182</f>
        <v>15023514.17</v>
      </c>
      <c r="G181" s="623">
        <f>G199+G188+G211+G182</f>
        <v>14823514.17</v>
      </c>
    </row>
    <row r="182" spans="1:8" outlineLevel="7" x14ac:dyDescent="0.25">
      <c r="A182" s="81" t="s">
        <v>121</v>
      </c>
      <c r="B182" s="80" t="s">
        <v>500</v>
      </c>
      <c r="C182" s="80" t="s">
        <v>122</v>
      </c>
      <c r="D182" s="80" t="s">
        <v>126</v>
      </c>
      <c r="E182" s="83" t="s">
        <v>6</v>
      </c>
      <c r="F182" s="621">
        <f>F183</f>
        <v>324127.09000000003</v>
      </c>
      <c r="G182" s="621">
        <f>G183</f>
        <v>324127.09000000003</v>
      </c>
    </row>
    <row r="183" spans="1:8" ht="36.700000000000003" outlineLevel="7" x14ac:dyDescent="0.25">
      <c r="A183" s="109" t="s">
        <v>132</v>
      </c>
      <c r="B183" s="80" t="s">
        <v>500</v>
      </c>
      <c r="C183" s="110" t="s">
        <v>122</v>
      </c>
      <c r="D183" s="110" t="s">
        <v>127</v>
      </c>
      <c r="E183" s="111" t="s">
        <v>6</v>
      </c>
      <c r="F183" s="623">
        <f>F185</f>
        <v>324127.09000000003</v>
      </c>
      <c r="G183" s="623">
        <f>G185</f>
        <v>324127.09000000003</v>
      </c>
    </row>
    <row r="184" spans="1:8" s="172" customFormat="1" outlineLevel="7" x14ac:dyDescent="0.25">
      <c r="A184" s="81" t="s">
        <v>277</v>
      </c>
      <c r="B184" s="80" t="s">
        <v>500</v>
      </c>
      <c r="C184" s="80" t="s">
        <v>122</v>
      </c>
      <c r="D184" s="80" t="s">
        <v>276</v>
      </c>
      <c r="E184" s="83" t="s">
        <v>6</v>
      </c>
      <c r="F184" s="621">
        <f t="shared" ref="F184:G186" si="11">F185</f>
        <v>324127.09000000003</v>
      </c>
      <c r="G184" s="621">
        <f t="shared" si="11"/>
        <v>324127.09000000003</v>
      </c>
      <c r="H184" s="171"/>
    </row>
    <row r="185" spans="1:8" ht="110.05" outlineLevel="7" x14ac:dyDescent="0.25">
      <c r="A185" s="113" t="s">
        <v>383</v>
      </c>
      <c r="B185" s="80" t="s">
        <v>500</v>
      </c>
      <c r="C185" s="80" t="s">
        <v>122</v>
      </c>
      <c r="D185" s="80" t="s">
        <v>286</v>
      </c>
      <c r="E185" s="83" t="s">
        <v>6</v>
      </c>
      <c r="F185" s="621">
        <f t="shared" si="11"/>
        <v>324127.09000000003</v>
      </c>
      <c r="G185" s="621">
        <f t="shared" si="11"/>
        <v>324127.09000000003</v>
      </c>
    </row>
    <row r="186" spans="1:8" ht="36.700000000000003" outlineLevel="7" x14ac:dyDescent="0.25">
      <c r="A186" s="81" t="s">
        <v>15</v>
      </c>
      <c r="B186" s="80" t="s">
        <v>500</v>
      </c>
      <c r="C186" s="80" t="s">
        <v>122</v>
      </c>
      <c r="D186" s="80" t="s">
        <v>286</v>
      </c>
      <c r="E186" s="83" t="s">
        <v>16</v>
      </c>
      <c r="F186" s="621">
        <f t="shared" si="11"/>
        <v>324127.09000000003</v>
      </c>
      <c r="G186" s="621">
        <f t="shared" si="11"/>
        <v>324127.09000000003</v>
      </c>
    </row>
    <row r="187" spans="1:8" ht="36.700000000000003" outlineLevel="7" x14ac:dyDescent="0.25">
      <c r="A187" s="81" t="s">
        <v>17</v>
      </c>
      <c r="B187" s="80" t="s">
        <v>500</v>
      </c>
      <c r="C187" s="80" t="s">
        <v>122</v>
      </c>
      <c r="D187" s="80" t="s">
        <v>286</v>
      </c>
      <c r="E187" s="83" t="s">
        <v>18</v>
      </c>
      <c r="F187" s="621">
        <v>324127.09000000003</v>
      </c>
      <c r="G187" s="621">
        <v>324127.09000000003</v>
      </c>
    </row>
    <row r="188" spans="1:8" outlineLevel="7" x14ac:dyDescent="0.25">
      <c r="A188" s="81" t="s">
        <v>290</v>
      </c>
      <c r="B188" s="80" t="s">
        <v>500</v>
      </c>
      <c r="C188" s="80" t="s">
        <v>291</v>
      </c>
      <c r="D188" s="80" t="s">
        <v>126</v>
      </c>
      <c r="E188" s="83" t="s">
        <v>6</v>
      </c>
      <c r="F188" s="621">
        <f>F189+F196</f>
        <v>103387.08</v>
      </c>
      <c r="G188" s="621">
        <f>G189+G196</f>
        <v>103387.08</v>
      </c>
    </row>
    <row r="189" spans="1:8" ht="36.700000000000003" outlineLevel="7" x14ac:dyDescent="0.25">
      <c r="A189" s="81" t="s">
        <v>132</v>
      </c>
      <c r="B189" s="80" t="s">
        <v>500</v>
      </c>
      <c r="C189" s="80" t="s">
        <v>291</v>
      </c>
      <c r="D189" s="80" t="s">
        <v>127</v>
      </c>
      <c r="E189" s="83" t="s">
        <v>6</v>
      </c>
      <c r="F189" s="621">
        <f>F191</f>
        <v>3387.08</v>
      </c>
      <c r="G189" s="621">
        <f>G191</f>
        <v>3387.08</v>
      </c>
    </row>
    <row r="190" spans="1:8" ht="20.25" customHeight="1" outlineLevel="7" x14ac:dyDescent="0.25">
      <c r="A190" s="81" t="s">
        <v>277</v>
      </c>
      <c r="B190" s="80" t="s">
        <v>500</v>
      </c>
      <c r="C190" s="80" t="s">
        <v>291</v>
      </c>
      <c r="D190" s="80" t="s">
        <v>276</v>
      </c>
      <c r="E190" s="83" t="s">
        <v>6</v>
      </c>
      <c r="F190" s="621">
        <f t="shared" ref="F190:G192" si="12">F191</f>
        <v>3387.08</v>
      </c>
      <c r="G190" s="621">
        <f t="shared" si="12"/>
        <v>3387.08</v>
      </c>
    </row>
    <row r="191" spans="1:8" ht="128.4" outlineLevel="7" x14ac:dyDescent="0.25">
      <c r="A191" s="100" t="s">
        <v>385</v>
      </c>
      <c r="B191" s="80" t="s">
        <v>500</v>
      </c>
      <c r="C191" s="80" t="s">
        <v>291</v>
      </c>
      <c r="D191" s="80" t="s">
        <v>384</v>
      </c>
      <c r="E191" s="83" t="s">
        <v>6</v>
      </c>
      <c r="F191" s="621">
        <f t="shared" si="12"/>
        <v>3387.08</v>
      </c>
      <c r="G191" s="621">
        <f t="shared" si="12"/>
        <v>3387.08</v>
      </c>
    </row>
    <row r="192" spans="1:8" ht="36.700000000000003" outlineLevel="7" x14ac:dyDescent="0.25">
      <c r="A192" s="81" t="s">
        <v>15</v>
      </c>
      <c r="B192" s="80" t="s">
        <v>500</v>
      </c>
      <c r="C192" s="80" t="s">
        <v>291</v>
      </c>
      <c r="D192" s="80" t="s">
        <v>384</v>
      </c>
      <c r="E192" s="83" t="s">
        <v>16</v>
      </c>
      <c r="F192" s="621">
        <f t="shared" si="12"/>
        <v>3387.08</v>
      </c>
      <c r="G192" s="621">
        <f t="shared" si="12"/>
        <v>3387.08</v>
      </c>
    </row>
    <row r="193" spans="1:8" s="172" customFormat="1" ht="36.700000000000003" outlineLevel="7" x14ac:dyDescent="0.25">
      <c r="A193" s="81" t="s">
        <v>17</v>
      </c>
      <c r="B193" s="80" t="s">
        <v>500</v>
      </c>
      <c r="C193" s="80" t="s">
        <v>291</v>
      </c>
      <c r="D193" s="80" t="s">
        <v>384</v>
      </c>
      <c r="E193" s="83" t="s">
        <v>18</v>
      </c>
      <c r="F193" s="622">
        <v>3387.08</v>
      </c>
      <c r="G193" s="622">
        <v>3387.08</v>
      </c>
      <c r="H193" s="171"/>
    </row>
    <row r="194" spans="1:8" s="172" customFormat="1" ht="84.75" customHeight="1" outlineLevel="7" x14ac:dyDescent="0.25">
      <c r="A194" s="161" t="s">
        <v>821</v>
      </c>
      <c r="B194" s="80" t="s">
        <v>500</v>
      </c>
      <c r="C194" s="80" t="s">
        <v>291</v>
      </c>
      <c r="D194" s="80" t="s">
        <v>320</v>
      </c>
      <c r="E194" s="83" t="s">
        <v>6</v>
      </c>
      <c r="F194" s="622">
        <f t="shared" ref="F194:G197" si="13">F195</f>
        <v>100000</v>
      </c>
      <c r="G194" s="622">
        <f t="shared" si="13"/>
        <v>100000</v>
      </c>
      <c r="H194" s="171"/>
    </row>
    <row r="195" spans="1:8" s="172" customFormat="1" ht="36.700000000000003" outlineLevel="7" x14ac:dyDescent="0.25">
      <c r="A195" s="228" t="s">
        <v>808</v>
      </c>
      <c r="B195" s="80" t="s">
        <v>500</v>
      </c>
      <c r="C195" s="80" t="s">
        <v>291</v>
      </c>
      <c r="D195" s="80" t="s">
        <v>809</v>
      </c>
      <c r="E195" s="83" t="s">
        <v>6</v>
      </c>
      <c r="F195" s="622">
        <f t="shared" si="13"/>
        <v>100000</v>
      </c>
      <c r="G195" s="622">
        <f t="shared" si="13"/>
        <v>100000</v>
      </c>
      <c r="H195" s="171"/>
    </row>
    <row r="196" spans="1:8" s="172" customFormat="1" ht="110.05" outlineLevel="7" x14ac:dyDescent="0.25">
      <c r="A196" s="149" t="s">
        <v>811</v>
      </c>
      <c r="B196" s="80" t="s">
        <v>500</v>
      </c>
      <c r="C196" s="80" t="s">
        <v>291</v>
      </c>
      <c r="D196" s="80" t="s">
        <v>810</v>
      </c>
      <c r="E196" s="83" t="s">
        <v>6</v>
      </c>
      <c r="F196" s="622">
        <f t="shared" si="13"/>
        <v>100000</v>
      </c>
      <c r="G196" s="622">
        <f t="shared" si="13"/>
        <v>100000</v>
      </c>
      <c r="H196" s="171"/>
    </row>
    <row r="197" spans="1:8" s="172" customFormat="1" ht="44.5" customHeight="1" outlineLevel="7" x14ac:dyDescent="0.25">
      <c r="A197" s="228" t="s">
        <v>772</v>
      </c>
      <c r="B197" s="80" t="s">
        <v>500</v>
      </c>
      <c r="C197" s="80" t="s">
        <v>291</v>
      </c>
      <c r="D197" s="80" t="s">
        <v>810</v>
      </c>
      <c r="E197" s="83" t="s">
        <v>20</v>
      </c>
      <c r="F197" s="622">
        <f t="shared" si="13"/>
        <v>100000</v>
      </c>
      <c r="G197" s="622">
        <f t="shared" si="13"/>
        <v>100000</v>
      </c>
      <c r="H197" s="171"/>
    </row>
    <row r="198" spans="1:8" s="172" customFormat="1" ht="57.75" customHeight="1" outlineLevel="7" x14ac:dyDescent="0.25">
      <c r="A198" s="81" t="s">
        <v>47</v>
      </c>
      <c r="B198" s="80" t="s">
        <v>500</v>
      </c>
      <c r="C198" s="80" t="s">
        <v>291</v>
      </c>
      <c r="D198" s="80" t="s">
        <v>810</v>
      </c>
      <c r="E198" s="83" t="s">
        <v>48</v>
      </c>
      <c r="F198" s="622">
        <v>100000</v>
      </c>
      <c r="G198" s="622">
        <v>100000</v>
      </c>
      <c r="H198" s="171"/>
    </row>
    <row r="199" spans="1:8" ht="36" customHeight="1" outlineLevel="7" x14ac:dyDescent="0.25">
      <c r="A199" s="81" t="s">
        <v>49</v>
      </c>
      <c r="B199" s="80" t="s">
        <v>500</v>
      </c>
      <c r="C199" s="80" t="s">
        <v>50</v>
      </c>
      <c r="D199" s="80" t="s">
        <v>126</v>
      </c>
      <c r="E199" s="83" t="s">
        <v>6</v>
      </c>
      <c r="F199" s="621">
        <f>F200</f>
        <v>14066000</v>
      </c>
      <c r="G199" s="621">
        <f>G200</f>
        <v>14066000</v>
      </c>
    </row>
    <row r="200" spans="1:8" ht="73.400000000000006" outlineLevel="7" x14ac:dyDescent="0.25">
      <c r="A200" s="109" t="s">
        <v>850</v>
      </c>
      <c r="B200" s="110" t="s">
        <v>500</v>
      </c>
      <c r="C200" s="110" t="s">
        <v>50</v>
      </c>
      <c r="D200" s="110" t="s">
        <v>335</v>
      </c>
      <c r="E200" s="111" t="s">
        <v>6</v>
      </c>
      <c r="F200" s="623">
        <f>F201</f>
        <v>14066000</v>
      </c>
      <c r="G200" s="623">
        <f>G201</f>
        <v>14066000</v>
      </c>
    </row>
    <row r="201" spans="1:8" ht="44.5" customHeight="1" outlineLevel="7" x14ac:dyDescent="0.25">
      <c r="A201" s="81" t="s">
        <v>336</v>
      </c>
      <c r="B201" s="80" t="s">
        <v>500</v>
      </c>
      <c r="C201" s="80" t="s">
        <v>50</v>
      </c>
      <c r="D201" s="80" t="s">
        <v>337</v>
      </c>
      <c r="E201" s="83" t="s">
        <v>6</v>
      </c>
      <c r="F201" s="621">
        <f>F202+F208</f>
        <v>14066000</v>
      </c>
      <c r="G201" s="621">
        <f>G202+G208</f>
        <v>14066000</v>
      </c>
    </row>
    <row r="202" spans="1:8" ht="73.400000000000006" outlineLevel="7" x14ac:dyDescent="0.25">
      <c r="A202" s="119" t="s">
        <v>793</v>
      </c>
      <c r="B202" s="80" t="s">
        <v>500</v>
      </c>
      <c r="C202" s="80" t="s">
        <v>50</v>
      </c>
      <c r="D202" s="80" t="s">
        <v>339</v>
      </c>
      <c r="E202" s="83" t="s">
        <v>6</v>
      </c>
      <c r="F202" s="621">
        <f>F203</f>
        <v>14066000</v>
      </c>
      <c r="G202" s="621">
        <f>G203</f>
        <v>14066000</v>
      </c>
    </row>
    <row r="203" spans="1:8" s="172" customFormat="1" ht="36.700000000000003" outlineLevel="7" x14ac:dyDescent="0.25">
      <c r="A203" s="81" t="s">
        <v>15</v>
      </c>
      <c r="B203" s="80" t="s">
        <v>500</v>
      </c>
      <c r="C203" s="80" t="s">
        <v>50</v>
      </c>
      <c r="D203" s="80" t="s">
        <v>339</v>
      </c>
      <c r="E203" s="83" t="s">
        <v>16</v>
      </c>
      <c r="F203" s="621">
        <f>F204</f>
        <v>14066000</v>
      </c>
      <c r="G203" s="621">
        <f>G204</f>
        <v>14066000</v>
      </c>
      <c r="H203" s="171"/>
    </row>
    <row r="204" spans="1:8" ht="26.5" customHeight="1" outlineLevel="7" x14ac:dyDescent="0.25">
      <c r="A204" s="81" t="s">
        <v>17</v>
      </c>
      <c r="B204" s="80" t="s">
        <v>500</v>
      </c>
      <c r="C204" s="80" t="s">
        <v>50</v>
      </c>
      <c r="D204" s="80" t="s">
        <v>339</v>
      </c>
      <c r="E204" s="83" t="s">
        <v>18</v>
      </c>
      <c r="F204" s="621">
        <v>14066000</v>
      </c>
      <c r="G204" s="621">
        <v>14066000</v>
      </c>
    </row>
    <row r="205" spans="1:8" ht="91.7" hidden="1" outlineLevel="7" x14ac:dyDescent="0.25">
      <c r="A205" s="81" t="s">
        <v>564</v>
      </c>
      <c r="B205" s="80" t="s">
        <v>500</v>
      </c>
      <c r="C205" s="80" t="s">
        <v>50</v>
      </c>
      <c r="D205" s="80" t="s">
        <v>586</v>
      </c>
      <c r="E205" s="80" t="s">
        <v>6</v>
      </c>
      <c r="F205" s="621">
        <f>F206</f>
        <v>0</v>
      </c>
      <c r="G205" s="621">
        <f>G206</f>
        <v>0</v>
      </c>
    </row>
    <row r="206" spans="1:8" ht="36.700000000000003" hidden="1" outlineLevel="7" x14ac:dyDescent="0.25">
      <c r="A206" s="81" t="s">
        <v>15</v>
      </c>
      <c r="B206" s="80" t="s">
        <v>500</v>
      </c>
      <c r="C206" s="80" t="s">
        <v>50</v>
      </c>
      <c r="D206" s="80" t="s">
        <v>586</v>
      </c>
      <c r="E206" s="80" t="s">
        <v>16</v>
      </c>
      <c r="F206" s="621">
        <f>F207</f>
        <v>0</v>
      </c>
      <c r="G206" s="621">
        <f>G207</f>
        <v>0</v>
      </c>
    </row>
    <row r="207" spans="1:8" ht="21.75" hidden="1" customHeight="1" outlineLevel="7" x14ac:dyDescent="0.25">
      <c r="A207" s="81" t="s">
        <v>17</v>
      </c>
      <c r="B207" s="80" t="s">
        <v>500</v>
      </c>
      <c r="C207" s="80" t="s">
        <v>50</v>
      </c>
      <c r="D207" s="80" t="s">
        <v>586</v>
      </c>
      <c r="E207" s="80" t="s">
        <v>18</v>
      </c>
      <c r="F207" s="625"/>
      <c r="G207" s="625"/>
    </row>
    <row r="208" spans="1:8" ht="55.05" hidden="1" outlineLevel="7" x14ac:dyDescent="0.25">
      <c r="A208" s="81" t="s">
        <v>280</v>
      </c>
      <c r="B208" s="80" t="s">
        <v>500</v>
      </c>
      <c r="C208" s="80" t="s">
        <v>50</v>
      </c>
      <c r="D208" s="80" t="s">
        <v>409</v>
      </c>
      <c r="E208" s="83" t="s">
        <v>6</v>
      </c>
      <c r="F208" s="622">
        <f>F209</f>
        <v>0</v>
      </c>
      <c r="G208" s="622">
        <f>G209</f>
        <v>0</v>
      </c>
    </row>
    <row r="209" spans="1:8" ht="36.700000000000003" hidden="1" outlineLevel="7" x14ac:dyDescent="0.25">
      <c r="A209" s="81" t="s">
        <v>15</v>
      </c>
      <c r="B209" s="80" t="s">
        <v>500</v>
      </c>
      <c r="C209" s="80" t="s">
        <v>50</v>
      </c>
      <c r="D209" s="80" t="s">
        <v>409</v>
      </c>
      <c r="E209" s="83" t="s">
        <v>16</v>
      </c>
      <c r="F209" s="622">
        <f>F210</f>
        <v>0</v>
      </c>
      <c r="G209" s="622">
        <f>G210</f>
        <v>0</v>
      </c>
    </row>
    <row r="210" spans="1:8" ht="36.700000000000003" hidden="1" outlineLevel="7" x14ac:dyDescent="0.25">
      <c r="A210" s="81" t="s">
        <v>17</v>
      </c>
      <c r="B210" s="80" t="s">
        <v>500</v>
      </c>
      <c r="C210" s="80" t="s">
        <v>50</v>
      </c>
      <c r="D210" s="80" t="s">
        <v>409</v>
      </c>
      <c r="E210" s="83" t="s">
        <v>18</v>
      </c>
      <c r="F210" s="625"/>
      <c r="G210" s="625"/>
    </row>
    <row r="211" spans="1:8" outlineLevel="7" x14ac:dyDescent="0.25">
      <c r="A211" s="81" t="s">
        <v>52</v>
      </c>
      <c r="B211" s="80" t="s">
        <v>500</v>
      </c>
      <c r="C211" s="80" t="s">
        <v>53</v>
      </c>
      <c r="D211" s="80" t="s">
        <v>126</v>
      </c>
      <c r="E211" s="83" t="s">
        <v>6</v>
      </c>
      <c r="F211" s="621">
        <f>F212+F217</f>
        <v>530000</v>
      </c>
      <c r="G211" s="621">
        <f>G212+G217</f>
        <v>330000</v>
      </c>
    </row>
    <row r="212" spans="1:8" ht="57.25" customHeight="1" outlineLevel="7" x14ac:dyDescent="0.25">
      <c r="A212" s="109" t="s">
        <v>849</v>
      </c>
      <c r="B212" s="110" t="s">
        <v>500</v>
      </c>
      <c r="C212" s="110" t="s">
        <v>53</v>
      </c>
      <c r="D212" s="110" t="s">
        <v>412</v>
      </c>
      <c r="E212" s="110" t="s">
        <v>6</v>
      </c>
      <c r="F212" s="621">
        <f>F213</f>
        <v>100000</v>
      </c>
      <c r="G212" s="621">
        <f>G213</f>
        <v>100000</v>
      </c>
    </row>
    <row r="213" spans="1:8" ht="36.700000000000003" outlineLevel="7" x14ac:dyDescent="0.25">
      <c r="A213" s="81" t="s">
        <v>780</v>
      </c>
      <c r="B213" s="80" t="s">
        <v>500</v>
      </c>
      <c r="C213" s="80" t="s">
        <v>53</v>
      </c>
      <c r="D213" s="80" t="s">
        <v>414</v>
      </c>
      <c r="E213" s="80" t="s">
        <v>6</v>
      </c>
      <c r="F213" s="621">
        <f t="shared" ref="F213:G215" si="14">F214</f>
        <v>100000</v>
      </c>
      <c r="G213" s="621">
        <f t="shared" si="14"/>
        <v>100000</v>
      </c>
    </row>
    <row r="214" spans="1:8" ht="99.7" customHeight="1" outlineLevel="7" x14ac:dyDescent="0.25">
      <c r="A214" s="81" t="s">
        <v>781</v>
      </c>
      <c r="B214" s="80" t="s">
        <v>500</v>
      </c>
      <c r="C214" s="80" t="s">
        <v>53</v>
      </c>
      <c r="D214" s="80" t="s">
        <v>782</v>
      </c>
      <c r="E214" s="80" t="s">
        <v>6</v>
      </c>
      <c r="F214" s="621">
        <f t="shared" si="14"/>
        <v>100000</v>
      </c>
      <c r="G214" s="621">
        <f t="shared" si="14"/>
        <v>100000</v>
      </c>
    </row>
    <row r="215" spans="1:8" outlineLevel="2" x14ac:dyDescent="0.25">
      <c r="A215" s="81" t="s">
        <v>19</v>
      </c>
      <c r="B215" s="80" t="s">
        <v>500</v>
      </c>
      <c r="C215" s="80" t="s">
        <v>53</v>
      </c>
      <c r="D215" s="80" t="s">
        <v>782</v>
      </c>
      <c r="E215" s="80" t="s">
        <v>20</v>
      </c>
      <c r="F215" s="621">
        <f t="shared" si="14"/>
        <v>100000</v>
      </c>
      <c r="G215" s="621">
        <f t="shared" si="14"/>
        <v>100000</v>
      </c>
    </row>
    <row r="216" spans="1:8" ht="55.05" outlineLevel="2" x14ac:dyDescent="0.25">
      <c r="A216" s="81" t="s">
        <v>47</v>
      </c>
      <c r="B216" s="80" t="s">
        <v>500</v>
      </c>
      <c r="C216" s="80" t="s">
        <v>53</v>
      </c>
      <c r="D216" s="80" t="s">
        <v>782</v>
      </c>
      <c r="E216" s="80" t="s">
        <v>48</v>
      </c>
      <c r="F216" s="621">
        <v>100000</v>
      </c>
      <c r="G216" s="621">
        <v>100000</v>
      </c>
    </row>
    <row r="217" spans="1:8" ht="76.75" customHeight="1" outlineLevel="2" x14ac:dyDescent="0.25">
      <c r="A217" s="109" t="s">
        <v>848</v>
      </c>
      <c r="B217" s="110" t="s">
        <v>500</v>
      </c>
      <c r="C217" s="110" t="s">
        <v>53</v>
      </c>
      <c r="D217" s="110" t="s">
        <v>340</v>
      </c>
      <c r="E217" s="111" t="s">
        <v>6</v>
      </c>
      <c r="F217" s="623">
        <f>F218+F222</f>
        <v>430000</v>
      </c>
      <c r="G217" s="623">
        <f>G218+G222</f>
        <v>230000</v>
      </c>
    </row>
    <row r="218" spans="1:8" ht="36.700000000000003" outlineLevel="2" x14ac:dyDescent="0.25">
      <c r="A218" s="81" t="s">
        <v>386</v>
      </c>
      <c r="B218" s="80" t="s">
        <v>500</v>
      </c>
      <c r="C218" s="80" t="s">
        <v>53</v>
      </c>
      <c r="D218" s="80" t="s">
        <v>341</v>
      </c>
      <c r="E218" s="83" t="s">
        <v>6</v>
      </c>
      <c r="F218" s="622">
        <f t="shared" ref="F218:G220" si="15">F219</f>
        <v>300000</v>
      </c>
      <c r="G218" s="622">
        <f t="shared" si="15"/>
        <v>100000</v>
      </c>
    </row>
    <row r="219" spans="1:8" ht="36.700000000000003" outlineLevel="2" x14ac:dyDescent="0.25">
      <c r="A219" s="81" t="s">
        <v>342</v>
      </c>
      <c r="B219" s="80" t="s">
        <v>500</v>
      </c>
      <c r="C219" s="80" t="s">
        <v>53</v>
      </c>
      <c r="D219" s="80" t="s">
        <v>343</v>
      </c>
      <c r="E219" s="83" t="s">
        <v>6</v>
      </c>
      <c r="F219" s="622">
        <f t="shared" si="15"/>
        <v>300000</v>
      </c>
      <c r="G219" s="622">
        <f t="shared" si="15"/>
        <v>100000</v>
      </c>
    </row>
    <row r="220" spans="1:8" s="172" customFormat="1" ht="36.700000000000003" outlineLevel="3" x14ac:dyDescent="0.25">
      <c r="A220" s="81" t="s">
        <v>15</v>
      </c>
      <c r="B220" s="80" t="s">
        <v>500</v>
      </c>
      <c r="C220" s="80" t="s">
        <v>53</v>
      </c>
      <c r="D220" s="80" t="s">
        <v>343</v>
      </c>
      <c r="E220" s="83" t="s">
        <v>16</v>
      </c>
      <c r="F220" s="622">
        <f t="shared" si="15"/>
        <v>300000</v>
      </c>
      <c r="G220" s="622">
        <f t="shared" si="15"/>
        <v>100000</v>
      </c>
      <c r="H220" s="171"/>
    </row>
    <row r="221" spans="1:8" ht="36.700000000000003" outlineLevel="3" x14ac:dyDescent="0.25">
      <c r="A221" s="81" t="s">
        <v>17</v>
      </c>
      <c r="B221" s="80" t="s">
        <v>500</v>
      </c>
      <c r="C221" s="80" t="s">
        <v>53</v>
      </c>
      <c r="D221" s="80" t="s">
        <v>343</v>
      </c>
      <c r="E221" s="83" t="s">
        <v>18</v>
      </c>
      <c r="F221" s="621">
        <v>300000</v>
      </c>
      <c r="G221" s="621">
        <f>300000-200000</f>
        <v>100000</v>
      </c>
    </row>
    <row r="222" spans="1:8" ht="36.700000000000003" outlineLevel="3" x14ac:dyDescent="0.25">
      <c r="A222" s="113" t="s">
        <v>388</v>
      </c>
      <c r="B222" s="80" t="s">
        <v>500</v>
      </c>
      <c r="C222" s="80" t="s">
        <v>53</v>
      </c>
      <c r="D222" s="80" t="s">
        <v>387</v>
      </c>
      <c r="E222" s="83" t="s">
        <v>6</v>
      </c>
      <c r="F222" s="621">
        <f t="shared" ref="F222:G224" si="16">F223</f>
        <v>130000</v>
      </c>
      <c r="G222" s="621">
        <f t="shared" si="16"/>
        <v>130000</v>
      </c>
    </row>
    <row r="223" spans="1:8" ht="36.700000000000003" outlineLevel="3" x14ac:dyDescent="0.25">
      <c r="A223" s="81" t="s">
        <v>344</v>
      </c>
      <c r="B223" s="80" t="s">
        <v>500</v>
      </c>
      <c r="C223" s="80" t="s">
        <v>53</v>
      </c>
      <c r="D223" s="80" t="s">
        <v>439</v>
      </c>
      <c r="E223" s="83" t="s">
        <v>6</v>
      </c>
      <c r="F223" s="621">
        <f t="shared" si="16"/>
        <v>130000</v>
      </c>
      <c r="G223" s="621">
        <f t="shared" si="16"/>
        <v>130000</v>
      </c>
    </row>
    <row r="224" spans="1:8" ht="18.7" customHeight="1" outlineLevel="3" x14ac:dyDescent="0.25">
      <c r="A224" s="81" t="s">
        <v>15</v>
      </c>
      <c r="B224" s="80" t="s">
        <v>500</v>
      </c>
      <c r="C224" s="80" t="s">
        <v>53</v>
      </c>
      <c r="D224" s="80" t="s">
        <v>439</v>
      </c>
      <c r="E224" s="83" t="s">
        <v>16</v>
      </c>
      <c r="F224" s="621">
        <f t="shared" si="16"/>
        <v>130000</v>
      </c>
      <c r="G224" s="621">
        <f t="shared" si="16"/>
        <v>130000</v>
      </c>
    </row>
    <row r="225" spans="1:8" ht="19.55" customHeight="1" outlineLevel="3" x14ac:dyDescent="0.25">
      <c r="A225" s="81" t="s">
        <v>17</v>
      </c>
      <c r="B225" s="80" t="s">
        <v>500</v>
      </c>
      <c r="C225" s="80" t="s">
        <v>53</v>
      </c>
      <c r="D225" s="80" t="s">
        <v>439</v>
      </c>
      <c r="E225" s="83" t="s">
        <v>18</v>
      </c>
      <c r="F225" s="621">
        <v>130000</v>
      </c>
      <c r="G225" s="621">
        <v>130000</v>
      </c>
    </row>
    <row r="226" spans="1:8" outlineLevel="5" x14ac:dyDescent="0.25">
      <c r="A226" s="109" t="s">
        <v>54</v>
      </c>
      <c r="B226" s="110" t="s">
        <v>500</v>
      </c>
      <c r="C226" s="110" t="s">
        <v>55</v>
      </c>
      <c r="D226" s="110" t="s">
        <v>126</v>
      </c>
      <c r="E226" s="111" t="s">
        <v>6</v>
      </c>
      <c r="F226" s="626">
        <f>F227+F238+F270+F319</f>
        <v>30103668.439999998</v>
      </c>
      <c r="G226" s="626">
        <f>G227+G238+G270+G319</f>
        <v>23219668.439999998</v>
      </c>
    </row>
    <row r="227" spans="1:8" outlineLevel="6" x14ac:dyDescent="0.25">
      <c r="A227" s="81" t="s">
        <v>56</v>
      </c>
      <c r="B227" s="80" t="s">
        <v>500</v>
      </c>
      <c r="C227" s="80" t="s">
        <v>57</v>
      </c>
      <c r="D227" s="80" t="s">
        <v>126</v>
      </c>
      <c r="E227" s="83" t="s">
        <v>6</v>
      </c>
      <c r="F227" s="621">
        <f>F228+F234</f>
        <v>1000000</v>
      </c>
      <c r="G227" s="621">
        <f>G228+G234</f>
        <v>500000</v>
      </c>
    </row>
    <row r="228" spans="1:8" ht="68.3" customHeight="1" outlineLevel="7" x14ac:dyDescent="0.25">
      <c r="A228" s="109" t="s">
        <v>847</v>
      </c>
      <c r="B228" s="110" t="s">
        <v>500</v>
      </c>
      <c r="C228" s="110" t="s">
        <v>57</v>
      </c>
      <c r="D228" s="110" t="s">
        <v>331</v>
      </c>
      <c r="E228" s="111" t="s">
        <v>6</v>
      </c>
      <c r="F228" s="623">
        <f>F229</f>
        <v>1000000</v>
      </c>
      <c r="G228" s="623">
        <f>G229</f>
        <v>500000</v>
      </c>
    </row>
    <row r="229" spans="1:8" s="172" customFormat="1" ht="36.700000000000003" outlineLevel="1" x14ac:dyDescent="0.25">
      <c r="A229" s="81" t="s">
        <v>345</v>
      </c>
      <c r="B229" s="80" t="s">
        <v>500</v>
      </c>
      <c r="C229" s="80" t="s">
        <v>57</v>
      </c>
      <c r="D229" s="80" t="s">
        <v>332</v>
      </c>
      <c r="E229" s="83" t="s">
        <v>6</v>
      </c>
      <c r="F229" s="621">
        <f t="shared" ref="F229:G231" si="17">F230</f>
        <v>1000000</v>
      </c>
      <c r="G229" s="621">
        <f t="shared" si="17"/>
        <v>500000</v>
      </c>
      <c r="H229" s="171"/>
    </row>
    <row r="230" spans="1:8" ht="36.700000000000003" outlineLevel="1" x14ac:dyDescent="0.25">
      <c r="A230" s="81" t="s">
        <v>346</v>
      </c>
      <c r="B230" s="80" t="s">
        <v>500</v>
      </c>
      <c r="C230" s="80" t="s">
        <v>57</v>
      </c>
      <c r="D230" s="80" t="s">
        <v>347</v>
      </c>
      <c r="E230" s="83" t="s">
        <v>6</v>
      </c>
      <c r="F230" s="621">
        <f t="shared" si="17"/>
        <v>1000000</v>
      </c>
      <c r="G230" s="621">
        <f t="shared" si="17"/>
        <v>500000</v>
      </c>
    </row>
    <row r="231" spans="1:8" s="172" customFormat="1" ht="36.700000000000003" outlineLevel="1" x14ac:dyDescent="0.25">
      <c r="A231" s="81" t="s">
        <v>15</v>
      </c>
      <c r="B231" s="80" t="s">
        <v>500</v>
      </c>
      <c r="C231" s="80" t="s">
        <v>57</v>
      </c>
      <c r="D231" s="80" t="s">
        <v>347</v>
      </c>
      <c r="E231" s="83" t="s">
        <v>16</v>
      </c>
      <c r="F231" s="621">
        <f t="shared" si="17"/>
        <v>1000000</v>
      </c>
      <c r="G231" s="621">
        <f t="shared" si="17"/>
        <v>500000</v>
      </c>
      <c r="H231" s="171"/>
    </row>
    <row r="232" spans="1:8" ht="50.95" customHeight="1" outlineLevel="1" x14ac:dyDescent="0.25">
      <c r="A232" s="81" t="s">
        <v>17</v>
      </c>
      <c r="B232" s="80" t="s">
        <v>500</v>
      </c>
      <c r="C232" s="80" t="s">
        <v>57</v>
      </c>
      <c r="D232" s="80" t="s">
        <v>347</v>
      </c>
      <c r="E232" s="83" t="s">
        <v>18</v>
      </c>
      <c r="F232" s="622">
        <f>2500000-1500000</f>
        <v>1000000</v>
      </c>
      <c r="G232" s="622">
        <f>2500000-2000000</f>
        <v>500000</v>
      </c>
    </row>
    <row r="233" spans="1:8" ht="36.700000000000003" hidden="1" outlineLevel="5" x14ac:dyDescent="0.25">
      <c r="A233" s="81" t="s">
        <v>132</v>
      </c>
      <c r="B233" s="80" t="s">
        <v>500</v>
      </c>
      <c r="C233" s="80" t="s">
        <v>57</v>
      </c>
      <c r="D233" s="80" t="s">
        <v>127</v>
      </c>
      <c r="E233" s="83" t="s">
        <v>6</v>
      </c>
      <c r="F233" s="621">
        <f t="shared" ref="F233:G236" si="18">F234</f>
        <v>0</v>
      </c>
      <c r="G233" s="621">
        <f t="shared" si="18"/>
        <v>0</v>
      </c>
    </row>
    <row r="234" spans="1:8" hidden="1" outlineLevel="6" x14ac:dyDescent="0.25">
      <c r="A234" s="81" t="s">
        <v>277</v>
      </c>
      <c r="B234" s="80" t="s">
        <v>500</v>
      </c>
      <c r="C234" s="80" t="s">
        <v>57</v>
      </c>
      <c r="D234" s="80" t="s">
        <v>276</v>
      </c>
      <c r="E234" s="83" t="s">
        <v>6</v>
      </c>
      <c r="F234" s="621">
        <f t="shared" si="18"/>
        <v>0</v>
      </c>
      <c r="G234" s="621">
        <f t="shared" si="18"/>
        <v>0</v>
      </c>
    </row>
    <row r="235" spans="1:8" ht="70" hidden="1" customHeight="1" outlineLevel="7" x14ac:dyDescent="0.25">
      <c r="A235" s="100" t="s">
        <v>381</v>
      </c>
      <c r="B235" s="80" t="s">
        <v>500</v>
      </c>
      <c r="C235" s="80" t="s">
        <v>57</v>
      </c>
      <c r="D235" s="80" t="s">
        <v>507</v>
      </c>
      <c r="E235" s="83" t="s">
        <v>6</v>
      </c>
      <c r="F235" s="621">
        <f t="shared" si="18"/>
        <v>0</v>
      </c>
      <c r="G235" s="621">
        <f t="shared" si="18"/>
        <v>0</v>
      </c>
    </row>
    <row r="236" spans="1:8" ht="19.55" hidden="1" customHeight="1" outlineLevel="7" x14ac:dyDescent="0.25">
      <c r="A236" s="81" t="s">
        <v>15</v>
      </c>
      <c r="B236" s="80" t="s">
        <v>500</v>
      </c>
      <c r="C236" s="80" t="s">
        <v>57</v>
      </c>
      <c r="D236" s="80" t="s">
        <v>507</v>
      </c>
      <c r="E236" s="83" t="s">
        <v>16</v>
      </c>
      <c r="F236" s="621">
        <f t="shared" si="18"/>
        <v>0</v>
      </c>
      <c r="G236" s="621">
        <f t="shared" si="18"/>
        <v>0</v>
      </c>
    </row>
    <row r="237" spans="1:8" ht="19.55" hidden="1" customHeight="1" outlineLevel="7" x14ac:dyDescent="0.25">
      <c r="A237" s="81" t="s">
        <v>17</v>
      </c>
      <c r="B237" s="80" t="s">
        <v>500</v>
      </c>
      <c r="C237" s="80" t="s">
        <v>57</v>
      </c>
      <c r="D237" s="80" t="s">
        <v>507</v>
      </c>
      <c r="E237" s="83" t="s">
        <v>18</v>
      </c>
      <c r="F237" s="634">
        <v>0</v>
      </c>
      <c r="G237" s="634">
        <v>0</v>
      </c>
    </row>
    <row r="238" spans="1:8" ht="19.55" customHeight="1" outlineLevel="7" x14ac:dyDescent="0.25">
      <c r="A238" s="81" t="s">
        <v>58</v>
      </c>
      <c r="B238" s="80" t="s">
        <v>500</v>
      </c>
      <c r="C238" s="80" t="s">
        <v>59</v>
      </c>
      <c r="D238" s="80" t="s">
        <v>126</v>
      </c>
      <c r="E238" s="83" t="s">
        <v>6</v>
      </c>
      <c r="F238" s="621">
        <f>F239</f>
        <v>4000000</v>
      </c>
      <c r="G238" s="621">
        <f>G239</f>
        <v>100000</v>
      </c>
    </row>
    <row r="239" spans="1:8" ht="73.400000000000006" outlineLevel="7" x14ac:dyDescent="0.25">
      <c r="A239" s="109" t="s">
        <v>845</v>
      </c>
      <c r="B239" s="110" t="s">
        <v>500</v>
      </c>
      <c r="C239" s="110" t="s">
        <v>59</v>
      </c>
      <c r="D239" s="110" t="s">
        <v>134</v>
      </c>
      <c r="E239" s="111" t="s">
        <v>6</v>
      </c>
      <c r="F239" s="623">
        <f>F240</f>
        <v>4000000</v>
      </c>
      <c r="G239" s="623">
        <f>G240</f>
        <v>100000</v>
      </c>
    </row>
    <row r="240" spans="1:8" ht="55.05" outlineLevel="7" x14ac:dyDescent="0.25">
      <c r="A240" s="81" t="s">
        <v>846</v>
      </c>
      <c r="B240" s="80" t="s">
        <v>500</v>
      </c>
      <c r="C240" s="80" t="s">
        <v>59</v>
      </c>
      <c r="D240" s="80" t="s">
        <v>350</v>
      </c>
      <c r="E240" s="83" t="s">
        <v>6</v>
      </c>
      <c r="F240" s="621">
        <f>F241+F248+F251+F257+F254</f>
        <v>4000000</v>
      </c>
      <c r="G240" s="621">
        <f>G241+G248+G251+G257+G254</f>
        <v>100000</v>
      </c>
    </row>
    <row r="241" spans="1:12" ht="91.7" outlineLevel="1" x14ac:dyDescent="0.25">
      <c r="A241" s="81" t="s">
        <v>60</v>
      </c>
      <c r="B241" s="80" t="s">
        <v>500</v>
      </c>
      <c r="C241" s="80" t="s">
        <v>59</v>
      </c>
      <c r="D241" s="80" t="s">
        <v>351</v>
      </c>
      <c r="E241" s="83" t="s">
        <v>6</v>
      </c>
      <c r="F241" s="621">
        <f>F242+F244+F246</f>
        <v>500000</v>
      </c>
      <c r="G241" s="621">
        <f>G242+G244+G246</f>
        <v>100000</v>
      </c>
    </row>
    <row r="242" spans="1:12" s="172" customFormat="1" ht="36.700000000000003" outlineLevel="1" x14ac:dyDescent="0.25">
      <c r="A242" s="81" t="s">
        <v>15</v>
      </c>
      <c r="B242" s="80" t="s">
        <v>500</v>
      </c>
      <c r="C242" s="80" t="s">
        <v>59</v>
      </c>
      <c r="D242" s="80" t="s">
        <v>351</v>
      </c>
      <c r="E242" s="83" t="s">
        <v>16</v>
      </c>
      <c r="F242" s="621">
        <f>F243</f>
        <v>500000</v>
      </c>
      <c r="G242" s="621">
        <f>G243</f>
        <v>100000</v>
      </c>
      <c r="H242" s="171"/>
    </row>
    <row r="243" spans="1:12" ht="54.7" customHeight="1" outlineLevel="1" x14ac:dyDescent="0.25">
      <c r="A243" s="81" t="s">
        <v>17</v>
      </c>
      <c r="B243" s="80" t="s">
        <v>500</v>
      </c>
      <c r="C243" s="80" t="s">
        <v>59</v>
      </c>
      <c r="D243" s="80" t="s">
        <v>351</v>
      </c>
      <c r="E243" s="83" t="s">
        <v>18</v>
      </c>
      <c r="F243" s="622">
        <f>1500000-500000-500000</f>
        <v>500000</v>
      </c>
      <c r="G243" s="622">
        <f>1500000-500000-500000-400000</f>
        <v>100000</v>
      </c>
    </row>
    <row r="244" spans="1:12" s="163" customFormat="1" ht="55.05" hidden="1" outlineLevel="1" x14ac:dyDescent="0.25">
      <c r="A244" s="81" t="s">
        <v>264</v>
      </c>
      <c r="B244" s="80" t="s">
        <v>500</v>
      </c>
      <c r="C244" s="80" t="s">
        <v>59</v>
      </c>
      <c r="D244" s="80" t="s">
        <v>351</v>
      </c>
      <c r="E244" s="80" t="s">
        <v>265</v>
      </c>
      <c r="F244" s="622">
        <f>F245</f>
        <v>0</v>
      </c>
      <c r="G244" s="622">
        <f>G245</f>
        <v>0</v>
      </c>
      <c r="I244" s="5"/>
      <c r="J244" s="5"/>
      <c r="K244" s="5"/>
      <c r="L244" s="5"/>
    </row>
    <row r="245" spans="1:12" s="163" customFormat="1" hidden="1" outlineLevel="1" x14ac:dyDescent="0.25">
      <c r="A245" s="81" t="s">
        <v>266</v>
      </c>
      <c r="B245" s="80" t="s">
        <v>500</v>
      </c>
      <c r="C245" s="80" t="s">
        <v>59</v>
      </c>
      <c r="D245" s="80" t="s">
        <v>351</v>
      </c>
      <c r="E245" s="80" t="s">
        <v>267</v>
      </c>
      <c r="F245" s="622">
        <f>потребность!I246</f>
        <v>0</v>
      </c>
      <c r="G245" s="622">
        <f>потребность!J246</f>
        <v>0</v>
      </c>
      <c r="I245" s="5"/>
      <c r="J245" s="5"/>
      <c r="K245" s="5"/>
      <c r="L245" s="5"/>
    </row>
    <row r="246" spans="1:12" s="163" customFormat="1" ht="24.8" hidden="1" customHeight="1" outlineLevel="1" x14ac:dyDescent="0.25">
      <c r="A246" s="81" t="s">
        <v>19</v>
      </c>
      <c r="B246" s="80" t="s">
        <v>500</v>
      </c>
      <c r="C246" s="80" t="s">
        <v>59</v>
      </c>
      <c r="D246" s="80" t="s">
        <v>351</v>
      </c>
      <c r="E246" s="80" t="s">
        <v>20</v>
      </c>
      <c r="F246" s="622">
        <f>F247</f>
        <v>0</v>
      </c>
      <c r="G246" s="622">
        <f>G247</f>
        <v>0</v>
      </c>
      <c r="I246" s="5"/>
      <c r="J246" s="5"/>
      <c r="K246" s="5"/>
      <c r="L246" s="5"/>
    </row>
    <row r="247" spans="1:12" s="163" customFormat="1" ht="21.25" hidden="1" customHeight="1" outlineLevel="1" x14ac:dyDescent="0.25">
      <c r="A247" s="81" t="s">
        <v>47</v>
      </c>
      <c r="B247" s="80" t="s">
        <v>500</v>
      </c>
      <c r="C247" s="80" t="s">
        <v>59</v>
      </c>
      <c r="D247" s="80" t="s">
        <v>351</v>
      </c>
      <c r="E247" s="80" t="s">
        <v>48</v>
      </c>
      <c r="F247" s="622">
        <v>0</v>
      </c>
      <c r="G247" s="622">
        <v>0</v>
      </c>
      <c r="I247" s="5"/>
      <c r="J247" s="5"/>
      <c r="K247" s="5"/>
      <c r="L247" s="5"/>
    </row>
    <row r="248" spans="1:12" s="163" customFormat="1" ht="64.55" customHeight="1" outlineLevel="1" x14ac:dyDescent="0.25">
      <c r="A248" s="81" t="s">
        <v>250</v>
      </c>
      <c r="B248" s="80" t="s">
        <v>500</v>
      </c>
      <c r="C248" s="80" t="s">
        <v>59</v>
      </c>
      <c r="D248" s="80" t="s">
        <v>352</v>
      </c>
      <c r="E248" s="83" t="s">
        <v>6</v>
      </c>
      <c r="F248" s="622">
        <f>F249</f>
        <v>3500000</v>
      </c>
      <c r="G248" s="622">
        <f>G249</f>
        <v>0</v>
      </c>
      <c r="I248" s="5"/>
      <c r="J248" s="5"/>
      <c r="K248" s="5"/>
      <c r="L248" s="5"/>
    </row>
    <row r="249" spans="1:12" s="163" customFormat="1" ht="21.25" customHeight="1" outlineLevel="1" x14ac:dyDescent="0.25">
      <c r="A249" s="81" t="s">
        <v>19</v>
      </c>
      <c r="B249" s="80" t="s">
        <v>500</v>
      </c>
      <c r="C249" s="80" t="s">
        <v>59</v>
      </c>
      <c r="D249" s="80" t="s">
        <v>352</v>
      </c>
      <c r="E249" s="83" t="s">
        <v>20</v>
      </c>
      <c r="F249" s="622">
        <f>F250</f>
        <v>3500000</v>
      </c>
      <c r="G249" s="622">
        <f>G250</f>
        <v>0</v>
      </c>
      <c r="I249" s="5"/>
      <c r="J249" s="5"/>
      <c r="K249" s="5"/>
      <c r="L249" s="5"/>
    </row>
    <row r="250" spans="1:12" s="163" customFormat="1" ht="55.55" customHeight="1" outlineLevel="1" x14ac:dyDescent="0.25">
      <c r="A250" s="81" t="s">
        <v>47</v>
      </c>
      <c r="B250" s="80" t="s">
        <v>500</v>
      </c>
      <c r="C250" s="80" t="s">
        <v>59</v>
      </c>
      <c r="D250" s="80" t="s">
        <v>352</v>
      </c>
      <c r="E250" s="83" t="s">
        <v>48</v>
      </c>
      <c r="F250" s="621">
        <f>5000000-1500000</f>
        <v>3500000</v>
      </c>
      <c r="G250" s="621">
        <v>0</v>
      </c>
      <c r="I250" s="5"/>
      <c r="J250" s="5"/>
      <c r="K250" s="5"/>
      <c r="L250" s="5"/>
    </row>
    <row r="251" spans="1:12" s="163" customFormat="1" ht="27.2" hidden="1" customHeight="1" outlineLevel="1" x14ac:dyDescent="0.25">
      <c r="A251" s="81" t="s">
        <v>262</v>
      </c>
      <c r="B251" s="80" t="s">
        <v>500</v>
      </c>
      <c r="C251" s="80" t="s">
        <v>59</v>
      </c>
      <c r="D251" s="80" t="s">
        <v>353</v>
      </c>
      <c r="E251" s="83" t="s">
        <v>6</v>
      </c>
      <c r="F251" s="622">
        <f>F252</f>
        <v>0</v>
      </c>
      <c r="G251" s="622">
        <f>G252</f>
        <v>0</v>
      </c>
      <c r="I251" s="5"/>
      <c r="J251" s="5"/>
      <c r="K251" s="5"/>
      <c r="L251" s="5"/>
    </row>
    <row r="252" spans="1:12" s="163" customFormat="1" ht="32.6" hidden="1" customHeight="1" outlineLevel="1" x14ac:dyDescent="0.25">
      <c r="A252" s="81" t="s">
        <v>19</v>
      </c>
      <c r="B252" s="80" t="s">
        <v>500</v>
      </c>
      <c r="C252" s="80" t="s">
        <v>59</v>
      </c>
      <c r="D252" s="80" t="s">
        <v>353</v>
      </c>
      <c r="E252" s="83" t="s">
        <v>20</v>
      </c>
      <c r="F252" s="622">
        <f>F253</f>
        <v>0</v>
      </c>
      <c r="G252" s="622">
        <f>G253</f>
        <v>0</v>
      </c>
      <c r="I252" s="5"/>
      <c r="J252" s="5"/>
      <c r="K252" s="5"/>
      <c r="L252" s="5"/>
    </row>
    <row r="253" spans="1:12" s="163" customFormat="1" ht="53.5" hidden="1" customHeight="1" outlineLevel="1" x14ac:dyDescent="0.25">
      <c r="A253" s="81" t="s">
        <v>47</v>
      </c>
      <c r="B253" s="80" t="s">
        <v>500</v>
      </c>
      <c r="C253" s="80" t="s">
        <v>59</v>
      </c>
      <c r="D253" s="80" t="s">
        <v>353</v>
      </c>
      <c r="E253" s="83" t="s">
        <v>48</v>
      </c>
      <c r="F253" s="621">
        <v>0</v>
      </c>
      <c r="G253" s="621">
        <v>0</v>
      </c>
      <c r="I253" s="5"/>
      <c r="J253" s="5"/>
      <c r="K253" s="5"/>
      <c r="L253" s="5"/>
    </row>
    <row r="254" spans="1:12" s="163" customFormat="1" ht="73.400000000000006" hidden="1" outlineLevel="1" x14ac:dyDescent="0.25">
      <c r="A254" s="81" t="s">
        <v>299</v>
      </c>
      <c r="B254" s="80" t="s">
        <v>500</v>
      </c>
      <c r="C254" s="80" t="s">
        <v>59</v>
      </c>
      <c r="D254" s="80" t="s">
        <v>390</v>
      </c>
      <c r="E254" s="83" t="s">
        <v>6</v>
      </c>
      <c r="F254" s="621">
        <f>F255</f>
        <v>0</v>
      </c>
      <c r="G254" s="621">
        <f>G255</f>
        <v>0</v>
      </c>
      <c r="I254" s="5"/>
      <c r="J254" s="5"/>
      <c r="K254" s="5"/>
      <c r="L254" s="5"/>
    </row>
    <row r="255" spans="1:12" s="163" customFormat="1" ht="36.700000000000003" hidden="1" outlineLevel="1" x14ac:dyDescent="0.25">
      <c r="A255" s="81" t="s">
        <v>15</v>
      </c>
      <c r="B255" s="80" t="s">
        <v>500</v>
      </c>
      <c r="C255" s="80" t="s">
        <v>59</v>
      </c>
      <c r="D255" s="80" t="s">
        <v>390</v>
      </c>
      <c r="E255" s="83" t="s">
        <v>16</v>
      </c>
      <c r="F255" s="621">
        <f>F256</f>
        <v>0</v>
      </c>
      <c r="G255" s="621">
        <f>G256</f>
        <v>0</v>
      </c>
      <c r="I255" s="5"/>
      <c r="J255" s="5"/>
      <c r="K255" s="5"/>
      <c r="L255" s="5"/>
    </row>
    <row r="256" spans="1:12" s="163" customFormat="1" ht="52.5" hidden="1" customHeight="1" outlineLevel="1" x14ac:dyDescent="0.25">
      <c r="A256" s="81" t="s">
        <v>17</v>
      </c>
      <c r="B256" s="80" t="s">
        <v>500</v>
      </c>
      <c r="C256" s="80" t="s">
        <v>59</v>
      </c>
      <c r="D256" s="80" t="s">
        <v>390</v>
      </c>
      <c r="E256" s="83" t="s">
        <v>18</v>
      </c>
      <c r="F256" s="625"/>
      <c r="G256" s="625"/>
      <c r="I256" s="5"/>
      <c r="J256" s="5"/>
      <c r="K256" s="5"/>
      <c r="L256" s="5"/>
    </row>
    <row r="257" spans="1:12" s="163" customFormat="1" ht="56.25" hidden="1" customHeight="1" outlineLevel="1" x14ac:dyDescent="0.25">
      <c r="A257" s="81" t="s">
        <v>263</v>
      </c>
      <c r="B257" s="80" t="s">
        <v>500</v>
      </c>
      <c r="C257" s="80" t="s">
        <v>59</v>
      </c>
      <c r="D257" s="80" t="s">
        <v>391</v>
      </c>
      <c r="E257" s="83" t="s">
        <v>6</v>
      </c>
      <c r="F257" s="621">
        <f>F258</f>
        <v>0</v>
      </c>
      <c r="G257" s="621">
        <f>G258</f>
        <v>0</v>
      </c>
      <c r="I257" s="5"/>
      <c r="J257" s="5"/>
      <c r="K257" s="5"/>
      <c r="L257" s="5"/>
    </row>
    <row r="258" spans="1:12" s="163" customFormat="1" ht="37.549999999999997" hidden="1" customHeight="1" outlineLevel="1" x14ac:dyDescent="0.25">
      <c r="A258" s="81" t="s">
        <v>15</v>
      </c>
      <c r="B258" s="80" t="s">
        <v>500</v>
      </c>
      <c r="C258" s="80" t="s">
        <v>59</v>
      </c>
      <c r="D258" s="80" t="s">
        <v>391</v>
      </c>
      <c r="E258" s="83" t="s">
        <v>16</v>
      </c>
      <c r="F258" s="621">
        <f>F259</f>
        <v>0</v>
      </c>
      <c r="G258" s="621">
        <f>G259</f>
        <v>0</v>
      </c>
      <c r="I258" s="5"/>
      <c r="J258" s="5"/>
      <c r="K258" s="5"/>
      <c r="L258" s="5"/>
    </row>
    <row r="259" spans="1:12" s="163" customFormat="1" ht="34.5" hidden="1" customHeight="1" outlineLevel="1" x14ac:dyDescent="0.25">
      <c r="A259" s="81" t="s">
        <v>17</v>
      </c>
      <c r="B259" s="80" t="s">
        <v>500</v>
      </c>
      <c r="C259" s="80" t="s">
        <v>59</v>
      </c>
      <c r="D259" s="80" t="s">
        <v>391</v>
      </c>
      <c r="E259" s="83" t="s">
        <v>18</v>
      </c>
      <c r="F259" s="625"/>
      <c r="G259" s="625"/>
      <c r="I259" s="5"/>
      <c r="J259" s="5"/>
      <c r="K259" s="5"/>
      <c r="L259" s="5"/>
    </row>
    <row r="260" spans="1:12" ht="56.25" hidden="1" customHeight="1" outlineLevel="1" x14ac:dyDescent="0.25">
      <c r="A260" s="81" t="s">
        <v>709</v>
      </c>
      <c r="B260" s="80" t="s">
        <v>500</v>
      </c>
      <c r="C260" s="80" t="s">
        <v>59</v>
      </c>
      <c r="D260" s="80" t="s">
        <v>708</v>
      </c>
      <c r="E260" s="80" t="s">
        <v>6</v>
      </c>
      <c r="F260" s="621">
        <f>F261</f>
        <v>0</v>
      </c>
      <c r="G260" s="621">
        <f>G261</f>
        <v>0</v>
      </c>
    </row>
    <row r="261" spans="1:12" ht="37.549999999999997" hidden="1" customHeight="1" outlineLevel="1" x14ac:dyDescent="0.25">
      <c r="A261" s="81" t="s">
        <v>15</v>
      </c>
      <c r="B261" s="80" t="s">
        <v>500</v>
      </c>
      <c r="C261" s="80" t="s">
        <v>59</v>
      </c>
      <c r="D261" s="80" t="s">
        <v>708</v>
      </c>
      <c r="E261" s="80" t="s">
        <v>16</v>
      </c>
      <c r="F261" s="621">
        <f>F262</f>
        <v>0</v>
      </c>
      <c r="G261" s="621">
        <f>G262</f>
        <v>0</v>
      </c>
    </row>
    <row r="262" spans="1:12" ht="37.549999999999997" hidden="1" customHeight="1" outlineLevel="1" x14ac:dyDescent="0.25">
      <c r="A262" s="81" t="s">
        <v>17</v>
      </c>
      <c r="B262" s="80" t="s">
        <v>500</v>
      </c>
      <c r="C262" s="80" t="s">
        <v>59</v>
      </c>
      <c r="D262" s="80" t="s">
        <v>708</v>
      </c>
      <c r="E262" s="80" t="s">
        <v>18</v>
      </c>
      <c r="F262" s="625"/>
      <c r="G262" s="625"/>
    </row>
    <row r="263" spans="1:12" ht="36.700000000000003" hidden="1" outlineLevel="1" x14ac:dyDescent="0.25">
      <c r="A263" s="81" t="s">
        <v>682</v>
      </c>
      <c r="B263" s="80" t="s">
        <v>500</v>
      </c>
      <c r="C263" s="80" t="s">
        <v>59</v>
      </c>
      <c r="D263" s="80" t="s">
        <v>681</v>
      </c>
      <c r="E263" s="80" t="s">
        <v>6</v>
      </c>
      <c r="F263" s="621">
        <f>F264</f>
        <v>0</v>
      </c>
      <c r="G263" s="621">
        <f>G264</f>
        <v>0</v>
      </c>
    </row>
    <row r="264" spans="1:12" ht="36.700000000000003" hidden="1" outlineLevel="1" x14ac:dyDescent="0.25">
      <c r="A264" s="81" t="s">
        <v>15</v>
      </c>
      <c r="B264" s="80" t="s">
        <v>500</v>
      </c>
      <c r="C264" s="80" t="s">
        <v>59</v>
      </c>
      <c r="D264" s="80" t="s">
        <v>681</v>
      </c>
      <c r="E264" s="80" t="s">
        <v>16</v>
      </c>
      <c r="F264" s="621">
        <f>F265</f>
        <v>0</v>
      </c>
      <c r="G264" s="621">
        <f>G265</f>
        <v>0</v>
      </c>
    </row>
    <row r="265" spans="1:12" ht="36.700000000000003" hidden="1" outlineLevel="1" x14ac:dyDescent="0.25">
      <c r="A265" s="81" t="s">
        <v>17</v>
      </c>
      <c r="B265" s="80" t="s">
        <v>500</v>
      </c>
      <c r="C265" s="80" t="s">
        <v>59</v>
      </c>
      <c r="D265" s="80" t="s">
        <v>681</v>
      </c>
      <c r="E265" s="80" t="s">
        <v>18</v>
      </c>
      <c r="F265" s="625"/>
      <c r="G265" s="625"/>
    </row>
    <row r="266" spans="1:12" hidden="1" outlineLevel="1" x14ac:dyDescent="0.25">
      <c r="A266" s="113" t="s">
        <v>455</v>
      </c>
      <c r="B266" s="80" t="s">
        <v>500</v>
      </c>
      <c r="C266" s="80" t="s">
        <v>59</v>
      </c>
      <c r="D266" s="80" t="s">
        <v>700</v>
      </c>
      <c r="E266" s="80" t="s">
        <v>6</v>
      </c>
      <c r="F266" s="625"/>
      <c r="G266" s="625"/>
    </row>
    <row r="267" spans="1:12" ht="55.05" hidden="1" outlineLevel="1" x14ac:dyDescent="0.25">
      <c r="A267" s="81" t="s">
        <v>460</v>
      </c>
      <c r="B267" s="80" t="s">
        <v>500</v>
      </c>
      <c r="C267" s="80" t="s">
        <v>59</v>
      </c>
      <c r="D267" s="80" t="s">
        <v>701</v>
      </c>
      <c r="E267" s="80" t="s">
        <v>6</v>
      </c>
      <c r="F267" s="625"/>
      <c r="G267" s="625"/>
    </row>
    <row r="268" spans="1:12" ht="55.05" hidden="1" outlineLevel="1" x14ac:dyDescent="0.25">
      <c r="A268" s="81" t="s">
        <v>264</v>
      </c>
      <c r="B268" s="80" t="s">
        <v>500</v>
      </c>
      <c r="C268" s="80" t="s">
        <v>59</v>
      </c>
      <c r="D268" s="80" t="s">
        <v>701</v>
      </c>
      <c r="E268" s="80" t="s">
        <v>265</v>
      </c>
      <c r="F268" s="625"/>
      <c r="G268" s="625"/>
    </row>
    <row r="269" spans="1:12" hidden="1" outlineLevel="1" x14ac:dyDescent="0.25">
      <c r="A269" s="81" t="s">
        <v>266</v>
      </c>
      <c r="B269" s="80" t="s">
        <v>500</v>
      </c>
      <c r="C269" s="80" t="s">
        <v>59</v>
      </c>
      <c r="D269" s="80" t="s">
        <v>701</v>
      </c>
      <c r="E269" s="80" t="s">
        <v>267</v>
      </c>
      <c r="F269" s="625"/>
      <c r="G269" s="625"/>
    </row>
    <row r="270" spans="1:12" outlineLevel="1" x14ac:dyDescent="0.25">
      <c r="A270" s="81" t="s">
        <v>61</v>
      </c>
      <c r="B270" s="80" t="s">
        <v>500</v>
      </c>
      <c r="C270" s="80" t="s">
        <v>62</v>
      </c>
      <c r="D270" s="80" t="s">
        <v>126</v>
      </c>
      <c r="E270" s="83" t="s">
        <v>6</v>
      </c>
      <c r="F270" s="621">
        <f>F271+F285+F296</f>
        <v>24803668.439999998</v>
      </c>
      <c r="G270" s="621">
        <f>G271+G285+G296</f>
        <v>22319668.439999998</v>
      </c>
    </row>
    <row r="271" spans="1:12" ht="73.400000000000006" outlineLevel="1" x14ac:dyDescent="0.25">
      <c r="A271" s="109" t="s">
        <v>845</v>
      </c>
      <c r="B271" s="80" t="s">
        <v>500</v>
      </c>
      <c r="C271" s="110" t="s">
        <v>62</v>
      </c>
      <c r="D271" s="110" t="s">
        <v>134</v>
      </c>
      <c r="E271" s="111" t="s">
        <v>6</v>
      </c>
      <c r="F271" s="621">
        <f>F272</f>
        <v>900000</v>
      </c>
      <c r="G271" s="621">
        <f>G272</f>
        <v>200000</v>
      </c>
    </row>
    <row r="272" spans="1:12" outlineLevel="1" x14ac:dyDescent="0.25">
      <c r="A272" s="81" t="s">
        <v>354</v>
      </c>
      <c r="B272" s="80" t="s">
        <v>500</v>
      </c>
      <c r="C272" s="80" t="s">
        <v>62</v>
      </c>
      <c r="D272" s="80" t="s">
        <v>232</v>
      </c>
      <c r="E272" s="83" t="s">
        <v>6</v>
      </c>
      <c r="F272" s="621">
        <f>F273+F282+F276+F279</f>
        <v>900000</v>
      </c>
      <c r="G272" s="621">
        <f>G273+G282+G276+G279</f>
        <v>200000</v>
      </c>
    </row>
    <row r="273" spans="1:8" ht="36.700000000000003" outlineLevel="1" x14ac:dyDescent="0.25">
      <c r="A273" s="81" t="s">
        <v>360</v>
      </c>
      <c r="B273" s="80" t="s">
        <v>500</v>
      </c>
      <c r="C273" s="80" t="s">
        <v>62</v>
      </c>
      <c r="D273" s="80" t="s">
        <v>461</v>
      </c>
      <c r="E273" s="83" t="s">
        <v>6</v>
      </c>
      <c r="F273" s="621">
        <f>F274</f>
        <v>400000</v>
      </c>
      <c r="G273" s="621">
        <f>G274</f>
        <v>0</v>
      </c>
    </row>
    <row r="274" spans="1:8" s="172" customFormat="1" ht="36.700000000000003" outlineLevel="1" x14ac:dyDescent="0.25">
      <c r="A274" s="25" t="s">
        <v>15</v>
      </c>
      <c r="B274" s="80" t="s">
        <v>500</v>
      </c>
      <c r="C274" s="80" t="s">
        <v>62</v>
      </c>
      <c r="D274" s="80" t="s">
        <v>461</v>
      </c>
      <c r="E274" s="83" t="s">
        <v>16</v>
      </c>
      <c r="F274" s="621">
        <f>F275</f>
        <v>400000</v>
      </c>
      <c r="G274" s="621">
        <f>G275</f>
        <v>0</v>
      </c>
      <c r="H274" s="171"/>
    </row>
    <row r="275" spans="1:8" ht="52.5" customHeight="1" outlineLevel="1" x14ac:dyDescent="0.25">
      <c r="A275" s="25" t="s">
        <v>17</v>
      </c>
      <c r="B275" s="80" t="s">
        <v>500</v>
      </c>
      <c r="C275" s="80" t="s">
        <v>62</v>
      </c>
      <c r="D275" s="80" t="s">
        <v>461</v>
      </c>
      <c r="E275" s="83" t="s">
        <v>18</v>
      </c>
      <c r="F275" s="621">
        <v>400000</v>
      </c>
      <c r="G275" s="621">
        <f>400000-400000</f>
        <v>0</v>
      </c>
    </row>
    <row r="276" spans="1:8" ht="55.05" hidden="1" outlineLevel="1" x14ac:dyDescent="0.25">
      <c r="A276" s="25" t="s">
        <v>767</v>
      </c>
      <c r="B276" s="80" t="s">
        <v>500</v>
      </c>
      <c r="C276" s="80" t="s">
        <v>62</v>
      </c>
      <c r="D276" s="80" t="s">
        <v>766</v>
      </c>
      <c r="E276" s="83" t="s">
        <v>6</v>
      </c>
      <c r="F276" s="621">
        <f>F277</f>
        <v>0</v>
      </c>
      <c r="G276" s="621">
        <f>G277</f>
        <v>0</v>
      </c>
    </row>
    <row r="277" spans="1:8" ht="36.700000000000003" hidden="1" outlineLevel="1" x14ac:dyDescent="0.25">
      <c r="A277" s="25" t="s">
        <v>15</v>
      </c>
      <c r="B277" s="80" t="s">
        <v>500</v>
      </c>
      <c r="C277" s="80" t="s">
        <v>62</v>
      </c>
      <c r="D277" s="80" t="s">
        <v>766</v>
      </c>
      <c r="E277" s="83" t="s">
        <v>16</v>
      </c>
      <c r="F277" s="621">
        <f>F278</f>
        <v>0</v>
      </c>
      <c r="G277" s="621">
        <f>G278</f>
        <v>0</v>
      </c>
    </row>
    <row r="278" spans="1:8" ht="18.7" hidden="1" customHeight="1" outlineLevel="1" x14ac:dyDescent="0.25">
      <c r="A278" s="25" t="s">
        <v>17</v>
      </c>
      <c r="B278" s="80" t="s">
        <v>500</v>
      </c>
      <c r="C278" s="80" t="s">
        <v>62</v>
      </c>
      <c r="D278" s="80" t="s">
        <v>766</v>
      </c>
      <c r="E278" s="83" t="s">
        <v>18</v>
      </c>
      <c r="F278" s="625"/>
      <c r="G278" s="625"/>
    </row>
    <row r="279" spans="1:8" ht="62.5" hidden="1" customHeight="1" outlineLevel="1" x14ac:dyDescent="0.25">
      <c r="A279" s="25" t="s">
        <v>767</v>
      </c>
      <c r="B279" s="80" t="s">
        <v>500</v>
      </c>
      <c r="C279" s="80" t="s">
        <v>62</v>
      </c>
      <c r="D279" s="80" t="s">
        <v>947</v>
      </c>
      <c r="E279" s="83" t="s">
        <v>6</v>
      </c>
      <c r="F279" s="621">
        <f>F280</f>
        <v>0</v>
      </c>
      <c r="G279" s="621">
        <f>G280</f>
        <v>0</v>
      </c>
    </row>
    <row r="280" spans="1:8" ht="41.3" hidden="1" customHeight="1" outlineLevel="1" x14ac:dyDescent="0.25">
      <c r="A280" s="25" t="s">
        <v>15</v>
      </c>
      <c r="B280" s="80" t="s">
        <v>500</v>
      </c>
      <c r="C280" s="80" t="s">
        <v>62</v>
      </c>
      <c r="D280" s="80" t="s">
        <v>947</v>
      </c>
      <c r="E280" s="83" t="s">
        <v>16</v>
      </c>
      <c r="F280" s="621">
        <f>F281</f>
        <v>0</v>
      </c>
      <c r="G280" s="621">
        <f>G281</f>
        <v>0</v>
      </c>
    </row>
    <row r="281" spans="1:8" ht="59.95" hidden="1" customHeight="1" outlineLevel="1" x14ac:dyDescent="0.25">
      <c r="A281" s="25" t="s">
        <v>17</v>
      </c>
      <c r="B281" s="80" t="s">
        <v>500</v>
      </c>
      <c r="C281" s="80" t="s">
        <v>62</v>
      </c>
      <c r="D281" s="80" t="s">
        <v>947</v>
      </c>
      <c r="E281" s="83" t="s">
        <v>18</v>
      </c>
      <c r="F281" s="625"/>
      <c r="G281" s="625"/>
    </row>
    <row r="282" spans="1:8" ht="36.700000000000003" outlineLevel="1" x14ac:dyDescent="0.25">
      <c r="A282" s="81" t="s">
        <v>63</v>
      </c>
      <c r="B282" s="80" t="s">
        <v>500</v>
      </c>
      <c r="C282" s="80" t="s">
        <v>62</v>
      </c>
      <c r="D282" s="80" t="s">
        <v>355</v>
      </c>
      <c r="E282" s="83" t="s">
        <v>6</v>
      </c>
      <c r="F282" s="621">
        <f>F283</f>
        <v>500000</v>
      </c>
      <c r="G282" s="621">
        <f>G283</f>
        <v>200000</v>
      </c>
    </row>
    <row r="283" spans="1:8" ht="36.700000000000003" outlineLevel="1" x14ac:dyDescent="0.25">
      <c r="A283" s="81" t="s">
        <v>15</v>
      </c>
      <c r="B283" s="80" t="s">
        <v>500</v>
      </c>
      <c r="C283" s="80" t="s">
        <v>62</v>
      </c>
      <c r="D283" s="80" t="s">
        <v>355</v>
      </c>
      <c r="E283" s="83" t="s">
        <v>16</v>
      </c>
      <c r="F283" s="621">
        <f>F284</f>
        <v>500000</v>
      </c>
      <c r="G283" s="621">
        <f>G284</f>
        <v>200000</v>
      </c>
    </row>
    <row r="284" spans="1:8" ht="22.75" customHeight="1" outlineLevel="1" x14ac:dyDescent="0.25">
      <c r="A284" s="81" t="s">
        <v>17</v>
      </c>
      <c r="B284" s="80" t="s">
        <v>500</v>
      </c>
      <c r="C284" s="80" t="s">
        <v>62</v>
      </c>
      <c r="D284" s="80" t="s">
        <v>355</v>
      </c>
      <c r="E284" s="83" t="s">
        <v>18</v>
      </c>
      <c r="F284" s="622">
        <v>500000</v>
      </c>
      <c r="G284" s="622">
        <f>500000-300000</f>
        <v>200000</v>
      </c>
    </row>
    <row r="285" spans="1:8" s="172" customFormat="1" ht="55.05" outlineLevel="1" x14ac:dyDescent="0.25">
      <c r="A285" s="109" t="s">
        <v>508</v>
      </c>
      <c r="B285" s="110" t="s">
        <v>500</v>
      </c>
      <c r="C285" s="110" t="s">
        <v>62</v>
      </c>
      <c r="D285" s="110" t="s">
        <v>509</v>
      </c>
      <c r="E285" s="111" t="s">
        <v>6</v>
      </c>
      <c r="F285" s="621">
        <f>F286</f>
        <v>2984900</v>
      </c>
      <c r="G285" s="621">
        <f>G286</f>
        <v>1200900</v>
      </c>
      <c r="H285" s="171"/>
    </row>
    <row r="286" spans="1:8" ht="36.700000000000003" outlineLevel="1" x14ac:dyDescent="0.25">
      <c r="A286" s="81" t="s">
        <v>510</v>
      </c>
      <c r="B286" s="80" t="s">
        <v>500</v>
      </c>
      <c r="C286" s="80" t="s">
        <v>62</v>
      </c>
      <c r="D286" s="80" t="s">
        <v>511</v>
      </c>
      <c r="E286" s="83" t="s">
        <v>6</v>
      </c>
      <c r="F286" s="621">
        <f>F287+F290+F293</f>
        <v>2984900</v>
      </c>
      <c r="G286" s="621">
        <f>G287+G290+G293</f>
        <v>1200900</v>
      </c>
    </row>
    <row r="287" spans="1:8" ht="56.25" customHeight="1" outlineLevel="1" x14ac:dyDescent="0.25">
      <c r="A287" s="81" t="s">
        <v>512</v>
      </c>
      <c r="B287" s="80" t="s">
        <v>500</v>
      </c>
      <c r="C287" s="80" t="s">
        <v>62</v>
      </c>
      <c r="D287" s="80" t="s">
        <v>513</v>
      </c>
      <c r="E287" s="83" t="s">
        <v>6</v>
      </c>
      <c r="F287" s="621">
        <f>F288</f>
        <v>2159900</v>
      </c>
      <c r="G287" s="621">
        <f>G288</f>
        <v>1200900</v>
      </c>
    </row>
    <row r="288" spans="1:8" ht="36.700000000000003" outlineLevel="1" x14ac:dyDescent="0.25">
      <c r="A288" s="81" t="s">
        <v>15</v>
      </c>
      <c r="B288" s="80" t="s">
        <v>500</v>
      </c>
      <c r="C288" s="80" t="s">
        <v>62</v>
      </c>
      <c r="D288" s="80" t="s">
        <v>513</v>
      </c>
      <c r="E288" s="83" t="s">
        <v>16</v>
      </c>
      <c r="F288" s="621">
        <f>F289</f>
        <v>2159900</v>
      </c>
      <c r="G288" s="621">
        <f>G289</f>
        <v>1200900</v>
      </c>
    </row>
    <row r="289" spans="1:8" ht="36.700000000000003" outlineLevel="1" x14ac:dyDescent="0.25">
      <c r="A289" s="81" t="s">
        <v>17</v>
      </c>
      <c r="B289" s="80" t="s">
        <v>500</v>
      </c>
      <c r="C289" s="80" t="s">
        <v>62</v>
      </c>
      <c r="D289" s="80" t="s">
        <v>513</v>
      </c>
      <c r="E289" s="83" t="s">
        <v>18</v>
      </c>
      <c r="F289" s="622">
        <v>2159900</v>
      </c>
      <c r="G289" s="622">
        <f>2200900-1000000</f>
        <v>1200900</v>
      </c>
    </row>
    <row r="290" spans="1:8" ht="38.25" hidden="1" customHeight="1" outlineLevel="1" x14ac:dyDescent="0.25">
      <c r="A290" s="81" t="s">
        <v>514</v>
      </c>
      <c r="B290" s="80" t="s">
        <v>500</v>
      </c>
      <c r="C290" s="80" t="s">
        <v>62</v>
      </c>
      <c r="D290" s="80" t="s">
        <v>515</v>
      </c>
      <c r="E290" s="83" t="s">
        <v>6</v>
      </c>
      <c r="F290" s="621">
        <f>F291</f>
        <v>0</v>
      </c>
      <c r="G290" s="621">
        <f>G291</f>
        <v>0</v>
      </c>
    </row>
    <row r="291" spans="1:8" ht="36.700000000000003" hidden="1" outlineLevel="1" x14ac:dyDescent="0.25">
      <c r="A291" s="81" t="s">
        <v>15</v>
      </c>
      <c r="B291" s="80" t="s">
        <v>500</v>
      </c>
      <c r="C291" s="80" t="s">
        <v>62</v>
      </c>
      <c r="D291" s="80" t="s">
        <v>515</v>
      </c>
      <c r="E291" s="83" t="s">
        <v>16</v>
      </c>
      <c r="F291" s="621">
        <f>F292</f>
        <v>0</v>
      </c>
      <c r="G291" s="621">
        <f>G292</f>
        <v>0</v>
      </c>
    </row>
    <row r="292" spans="1:8" ht="36.700000000000003" hidden="1" outlineLevel="1" x14ac:dyDescent="0.25">
      <c r="A292" s="81" t="s">
        <v>17</v>
      </c>
      <c r="B292" s="80" t="s">
        <v>500</v>
      </c>
      <c r="C292" s="80" t="s">
        <v>62</v>
      </c>
      <c r="D292" s="80" t="s">
        <v>515</v>
      </c>
      <c r="E292" s="83" t="s">
        <v>18</v>
      </c>
      <c r="F292" s="634">
        <f>3348000-3348000</f>
        <v>0</v>
      </c>
      <c r="G292" s="634">
        <f>3348000-3348000</f>
        <v>0</v>
      </c>
    </row>
    <row r="293" spans="1:8" ht="36.700000000000003" outlineLevel="1" x14ac:dyDescent="0.25">
      <c r="A293" s="81" t="s">
        <v>516</v>
      </c>
      <c r="B293" s="80" t="s">
        <v>500</v>
      </c>
      <c r="C293" s="80" t="s">
        <v>62</v>
      </c>
      <c r="D293" s="80" t="s">
        <v>517</v>
      </c>
      <c r="E293" s="83" t="s">
        <v>6</v>
      </c>
      <c r="F293" s="621">
        <f>F294</f>
        <v>825000</v>
      </c>
      <c r="G293" s="621">
        <f>G294</f>
        <v>0</v>
      </c>
    </row>
    <row r="294" spans="1:8" ht="36.700000000000003" outlineLevel="1" x14ac:dyDescent="0.25">
      <c r="A294" s="81" t="s">
        <v>15</v>
      </c>
      <c r="B294" s="80" t="s">
        <v>500</v>
      </c>
      <c r="C294" s="80" t="s">
        <v>62</v>
      </c>
      <c r="D294" s="80" t="s">
        <v>517</v>
      </c>
      <c r="E294" s="83" t="s">
        <v>16</v>
      </c>
      <c r="F294" s="621">
        <f>F295</f>
        <v>825000</v>
      </c>
      <c r="G294" s="621">
        <f>G295</f>
        <v>0</v>
      </c>
    </row>
    <row r="295" spans="1:8" ht="36.700000000000003" outlineLevel="1" x14ac:dyDescent="0.25">
      <c r="A295" s="81" t="s">
        <v>17</v>
      </c>
      <c r="B295" s="80" t="s">
        <v>500</v>
      </c>
      <c r="C295" s="80" t="s">
        <v>62</v>
      </c>
      <c r="D295" s="80" t="s">
        <v>517</v>
      </c>
      <c r="E295" s="83" t="s">
        <v>18</v>
      </c>
      <c r="F295" s="622">
        <f>3825000-3000000</f>
        <v>825000</v>
      </c>
      <c r="G295" s="622">
        <f>3825000-3825000</f>
        <v>0</v>
      </c>
    </row>
    <row r="296" spans="1:8" s="172" customFormat="1" ht="73.400000000000006" outlineLevel="1" x14ac:dyDescent="0.25">
      <c r="A296" s="109" t="s">
        <v>518</v>
      </c>
      <c r="B296" s="110" t="s">
        <v>500</v>
      </c>
      <c r="C296" s="110" t="s">
        <v>62</v>
      </c>
      <c r="D296" s="110" t="s">
        <v>519</v>
      </c>
      <c r="E296" s="111" t="s">
        <v>6</v>
      </c>
      <c r="F296" s="621">
        <f>F297+F305</f>
        <v>20918768.439999998</v>
      </c>
      <c r="G296" s="621">
        <f>G297+G305</f>
        <v>20918768.439999998</v>
      </c>
      <c r="H296" s="171"/>
    </row>
    <row r="297" spans="1:8" s="172" customFormat="1" ht="55.05" outlineLevel="1" x14ac:dyDescent="0.25">
      <c r="A297" s="109" t="s">
        <v>550</v>
      </c>
      <c r="B297" s="110" t="s">
        <v>500</v>
      </c>
      <c r="C297" s="110" t="s">
        <v>62</v>
      </c>
      <c r="D297" s="110" t="s">
        <v>551</v>
      </c>
      <c r="E297" s="111" t="s">
        <v>6</v>
      </c>
      <c r="F297" s="621">
        <f>F298+F302</f>
        <v>7604276.3499999996</v>
      </c>
      <c r="G297" s="621">
        <f>G298+G302</f>
        <v>7604276.3499999996</v>
      </c>
      <c r="H297" s="171"/>
    </row>
    <row r="298" spans="1:8" ht="36.700000000000003" outlineLevel="1" x14ac:dyDescent="0.25">
      <c r="A298" s="81" t="s">
        <v>1128</v>
      </c>
      <c r="B298" s="80" t="s">
        <v>500</v>
      </c>
      <c r="C298" s="80" t="s">
        <v>62</v>
      </c>
      <c r="D298" s="80" t="s">
        <v>552</v>
      </c>
      <c r="E298" s="83" t="s">
        <v>6</v>
      </c>
      <c r="F298" s="621">
        <f t="shared" ref="F298:G300" si="19">F299</f>
        <v>7604276.3499999996</v>
      </c>
      <c r="G298" s="621">
        <f t="shared" si="19"/>
        <v>7604276.3499999996</v>
      </c>
    </row>
    <row r="299" spans="1:8" ht="36.700000000000003" outlineLevel="1" x14ac:dyDescent="0.25">
      <c r="A299" s="81" t="s">
        <v>548</v>
      </c>
      <c r="B299" s="80" t="s">
        <v>500</v>
      </c>
      <c r="C299" s="80" t="s">
        <v>62</v>
      </c>
      <c r="D299" s="80" t="s">
        <v>553</v>
      </c>
      <c r="E299" s="83" t="s">
        <v>6</v>
      </c>
      <c r="F299" s="621">
        <f t="shared" si="19"/>
        <v>7604276.3499999996</v>
      </c>
      <c r="G299" s="621">
        <f t="shared" si="19"/>
        <v>7604276.3499999996</v>
      </c>
    </row>
    <row r="300" spans="1:8" ht="36.700000000000003" outlineLevel="1" x14ac:dyDescent="0.25">
      <c r="A300" s="81" t="s">
        <v>15</v>
      </c>
      <c r="B300" s="80" t="s">
        <v>500</v>
      </c>
      <c r="C300" s="80" t="s">
        <v>62</v>
      </c>
      <c r="D300" s="80" t="s">
        <v>553</v>
      </c>
      <c r="E300" s="83" t="s">
        <v>16</v>
      </c>
      <c r="F300" s="621">
        <f t="shared" si="19"/>
        <v>7604276.3499999996</v>
      </c>
      <c r="G300" s="621">
        <f t="shared" si="19"/>
        <v>7604276.3499999996</v>
      </c>
    </row>
    <row r="301" spans="1:8" ht="52.5" customHeight="1" outlineLevel="1" x14ac:dyDescent="0.25">
      <c r="A301" s="81" t="s">
        <v>17</v>
      </c>
      <c r="B301" s="80" t="s">
        <v>500</v>
      </c>
      <c r="C301" s="80" t="s">
        <v>62</v>
      </c>
      <c r="D301" s="80" t="s">
        <v>553</v>
      </c>
      <c r="E301" s="83" t="s">
        <v>18</v>
      </c>
      <c r="F301" s="621">
        <f>7566254.97+38021.38</f>
        <v>7604276.3499999996</v>
      </c>
      <c r="G301" s="621">
        <f>7566254.97+38021.38</f>
        <v>7604276.3499999996</v>
      </c>
      <c r="H301" s="163" t="s">
        <v>1051</v>
      </c>
    </row>
    <row r="302" spans="1:8" ht="55.05" hidden="1" outlineLevel="1" x14ac:dyDescent="0.25">
      <c r="A302" s="25" t="s">
        <v>680</v>
      </c>
      <c r="B302" s="80" t="s">
        <v>500</v>
      </c>
      <c r="C302" s="80" t="s">
        <v>62</v>
      </c>
      <c r="D302" s="80" t="s">
        <v>724</v>
      </c>
      <c r="E302" s="80" t="s">
        <v>6</v>
      </c>
      <c r="F302" s="621">
        <f>F303</f>
        <v>0</v>
      </c>
      <c r="G302" s="621">
        <f>G303</f>
        <v>0</v>
      </c>
    </row>
    <row r="303" spans="1:8" ht="36.700000000000003" hidden="1" outlineLevel="1" x14ac:dyDescent="0.25">
      <c r="A303" s="81" t="s">
        <v>15</v>
      </c>
      <c r="B303" s="80" t="s">
        <v>500</v>
      </c>
      <c r="C303" s="80" t="s">
        <v>62</v>
      </c>
      <c r="D303" s="80" t="s">
        <v>724</v>
      </c>
      <c r="E303" s="80" t="s">
        <v>16</v>
      </c>
      <c r="F303" s="621">
        <f>F304</f>
        <v>0</v>
      </c>
      <c r="G303" s="621">
        <f>G304</f>
        <v>0</v>
      </c>
    </row>
    <row r="304" spans="1:8" ht="36.700000000000003" hidden="1" outlineLevel="1" x14ac:dyDescent="0.25">
      <c r="A304" s="81" t="s">
        <v>17</v>
      </c>
      <c r="B304" s="80" t="s">
        <v>500</v>
      </c>
      <c r="C304" s="80" t="s">
        <v>62</v>
      </c>
      <c r="D304" s="80" t="s">
        <v>724</v>
      </c>
      <c r="E304" s="80" t="s">
        <v>18</v>
      </c>
      <c r="F304" s="621">
        <v>0</v>
      </c>
      <c r="G304" s="621">
        <f>351540.6-351540.6</f>
        <v>0</v>
      </c>
    </row>
    <row r="305" spans="1:8" s="172" customFormat="1" ht="55.05" outlineLevel="1" x14ac:dyDescent="0.25">
      <c r="A305" s="121" t="s">
        <v>554</v>
      </c>
      <c r="B305" s="80" t="s">
        <v>500</v>
      </c>
      <c r="C305" s="80" t="s">
        <v>62</v>
      </c>
      <c r="D305" s="110" t="s">
        <v>556</v>
      </c>
      <c r="E305" s="111" t="s">
        <v>6</v>
      </c>
      <c r="F305" s="621">
        <f>F306</f>
        <v>13314492.09</v>
      </c>
      <c r="G305" s="621">
        <f>G306</f>
        <v>13314492.09</v>
      </c>
      <c r="H305" s="171"/>
    </row>
    <row r="306" spans="1:8" s="172" customFormat="1" ht="41.95" customHeight="1" outlineLevel="1" x14ac:dyDescent="0.25">
      <c r="A306" s="121" t="s">
        <v>555</v>
      </c>
      <c r="B306" s="80" t="s">
        <v>500</v>
      </c>
      <c r="C306" s="80" t="s">
        <v>62</v>
      </c>
      <c r="D306" s="110" t="s">
        <v>557</v>
      </c>
      <c r="E306" s="111" t="s">
        <v>6</v>
      </c>
      <c r="F306" s="623">
        <f>F307+F310+F313+F316</f>
        <v>13314492.09</v>
      </c>
      <c r="G306" s="623">
        <f>G307+G310+G313+G316</f>
        <v>13314492.09</v>
      </c>
      <c r="H306" s="171"/>
    </row>
    <row r="307" spans="1:8" s="172" customFormat="1" ht="59.1" customHeight="1" outlineLevel="1" x14ac:dyDescent="0.25">
      <c r="A307" s="25" t="s">
        <v>991</v>
      </c>
      <c r="B307" s="80" t="s">
        <v>500</v>
      </c>
      <c r="C307" s="80" t="s">
        <v>62</v>
      </c>
      <c r="D307" s="80" t="s">
        <v>587</v>
      </c>
      <c r="E307" s="83" t="s">
        <v>6</v>
      </c>
      <c r="F307" s="621">
        <f>F308</f>
        <v>12915057.33</v>
      </c>
      <c r="G307" s="621">
        <f>G308</f>
        <v>12915057.33</v>
      </c>
      <c r="H307" s="171"/>
    </row>
    <row r="308" spans="1:8" s="172" customFormat="1" ht="36.700000000000003" outlineLevel="1" x14ac:dyDescent="0.25">
      <c r="A308" s="81" t="s">
        <v>15</v>
      </c>
      <c r="B308" s="80" t="s">
        <v>500</v>
      </c>
      <c r="C308" s="80" t="s">
        <v>62</v>
      </c>
      <c r="D308" s="80" t="s">
        <v>587</v>
      </c>
      <c r="E308" s="83" t="s">
        <v>16</v>
      </c>
      <c r="F308" s="621">
        <f>F309</f>
        <v>12915057.33</v>
      </c>
      <c r="G308" s="621">
        <f>G309</f>
        <v>12915057.33</v>
      </c>
      <c r="H308" s="171"/>
    </row>
    <row r="309" spans="1:8" s="172" customFormat="1" ht="36.700000000000003" outlineLevel="1" x14ac:dyDescent="0.25">
      <c r="A309" s="81" t="s">
        <v>17</v>
      </c>
      <c r="B309" s="80" t="s">
        <v>500</v>
      </c>
      <c r="C309" s="80" t="s">
        <v>62</v>
      </c>
      <c r="D309" s="80" t="s">
        <v>587</v>
      </c>
      <c r="E309" s="83" t="s">
        <v>18</v>
      </c>
      <c r="F309" s="621">
        <v>12915057.33</v>
      </c>
      <c r="G309" s="621">
        <v>12915057.33</v>
      </c>
      <c r="H309" s="171"/>
    </row>
    <row r="310" spans="1:8" ht="40.75" customHeight="1" outlineLevel="1" x14ac:dyDescent="0.25">
      <c r="A310" s="25" t="s">
        <v>559</v>
      </c>
      <c r="B310" s="80" t="s">
        <v>500</v>
      </c>
      <c r="C310" s="80" t="s">
        <v>62</v>
      </c>
      <c r="D310" s="80" t="s">
        <v>558</v>
      </c>
      <c r="E310" s="83" t="s">
        <v>6</v>
      </c>
      <c r="F310" s="621">
        <f>F311</f>
        <v>399434.76</v>
      </c>
      <c r="G310" s="621">
        <f>G311</f>
        <v>399434.76</v>
      </c>
    </row>
    <row r="311" spans="1:8" ht="36.700000000000003" outlineLevel="1" x14ac:dyDescent="0.25">
      <c r="A311" s="81" t="s">
        <v>15</v>
      </c>
      <c r="B311" s="80" t="s">
        <v>500</v>
      </c>
      <c r="C311" s="80" t="s">
        <v>62</v>
      </c>
      <c r="D311" s="80" t="s">
        <v>558</v>
      </c>
      <c r="E311" s="83" t="s">
        <v>16</v>
      </c>
      <c r="F311" s="621">
        <f>F312</f>
        <v>399434.76</v>
      </c>
      <c r="G311" s="621">
        <f>G312</f>
        <v>399434.76</v>
      </c>
    </row>
    <row r="312" spans="1:8" ht="54.7" customHeight="1" outlineLevel="1" x14ac:dyDescent="0.25">
      <c r="A312" s="81" t="s">
        <v>17</v>
      </c>
      <c r="B312" s="80" t="s">
        <v>500</v>
      </c>
      <c r="C312" s="80" t="s">
        <v>62</v>
      </c>
      <c r="D312" s="80" t="s">
        <v>558</v>
      </c>
      <c r="E312" s="83" t="s">
        <v>18</v>
      </c>
      <c r="F312" s="622">
        <v>399434.76</v>
      </c>
      <c r="G312" s="622">
        <v>399434.76</v>
      </c>
    </row>
    <row r="313" spans="1:8" ht="54" hidden="1" customHeight="1" outlineLevel="1" x14ac:dyDescent="0.25">
      <c r="A313" s="81" t="s">
        <v>680</v>
      </c>
      <c r="B313" s="80" t="s">
        <v>500</v>
      </c>
      <c r="C313" s="80" t="s">
        <v>62</v>
      </c>
      <c r="D313" s="80" t="s">
        <v>679</v>
      </c>
      <c r="E313" s="80" t="s">
        <v>6</v>
      </c>
      <c r="F313" s="621">
        <f>F314</f>
        <v>0</v>
      </c>
      <c r="G313" s="621">
        <f>G314</f>
        <v>0</v>
      </c>
    </row>
    <row r="314" spans="1:8" ht="36.700000000000003" hidden="1" outlineLevel="1" x14ac:dyDescent="0.25">
      <c r="A314" s="81" t="s">
        <v>15</v>
      </c>
      <c r="B314" s="80" t="s">
        <v>500</v>
      </c>
      <c r="C314" s="80" t="s">
        <v>62</v>
      </c>
      <c r="D314" s="80" t="s">
        <v>679</v>
      </c>
      <c r="E314" s="80" t="s">
        <v>16</v>
      </c>
      <c r="F314" s="621">
        <f>F315</f>
        <v>0</v>
      </c>
      <c r="G314" s="621">
        <f>G315</f>
        <v>0</v>
      </c>
    </row>
    <row r="315" spans="1:8" ht="36.700000000000003" hidden="1" outlineLevel="1" x14ac:dyDescent="0.25">
      <c r="A315" s="81" t="s">
        <v>17</v>
      </c>
      <c r="B315" s="80" t="s">
        <v>500</v>
      </c>
      <c r="C315" s="80" t="s">
        <v>62</v>
      </c>
      <c r="D315" s="80" t="s">
        <v>679</v>
      </c>
      <c r="E315" s="80" t="s">
        <v>18</v>
      </c>
      <c r="F315" s="634"/>
      <c r="G315" s="634"/>
    </row>
    <row r="316" spans="1:8" ht="43.5" hidden="1" customHeight="1" outlineLevel="1" x14ac:dyDescent="0.25">
      <c r="A316" s="81" t="s">
        <v>682</v>
      </c>
      <c r="B316" s="80" t="s">
        <v>500</v>
      </c>
      <c r="C316" s="80" t="s">
        <v>62</v>
      </c>
      <c r="D316" s="80" t="s">
        <v>765</v>
      </c>
      <c r="E316" s="80" t="s">
        <v>6</v>
      </c>
      <c r="F316" s="621">
        <f>F317</f>
        <v>0</v>
      </c>
      <c r="G316" s="621">
        <f>G317</f>
        <v>0</v>
      </c>
    </row>
    <row r="317" spans="1:8" s="172" customFormat="1" ht="36.700000000000003" hidden="1" outlineLevel="1" x14ac:dyDescent="0.25">
      <c r="A317" s="81" t="s">
        <v>15</v>
      </c>
      <c r="B317" s="80" t="s">
        <v>500</v>
      </c>
      <c r="C317" s="80" t="s">
        <v>62</v>
      </c>
      <c r="D317" s="80" t="s">
        <v>765</v>
      </c>
      <c r="E317" s="80" t="s">
        <v>16</v>
      </c>
      <c r="F317" s="621">
        <f>F318</f>
        <v>0</v>
      </c>
      <c r="G317" s="621">
        <f>G318</f>
        <v>0</v>
      </c>
      <c r="H317" s="171"/>
    </row>
    <row r="318" spans="1:8" ht="36.700000000000003" hidden="1" outlineLevel="1" x14ac:dyDescent="0.25">
      <c r="A318" s="81" t="s">
        <v>17</v>
      </c>
      <c r="B318" s="80" t="s">
        <v>500</v>
      </c>
      <c r="C318" s="80" t="s">
        <v>62</v>
      </c>
      <c r="D318" s="80" t="s">
        <v>765</v>
      </c>
      <c r="E318" s="80" t="s">
        <v>18</v>
      </c>
      <c r="F318" s="634"/>
      <c r="G318" s="634"/>
    </row>
    <row r="319" spans="1:8" ht="36.700000000000003" outlineLevel="1" x14ac:dyDescent="0.25">
      <c r="A319" s="81" t="s">
        <v>292</v>
      </c>
      <c r="B319" s="80" t="s">
        <v>500</v>
      </c>
      <c r="C319" s="80" t="s">
        <v>293</v>
      </c>
      <c r="D319" s="80" t="s">
        <v>126</v>
      </c>
      <c r="E319" s="83" t="s">
        <v>6</v>
      </c>
      <c r="F319" s="622">
        <f>F320</f>
        <v>300000</v>
      </c>
      <c r="G319" s="622">
        <f>G320</f>
        <v>300000</v>
      </c>
    </row>
    <row r="320" spans="1:8" ht="73.400000000000006" outlineLevel="1" x14ac:dyDescent="0.25">
      <c r="A320" s="109" t="s">
        <v>421</v>
      </c>
      <c r="B320" s="110" t="s">
        <v>500</v>
      </c>
      <c r="C320" s="110" t="s">
        <v>293</v>
      </c>
      <c r="D320" s="110" t="s">
        <v>134</v>
      </c>
      <c r="E320" s="111" t="s">
        <v>6</v>
      </c>
      <c r="F320" s="624">
        <f>F321</f>
        <v>300000</v>
      </c>
      <c r="G320" s="624">
        <f>G321</f>
        <v>300000</v>
      </c>
    </row>
    <row r="321" spans="1:8" ht="51.8" customHeight="1" outlineLevel="1" x14ac:dyDescent="0.25">
      <c r="A321" s="81" t="s">
        <v>844</v>
      </c>
      <c r="B321" s="80" t="s">
        <v>500</v>
      </c>
      <c r="C321" s="80" t="s">
        <v>293</v>
      </c>
      <c r="D321" s="80" t="s">
        <v>350</v>
      </c>
      <c r="E321" s="83" t="s">
        <v>6</v>
      </c>
      <c r="F321" s="622">
        <f>F322+F325</f>
        <v>300000</v>
      </c>
      <c r="G321" s="622">
        <f>G322+G325</f>
        <v>300000</v>
      </c>
    </row>
    <row r="322" spans="1:8" ht="37.549999999999997" hidden="1" customHeight="1" outlineLevel="1" x14ac:dyDescent="0.25">
      <c r="A322" s="100" t="s">
        <v>563</v>
      </c>
      <c r="B322" s="80" t="s">
        <v>500</v>
      </c>
      <c r="C322" s="80" t="s">
        <v>293</v>
      </c>
      <c r="D322" s="80" t="s">
        <v>588</v>
      </c>
      <c r="E322" s="80" t="s">
        <v>6</v>
      </c>
      <c r="F322" s="622">
        <f>F323</f>
        <v>0</v>
      </c>
      <c r="G322" s="622">
        <f>G323</f>
        <v>0</v>
      </c>
    </row>
    <row r="323" spans="1:8" hidden="1" outlineLevel="1" x14ac:dyDescent="0.25">
      <c r="A323" s="81" t="s">
        <v>19</v>
      </c>
      <c r="B323" s="80" t="s">
        <v>500</v>
      </c>
      <c r="C323" s="80" t="s">
        <v>293</v>
      </c>
      <c r="D323" s="80" t="s">
        <v>588</v>
      </c>
      <c r="E323" s="80" t="s">
        <v>20</v>
      </c>
      <c r="F323" s="622">
        <f>F324</f>
        <v>0</v>
      </c>
      <c r="G323" s="622">
        <f>G324</f>
        <v>0</v>
      </c>
    </row>
    <row r="324" spans="1:8" ht="55.05" hidden="1" outlineLevel="1" x14ac:dyDescent="0.25">
      <c r="A324" s="81" t="s">
        <v>47</v>
      </c>
      <c r="B324" s="80" t="s">
        <v>500</v>
      </c>
      <c r="C324" s="80" t="s">
        <v>293</v>
      </c>
      <c r="D324" s="80" t="s">
        <v>588</v>
      </c>
      <c r="E324" s="80" t="s">
        <v>48</v>
      </c>
      <c r="F324" s="622">
        <v>0</v>
      </c>
      <c r="G324" s="622">
        <v>0</v>
      </c>
    </row>
    <row r="325" spans="1:8" s="172" customFormat="1" ht="40.1" customHeight="1" outlineLevel="1" x14ac:dyDescent="0.25">
      <c r="A325" s="81" t="s">
        <v>306</v>
      </c>
      <c r="B325" s="80" t="s">
        <v>500</v>
      </c>
      <c r="C325" s="80" t="s">
        <v>293</v>
      </c>
      <c r="D325" s="80" t="s">
        <v>357</v>
      </c>
      <c r="E325" s="83" t="s">
        <v>6</v>
      </c>
      <c r="F325" s="622">
        <f>F326</f>
        <v>300000</v>
      </c>
      <c r="G325" s="622">
        <f>G326</f>
        <v>300000</v>
      </c>
      <c r="H325" s="171"/>
    </row>
    <row r="326" spans="1:8" outlineLevel="2" x14ac:dyDescent="0.25">
      <c r="A326" s="81" t="s">
        <v>19</v>
      </c>
      <c r="B326" s="80" t="s">
        <v>500</v>
      </c>
      <c r="C326" s="80" t="s">
        <v>293</v>
      </c>
      <c r="D326" s="80" t="s">
        <v>357</v>
      </c>
      <c r="E326" s="83" t="s">
        <v>20</v>
      </c>
      <c r="F326" s="622">
        <f>F327</f>
        <v>300000</v>
      </c>
      <c r="G326" s="622">
        <f>G327</f>
        <v>300000</v>
      </c>
    </row>
    <row r="327" spans="1:8" s="172" customFormat="1" ht="41.3" customHeight="1" outlineLevel="3" x14ac:dyDescent="0.25">
      <c r="A327" s="81" t="s">
        <v>47</v>
      </c>
      <c r="B327" s="80" t="s">
        <v>500</v>
      </c>
      <c r="C327" s="80" t="s">
        <v>293</v>
      </c>
      <c r="D327" s="80" t="s">
        <v>357</v>
      </c>
      <c r="E327" s="83" t="s">
        <v>48</v>
      </c>
      <c r="F327" s="622">
        <v>300000</v>
      </c>
      <c r="G327" s="622">
        <v>300000</v>
      </c>
      <c r="H327" s="171"/>
    </row>
    <row r="328" spans="1:8" ht="26.5" customHeight="1" outlineLevel="3" x14ac:dyDescent="0.25">
      <c r="A328" s="109" t="s">
        <v>64</v>
      </c>
      <c r="B328" s="80" t="s">
        <v>500</v>
      </c>
      <c r="C328" s="110" t="s">
        <v>65</v>
      </c>
      <c r="D328" s="110" t="s">
        <v>126</v>
      </c>
      <c r="E328" s="111" t="s">
        <v>6</v>
      </c>
      <c r="F328" s="623">
        <f>F329</f>
        <v>515000</v>
      </c>
      <c r="G328" s="623">
        <f>G329</f>
        <v>515000</v>
      </c>
    </row>
    <row r="329" spans="1:8" ht="23.3" customHeight="1" outlineLevel="3" x14ac:dyDescent="0.25">
      <c r="A329" s="81" t="s">
        <v>66</v>
      </c>
      <c r="B329" s="80" t="s">
        <v>500</v>
      </c>
      <c r="C329" s="80" t="s">
        <v>67</v>
      </c>
      <c r="D329" s="80" t="s">
        <v>126</v>
      </c>
      <c r="E329" s="83" t="s">
        <v>6</v>
      </c>
      <c r="F329" s="621">
        <f>F330+F339</f>
        <v>515000</v>
      </c>
      <c r="G329" s="621">
        <f>G330+G339</f>
        <v>515000</v>
      </c>
    </row>
    <row r="330" spans="1:8" ht="59.95" customHeight="1" outlineLevel="3" x14ac:dyDescent="0.25">
      <c r="A330" s="109" t="s">
        <v>841</v>
      </c>
      <c r="B330" s="110" t="s">
        <v>500</v>
      </c>
      <c r="C330" s="110" t="s">
        <v>67</v>
      </c>
      <c r="D330" s="110" t="s">
        <v>135</v>
      </c>
      <c r="E330" s="111" t="s">
        <v>6</v>
      </c>
      <c r="F330" s="623">
        <f>F331+F335</f>
        <v>470000</v>
      </c>
      <c r="G330" s="623">
        <f>G331+G335</f>
        <v>470000</v>
      </c>
    </row>
    <row r="331" spans="1:8" ht="59.95" customHeight="1" outlineLevel="3" x14ac:dyDescent="0.25">
      <c r="A331" s="81" t="s">
        <v>842</v>
      </c>
      <c r="B331" s="80" t="s">
        <v>500</v>
      </c>
      <c r="C331" s="80" t="s">
        <v>67</v>
      </c>
      <c r="D331" s="80" t="s">
        <v>392</v>
      </c>
      <c r="E331" s="83" t="s">
        <v>6</v>
      </c>
      <c r="F331" s="621">
        <f t="shared" ref="F331:G333" si="20">F332</f>
        <v>440000</v>
      </c>
      <c r="G331" s="621">
        <f t="shared" si="20"/>
        <v>440000</v>
      </c>
    </row>
    <row r="332" spans="1:8" ht="36.700000000000003" outlineLevel="7" x14ac:dyDescent="0.25">
      <c r="A332" s="81" t="s">
        <v>244</v>
      </c>
      <c r="B332" s="80" t="s">
        <v>500</v>
      </c>
      <c r="C332" s="80" t="s">
        <v>67</v>
      </c>
      <c r="D332" s="80" t="s">
        <v>361</v>
      </c>
      <c r="E332" s="83" t="s">
        <v>6</v>
      </c>
      <c r="F332" s="621">
        <f t="shared" si="20"/>
        <v>440000</v>
      </c>
      <c r="G332" s="621">
        <f t="shared" si="20"/>
        <v>440000</v>
      </c>
    </row>
    <row r="333" spans="1:8" ht="25.5" customHeight="1" outlineLevel="5" x14ac:dyDescent="0.25">
      <c r="A333" s="81" t="s">
        <v>15</v>
      </c>
      <c r="B333" s="80" t="s">
        <v>500</v>
      </c>
      <c r="C333" s="80" t="s">
        <v>67</v>
      </c>
      <c r="D333" s="80" t="s">
        <v>361</v>
      </c>
      <c r="E333" s="83" t="s">
        <v>16</v>
      </c>
      <c r="F333" s="621">
        <f t="shared" si="20"/>
        <v>440000</v>
      </c>
      <c r="G333" s="621">
        <f t="shared" si="20"/>
        <v>440000</v>
      </c>
    </row>
    <row r="334" spans="1:8" ht="36.700000000000003" outlineLevel="6" x14ac:dyDescent="0.25">
      <c r="A334" s="81" t="s">
        <v>17</v>
      </c>
      <c r="B334" s="80" t="s">
        <v>500</v>
      </c>
      <c r="C334" s="80" t="s">
        <v>67</v>
      </c>
      <c r="D334" s="80" t="s">
        <v>361</v>
      </c>
      <c r="E334" s="83" t="s">
        <v>18</v>
      </c>
      <c r="F334" s="621">
        <v>440000</v>
      </c>
      <c r="G334" s="621">
        <v>440000</v>
      </c>
    </row>
    <row r="335" spans="1:8" ht="38.25" customHeight="1" outlineLevel="7" x14ac:dyDescent="0.25">
      <c r="A335" s="81" t="s">
        <v>362</v>
      </c>
      <c r="B335" s="80" t="s">
        <v>500</v>
      </c>
      <c r="C335" s="80" t="s">
        <v>67</v>
      </c>
      <c r="D335" s="80" t="s">
        <v>246</v>
      </c>
      <c r="E335" s="83" t="s">
        <v>6</v>
      </c>
      <c r="F335" s="622">
        <f t="shared" ref="F335:G337" si="21">F336</f>
        <v>30000</v>
      </c>
      <c r="G335" s="622">
        <f t="shared" si="21"/>
        <v>30000</v>
      </c>
    </row>
    <row r="336" spans="1:8" s="172" customFormat="1" ht="23.95" customHeight="1" outlineLevel="3" x14ac:dyDescent="0.25">
      <c r="A336" s="81" t="s">
        <v>68</v>
      </c>
      <c r="B336" s="80" t="s">
        <v>500</v>
      </c>
      <c r="C336" s="80" t="s">
        <v>67</v>
      </c>
      <c r="D336" s="80" t="s">
        <v>245</v>
      </c>
      <c r="E336" s="83" t="s">
        <v>6</v>
      </c>
      <c r="F336" s="621">
        <f t="shared" si="21"/>
        <v>30000</v>
      </c>
      <c r="G336" s="621">
        <f t="shared" si="21"/>
        <v>30000</v>
      </c>
      <c r="H336" s="171"/>
    </row>
    <row r="337" spans="1:8" ht="36.700000000000003" outlineLevel="5" x14ac:dyDescent="0.25">
      <c r="A337" s="81" t="s">
        <v>15</v>
      </c>
      <c r="B337" s="80" t="s">
        <v>500</v>
      </c>
      <c r="C337" s="80" t="s">
        <v>67</v>
      </c>
      <c r="D337" s="80" t="s">
        <v>245</v>
      </c>
      <c r="E337" s="83" t="s">
        <v>16</v>
      </c>
      <c r="F337" s="621">
        <f t="shared" si="21"/>
        <v>30000</v>
      </c>
      <c r="G337" s="621">
        <f t="shared" si="21"/>
        <v>30000</v>
      </c>
    </row>
    <row r="338" spans="1:8" ht="36.700000000000003" outlineLevel="5" x14ac:dyDescent="0.25">
      <c r="A338" s="81" t="s">
        <v>17</v>
      </c>
      <c r="B338" s="80" t="s">
        <v>500</v>
      </c>
      <c r="C338" s="80" t="s">
        <v>67</v>
      </c>
      <c r="D338" s="80" t="s">
        <v>245</v>
      </c>
      <c r="E338" s="83" t="s">
        <v>18</v>
      </c>
      <c r="F338" s="621">
        <v>30000</v>
      </c>
      <c r="G338" s="621">
        <v>30000</v>
      </c>
    </row>
    <row r="339" spans="1:8" ht="91.7" outlineLevel="6" x14ac:dyDescent="0.25">
      <c r="A339" s="109" t="s">
        <v>840</v>
      </c>
      <c r="B339" s="110" t="s">
        <v>500</v>
      </c>
      <c r="C339" s="110" t="s">
        <v>67</v>
      </c>
      <c r="D339" s="110" t="s">
        <v>363</v>
      </c>
      <c r="E339" s="111" t="s">
        <v>6</v>
      </c>
      <c r="F339" s="623">
        <f>F340</f>
        <v>45000</v>
      </c>
      <c r="G339" s="623">
        <f>G340</f>
        <v>45000</v>
      </c>
    </row>
    <row r="340" spans="1:8" ht="42.8" customHeight="1" outlineLevel="7" x14ac:dyDescent="0.25">
      <c r="A340" s="81" t="s">
        <v>364</v>
      </c>
      <c r="B340" s="80" t="s">
        <v>500</v>
      </c>
      <c r="C340" s="80" t="s">
        <v>67</v>
      </c>
      <c r="D340" s="80" t="s">
        <v>365</v>
      </c>
      <c r="E340" s="83" t="s">
        <v>6</v>
      </c>
      <c r="F340" s="621">
        <f>F342</f>
        <v>45000</v>
      </c>
      <c r="G340" s="621">
        <f>G342</f>
        <v>45000</v>
      </c>
    </row>
    <row r="341" spans="1:8" s="172" customFormat="1" ht="36.700000000000003" outlineLevel="1" x14ac:dyDescent="0.25">
      <c r="A341" s="81" t="s">
        <v>366</v>
      </c>
      <c r="B341" s="80" t="s">
        <v>500</v>
      </c>
      <c r="C341" s="80" t="s">
        <v>67</v>
      </c>
      <c r="D341" s="80" t="s">
        <v>367</v>
      </c>
      <c r="E341" s="83" t="s">
        <v>6</v>
      </c>
      <c r="F341" s="621">
        <f>F342</f>
        <v>45000</v>
      </c>
      <c r="G341" s="621">
        <f>G342</f>
        <v>45000</v>
      </c>
      <c r="H341" s="171"/>
    </row>
    <row r="342" spans="1:8" ht="36.700000000000003" outlineLevel="2" x14ac:dyDescent="0.25">
      <c r="A342" s="81" t="s">
        <v>15</v>
      </c>
      <c r="B342" s="80" t="s">
        <v>500</v>
      </c>
      <c r="C342" s="80" t="s">
        <v>67</v>
      </c>
      <c r="D342" s="80" t="s">
        <v>367</v>
      </c>
      <c r="E342" s="83" t="s">
        <v>16</v>
      </c>
      <c r="F342" s="621">
        <f>F343</f>
        <v>45000</v>
      </c>
      <c r="G342" s="621">
        <f>G343</f>
        <v>45000</v>
      </c>
    </row>
    <row r="343" spans="1:8" s="172" customFormat="1" ht="36.700000000000003" outlineLevel="3" x14ac:dyDescent="0.25">
      <c r="A343" s="81" t="s">
        <v>17</v>
      </c>
      <c r="B343" s="80" t="s">
        <v>500</v>
      </c>
      <c r="C343" s="80" t="s">
        <v>67</v>
      </c>
      <c r="D343" s="80" t="s">
        <v>367</v>
      </c>
      <c r="E343" s="83" t="s">
        <v>18</v>
      </c>
      <c r="F343" s="622">
        <v>45000</v>
      </c>
      <c r="G343" s="622">
        <v>45000</v>
      </c>
      <c r="H343" s="171"/>
    </row>
    <row r="344" spans="1:8" outlineLevel="3" x14ac:dyDescent="0.25">
      <c r="A344" s="109" t="s">
        <v>69</v>
      </c>
      <c r="B344" s="110" t="s">
        <v>500</v>
      </c>
      <c r="C344" s="110" t="s">
        <v>70</v>
      </c>
      <c r="D344" s="110" t="s">
        <v>126</v>
      </c>
      <c r="E344" s="111" t="s">
        <v>6</v>
      </c>
      <c r="F344" s="623">
        <f t="shared" ref="F344:G345" si="22">F345</f>
        <v>20237835.43</v>
      </c>
      <c r="G344" s="623">
        <f t="shared" si="22"/>
        <v>17284021.379999999</v>
      </c>
    </row>
    <row r="345" spans="1:8" outlineLevel="5" x14ac:dyDescent="0.25">
      <c r="A345" s="81" t="s">
        <v>257</v>
      </c>
      <c r="B345" s="80" t="s">
        <v>500</v>
      </c>
      <c r="C345" s="80" t="s">
        <v>256</v>
      </c>
      <c r="D345" s="80" t="s">
        <v>126</v>
      </c>
      <c r="E345" s="83" t="s">
        <v>6</v>
      </c>
      <c r="F345" s="621">
        <f t="shared" si="22"/>
        <v>20237835.43</v>
      </c>
      <c r="G345" s="621">
        <f t="shared" si="22"/>
        <v>17284021.379999999</v>
      </c>
    </row>
    <row r="346" spans="1:8" ht="55.05" outlineLevel="6" x14ac:dyDescent="0.25">
      <c r="A346" s="109" t="s">
        <v>839</v>
      </c>
      <c r="B346" s="110" t="s">
        <v>500</v>
      </c>
      <c r="C346" s="110" t="s">
        <v>256</v>
      </c>
      <c r="D346" s="110" t="s">
        <v>136</v>
      </c>
      <c r="E346" s="111" t="s">
        <v>6</v>
      </c>
      <c r="F346" s="623">
        <f>F347+F354</f>
        <v>20237835.43</v>
      </c>
      <c r="G346" s="623">
        <f>G347+G354</f>
        <v>17284021.379999999</v>
      </c>
    </row>
    <row r="347" spans="1:8" ht="42.8" customHeight="1" outlineLevel="7" x14ac:dyDescent="0.3">
      <c r="A347" s="123" t="s">
        <v>368</v>
      </c>
      <c r="B347" s="80" t="s">
        <v>500</v>
      </c>
      <c r="C347" s="80" t="s">
        <v>256</v>
      </c>
      <c r="D347" s="80" t="s">
        <v>228</v>
      </c>
      <c r="E347" s="83" t="s">
        <v>6</v>
      </c>
      <c r="F347" s="621">
        <f>F348</f>
        <v>20237835.43</v>
      </c>
      <c r="G347" s="621">
        <f>G351+G348</f>
        <v>17284021.379999999</v>
      </c>
    </row>
    <row r="348" spans="1:8" ht="55.05" outlineLevel="7" x14ac:dyDescent="0.25">
      <c r="A348" s="81" t="s">
        <v>73</v>
      </c>
      <c r="B348" s="80" t="s">
        <v>500</v>
      </c>
      <c r="C348" s="80" t="s">
        <v>256</v>
      </c>
      <c r="D348" s="80" t="s">
        <v>137</v>
      </c>
      <c r="E348" s="83" t="s">
        <v>6</v>
      </c>
      <c r="F348" s="621">
        <f>F349</f>
        <v>20237835.43</v>
      </c>
      <c r="G348" s="621">
        <f>G349</f>
        <v>17284021.379999999</v>
      </c>
    </row>
    <row r="349" spans="1:8" ht="36.700000000000003" outlineLevel="7" x14ac:dyDescent="0.25">
      <c r="A349" s="81" t="s">
        <v>37</v>
      </c>
      <c r="B349" s="80" t="s">
        <v>500</v>
      </c>
      <c r="C349" s="80" t="s">
        <v>256</v>
      </c>
      <c r="D349" s="80" t="s">
        <v>137</v>
      </c>
      <c r="E349" s="83" t="s">
        <v>38</v>
      </c>
      <c r="F349" s="621">
        <f>F350</f>
        <v>20237835.43</v>
      </c>
      <c r="G349" s="621">
        <f>G350</f>
        <v>17284021.379999999</v>
      </c>
    </row>
    <row r="350" spans="1:8" ht="20.25" customHeight="1" outlineLevel="7" x14ac:dyDescent="0.3">
      <c r="A350" s="123" t="s">
        <v>74</v>
      </c>
      <c r="B350" s="80" t="s">
        <v>500</v>
      </c>
      <c r="C350" s="80" t="s">
        <v>256</v>
      </c>
      <c r="D350" s="80" t="s">
        <v>137</v>
      </c>
      <c r="E350" s="83" t="s">
        <v>75</v>
      </c>
      <c r="F350" s="621">
        <f>20737835.43-500000</f>
        <v>20237835.43</v>
      </c>
      <c r="G350" s="621">
        <f>20784021.38-3500000</f>
        <v>17284021.379999999</v>
      </c>
    </row>
    <row r="351" spans="1:8" ht="77.95" hidden="1" customHeight="1" outlineLevel="7" x14ac:dyDescent="0.3">
      <c r="A351" s="123" t="s">
        <v>710</v>
      </c>
      <c r="B351" s="80" t="s">
        <v>500</v>
      </c>
      <c r="C351" s="80" t="s">
        <v>256</v>
      </c>
      <c r="D351" s="80" t="s">
        <v>711</v>
      </c>
      <c r="E351" s="83" t="s">
        <v>6</v>
      </c>
      <c r="F351" s="622">
        <v>0</v>
      </c>
      <c r="G351" s="636">
        <v>0</v>
      </c>
    </row>
    <row r="352" spans="1:8" s="172" customFormat="1" ht="36.700000000000003" hidden="1" outlineLevel="1" x14ac:dyDescent="0.25">
      <c r="A352" s="81" t="s">
        <v>37</v>
      </c>
      <c r="B352" s="80" t="s">
        <v>500</v>
      </c>
      <c r="C352" s="80" t="s">
        <v>256</v>
      </c>
      <c r="D352" s="80" t="s">
        <v>711</v>
      </c>
      <c r="E352" s="83" t="s">
        <v>38</v>
      </c>
      <c r="F352" s="642">
        <v>0</v>
      </c>
      <c r="G352" s="642">
        <v>0</v>
      </c>
      <c r="H352" s="171"/>
    </row>
    <row r="353" spans="1:12" hidden="1" outlineLevel="2" x14ac:dyDescent="0.3">
      <c r="A353" s="123" t="s">
        <v>74</v>
      </c>
      <c r="B353" s="80" t="s">
        <v>500</v>
      </c>
      <c r="C353" s="80" t="s">
        <v>256</v>
      </c>
      <c r="D353" s="80" t="s">
        <v>711</v>
      </c>
      <c r="E353" s="83" t="s">
        <v>75</v>
      </c>
      <c r="F353" s="622">
        <v>0</v>
      </c>
      <c r="G353" s="636">
        <v>0</v>
      </c>
    </row>
    <row r="354" spans="1:12" s="172" customFormat="1" hidden="1" outlineLevel="3" x14ac:dyDescent="0.25">
      <c r="A354" s="121" t="s">
        <v>597</v>
      </c>
      <c r="B354" s="110" t="s">
        <v>500</v>
      </c>
      <c r="C354" s="110" t="s">
        <v>256</v>
      </c>
      <c r="D354" s="110" t="s">
        <v>598</v>
      </c>
      <c r="E354" s="111" t="s">
        <v>6</v>
      </c>
      <c r="F354" s="621">
        <f t="shared" ref="F354:G356" si="23">F355</f>
        <v>0</v>
      </c>
      <c r="G354" s="621">
        <f t="shared" si="23"/>
        <v>0</v>
      </c>
      <c r="H354" s="171"/>
    </row>
    <row r="355" spans="1:12" ht="101.25" hidden="1" customHeight="1" outlineLevel="3" x14ac:dyDescent="0.25">
      <c r="A355" s="81" t="s">
        <v>575</v>
      </c>
      <c r="B355" s="80" t="s">
        <v>500</v>
      </c>
      <c r="C355" s="80" t="s">
        <v>256</v>
      </c>
      <c r="D355" s="80" t="s">
        <v>599</v>
      </c>
      <c r="E355" s="80" t="s">
        <v>6</v>
      </c>
      <c r="F355" s="621">
        <f t="shared" si="23"/>
        <v>0</v>
      </c>
      <c r="G355" s="621">
        <f t="shared" si="23"/>
        <v>0</v>
      </c>
    </row>
    <row r="356" spans="1:12" s="163" customFormat="1" ht="36.700000000000003" hidden="1" outlineLevel="7" x14ac:dyDescent="0.25">
      <c r="A356" s="81" t="s">
        <v>37</v>
      </c>
      <c r="B356" s="80" t="s">
        <v>500</v>
      </c>
      <c r="C356" s="80" t="s">
        <v>256</v>
      </c>
      <c r="D356" s="80" t="s">
        <v>599</v>
      </c>
      <c r="E356" s="80" t="s">
        <v>38</v>
      </c>
      <c r="F356" s="621">
        <f t="shared" si="23"/>
        <v>0</v>
      </c>
      <c r="G356" s="621">
        <f t="shared" si="23"/>
        <v>0</v>
      </c>
      <c r="I356" s="5"/>
      <c r="J356" s="5"/>
      <c r="K356" s="5"/>
      <c r="L356" s="5"/>
    </row>
    <row r="357" spans="1:12" s="163" customFormat="1" hidden="1" outlineLevel="7" x14ac:dyDescent="0.25">
      <c r="A357" s="81" t="s">
        <v>74</v>
      </c>
      <c r="B357" s="80" t="s">
        <v>500</v>
      </c>
      <c r="C357" s="80" t="s">
        <v>256</v>
      </c>
      <c r="D357" s="80" t="s">
        <v>599</v>
      </c>
      <c r="E357" s="80" t="s">
        <v>75</v>
      </c>
      <c r="F357" s="625"/>
      <c r="G357" s="625"/>
      <c r="I357" s="5"/>
      <c r="J357" s="5"/>
      <c r="K357" s="5"/>
      <c r="L357" s="5"/>
    </row>
    <row r="358" spans="1:12" s="163" customFormat="1" outlineLevel="7" x14ac:dyDescent="0.25">
      <c r="A358" s="109" t="s">
        <v>79</v>
      </c>
      <c r="B358" s="110" t="s">
        <v>500</v>
      </c>
      <c r="C358" s="110" t="s">
        <v>80</v>
      </c>
      <c r="D358" s="110" t="s">
        <v>126</v>
      </c>
      <c r="E358" s="111" t="s">
        <v>6</v>
      </c>
      <c r="F358" s="623">
        <f>F359+F386</f>
        <v>47632618.199999996</v>
      </c>
      <c r="G358" s="623">
        <f>G359+G386</f>
        <v>47077831.629999995</v>
      </c>
      <c r="I358" s="5"/>
      <c r="J358" s="5"/>
      <c r="K358" s="5"/>
      <c r="L358" s="5"/>
    </row>
    <row r="359" spans="1:12" s="163" customFormat="1" outlineLevel="7" x14ac:dyDescent="0.25">
      <c r="A359" s="81" t="s">
        <v>81</v>
      </c>
      <c r="B359" s="80" t="s">
        <v>500</v>
      </c>
      <c r="C359" s="80" t="s">
        <v>82</v>
      </c>
      <c r="D359" s="80" t="s">
        <v>126</v>
      </c>
      <c r="E359" s="83" t="s">
        <v>6</v>
      </c>
      <c r="F359" s="621">
        <f>F360</f>
        <v>38574023.619999997</v>
      </c>
      <c r="G359" s="621">
        <f>G360</f>
        <v>38019237.049999997</v>
      </c>
      <c r="I359" s="5"/>
      <c r="J359" s="5"/>
      <c r="K359" s="5"/>
      <c r="L359" s="5"/>
    </row>
    <row r="360" spans="1:12" s="163" customFormat="1" ht="55.05" outlineLevel="7" x14ac:dyDescent="0.25">
      <c r="A360" s="109" t="s">
        <v>839</v>
      </c>
      <c r="B360" s="110" t="s">
        <v>500</v>
      </c>
      <c r="C360" s="110" t="s">
        <v>82</v>
      </c>
      <c r="D360" s="110" t="s">
        <v>136</v>
      </c>
      <c r="E360" s="111" t="s">
        <v>6</v>
      </c>
      <c r="F360" s="623">
        <f>F361+F378+F371</f>
        <v>38574023.619999997</v>
      </c>
      <c r="G360" s="623">
        <f>G361+G378+G371</f>
        <v>38019237.049999997</v>
      </c>
      <c r="I360" s="5"/>
      <c r="J360" s="5"/>
      <c r="K360" s="5"/>
      <c r="L360" s="5"/>
    </row>
    <row r="361" spans="1:12" s="163" customFormat="1" ht="39.25" customHeight="1" outlineLevel="7" x14ac:dyDescent="0.25">
      <c r="A361" s="81" t="s">
        <v>370</v>
      </c>
      <c r="B361" s="80" t="s">
        <v>500</v>
      </c>
      <c r="C361" s="80" t="s">
        <v>82</v>
      </c>
      <c r="D361" s="80" t="s">
        <v>227</v>
      </c>
      <c r="E361" s="83" t="s">
        <v>6</v>
      </c>
      <c r="F361" s="621">
        <f>F362+F365+F368</f>
        <v>10432521.9</v>
      </c>
      <c r="G361" s="621">
        <f>G362+G365+G368</f>
        <v>9583568.5999999996</v>
      </c>
      <c r="I361" s="5"/>
      <c r="J361" s="5"/>
      <c r="K361" s="5"/>
      <c r="L361" s="5"/>
    </row>
    <row r="362" spans="1:12" s="163" customFormat="1" ht="55.05" outlineLevel="7" x14ac:dyDescent="0.25">
      <c r="A362" s="25" t="s">
        <v>84</v>
      </c>
      <c r="B362" s="80" t="s">
        <v>500</v>
      </c>
      <c r="C362" s="80" t="s">
        <v>82</v>
      </c>
      <c r="D362" s="80" t="s">
        <v>141</v>
      </c>
      <c r="E362" s="83" t="s">
        <v>6</v>
      </c>
      <c r="F362" s="621">
        <f>F363</f>
        <v>10259320.870000001</v>
      </c>
      <c r="G362" s="621">
        <f>G363</f>
        <v>9410367.5700000003</v>
      </c>
      <c r="I362" s="5"/>
      <c r="J362" s="5"/>
      <c r="K362" s="5"/>
      <c r="L362" s="5"/>
    </row>
    <row r="363" spans="1:12" s="163" customFormat="1" ht="36.700000000000003" outlineLevel="7" x14ac:dyDescent="0.25">
      <c r="A363" s="81" t="s">
        <v>37</v>
      </c>
      <c r="B363" s="80" t="s">
        <v>500</v>
      </c>
      <c r="C363" s="80" t="s">
        <v>82</v>
      </c>
      <c r="D363" s="80" t="s">
        <v>141</v>
      </c>
      <c r="E363" s="83" t="s">
        <v>38</v>
      </c>
      <c r="F363" s="621">
        <f>F364</f>
        <v>10259320.870000001</v>
      </c>
      <c r="G363" s="621">
        <f>G364</f>
        <v>9410367.5700000003</v>
      </c>
      <c r="I363" s="5"/>
      <c r="J363" s="5"/>
      <c r="K363" s="5"/>
      <c r="L363" s="5"/>
    </row>
    <row r="364" spans="1:12" s="163" customFormat="1" outlineLevel="7" x14ac:dyDescent="0.25">
      <c r="A364" s="81" t="s">
        <v>74</v>
      </c>
      <c r="B364" s="80" t="s">
        <v>500</v>
      </c>
      <c r="C364" s="80" t="s">
        <v>82</v>
      </c>
      <c r="D364" s="80" t="s">
        <v>141</v>
      </c>
      <c r="E364" s="83" t="s">
        <v>75</v>
      </c>
      <c r="F364" s="622">
        <f>11229888.8-1000000+29432.07</f>
        <v>10259320.870000001</v>
      </c>
      <c r="G364" s="622">
        <f>11910367.57-2500000</f>
        <v>9410367.5700000003</v>
      </c>
      <c r="I364" s="5"/>
      <c r="J364" s="5"/>
      <c r="K364" s="5"/>
      <c r="L364" s="5"/>
    </row>
    <row r="365" spans="1:12" s="163" customFormat="1" ht="55.7" customHeight="1" outlineLevel="7" x14ac:dyDescent="0.3">
      <c r="A365" s="100" t="s">
        <v>985</v>
      </c>
      <c r="B365" s="439" t="s">
        <v>500</v>
      </c>
      <c r="C365" s="439" t="s">
        <v>82</v>
      </c>
      <c r="D365" s="539" t="s">
        <v>294</v>
      </c>
      <c r="E365" s="548" t="s">
        <v>6</v>
      </c>
      <c r="F365" s="622">
        <f>F366</f>
        <v>168005</v>
      </c>
      <c r="G365" s="622">
        <f>G366</f>
        <v>168005</v>
      </c>
      <c r="I365" s="5"/>
      <c r="J365" s="5"/>
      <c r="K365" s="5"/>
      <c r="L365" s="5"/>
    </row>
    <row r="366" spans="1:12" s="163" customFormat="1" ht="36.700000000000003" outlineLevel="7" x14ac:dyDescent="0.3">
      <c r="A366" s="81" t="s">
        <v>37</v>
      </c>
      <c r="B366" s="439" t="s">
        <v>500</v>
      </c>
      <c r="C366" s="439" t="s">
        <v>82</v>
      </c>
      <c r="D366" s="539" t="s">
        <v>294</v>
      </c>
      <c r="E366" s="548" t="s">
        <v>38</v>
      </c>
      <c r="F366" s="622">
        <f>F367</f>
        <v>168005</v>
      </c>
      <c r="G366" s="622">
        <f>G367</f>
        <v>168005</v>
      </c>
      <c r="I366" s="5"/>
      <c r="J366" s="5"/>
      <c r="K366" s="5"/>
      <c r="L366" s="5"/>
    </row>
    <row r="367" spans="1:12" s="163" customFormat="1" outlineLevel="7" x14ac:dyDescent="0.3">
      <c r="A367" s="81" t="s">
        <v>74</v>
      </c>
      <c r="B367" s="439" t="s">
        <v>500</v>
      </c>
      <c r="C367" s="439" t="s">
        <v>82</v>
      </c>
      <c r="D367" s="539" t="s">
        <v>294</v>
      </c>
      <c r="E367" s="548" t="s">
        <v>75</v>
      </c>
      <c r="F367" s="616">
        <v>168005</v>
      </c>
      <c r="G367" s="616">
        <v>168005</v>
      </c>
      <c r="I367" s="5"/>
      <c r="J367" s="5"/>
      <c r="K367" s="5"/>
      <c r="L367" s="5"/>
    </row>
    <row r="368" spans="1:12" s="163" customFormat="1" ht="73.400000000000006" outlineLevel="7" x14ac:dyDescent="0.3">
      <c r="A368" s="81" t="s">
        <v>307</v>
      </c>
      <c r="B368" s="439" t="s">
        <v>500</v>
      </c>
      <c r="C368" s="439" t="s">
        <v>82</v>
      </c>
      <c r="D368" s="539" t="s">
        <v>308</v>
      </c>
      <c r="E368" s="548" t="s">
        <v>6</v>
      </c>
      <c r="F368" s="622">
        <f>F369</f>
        <v>5196.03</v>
      </c>
      <c r="G368" s="622">
        <f>G369</f>
        <v>5196.03</v>
      </c>
      <c r="I368" s="5"/>
      <c r="J368" s="5"/>
      <c r="K368" s="5"/>
      <c r="L368" s="5"/>
    </row>
    <row r="369" spans="1:12" s="163" customFormat="1" ht="36.700000000000003" outlineLevel="7" x14ac:dyDescent="0.3">
      <c r="A369" s="81" t="s">
        <v>37</v>
      </c>
      <c r="B369" s="439" t="s">
        <v>500</v>
      </c>
      <c r="C369" s="439" t="s">
        <v>82</v>
      </c>
      <c r="D369" s="539" t="s">
        <v>308</v>
      </c>
      <c r="E369" s="548" t="s">
        <v>38</v>
      </c>
      <c r="F369" s="622">
        <f>F370</f>
        <v>5196.03</v>
      </c>
      <c r="G369" s="622">
        <f>G370</f>
        <v>5196.03</v>
      </c>
      <c r="I369" s="5"/>
      <c r="J369" s="5"/>
      <c r="K369" s="5"/>
      <c r="L369" s="5"/>
    </row>
    <row r="370" spans="1:12" s="163" customFormat="1" outlineLevel="7" x14ac:dyDescent="0.3">
      <c r="A370" s="81" t="s">
        <v>74</v>
      </c>
      <c r="B370" s="439" t="s">
        <v>500</v>
      </c>
      <c r="C370" s="439" t="s">
        <v>82</v>
      </c>
      <c r="D370" s="539" t="s">
        <v>308</v>
      </c>
      <c r="E370" s="548" t="s">
        <v>75</v>
      </c>
      <c r="F370" s="616">
        <v>5196.03</v>
      </c>
      <c r="G370" s="616">
        <v>5196.03</v>
      </c>
      <c r="I370" s="5"/>
      <c r="J370" s="5"/>
      <c r="K370" s="5"/>
      <c r="L370" s="5"/>
    </row>
    <row r="371" spans="1:12" s="163" customFormat="1" ht="36.700000000000003" outlineLevel="7" x14ac:dyDescent="0.25">
      <c r="A371" s="81" t="s">
        <v>678</v>
      </c>
      <c r="B371" s="80" t="s">
        <v>500</v>
      </c>
      <c r="C371" s="80" t="s">
        <v>82</v>
      </c>
      <c r="D371" s="80" t="s">
        <v>677</v>
      </c>
      <c r="E371" s="83" t="s">
        <v>6</v>
      </c>
      <c r="F371" s="621">
        <f>F372+F375</f>
        <v>27395001.719999999</v>
      </c>
      <c r="G371" s="621">
        <f>G372+G375</f>
        <v>25888294.030000001</v>
      </c>
      <c r="I371" s="5"/>
      <c r="J371" s="5"/>
      <c r="K371" s="5"/>
      <c r="L371" s="5"/>
    </row>
    <row r="372" spans="1:12" s="163" customFormat="1" ht="36.700000000000003" customHeight="1" outlineLevel="3" x14ac:dyDescent="0.25">
      <c r="A372" s="25" t="s">
        <v>84</v>
      </c>
      <c r="B372" s="80" t="s">
        <v>500</v>
      </c>
      <c r="C372" s="80" t="s">
        <v>82</v>
      </c>
      <c r="D372" s="80" t="s">
        <v>676</v>
      </c>
      <c r="E372" s="83" t="s">
        <v>6</v>
      </c>
      <c r="F372" s="621">
        <f>F373</f>
        <v>27395001.719999999</v>
      </c>
      <c r="G372" s="621">
        <f>G373</f>
        <v>25888294.030000001</v>
      </c>
      <c r="I372" s="5"/>
      <c r="J372" s="5"/>
      <c r="K372" s="5"/>
      <c r="L372" s="5"/>
    </row>
    <row r="373" spans="1:12" s="163" customFormat="1" ht="36.700000000000003" outlineLevel="3" x14ac:dyDescent="0.25">
      <c r="A373" s="81" t="s">
        <v>37</v>
      </c>
      <c r="B373" s="80" t="s">
        <v>500</v>
      </c>
      <c r="C373" s="80" t="s">
        <v>82</v>
      </c>
      <c r="D373" s="80" t="s">
        <v>676</v>
      </c>
      <c r="E373" s="83" t="s">
        <v>38</v>
      </c>
      <c r="F373" s="621">
        <f>F374</f>
        <v>27395001.719999999</v>
      </c>
      <c r="G373" s="621">
        <f>G374</f>
        <v>25888294.030000001</v>
      </c>
      <c r="I373" s="5"/>
      <c r="J373" s="5"/>
      <c r="K373" s="5"/>
      <c r="L373" s="5"/>
    </row>
    <row r="374" spans="1:12" s="163" customFormat="1" ht="19.7" customHeight="1" outlineLevel="3" x14ac:dyDescent="0.25">
      <c r="A374" s="81" t="s">
        <v>74</v>
      </c>
      <c r="B374" s="80" t="s">
        <v>500</v>
      </c>
      <c r="C374" s="80" t="s">
        <v>82</v>
      </c>
      <c r="D374" s="80" t="s">
        <v>676</v>
      </c>
      <c r="E374" s="83" t="s">
        <v>75</v>
      </c>
      <c r="F374" s="622">
        <f>28095001.72-700000</f>
        <v>27395001.719999999</v>
      </c>
      <c r="G374" s="622">
        <f>29388294.03-3500000</f>
        <v>25888294.030000001</v>
      </c>
      <c r="I374" s="5"/>
      <c r="J374" s="5"/>
      <c r="K374" s="5"/>
      <c r="L374" s="5"/>
    </row>
    <row r="375" spans="1:12" s="163" customFormat="1" ht="102.6" hidden="1" customHeight="1" outlineLevel="7" x14ac:dyDescent="0.3">
      <c r="A375" s="123" t="s">
        <v>710</v>
      </c>
      <c r="B375" s="80" t="s">
        <v>500</v>
      </c>
      <c r="C375" s="80" t="s">
        <v>82</v>
      </c>
      <c r="D375" s="80" t="s">
        <v>712</v>
      </c>
      <c r="E375" s="83" t="s">
        <v>6</v>
      </c>
      <c r="F375" s="621">
        <f>F376</f>
        <v>0</v>
      </c>
      <c r="G375" s="621">
        <f>G376</f>
        <v>0</v>
      </c>
      <c r="I375" s="5"/>
      <c r="J375" s="5"/>
      <c r="K375" s="5"/>
      <c r="L375" s="5"/>
    </row>
    <row r="376" spans="1:12" s="163" customFormat="1" ht="47.55" hidden="1" customHeight="1" outlineLevel="5" x14ac:dyDescent="0.25">
      <c r="A376" s="81" t="s">
        <v>37</v>
      </c>
      <c r="B376" s="80" t="s">
        <v>500</v>
      </c>
      <c r="C376" s="80" t="s">
        <v>82</v>
      </c>
      <c r="D376" s="80" t="s">
        <v>712</v>
      </c>
      <c r="E376" s="83" t="s">
        <v>38</v>
      </c>
      <c r="F376" s="621">
        <f>F377</f>
        <v>0</v>
      </c>
      <c r="G376" s="621">
        <f>G377</f>
        <v>0</v>
      </c>
      <c r="I376" s="5"/>
      <c r="J376" s="5"/>
      <c r="K376" s="5"/>
      <c r="L376" s="5"/>
    </row>
    <row r="377" spans="1:12" s="163" customFormat="1" hidden="1" outlineLevel="6" x14ac:dyDescent="0.3">
      <c r="A377" s="123" t="s">
        <v>74</v>
      </c>
      <c r="B377" s="80" t="s">
        <v>500</v>
      </c>
      <c r="C377" s="80" t="s">
        <v>82</v>
      </c>
      <c r="D377" s="80" t="s">
        <v>712</v>
      </c>
      <c r="E377" s="83" t="s">
        <v>75</v>
      </c>
      <c r="F377" s="622">
        <v>0</v>
      </c>
      <c r="G377" s="622">
        <v>0</v>
      </c>
      <c r="I377" s="5"/>
      <c r="J377" s="5"/>
      <c r="K377" s="5"/>
      <c r="L377" s="5"/>
    </row>
    <row r="378" spans="1:12" ht="36.700000000000003" outlineLevel="7" x14ac:dyDescent="0.25">
      <c r="A378" s="81" t="s">
        <v>211</v>
      </c>
      <c r="B378" s="80" t="s">
        <v>500</v>
      </c>
      <c r="C378" s="80" t="s">
        <v>82</v>
      </c>
      <c r="D378" s="80" t="s">
        <v>229</v>
      </c>
      <c r="E378" s="83" t="s">
        <v>6</v>
      </c>
      <c r="F378" s="622">
        <f>F379</f>
        <v>746500</v>
      </c>
      <c r="G378" s="622">
        <f>G379+G383</f>
        <v>2547374.42</v>
      </c>
    </row>
    <row r="379" spans="1:12" ht="25.15" customHeight="1" outlineLevel="7" x14ac:dyDescent="0.25">
      <c r="A379" s="81" t="s">
        <v>83</v>
      </c>
      <c r="B379" s="80" t="s">
        <v>500</v>
      </c>
      <c r="C379" s="80" t="s">
        <v>82</v>
      </c>
      <c r="D379" s="80" t="s">
        <v>140</v>
      </c>
      <c r="E379" s="83" t="s">
        <v>6</v>
      </c>
      <c r="F379" s="621">
        <f>F380</f>
        <v>746500</v>
      </c>
      <c r="G379" s="621">
        <f>G380</f>
        <v>746500</v>
      </c>
    </row>
    <row r="380" spans="1:12" s="172" customFormat="1" ht="36.700000000000003" outlineLevel="1" x14ac:dyDescent="0.25">
      <c r="A380" s="81" t="s">
        <v>37</v>
      </c>
      <c r="B380" s="80" t="s">
        <v>500</v>
      </c>
      <c r="C380" s="80" t="s">
        <v>82</v>
      </c>
      <c r="D380" s="80" t="s">
        <v>140</v>
      </c>
      <c r="E380" s="83" t="s">
        <v>38</v>
      </c>
      <c r="F380" s="621">
        <f>F381+F382</f>
        <v>746500</v>
      </c>
      <c r="G380" s="621">
        <f>G381+G382</f>
        <v>746500</v>
      </c>
      <c r="H380" s="171"/>
    </row>
    <row r="381" spans="1:12" outlineLevel="2" x14ac:dyDescent="0.25">
      <c r="A381" s="81" t="s">
        <v>74</v>
      </c>
      <c r="B381" s="80" t="s">
        <v>500</v>
      </c>
      <c r="C381" s="80" t="s">
        <v>82</v>
      </c>
      <c r="D381" s="80" t="s">
        <v>140</v>
      </c>
      <c r="E381" s="83" t="s">
        <v>75</v>
      </c>
      <c r="F381" s="621">
        <v>632500</v>
      </c>
      <c r="G381" s="621">
        <v>632500</v>
      </c>
    </row>
    <row r="382" spans="1:12" ht="55.55" customHeight="1" outlineLevel="4" x14ac:dyDescent="0.25">
      <c r="A382" s="81" t="s">
        <v>371</v>
      </c>
      <c r="B382" s="80" t="s">
        <v>500</v>
      </c>
      <c r="C382" s="80" t="s">
        <v>82</v>
      </c>
      <c r="D382" s="80" t="s">
        <v>140</v>
      </c>
      <c r="E382" s="83" t="s">
        <v>252</v>
      </c>
      <c r="F382" s="621">
        <v>114000</v>
      </c>
      <c r="G382" s="621">
        <v>114000</v>
      </c>
    </row>
    <row r="383" spans="1:12" ht="55.55" customHeight="1" outlineLevel="4" x14ac:dyDescent="0.25">
      <c r="A383" s="81" t="s">
        <v>1091</v>
      </c>
      <c r="B383" s="80" t="s">
        <v>500</v>
      </c>
      <c r="C383" s="80" t="s">
        <v>82</v>
      </c>
      <c r="D383" s="80" t="s">
        <v>1094</v>
      </c>
      <c r="E383" s="83" t="s">
        <v>6</v>
      </c>
      <c r="F383" s="621">
        <v>0</v>
      </c>
      <c r="G383" s="621">
        <f>G384</f>
        <v>1800874.42</v>
      </c>
    </row>
    <row r="384" spans="1:12" ht="36" customHeight="1" outlineLevel="4" x14ac:dyDescent="0.25">
      <c r="A384" s="81" t="s">
        <v>37</v>
      </c>
      <c r="B384" s="80" t="s">
        <v>500</v>
      </c>
      <c r="C384" s="80" t="s">
        <v>82</v>
      </c>
      <c r="D384" s="80" t="s">
        <v>1094</v>
      </c>
      <c r="E384" s="83" t="s">
        <v>38</v>
      </c>
      <c r="F384" s="621">
        <v>0</v>
      </c>
      <c r="G384" s="621">
        <f>G385</f>
        <v>1800874.42</v>
      </c>
    </row>
    <row r="385" spans="1:8" ht="24.45" customHeight="1" outlineLevel="4" x14ac:dyDescent="0.25">
      <c r="A385" s="81" t="s">
        <v>74</v>
      </c>
      <c r="B385" s="80" t="s">
        <v>500</v>
      </c>
      <c r="C385" s="80" t="s">
        <v>82</v>
      </c>
      <c r="D385" s="80" t="s">
        <v>1094</v>
      </c>
      <c r="E385" s="83" t="s">
        <v>75</v>
      </c>
      <c r="F385" s="621">
        <v>0</v>
      </c>
      <c r="G385" s="621">
        <v>1800874.42</v>
      </c>
    </row>
    <row r="386" spans="1:8" ht="35.5" customHeight="1" outlineLevel="5" x14ac:dyDescent="0.25">
      <c r="A386" s="81" t="s">
        <v>522</v>
      </c>
      <c r="B386" s="80" t="s">
        <v>500</v>
      </c>
      <c r="C386" s="80" t="s">
        <v>523</v>
      </c>
      <c r="D386" s="80" t="s">
        <v>126</v>
      </c>
      <c r="E386" s="80" t="s">
        <v>6</v>
      </c>
      <c r="F386" s="621">
        <f>F387+F398</f>
        <v>9058594.5800000001</v>
      </c>
      <c r="G386" s="621">
        <f t="shared" ref="F386:G390" si="24">G387</f>
        <v>9058594.5800000001</v>
      </c>
    </row>
    <row r="387" spans="1:8" ht="54.7" customHeight="1" outlineLevel="6" x14ac:dyDescent="0.25">
      <c r="A387" s="81" t="s">
        <v>369</v>
      </c>
      <c r="B387" s="80" t="s">
        <v>500</v>
      </c>
      <c r="C387" s="80" t="s">
        <v>523</v>
      </c>
      <c r="D387" s="80" t="s">
        <v>136</v>
      </c>
      <c r="E387" s="80" t="s">
        <v>6</v>
      </c>
      <c r="F387" s="621">
        <f t="shared" si="24"/>
        <v>9058594.5800000001</v>
      </c>
      <c r="G387" s="621">
        <f t="shared" si="24"/>
        <v>9058594.5800000001</v>
      </c>
    </row>
    <row r="388" spans="1:8" ht="41.3" customHeight="1" outlineLevel="7" x14ac:dyDescent="0.25">
      <c r="A388" s="81" t="s">
        <v>211</v>
      </c>
      <c r="B388" s="80" t="s">
        <v>500</v>
      </c>
      <c r="C388" s="80" t="s">
        <v>523</v>
      </c>
      <c r="D388" s="80" t="s">
        <v>229</v>
      </c>
      <c r="E388" s="80" t="s">
        <v>6</v>
      </c>
      <c r="F388" s="621">
        <f>F389+F392+F395</f>
        <v>9058594.5800000001</v>
      </c>
      <c r="G388" s="621">
        <f>G389+G392+G395</f>
        <v>9058594.5800000001</v>
      </c>
    </row>
    <row r="389" spans="1:8" ht="87.65" hidden="1" customHeight="1" outlineLevel="7" x14ac:dyDescent="0.25">
      <c r="A389" s="81" t="s">
        <v>872</v>
      </c>
      <c r="B389" s="80" t="s">
        <v>500</v>
      </c>
      <c r="C389" s="80" t="s">
        <v>523</v>
      </c>
      <c r="D389" s="80" t="s">
        <v>871</v>
      </c>
      <c r="E389" s="80" t="s">
        <v>6</v>
      </c>
      <c r="F389" s="621">
        <f t="shared" si="24"/>
        <v>0</v>
      </c>
      <c r="G389" s="621">
        <f t="shared" si="24"/>
        <v>0</v>
      </c>
    </row>
    <row r="390" spans="1:8" s="172" customFormat="1" ht="48.25" hidden="1" customHeight="1" outlineLevel="7" x14ac:dyDescent="0.25">
      <c r="A390" s="81" t="s">
        <v>37</v>
      </c>
      <c r="B390" s="80" t="s">
        <v>500</v>
      </c>
      <c r="C390" s="80" t="s">
        <v>523</v>
      </c>
      <c r="D390" s="80" t="s">
        <v>871</v>
      </c>
      <c r="E390" s="80" t="s">
        <v>38</v>
      </c>
      <c r="F390" s="621">
        <f t="shared" si="24"/>
        <v>0</v>
      </c>
      <c r="G390" s="621">
        <f t="shared" si="24"/>
        <v>0</v>
      </c>
      <c r="H390" s="171"/>
    </row>
    <row r="391" spans="1:8" ht="23.3" hidden="1" customHeight="1" outlineLevel="7" x14ac:dyDescent="0.25">
      <c r="A391" s="81" t="s">
        <v>74</v>
      </c>
      <c r="B391" s="80" t="s">
        <v>500</v>
      </c>
      <c r="C391" s="80" t="s">
        <v>523</v>
      </c>
      <c r="D391" s="80" t="s">
        <v>871</v>
      </c>
      <c r="E391" s="80" t="s">
        <v>75</v>
      </c>
      <c r="F391" s="621">
        <v>0</v>
      </c>
      <c r="G391" s="625"/>
    </row>
    <row r="392" spans="1:8" ht="59.3" hidden="1" customHeight="1" outlineLevel="7" x14ac:dyDescent="0.25">
      <c r="A392" s="81" t="s">
        <v>524</v>
      </c>
      <c r="B392" s="80" t="s">
        <v>500</v>
      </c>
      <c r="C392" s="80" t="s">
        <v>523</v>
      </c>
      <c r="D392" s="80" t="s">
        <v>525</v>
      </c>
      <c r="E392" s="80" t="s">
        <v>6</v>
      </c>
      <c r="F392" s="625"/>
      <c r="G392" s="621">
        <f>G393</f>
        <v>0</v>
      </c>
    </row>
    <row r="393" spans="1:8" ht="57.25" hidden="1" customHeight="1" outlineLevel="7" x14ac:dyDescent="0.25">
      <c r="A393" s="81" t="s">
        <v>37</v>
      </c>
      <c r="B393" s="80" t="s">
        <v>500</v>
      </c>
      <c r="C393" s="80" t="s">
        <v>523</v>
      </c>
      <c r="D393" s="80" t="s">
        <v>525</v>
      </c>
      <c r="E393" s="80" t="s">
        <v>38</v>
      </c>
      <c r="F393" s="621">
        <f>F394</f>
        <v>0</v>
      </c>
      <c r="G393" s="621">
        <f>G394</f>
        <v>0</v>
      </c>
    </row>
    <row r="394" spans="1:8" ht="28.55" hidden="1" customHeight="1" outlineLevel="7" x14ac:dyDescent="0.25">
      <c r="A394" s="81" t="s">
        <v>74</v>
      </c>
      <c r="B394" s="80" t="s">
        <v>500</v>
      </c>
      <c r="C394" s="80" t="s">
        <v>523</v>
      </c>
      <c r="D394" s="80" t="s">
        <v>525</v>
      </c>
      <c r="E394" s="80" t="s">
        <v>75</v>
      </c>
      <c r="F394" s="621">
        <v>0</v>
      </c>
      <c r="G394" s="621">
        <v>0</v>
      </c>
    </row>
    <row r="395" spans="1:8" ht="93.75" customHeight="1" outlineLevel="7" x14ac:dyDescent="0.25">
      <c r="A395" s="589" t="s">
        <v>1043</v>
      </c>
      <c r="B395" s="80" t="s">
        <v>500</v>
      </c>
      <c r="C395" s="80" t="s">
        <v>523</v>
      </c>
      <c r="D395" s="80" t="s">
        <v>1044</v>
      </c>
      <c r="E395" s="80" t="s">
        <v>6</v>
      </c>
      <c r="F395" s="621">
        <f>F396</f>
        <v>9058594.5800000001</v>
      </c>
      <c r="G395" s="621">
        <f>G396</f>
        <v>9058594.5800000001</v>
      </c>
    </row>
    <row r="396" spans="1:8" ht="40.75" customHeight="1" outlineLevel="7" x14ac:dyDescent="0.25">
      <c r="A396" s="81" t="s">
        <v>37</v>
      </c>
      <c r="B396" s="80" t="s">
        <v>500</v>
      </c>
      <c r="C396" s="80" t="s">
        <v>523</v>
      </c>
      <c r="D396" s="80" t="s">
        <v>1044</v>
      </c>
      <c r="E396" s="80" t="s">
        <v>38</v>
      </c>
      <c r="F396" s="621">
        <f>F397</f>
        <v>9058594.5800000001</v>
      </c>
      <c r="G396" s="621">
        <f>G397</f>
        <v>9058594.5800000001</v>
      </c>
    </row>
    <row r="397" spans="1:8" ht="29.25" customHeight="1" outlineLevel="7" x14ac:dyDescent="0.25">
      <c r="A397" s="81" t="s">
        <v>74</v>
      </c>
      <c r="B397" s="80" t="s">
        <v>500</v>
      </c>
      <c r="C397" s="80" t="s">
        <v>523</v>
      </c>
      <c r="D397" s="80" t="s">
        <v>1044</v>
      </c>
      <c r="E397" s="80" t="s">
        <v>75</v>
      </c>
      <c r="F397" s="627">
        <f>8786836.74+271757.84</f>
        <v>9058594.5800000001</v>
      </c>
      <c r="G397" s="627">
        <f>8786836.74+271757.84</f>
        <v>9058594.5800000001</v>
      </c>
    </row>
    <row r="398" spans="1:8" ht="62.5" hidden="1" customHeight="1" outlineLevel="7" x14ac:dyDescent="0.25">
      <c r="A398" s="109" t="s">
        <v>847</v>
      </c>
      <c r="B398" s="110" t="s">
        <v>500</v>
      </c>
      <c r="C398" s="110" t="s">
        <v>523</v>
      </c>
      <c r="D398" s="110" t="s">
        <v>331</v>
      </c>
      <c r="E398" s="110" t="s">
        <v>6</v>
      </c>
      <c r="F398" s="621">
        <f>F399</f>
        <v>0</v>
      </c>
      <c r="G398" s="621">
        <v>0</v>
      </c>
    </row>
    <row r="399" spans="1:8" ht="39.4" hidden="1" customHeight="1" outlineLevel="7" x14ac:dyDescent="0.25">
      <c r="A399" s="81" t="s">
        <v>345</v>
      </c>
      <c r="B399" s="80" t="s">
        <v>500</v>
      </c>
      <c r="C399" s="80" t="s">
        <v>523</v>
      </c>
      <c r="D399" s="80" t="s">
        <v>332</v>
      </c>
      <c r="E399" s="80" t="s">
        <v>6</v>
      </c>
      <c r="F399" s="621">
        <f>F400</f>
        <v>0</v>
      </c>
      <c r="G399" s="621">
        <v>0</v>
      </c>
    </row>
    <row r="400" spans="1:8" ht="20.25" hidden="1" customHeight="1" outlineLevel="7" x14ac:dyDescent="0.25">
      <c r="A400" s="81" t="s">
        <v>909</v>
      </c>
      <c r="B400" s="80" t="s">
        <v>500</v>
      </c>
      <c r="C400" s="80" t="s">
        <v>523</v>
      </c>
      <c r="D400" s="80" t="s">
        <v>908</v>
      </c>
      <c r="E400" s="80" t="s">
        <v>6</v>
      </c>
      <c r="F400" s="621">
        <f>F401</f>
        <v>0</v>
      </c>
      <c r="G400" s="621">
        <v>0</v>
      </c>
    </row>
    <row r="401" spans="1:12" ht="20.25" hidden="1" customHeight="1" outlineLevel="7" x14ac:dyDescent="0.25">
      <c r="A401" s="81" t="s">
        <v>15</v>
      </c>
      <c r="B401" s="80" t="s">
        <v>500</v>
      </c>
      <c r="C401" s="80" t="s">
        <v>523</v>
      </c>
      <c r="D401" s="80" t="s">
        <v>908</v>
      </c>
      <c r="E401" s="80" t="s">
        <v>16</v>
      </c>
      <c r="F401" s="621">
        <f>F402</f>
        <v>0</v>
      </c>
      <c r="G401" s="621">
        <v>0</v>
      </c>
    </row>
    <row r="402" spans="1:12" ht="20.25" hidden="1" customHeight="1" outlineLevel="7" x14ac:dyDescent="0.25">
      <c r="A402" s="81" t="s">
        <v>17</v>
      </c>
      <c r="B402" s="80" t="s">
        <v>500</v>
      </c>
      <c r="C402" s="80" t="s">
        <v>523</v>
      </c>
      <c r="D402" s="80" t="s">
        <v>908</v>
      </c>
      <c r="E402" s="80" t="s">
        <v>18</v>
      </c>
      <c r="F402" s="625"/>
      <c r="G402" s="625"/>
    </row>
    <row r="403" spans="1:12" outlineLevel="7" x14ac:dyDescent="0.25">
      <c r="A403" s="109" t="s">
        <v>85</v>
      </c>
      <c r="B403" s="110" t="s">
        <v>500</v>
      </c>
      <c r="C403" s="110" t="s">
        <v>86</v>
      </c>
      <c r="D403" s="110" t="s">
        <v>126</v>
      </c>
      <c r="E403" s="111" t="s">
        <v>6</v>
      </c>
      <c r="F403" s="623">
        <f>F404+F409+F424</f>
        <v>91830585.060000002</v>
      </c>
      <c r="G403" s="623">
        <f>G404+G409+G424</f>
        <v>93102259.659999996</v>
      </c>
    </row>
    <row r="404" spans="1:12" outlineLevel="7" x14ac:dyDescent="0.25">
      <c r="A404" s="81" t="s">
        <v>87</v>
      </c>
      <c r="B404" s="80" t="s">
        <v>500</v>
      </c>
      <c r="C404" s="80" t="s">
        <v>88</v>
      </c>
      <c r="D404" s="80" t="s">
        <v>126</v>
      </c>
      <c r="E404" s="83" t="s">
        <v>6</v>
      </c>
      <c r="F404" s="621">
        <f t="shared" ref="F404:G407" si="25">F405</f>
        <v>5533145.6699999999</v>
      </c>
      <c r="G404" s="621">
        <f t="shared" si="25"/>
        <v>5533145.6699999999</v>
      </c>
    </row>
    <row r="405" spans="1:12" ht="36.700000000000003" outlineLevel="7" x14ac:dyDescent="0.25">
      <c r="A405" s="109" t="s">
        <v>132</v>
      </c>
      <c r="B405" s="110" t="s">
        <v>500</v>
      </c>
      <c r="C405" s="110" t="s">
        <v>88</v>
      </c>
      <c r="D405" s="110" t="s">
        <v>127</v>
      </c>
      <c r="E405" s="111" t="s">
        <v>6</v>
      </c>
      <c r="F405" s="623">
        <f t="shared" si="25"/>
        <v>5533145.6699999999</v>
      </c>
      <c r="G405" s="623">
        <f t="shared" si="25"/>
        <v>5533145.6699999999</v>
      </c>
    </row>
    <row r="406" spans="1:12" s="172" customFormat="1" ht="26.5" customHeight="1" outlineLevel="7" x14ac:dyDescent="0.25">
      <c r="A406" s="81" t="s">
        <v>89</v>
      </c>
      <c r="B406" s="80" t="s">
        <v>500</v>
      </c>
      <c r="C406" s="80" t="s">
        <v>88</v>
      </c>
      <c r="D406" s="80" t="s">
        <v>142</v>
      </c>
      <c r="E406" s="83" t="s">
        <v>6</v>
      </c>
      <c r="F406" s="621">
        <f t="shared" si="25"/>
        <v>5533145.6699999999</v>
      </c>
      <c r="G406" s="621">
        <f t="shared" si="25"/>
        <v>5533145.6699999999</v>
      </c>
      <c r="H406" s="171"/>
    </row>
    <row r="407" spans="1:12" ht="25.5" customHeight="1" outlineLevel="7" x14ac:dyDescent="0.25">
      <c r="A407" s="81" t="s">
        <v>90</v>
      </c>
      <c r="B407" s="80" t="s">
        <v>500</v>
      </c>
      <c r="C407" s="80" t="s">
        <v>88</v>
      </c>
      <c r="D407" s="80" t="s">
        <v>142</v>
      </c>
      <c r="E407" s="83" t="s">
        <v>91</v>
      </c>
      <c r="F407" s="621">
        <f t="shared" si="25"/>
        <v>5533145.6699999999</v>
      </c>
      <c r="G407" s="621">
        <f t="shared" si="25"/>
        <v>5533145.6699999999</v>
      </c>
    </row>
    <row r="408" spans="1:12" ht="36.700000000000003" outlineLevel="7" x14ac:dyDescent="0.25">
      <c r="A408" s="81" t="s">
        <v>92</v>
      </c>
      <c r="B408" s="80" t="s">
        <v>500</v>
      </c>
      <c r="C408" s="80" t="s">
        <v>88</v>
      </c>
      <c r="D408" s="80" t="s">
        <v>142</v>
      </c>
      <c r="E408" s="83" t="s">
        <v>93</v>
      </c>
      <c r="F408" s="622">
        <v>5533145.6699999999</v>
      </c>
      <c r="G408" s="622">
        <v>5533145.6699999999</v>
      </c>
    </row>
    <row r="409" spans="1:12" outlineLevel="7" x14ac:dyDescent="0.25">
      <c r="A409" s="81" t="s">
        <v>94</v>
      </c>
      <c r="B409" s="80" t="s">
        <v>500</v>
      </c>
      <c r="C409" s="80" t="s">
        <v>95</v>
      </c>
      <c r="D409" s="80" t="s">
        <v>126</v>
      </c>
      <c r="E409" s="83" t="s">
        <v>6</v>
      </c>
      <c r="F409" s="621">
        <f>F410+F420+F415</f>
        <v>1038949.7</v>
      </c>
      <c r="G409" s="621">
        <f>G410+G420+G415</f>
        <v>1009549.38</v>
      </c>
    </row>
    <row r="410" spans="1:12" s="163" customFormat="1" ht="55.05" outlineLevel="7" x14ac:dyDescent="0.25">
      <c r="A410" s="109" t="s">
        <v>932</v>
      </c>
      <c r="B410" s="80" t="s">
        <v>500</v>
      </c>
      <c r="C410" s="110" t="s">
        <v>95</v>
      </c>
      <c r="D410" s="110" t="s">
        <v>129</v>
      </c>
      <c r="E410" s="111" t="s">
        <v>6</v>
      </c>
      <c r="F410" s="623">
        <f t="shared" ref="F410:G413" si="26">F411</f>
        <v>150000</v>
      </c>
      <c r="G410" s="623">
        <f t="shared" si="26"/>
        <v>150000</v>
      </c>
      <c r="I410" s="5"/>
      <c r="J410" s="5"/>
      <c r="K410" s="5"/>
      <c r="L410" s="5"/>
    </row>
    <row r="411" spans="1:12" s="163" customFormat="1" ht="44.5" customHeight="1" outlineLevel="7" x14ac:dyDescent="0.25">
      <c r="A411" s="81" t="s">
        <v>372</v>
      </c>
      <c r="B411" s="80" t="s">
        <v>500</v>
      </c>
      <c r="C411" s="80" t="s">
        <v>95</v>
      </c>
      <c r="D411" s="80" t="s">
        <v>441</v>
      </c>
      <c r="E411" s="83" t="s">
        <v>6</v>
      </c>
      <c r="F411" s="621">
        <f t="shared" si="26"/>
        <v>150000</v>
      </c>
      <c r="G411" s="621">
        <f t="shared" si="26"/>
        <v>150000</v>
      </c>
      <c r="I411" s="5"/>
      <c r="J411" s="5"/>
      <c r="K411" s="5"/>
      <c r="L411" s="5"/>
    </row>
    <row r="412" spans="1:12" s="163" customFormat="1" ht="36.700000000000003" outlineLevel="7" x14ac:dyDescent="0.25">
      <c r="A412" s="81" t="s">
        <v>99</v>
      </c>
      <c r="B412" s="80" t="s">
        <v>500</v>
      </c>
      <c r="C412" s="80" t="s">
        <v>95</v>
      </c>
      <c r="D412" s="80" t="s">
        <v>416</v>
      </c>
      <c r="E412" s="83" t="s">
        <v>6</v>
      </c>
      <c r="F412" s="621">
        <f t="shared" si="26"/>
        <v>150000</v>
      </c>
      <c r="G412" s="621">
        <f t="shared" si="26"/>
        <v>150000</v>
      </c>
      <c r="I412" s="5"/>
      <c r="J412" s="5"/>
      <c r="K412" s="5"/>
      <c r="L412" s="5"/>
    </row>
    <row r="413" spans="1:12" s="163" customFormat="1" outlineLevel="7" x14ac:dyDescent="0.25">
      <c r="A413" s="81" t="s">
        <v>90</v>
      </c>
      <c r="B413" s="80" t="s">
        <v>500</v>
      </c>
      <c r="C413" s="80" t="s">
        <v>95</v>
      </c>
      <c r="D413" s="80" t="s">
        <v>416</v>
      </c>
      <c r="E413" s="83" t="s">
        <v>91</v>
      </c>
      <c r="F413" s="621">
        <f t="shared" si="26"/>
        <v>150000</v>
      </c>
      <c r="G413" s="621">
        <f t="shared" si="26"/>
        <v>150000</v>
      </c>
      <c r="I413" s="5"/>
      <c r="J413" s="5"/>
      <c r="K413" s="5"/>
      <c r="L413" s="5"/>
    </row>
    <row r="414" spans="1:12" s="163" customFormat="1" ht="36.700000000000003" outlineLevel="7" x14ac:dyDescent="0.25">
      <c r="A414" s="81" t="s">
        <v>97</v>
      </c>
      <c r="B414" s="80" t="s">
        <v>500</v>
      </c>
      <c r="C414" s="80" t="s">
        <v>95</v>
      </c>
      <c r="D414" s="80" t="s">
        <v>416</v>
      </c>
      <c r="E414" s="83" t="s">
        <v>98</v>
      </c>
      <c r="F414" s="622">
        <v>150000</v>
      </c>
      <c r="G414" s="622">
        <v>150000</v>
      </c>
      <c r="I414" s="5"/>
      <c r="J414" s="5"/>
      <c r="K414" s="5"/>
      <c r="L414" s="5"/>
    </row>
    <row r="415" spans="1:12" s="163" customFormat="1" ht="55.05" outlineLevel="1" x14ac:dyDescent="0.25">
      <c r="A415" s="109" t="s">
        <v>855</v>
      </c>
      <c r="B415" s="80" t="s">
        <v>500</v>
      </c>
      <c r="C415" s="110" t="s">
        <v>95</v>
      </c>
      <c r="D415" s="110" t="s">
        <v>374</v>
      </c>
      <c r="E415" s="111" t="s">
        <v>6</v>
      </c>
      <c r="F415" s="624">
        <f t="shared" ref="F415:G418" si="27">F416</f>
        <v>788949.7</v>
      </c>
      <c r="G415" s="624">
        <f t="shared" si="27"/>
        <v>759549.38</v>
      </c>
      <c r="I415" s="5"/>
      <c r="J415" s="5"/>
      <c r="K415" s="5"/>
      <c r="L415" s="5"/>
    </row>
    <row r="416" spans="1:12" s="163" customFormat="1" ht="62.5" customHeight="1" outlineLevel="1" x14ac:dyDescent="0.25">
      <c r="A416" s="81" t="s">
        <v>394</v>
      </c>
      <c r="B416" s="80" t="s">
        <v>500</v>
      </c>
      <c r="C416" s="80" t="s">
        <v>95</v>
      </c>
      <c r="D416" s="80" t="s">
        <v>375</v>
      </c>
      <c r="E416" s="83" t="s">
        <v>6</v>
      </c>
      <c r="F416" s="622">
        <f t="shared" si="27"/>
        <v>788949.7</v>
      </c>
      <c r="G416" s="622">
        <f t="shared" si="27"/>
        <v>759549.38</v>
      </c>
      <c r="I416" s="5"/>
      <c r="J416" s="5"/>
      <c r="K416" s="5"/>
      <c r="L416" s="5"/>
    </row>
    <row r="417" spans="1:12" s="163" customFormat="1" ht="36.700000000000003" outlineLevel="1" x14ac:dyDescent="0.25">
      <c r="A417" s="81" t="s">
        <v>987</v>
      </c>
      <c r="B417" s="80" t="s">
        <v>500</v>
      </c>
      <c r="C417" s="80" t="s">
        <v>95</v>
      </c>
      <c r="D417" s="80" t="s">
        <v>376</v>
      </c>
      <c r="E417" s="83" t="s">
        <v>6</v>
      </c>
      <c r="F417" s="621">
        <f t="shared" si="27"/>
        <v>788949.7</v>
      </c>
      <c r="G417" s="635">
        <f t="shared" si="27"/>
        <v>759549.38</v>
      </c>
      <c r="I417" s="5"/>
      <c r="J417" s="5"/>
      <c r="K417" s="5"/>
      <c r="L417" s="5"/>
    </row>
    <row r="418" spans="1:12" s="163" customFormat="1" outlineLevel="1" x14ac:dyDescent="0.25">
      <c r="A418" s="81" t="s">
        <v>90</v>
      </c>
      <c r="B418" s="80" t="s">
        <v>500</v>
      </c>
      <c r="C418" s="80" t="s">
        <v>95</v>
      </c>
      <c r="D418" s="80" t="s">
        <v>376</v>
      </c>
      <c r="E418" s="83" t="s">
        <v>91</v>
      </c>
      <c r="F418" s="622">
        <f t="shared" si="27"/>
        <v>788949.7</v>
      </c>
      <c r="G418" s="622">
        <f t="shared" si="27"/>
        <v>759549.38</v>
      </c>
      <c r="I418" s="5"/>
      <c r="J418" s="5"/>
      <c r="K418" s="5"/>
      <c r="L418" s="5"/>
    </row>
    <row r="419" spans="1:12" s="163" customFormat="1" ht="36.700000000000003" outlineLevel="1" x14ac:dyDescent="0.25">
      <c r="A419" s="81" t="s">
        <v>97</v>
      </c>
      <c r="B419" s="80" t="s">
        <v>500</v>
      </c>
      <c r="C419" s="80" t="s">
        <v>95</v>
      </c>
      <c r="D419" s="80" t="s">
        <v>376</v>
      </c>
      <c r="E419" s="83" t="s">
        <v>98</v>
      </c>
      <c r="F419" s="621">
        <f>615449.7+173500</f>
        <v>788949.7</v>
      </c>
      <c r="G419" s="621">
        <f>586049.38+173500</f>
        <v>759549.38</v>
      </c>
      <c r="I419" s="5"/>
      <c r="J419" s="5"/>
      <c r="K419" s="5"/>
      <c r="L419" s="5"/>
    </row>
    <row r="420" spans="1:12" s="163" customFormat="1" ht="36.700000000000003" outlineLevel="1" x14ac:dyDescent="0.25">
      <c r="A420" s="109" t="s">
        <v>132</v>
      </c>
      <c r="B420" s="110" t="s">
        <v>500</v>
      </c>
      <c r="C420" s="110" t="s">
        <v>95</v>
      </c>
      <c r="D420" s="110" t="s">
        <v>127</v>
      </c>
      <c r="E420" s="111" t="s">
        <v>6</v>
      </c>
      <c r="F420" s="624">
        <f t="shared" ref="F420:G422" si="28">F421</f>
        <v>100000</v>
      </c>
      <c r="G420" s="624">
        <f t="shared" si="28"/>
        <v>100000</v>
      </c>
      <c r="I420" s="5"/>
      <c r="J420" s="5"/>
      <c r="K420" s="5"/>
      <c r="L420" s="5"/>
    </row>
    <row r="421" spans="1:12" s="163" customFormat="1" ht="36.700000000000003" outlineLevel="1" x14ac:dyDescent="0.25">
      <c r="A421" s="81" t="s">
        <v>526</v>
      </c>
      <c r="B421" s="80" t="s">
        <v>500</v>
      </c>
      <c r="C421" s="80" t="s">
        <v>95</v>
      </c>
      <c r="D421" s="80" t="s">
        <v>539</v>
      </c>
      <c r="E421" s="83" t="s">
        <v>6</v>
      </c>
      <c r="F421" s="622">
        <f t="shared" si="28"/>
        <v>100000</v>
      </c>
      <c r="G421" s="622">
        <f t="shared" si="28"/>
        <v>100000</v>
      </c>
      <c r="I421" s="5"/>
      <c r="J421" s="5"/>
      <c r="K421" s="5"/>
      <c r="L421" s="5"/>
    </row>
    <row r="422" spans="1:12" s="163" customFormat="1" outlineLevel="1" x14ac:dyDescent="0.25">
      <c r="A422" s="81" t="s">
        <v>90</v>
      </c>
      <c r="B422" s="80" t="s">
        <v>500</v>
      </c>
      <c r="C422" s="80" t="s">
        <v>95</v>
      </c>
      <c r="D422" s="80" t="s">
        <v>539</v>
      </c>
      <c r="E422" s="83" t="s">
        <v>91</v>
      </c>
      <c r="F422" s="622">
        <f t="shared" si="28"/>
        <v>100000</v>
      </c>
      <c r="G422" s="622">
        <f t="shared" si="28"/>
        <v>100000</v>
      </c>
      <c r="I422" s="5"/>
      <c r="J422" s="5"/>
      <c r="K422" s="5"/>
      <c r="L422" s="5"/>
    </row>
    <row r="423" spans="1:12" s="163" customFormat="1" ht="20.25" customHeight="1" outlineLevel="1" x14ac:dyDescent="0.25">
      <c r="A423" s="81" t="s">
        <v>309</v>
      </c>
      <c r="B423" s="80" t="s">
        <v>500</v>
      </c>
      <c r="C423" s="80" t="s">
        <v>95</v>
      </c>
      <c r="D423" s="80" t="s">
        <v>539</v>
      </c>
      <c r="E423" s="83" t="s">
        <v>310</v>
      </c>
      <c r="F423" s="621">
        <v>100000</v>
      </c>
      <c r="G423" s="621">
        <v>100000</v>
      </c>
      <c r="I423" s="5"/>
      <c r="J423" s="5"/>
      <c r="K423" s="5"/>
      <c r="L423" s="5"/>
    </row>
    <row r="424" spans="1:12" s="163" customFormat="1" outlineLevel="1" x14ac:dyDescent="0.25">
      <c r="A424" s="81" t="s">
        <v>123</v>
      </c>
      <c r="B424" s="80" t="s">
        <v>500</v>
      </c>
      <c r="C424" s="80" t="s">
        <v>124</v>
      </c>
      <c r="D424" s="80" t="s">
        <v>126</v>
      </c>
      <c r="E424" s="83" t="s">
        <v>6</v>
      </c>
      <c r="F424" s="622">
        <f>F425</f>
        <v>85258489.689999998</v>
      </c>
      <c r="G424" s="622">
        <f>G425</f>
        <v>86559564.609999999</v>
      </c>
      <c r="I424" s="5"/>
      <c r="J424" s="5"/>
      <c r="K424" s="5"/>
      <c r="L424" s="5"/>
    </row>
    <row r="425" spans="1:12" s="163" customFormat="1" ht="36.700000000000003" outlineLevel="1" x14ac:dyDescent="0.25">
      <c r="A425" s="109" t="s">
        <v>132</v>
      </c>
      <c r="B425" s="110" t="s">
        <v>500</v>
      </c>
      <c r="C425" s="110" t="s">
        <v>124</v>
      </c>
      <c r="D425" s="110" t="s">
        <v>127</v>
      </c>
      <c r="E425" s="111" t="s">
        <v>6</v>
      </c>
      <c r="F425" s="624">
        <f>F426</f>
        <v>85258489.689999998</v>
      </c>
      <c r="G425" s="624">
        <f>G426</f>
        <v>86559564.609999999</v>
      </c>
      <c r="I425" s="5"/>
      <c r="J425" s="5"/>
      <c r="K425" s="5"/>
      <c r="L425" s="5"/>
    </row>
    <row r="426" spans="1:12" outlineLevel="1" x14ac:dyDescent="0.25">
      <c r="A426" s="81" t="s">
        <v>277</v>
      </c>
      <c r="B426" s="80" t="s">
        <v>500</v>
      </c>
      <c r="C426" s="80" t="s">
        <v>124</v>
      </c>
      <c r="D426" s="80" t="s">
        <v>276</v>
      </c>
      <c r="E426" s="83" t="s">
        <v>6</v>
      </c>
      <c r="F426" s="622">
        <f>F439+F427+F430+F436+F442</f>
        <v>85258489.689999998</v>
      </c>
      <c r="G426" s="622">
        <f>G439+G427+G430+G436+G442</f>
        <v>86559564.609999999</v>
      </c>
    </row>
    <row r="427" spans="1:12" ht="95.3" hidden="1" customHeight="1" outlineLevel="1" x14ac:dyDescent="0.25">
      <c r="A427" s="81" t="s">
        <v>429</v>
      </c>
      <c r="B427" s="80" t="s">
        <v>500</v>
      </c>
      <c r="C427" s="80" t="s">
        <v>124</v>
      </c>
      <c r="D427" s="80" t="s">
        <v>430</v>
      </c>
      <c r="E427" s="83" t="s">
        <v>6</v>
      </c>
      <c r="F427" s="621">
        <f>F428</f>
        <v>0</v>
      </c>
      <c r="G427" s="621">
        <f>G428</f>
        <v>0</v>
      </c>
    </row>
    <row r="428" spans="1:12" hidden="1" outlineLevel="1" x14ac:dyDescent="0.25">
      <c r="A428" s="81" t="s">
        <v>90</v>
      </c>
      <c r="B428" s="80" t="s">
        <v>500</v>
      </c>
      <c r="C428" s="80" t="s">
        <v>124</v>
      </c>
      <c r="D428" s="80" t="s">
        <v>430</v>
      </c>
      <c r="E428" s="83" t="s">
        <v>91</v>
      </c>
      <c r="F428" s="621">
        <f>F429</f>
        <v>0</v>
      </c>
      <c r="G428" s="621">
        <f>G429</f>
        <v>0</v>
      </c>
    </row>
    <row r="429" spans="1:12" ht="36.700000000000003" hidden="1" outlineLevel="1" x14ac:dyDescent="0.25">
      <c r="A429" s="81" t="s">
        <v>92</v>
      </c>
      <c r="B429" s="80" t="s">
        <v>500</v>
      </c>
      <c r="C429" s="80" t="s">
        <v>124</v>
      </c>
      <c r="D429" s="80" t="s">
        <v>430</v>
      </c>
      <c r="E429" s="83" t="s">
        <v>93</v>
      </c>
      <c r="F429" s="621">
        <f>1325680.27-1325680.27</f>
        <v>0</v>
      </c>
      <c r="G429" s="621">
        <f>1378706.84-1378706.84</f>
        <v>0</v>
      </c>
    </row>
    <row r="430" spans="1:12" s="172" customFormat="1" ht="110.05" outlineLevel="1" x14ac:dyDescent="0.25">
      <c r="A430" s="100" t="s">
        <v>431</v>
      </c>
      <c r="B430" s="80" t="s">
        <v>500</v>
      </c>
      <c r="C430" s="80" t="s">
        <v>124</v>
      </c>
      <c r="D430" s="80" t="s">
        <v>432</v>
      </c>
      <c r="E430" s="83" t="s">
        <v>6</v>
      </c>
      <c r="F430" s="621">
        <f>F431+F433</f>
        <v>37279299.5</v>
      </c>
      <c r="G430" s="621">
        <f>G431+G433</f>
        <v>38580374.420000002</v>
      </c>
      <c r="H430" s="171"/>
    </row>
    <row r="431" spans="1:12" ht="36.700000000000003" outlineLevel="1" x14ac:dyDescent="0.25">
      <c r="A431" s="81" t="s">
        <v>15</v>
      </c>
      <c r="B431" s="80" t="s">
        <v>500</v>
      </c>
      <c r="C431" s="80" t="s">
        <v>124</v>
      </c>
      <c r="D431" s="80" t="s">
        <v>432</v>
      </c>
      <c r="E431" s="83" t="s">
        <v>16</v>
      </c>
      <c r="F431" s="621">
        <f>F432</f>
        <v>130000</v>
      </c>
      <c r="G431" s="621">
        <f>G432</f>
        <v>130000</v>
      </c>
    </row>
    <row r="432" spans="1:12" s="172" customFormat="1" ht="37.549999999999997" customHeight="1" outlineLevel="1" x14ac:dyDescent="0.25">
      <c r="A432" s="81" t="s">
        <v>17</v>
      </c>
      <c r="B432" s="80" t="s">
        <v>500</v>
      </c>
      <c r="C432" s="80" t="s">
        <v>124</v>
      </c>
      <c r="D432" s="80" t="s">
        <v>432</v>
      </c>
      <c r="E432" s="83" t="s">
        <v>18</v>
      </c>
      <c r="F432" s="621">
        <v>130000</v>
      </c>
      <c r="G432" s="621">
        <v>130000</v>
      </c>
      <c r="H432" s="171"/>
    </row>
    <row r="433" spans="1:7" outlineLevel="1" x14ac:dyDescent="0.25">
      <c r="A433" s="81" t="s">
        <v>90</v>
      </c>
      <c r="B433" s="80" t="s">
        <v>500</v>
      </c>
      <c r="C433" s="80" t="s">
        <v>124</v>
      </c>
      <c r="D433" s="80" t="s">
        <v>432</v>
      </c>
      <c r="E433" s="83" t="s">
        <v>91</v>
      </c>
      <c r="F433" s="621">
        <f>F434+F435</f>
        <v>37149299.5</v>
      </c>
      <c r="G433" s="621">
        <f>G434+G435</f>
        <v>38450374.420000002</v>
      </c>
    </row>
    <row r="434" spans="1:7" ht="21.25" customHeight="1" outlineLevel="1" x14ac:dyDescent="0.25">
      <c r="A434" s="81" t="s">
        <v>92</v>
      </c>
      <c r="B434" s="80" t="s">
        <v>500</v>
      </c>
      <c r="C434" s="80" t="s">
        <v>124</v>
      </c>
      <c r="D434" s="80" t="s">
        <v>432</v>
      </c>
      <c r="E434" s="83" t="s">
        <v>93</v>
      </c>
      <c r="F434" s="621">
        <f>37279299.5-F435-F432</f>
        <v>35149299.5</v>
      </c>
      <c r="G434" s="621">
        <f>38580374.42-G435-G432</f>
        <v>36450374.420000002</v>
      </c>
    </row>
    <row r="435" spans="1:7" ht="35.5" customHeight="1" outlineLevel="1" x14ac:dyDescent="0.25">
      <c r="A435" s="81" t="s">
        <v>97</v>
      </c>
      <c r="B435" s="80" t="s">
        <v>500</v>
      </c>
      <c r="C435" s="80" t="s">
        <v>124</v>
      </c>
      <c r="D435" s="80" t="s">
        <v>432</v>
      </c>
      <c r="E435" s="83" t="s">
        <v>98</v>
      </c>
      <c r="F435" s="621">
        <v>2000000</v>
      </c>
      <c r="G435" s="621">
        <v>2000000</v>
      </c>
    </row>
    <row r="436" spans="1:7" ht="96.45" hidden="1" customHeight="1" outlineLevel="1" x14ac:dyDescent="0.25">
      <c r="A436" s="100" t="s">
        <v>760</v>
      </c>
      <c r="B436" s="80" t="s">
        <v>500</v>
      </c>
      <c r="C436" s="80" t="s">
        <v>124</v>
      </c>
      <c r="D436" s="80" t="s">
        <v>295</v>
      </c>
      <c r="E436" s="83" t="s">
        <v>6</v>
      </c>
      <c r="F436" s="621">
        <f>F437</f>
        <v>0</v>
      </c>
      <c r="G436" s="621">
        <f>G437</f>
        <v>0</v>
      </c>
    </row>
    <row r="437" spans="1:7" ht="18" hidden="1" customHeight="1" outlineLevel="1" x14ac:dyDescent="0.25">
      <c r="A437" s="81" t="s">
        <v>264</v>
      </c>
      <c r="B437" s="80" t="s">
        <v>500</v>
      </c>
      <c r="C437" s="80" t="s">
        <v>124</v>
      </c>
      <c r="D437" s="80" t="s">
        <v>295</v>
      </c>
      <c r="E437" s="83" t="s">
        <v>265</v>
      </c>
      <c r="F437" s="621">
        <f>F438</f>
        <v>0</v>
      </c>
      <c r="G437" s="621">
        <f>G438</f>
        <v>0</v>
      </c>
    </row>
    <row r="438" spans="1:7" ht="18" hidden="1" customHeight="1" outlineLevel="1" x14ac:dyDescent="0.25">
      <c r="A438" s="81" t="s">
        <v>266</v>
      </c>
      <c r="B438" s="80" t="s">
        <v>500</v>
      </c>
      <c r="C438" s="80" t="s">
        <v>124</v>
      </c>
      <c r="D438" s="80" t="s">
        <v>295</v>
      </c>
      <c r="E438" s="83" t="s">
        <v>267</v>
      </c>
      <c r="F438" s="625"/>
      <c r="G438" s="625"/>
    </row>
    <row r="439" spans="1:7" ht="115.5" customHeight="1" outlineLevel="1" x14ac:dyDescent="0.25">
      <c r="A439" s="100" t="s">
        <v>656</v>
      </c>
      <c r="B439" s="80" t="s">
        <v>500</v>
      </c>
      <c r="C439" s="80" t="s">
        <v>124</v>
      </c>
      <c r="D439" s="80" t="s">
        <v>295</v>
      </c>
      <c r="E439" s="83" t="s">
        <v>6</v>
      </c>
      <c r="F439" s="622">
        <f>F440</f>
        <v>26671240.190000001</v>
      </c>
      <c r="G439" s="622">
        <f>G440</f>
        <v>26671240.190000001</v>
      </c>
    </row>
    <row r="440" spans="1:7" ht="55.05" outlineLevel="1" x14ac:dyDescent="0.25">
      <c r="A440" s="81" t="s">
        <v>264</v>
      </c>
      <c r="B440" s="80" t="s">
        <v>500</v>
      </c>
      <c r="C440" s="80" t="s">
        <v>124</v>
      </c>
      <c r="D440" s="80" t="s">
        <v>295</v>
      </c>
      <c r="E440" s="83" t="s">
        <v>265</v>
      </c>
      <c r="F440" s="622">
        <f>F441</f>
        <v>26671240.190000001</v>
      </c>
      <c r="G440" s="622">
        <f>G441</f>
        <v>26671240.190000001</v>
      </c>
    </row>
    <row r="441" spans="1:7" outlineLevel="1" x14ac:dyDescent="0.25">
      <c r="A441" s="81" t="s">
        <v>266</v>
      </c>
      <c r="B441" s="80" t="s">
        <v>500</v>
      </c>
      <c r="C441" s="80" t="s">
        <v>124</v>
      </c>
      <c r="D441" s="80" t="s">
        <v>295</v>
      </c>
      <c r="E441" s="83" t="s">
        <v>267</v>
      </c>
      <c r="F441" s="621">
        <f>27385240.19-F155</f>
        <v>26671240.190000001</v>
      </c>
      <c r="G441" s="621">
        <f>27385240.19-G155</f>
        <v>26671240.190000001</v>
      </c>
    </row>
    <row r="442" spans="1:7" ht="101.25" customHeight="1" outlineLevel="1" x14ac:dyDescent="0.25">
      <c r="A442" s="100" t="s">
        <v>759</v>
      </c>
      <c r="B442" s="80" t="s">
        <v>500</v>
      </c>
      <c r="C442" s="80" t="s">
        <v>124</v>
      </c>
      <c r="D442" s="80" t="s">
        <v>792</v>
      </c>
      <c r="E442" s="83" t="s">
        <v>6</v>
      </c>
      <c r="F442" s="621">
        <f>F443</f>
        <v>21307950</v>
      </c>
      <c r="G442" s="621">
        <f>G443</f>
        <v>21307950</v>
      </c>
    </row>
    <row r="443" spans="1:7" ht="55.05" outlineLevel="1" x14ac:dyDescent="0.25">
      <c r="A443" s="81" t="s">
        <v>264</v>
      </c>
      <c r="B443" s="80" t="s">
        <v>500</v>
      </c>
      <c r="C443" s="80" t="s">
        <v>124</v>
      </c>
      <c r="D443" s="80" t="s">
        <v>792</v>
      </c>
      <c r="E443" s="83" t="s">
        <v>265</v>
      </c>
      <c r="F443" s="621">
        <f>F444</f>
        <v>21307950</v>
      </c>
      <c r="G443" s="621">
        <f>G444</f>
        <v>21307950</v>
      </c>
    </row>
    <row r="444" spans="1:7" outlineLevel="1" x14ac:dyDescent="0.25">
      <c r="A444" s="81" t="s">
        <v>266</v>
      </c>
      <c r="B444" s="80" t="s">
        <v>500</v>
      </c>
      <c r="C444" s="80" t="s">
        <v>124</v>
      </c>
      <c r="D444" s="80" t="s">
        <v>792</v>
      </c>
      <c r="E444" s="83" t="s">
        <v>267</v>
      </c>
      <c r="F444" s="621">
        <v>21307950</v>
      </c>
      <c r="G444" s="621">
        <v>21307950</v>
      </c>
    </row>
    <row r="445" spans="1:7" outlineLevel="1" x14ac:dyDescent="0.25">
      <c r="A445" s="109" t="s">
        <v>100</v>
      </c>
      <c r="B445" s="110" t="s">
        <v>500</v>
      </c>
      <c r="C445" s="110" t="s">
        <v>101</v>
      </c>
      <c r="D445" s="110" t="s">
        <v>126</v>
      </c>
      <c r="E445" s="111" t="s">
        <v>6</v>
      </c>
      <c r="F445" s="624">
        <f>F446</f>
        <v>975168.55</v>
      </c>
      <c r="G445" s="624">
        <f>G446</f>
        <v>975729.29</v>
      </c>
    </row>
    <row r="446" spans="1:7" ht="22.75" customHeight="1" outlineLevel="1" x14ac:dyDescent="0.25">
      <c r="A446" s="81" t="s">
        <v>301</v>
      </c>
      <c r="B446" s="80" t="s">
        <v>500</v>
      </c>
      <c r="C446" s="80" t="s">
        <v>300</v>
      </c>
      <c r="D446" s="80" t="s">
        <v>126</v>
      </c>
      <c r="E446" s="83" t="s">
        <v>6</v>
      </c>
      <c r="F446" s="622">
        <f>F447+F463</f>
        <v>975168.55</v>
      </c>
      <c r="G446" s="622">
        <f>G447+G463</f>
        <v>975729.29</v>
      </c>
    </row>
    <row r="447" spans="1:7" ht="20.25" customHeight="1" outlineLevel="1" x14ac:dyDescent="0.25">
      <c r="A447" s="109" t="s">
        <v>377</v>
      </c>
      <c r="B447" s="110" t="s">
        <v>500</v>
      </c>
      <c r="C447" s="110" t="s">
        <v>300</v>
      </c>
      <c r="D447" s="110" t="s">
        <v>200</v>
      </c>
      <c r="E447" s="111" t="s">
        <v>6</v>
      </c>
      <c r="F447" s="624">
        <f>F448</f>
        <v>925168.55</v>
      </c>
      <c r="G447" s="624">
        <f>G448</f>
        <v>925729.29</v>
      </c>
    </row>
    <row r="448" spans="1:7" ht="55.05" outlineLevel="1" x14ac:dyDescent="0.25">
      <c r="A448" s="81" t="s">
        <v>213</v>
      </c>
      <c r="B448" s="80" t="s">
        <v>500</v>
      </c>
      <c r="C448" s="80" t="s">
        <v>300</v>
      </c>
      <c r="D448" s="80" t="s">
        <v>230</v>
      </c>
      <c r="E448" s="83" t="s">
        <v>6</v>
      </c>
      <c r="F448" s="622">
        <f>F449+F457</f>
        <v>925168.55</v>
      </c>
      <c r="G448" s="622">
        <f>G449+G457</f>
        <v>925729.29</v>
      </c>
    </row>
    <row r="449" spans="1:8" ht="20.25" customHeight="1" outlineLevel="1" x14ac:dyDescent="0.25">
      <c r="A449" s="81" t="s">
        <v>102</v>
      </c>
      <c r="B449" s="80" t="s">
        <v>500</v>
      </c>
      <c r="C449" s="80" t="s">
        <v>300</v>
      </c>
      <c r="D449" s="80" t="s">
        <v>201</v>
      </c>
      <c r="E449" s="83" t="s">
        <v>6</v>
      </c>
      <c r="F449" s="622">
        <f>F450+F452</f>
        <v>661000</v>
      </c>
      <c r="G449" s="622">
        <f>G450+G452</f>
        <v>661000</v>
      </c>
    </row>
    <row r="450" spans="1:8" ht="21.25" customHeight="1" outlineLevel="1" x14ac:dyDescent="0.25">
      <c r="A450" s="81" t="s">
        <v>15</v>
      </c>
      <c r="B450" s="80" t="s">
        <v>500</v>
      </c>
      <c r="C450" s="80" t="s">
        <v>300</v>
      </c>
      <c r="D450" s="80" t="s">
        <v>201</v>
      </c>
      <c r="E450" s="83" t="s">
        <v>16</v>
      </c>
      <c r="F450" s="622">
        <f>F451</f>
        <v>631000</v>
      </c>
      <c r="G450" s="622">
        <f>G451</f>
        <v>631000</v>
      </c>
    </row>
    <row r="451" spans="1:8" s="172" customFormat="1" ht="36.700000000000003" outlineLevel="1" x14ac:dyDescent="0.25">
      <c r="A451" s="81" t="s">
        <v>17</v>
      </c>
      <c r="B451" s="80" t="s">
        <v>500</v>
      </c>
      <c r="C451" s="80" t="s">
        <v>300</v>
      </c>
      <c r="D451" s="80" t="s">
        <v>201</v>
      </c>
      <c r="E451" s="83" t="s">
        <v>18</v>
      </c>
      <c r="F451" s="622">
        <v>631000</v>
      </c>
      <c r="G451" s="622">
        <v>631000</v>
      </c>
      <c r="H451" s="171"/>
    </row>
    <row r="452" spans="1:8" ht="24.8" customHeight="1" outlineLevel="2" x14ac:dyDescent="0.25">
      <c r="A452" s="81" t="s">
        <v>271</v>
      </c>
      <c r="B452" s="80" t="s">
        <v>500</v>
      </c>
      <c r="C452" s="80" t="s">
        <v>300</v>
      </c>
      <c r="D452" s="80" t="s">
        <v>201</v>
      </c>
      <c r="E452" s="83" t="s">
        <v>20</v>
      </c>
      <c r="F452" s="622">
        <f>F453</f>
        <v>30000</v>
      </c>
      <c r="G452" s="622">
        <f>G453</f>
        <v>30000</v>
      </c>
    </row>
    <row r="453" spans="1:8" s="172" customFormat="1" ht="27.7" customHeight="1" outlineLevel="3" x14ac:dyDescent="0.25">
      <c r="A453" s="81" t="s">
        <v>272</v>
      </c>
      <c r="B453" s="80" t="s">
        <v>500</v>
      </c>
      <c r="C453" s="80" t="s">
        <v>300</v>
      </c>
      <c r="D453" s="80" t="s">
        <v>201</v>
      </c>
      <c r="E453" s="83" t="s">
        <v>22</v>
      </c>
      <c r="F453" s="622">
        <v>30000</v>
      </c>
      <c r="G453" s="622">
        <v>30000</v>
      </c>
      <c r="H453" s="171"/>
    </row>
    <row r="454" spans="1:8" ht="36.700000000000003" hidden="1" outlineLevel="7" x14ac:dyDescent="0.25">
      <c r="A454" s="81" t="s">
        <v>281</v>
      </c>
      <c r="B454" s="80" t="s">
        <v>500</v>
      </c>
      <c r="C454" s="80" t="s">
        <v>300</v>
      </c>
      <c r="D454" s="80" t="s">
        <v>302</v>
      </c>
      <c r="E454" s="83" t="s">
        <v>6</v>
      </c>
      <c r="F454" s="622">
        <f>F455</f>
        <v>0</v>
      </c>
      <c r="G454" s="622">
        <v>0</v>
      </c>
    </row>
    <row r="455" spans="1:8" ht="55.05" hidden="1" outlineLevel="7" x14ac:dyDescent="0.25">
      <c r="A455" s="81" t="s">
        <v>264</v>
      </c>
      <c r="B455" s="80" t="s">
        <v>500</v>
      </c>
      <c r="C455" s="80" t="s">
        <v>300</v>
      </c>
      <c r="D455" s="80" t="s">
        <v>302</v>
      </c>
      <c r="E455" s="83" t="s">
        <v>265</v>
      </c>
      <c r="F455" s="622">
        <f>F456</f>
        <v>0</v>
      </c>
      <c r="G455" s="622">
        <v>0</v>
      </c>
    </row>
    <row r="456" spans="1:8" hidden="1" outlineLevel="7" x14ac:dyDescent="0.25">
      <c r="A456" s="81" t="s">
        <v>266</v>
      </c>
      <c r="B456" s="80" t="s">
        <v>500</v>
      </c>
      <c r="C456" s="80" t="s">
        <v>300</v>
      </c>
      <c r="D456" s="80" t="s">
        <v>302</v>
      </c>
      <c r="E456" s="83" t="s">
        <v>267</v>
      </c>
      <c r="F456" s="634"/>
      <c r="G456" s="622">
        <v>0</v>
      </c>
    </row>
    <row r="457" spans="1:8" ht="59.3" customHeight="1" outlineLevel="7" x14ac:dyDescent="0.25">
      <c r="A457" s="81" t="s">
        <v>771</v>
      </c>
      <c r="B457" s="80" t="s">
        <v>500</v>
      </c>
      <c r="C457" s="80" t="s">
        <v>300</v>
      </c>
      <c r="D457" s="80" t="s">
        <v>1067</v>
      </c>
      <c r="E457" s="83" t="s">
        <v>6</v>
      </c>
      <c r="F457" s="622">
        <f>F458</f>
        <v>264168.55</v>
      </c>
      <c r="G457" s="622">
        <f>G458</f>
        <v>264729.28999999998</v>
      </c>
    </row>
    <row r="458" spans="1:8" ht="36.700000000000003" outlineLevel="7" x14ac:dyDescent="0.25">
      <c r="A458" s="81" t="s">
        <v>15</v>
      </c>
      <c r="B458" s="80" t="s">
        <v>500</v>
      </c>
      <c r="C458" s="80" t="s">
        <v>300</v>
      </c>
      <c r="D458" s="80" t="s">
        <v>1067</v>
      </c>
      <c r="E458" s="83" t="s">
        <v>16</v>
      </c>
      <c r="F458" s="622">
        <f>F459</f>
        <v>264168.55</v>
      </c>
      <c r="G458" s="622">
        <f>G459</f>
        <v>264729.28999999998</v>
      </c>
    </row>
    <row r="459" spans="1:8" ht="36.700000000000003" outlineLevel="7" x14ac:dyDescent="0.25">
      <c r="A459" s="81" t="s">
        <v>17</v>
      </c>
      <c r="B459" s="80" t="s">
        <v>500</v>
      </c>
      <c r="C459" s="80" t="s">
        <v>300</v>
      </c>
      <c r="D459" s="80" t="s">
        <v>1067</v>
      </c>
      <c r="E459" s="83" t="s">
        <v>18</v>
      </c>
      <c r="F459" s="622">
        <v>264168.55</v>
      </c>
      <c r="G459" s="622">
        <v>264729.28999999998</v>
      </c>
    </row>
    <row r="460" spans="1:8" ht="73.400000000000006" hidden="1" outlineLevel="7" x14ac:dyDescent="0.25">
      <c r="A460" s="81" t="s">
        <v>911</v>
      </c>
      <c r="B460" s="80" t="s">
        <v>500</v>
      </c>
      <c r="C460" s="80" t="s">
        <v>300</v>
      </c>
      <c r="D460" s="80" t="s">
        <v>797</v>
      </c>
      <c r="E460" s="83" t="s">
        <v>6</v>
      </c>
      <c r="F460" s="622">
        <f>F461</f>
        <v>0</v>
      </c>
      <c r="G460" s="622">
        <f>G461</f>
        <v>0</v>
      </c>
    </row>
    <row r="461" spans="1:8" ht="36.700000000000003" hidden="1" outlineLevel="7" x14ac:dyDescent="0.25">
      <c r="A461" s="81" t="s">
        <v>15</v>
      </c>
      <c r="B461" s="80" t="s">
        <v>500</v>
      </c>
      <c r="C461" s="80" t="s">
        <v>300</v>
      </c>
      <c r="D461" s="80" t="s">
        <v>797</v>
      </c>
      <c r="E461" s="83" t="s">
        <v>16</v>
      </c>
      <c r="F461" s="622">
        <f>F462</f>
        <v>0</v>
      </c>
      <c r="G461" s="622">
        <f>G462</f>
        <v>0</v>
      </c>
    </row>
    <row r="462" spans="1:8" ht="36.700000000000003" hidden="1" outlineLevel="7" x14ac:dyDescent="0.25">
      <c r="A462" s="81" t="s">
        <v>17</v>
      </c>
      <c r="B462" s="80" t="s">
        <v>500</v>
      </c>
      <c r="C462" s="80" t="s">
        <v>300</v>
      </c>
      <c r="D462" s="80" t="s">
        <v>797</v>
      </c>
      <c r="E462" s="83" t="s">
        <v>18</v>
      </c>
      <c r="F462" s="634"/>
      <c r="G462" s="634"/>
    </row>
    <row r="463" spans="1:8" s="170" customFormat="1" ht="65.25" customHeight="1" collapsed="1" x14ac:dyDescent="0.25">
      <c r="A463" s="114" t="s">
        <v>828</v>
      </c>
      <c r="B463" s="110" t="s">
        <v>500</v>
      </c>
      <c r="C463" s="110" t="s">
        <v>300</v>
      </c>
      <c r="D463" s="110" t="s">
        <v>463</v>
      </c>
      <c r="E463" s="111" t="s">
        <v>6</v>
      </c>
      <c r="F463" s="621">
        <f t="shared" ref="F463:G466" si="29">F464</f>
        <v>50000</v>
      </c>
      <c r="G463" s="621">
        <f t="shared" si="29"/>
        <v>50000</v>
      </c>
      <c r="H463" s="169"/>
    </row>
    <row r="464" spans="1:8" ht="31.75" customHeight="1" outlineLevel="1" x14ac:dyDescent="0.25">
      <c r="A464" s="124" t="s">
        <v>464</v>
      </c>
      <c r="B464" s="80" t="s">
        <v>500</v>
      </c>
      <c r="C464" s="80" t="s">
        <v>300</v>
      </c>
      <c r="D464" s="80" t="s">
        <v>465</v>
      </c>
      <c r="E464" s="83" t="s">
        <v>6</v>
      </c>
      <c r="F464" s="621">
        <f t="shared" si="29"/>
        <v>50000</v>
      </c>
      <c r="G464" s="621">
        <f t="shared" si="29"/>
        <v>50000</v>
      </c>
    </row>
    <row r="465" spans="1:12" ht="37.549999999999997" customHeight="1" outlineLevel="2" x14ac:dyDescent="0.25">
      <c r="A465" s="81" t="s">
        <v>466</v>
      </c>
      <c r="B465" s="80" t="s">
        <v>500</v>
      </c>
      <c r="C465" s="80" t="s">
        <v>300</v>
      </c>
      <c r="D465" s="80" t="s">
        <v>467</v>
      </c>
      <c r="E465" s="83" t="s">
        <v>6</v>
      </c>
      <c r="F465" s="621">
        <f t="shared" si="29"/>
        <v>50000</v>
      </c>
      <c r="G465" s="621">
        <f t="shared" si="29"/>
        <v>50000</v>
      </c>
    </row>
    <row r="466" spans="1:12" ht="36.700000000000003" outlineLevel="4" x14ac:dyDescent="0.25">
      <c r="A466" s="81" t="s">
        <v>15</v>
      </c>
      <c r="B466" s="80" t="s">
        <v>500</v>
      </c>
      <c r="C466" s="80" t="s">
        <v>300</v>
      </c>
      <c r="D466" s="80" t="s">
        <v>467</v>
      </c>
      <c r="E466" s="83" t="s">
        <v>16</v>
      </c>
      <c r="F466" s="621">
        <f t="shared" si="29"/>
        <v>50000</v>
      </c>
      <c r="G466" s="621">
        <f t="shared" si="29"/>
        <v>50000</v>
      </c>
    </row>
    <row r="467" spans="1:12" ht="36.700000000000003" outlineLevel="5" x14ac:dyDescent="0.25">
      <c r="A467" s="81" t="s">
        <v>17</v>
      </c>
      <c r="B467" s="80" t="s">
        <v>500</v>
      </c>
      <c r="C467" s="80" t="s">
        <v>300</v>
      </c>
      <c r="D467" s="80" t="s">
        <v>467</v>
      </c>
      <c r="E467" s="83" t="s">
        <v>18</v>
      </c>
      <c r="F467" s="622">
        <v>50000</v>
      </c>
      <c r="G467" s="622">
        <v>50000</v>
      </c>
    </row>
    <row r="468" spans="1:12" outlineLevel="6" x14ac:dyDescent="0.25">
      <c r="A468" s="109" t="s">
        <v>103</v>
      </c>
      <c r="B468" s="80" t="s">
        <v>500</v>
      </c>
      <c r="C468" s="110" t="s">
        <v>104</v>
      </c>
      <c r="D468" s="110" t="s">
        <v>126</v>
      </c>
      <c r="E468" s="111" t="s">
        <v>6</v>
      </c>
      <c r="F468" s="623">
        <f t="shared" ref="F468:G472" si="30">F469</f>
        <v>2500000</v>
      </c>
      <c r="G468" s="623">
        <f t="shared" si="30"/>
        <v>2000000</v>
      </c>
    </row>
    <row r="469" spans="1:12" outlineLevel="7" x14ac:dyDescent="0.25">
      <c r="A469" s="81" t="s">
        <v>105</v>
      </c>
      <c r="B469" s="80" t="s">
        <v>500</v>
      </c>
      <c r="C469" s="80" t="s">
        <v>106</v>
      </c>
      <c r="D469" s="80" t="s">
        <v>126</v>
      </c>
      <c r="E469" s="83" t="s">
        <v>6</v>
      </c>
      <c r="F469" s="621">
        <f t="shared" si="30"/>
        <v>2500000</v>
      </c>
      <c r="G469" s="621">
        <f t="shared" si="30"/>
        <v>2000000</v>
      </c>
    </row>
    <row r="470" spans="1:12" s="163" customFormat="1" ht="55.05" outlineLevel="5" x14ac:dyDescent="0.25">
      <c r="A470" s="109" t="s">
        <v>829</v>
      </c>
      <c r="B470" s="80" t="s">
        <v>500</v>
      </c>
      <c r="C470" s="110" t="s">
        <v>106</v>
      </c>
      <c r="D470" s="110" t="s">
        <v>317</v>
      </c>
      <c r="E470" s="111" t="s">
        <v>6</v>
      </c>
      <c r="F470" s="623">
        <f>F471</f>
        <v>2500000</v>
      </c>
      <c r="G470" s="623">
        <f>G471</f>
        <v>2000000</v>
      </c>
      <c r="I470" s="5"/>
      <c r="J470" s="5"/>
      <c r="K470" s="5"/>
      <c r="L470" s="5"/>
    </row>
    <row r="471" spans="1:12" s="163" customFormat="1" ht="36.700000000000003" outlineLevel="6" x14ac:dyDescent="0.25">
      <c r="A471" s="113" t="s">
        <v>327</v>
      </c>
      <c r="B471" s="80" t="s">
        <v>500</v>
      </c>
      <c r="C471" s="80" t="s">
        <v>106</v>
      </c>
      <c r="D471" s="80" t="s">
        <v>318</v>
      </c>
      <c r="E471" s="83" t="s">
        <v>6</v>
      </c>
      <c r="F471" s="621">
        <f t="shared" si="30"/>
        <v>2500000</v>
      </c>
      <c r="G471" s="621">
        <f t="shared" si="30"/>
        <v>2000000</v>
      </c>
    </row>
    <row r="472" spans="1:12" s="163" customFormat="1" ht="55.05" outlineLevel="7" x14ac:dyDescent="0.25">
      <c r="A472" s="81" t="s">
        <v>107</v>
      </c>
      <c r="B472" s="80" t="s">
        <v>500</v>
      </c>
      <c r="C472" s="80" t="s">
        <v>106</v>
      </c>
      <c r="D472" s="80" t="s">
        <v>319</v>
      </c>
      <c r="E472" s="83" t="s">
        <v>6</v>
      </c>
      <c r="F472" s="621">
        <f t="shared" si="30"/>
        <v>2500000</v>
      </c>
      <c r="G472" s="621">
        <f t="shared" si="30"/>
        <v>2000000</v>
      </c>
    </row>
    <row r="473" spans="1:12" s="163" customFormat="1" ht="36.700000000000003" outlineLevel="6" x14ac:dyDescent="0.25">
      <c r="A473" s="81" t="s">
        <v>37</v>
      </c>
      <c r="B473" s="80" t="s">
        <v>500</v>
      </c>
      <c r="C473" s="80" t="s">
        <v>106</v>
      </c>
      <c r="D473" s="80" t="s">
        <v>319</v>
      </c>
      <c r="E473" s="83" t="s">
        <v>38</v>
      </c>
      <c r="F473" s="621">
        <f>F474</f>
        <v>2500000</v>
      </c>
      <c r="G473" s="621">
        <f>G474</f>
        <v>2000000</v>
      </c>
    </row>
    <row r="474" spans="1:12" s="163" customFormat="1" ht="20.25" customHeight="1" outlineLevel="7" x14ac:dyDescent="0.25">
      <c r="A474" s="81" t="s">
        <v>39</v>
      </c>
      <c r="B474" s="80" t="s">
        <v>500</v>
      </c>
      <c r="C474" s="80" t="s">
        <v>106</v>
      </c>
      <c r="D474" s="80" t="s">
        <v>319</v>
      </c>
      <c r="E474" s="83" t="s">
        <v>40</v>
      </c>
      <c r="F474" s="621">
        <v>2500000</v>
      </c>
      <c r="G474" s="621">
        <f>2500000-500000</f>
        <v>2000000</v>
      </c>
    </row>
    <row r="475" spans="1:12" s="163" customFormat="1" ht="36.700000000000003" outlineLevel="6" x14ac:dyDescent="0.25">
      <c r="A475" s="104" t="s">
        <v>527</v>
      </c>
      <c r="B475" s="105" t="s">
        <v>501</v>
      </c>
      <c r="C475" s="105" t="s">
        <v>5</v>
      </c>
      <c r="D475" s="105" t="s">
        <v>126</v>
      </c>
      <c r="E475" s="106" t="s">
        <v>6</v>
      </c>
      <c r="F475" s="620">
        <f>F476</f>
        <v>5723967.9299999997</v>
      </c>
      <c r="G475" s="620">
        <f>G476</f>
        <v>5845523.7799999993</v>
      </c>
    </row>
    <row r="476" spans="1:12" s="163" customFormat="1" outlineLevel="7" x14ac:dyDescent="0.25">
      <c r="A476" s="81" t="s">
        <v>7</v>
      </c>
      <c r="B476" s="80" t="s">
        <v>501</v>
      </c>
      <c r="C476" s="80" t="s">
        <v>8</v>
      </c>
      <c r="D476" s="80" t="s">
        <v>126</v>
      </c>
      <c r="E476" s="83" t="s">
        <v>6</v>
      </c>
      <c r="F476" s="621">
        <f>F477+F492</f>
        <v>5723967.9299999997</v>
      </c>
      <c r="G476" s="621">
        <f>G477+G492</f>
        <v>5845523.7799999993</v>
      </c>
    </row>
    <row r="477" spans="1:12" s="163" customFormat="1" ht="73.400000000000006" outlineLevel="5" x14ac:dyDescent="0.25">
      <c r="A477" s="81" t="s">
        <v>108</v>
      </c>
      <c r="B477" s="80" t="s">
        <v>501</v>
      </c>
      <c r="C477" s="80" t="s">
        <v>109</v>
      </c>
      <c r="D477" s="80" t="s">
        <v>126</v>
      </c>
      <c r="E477" s="83" t="s">
        <v>6</v>
      </c>
      <c r="F477" s="621">
        <f>F478</f>
        <v>5581195.9299999997</v>
      </c>
      <c r="G477" s="621">
        <f>G478</f>
        <v>5697043.7799999993</v>
      </c>
    </row>
    <row r="478" spans="1:12" s="163" customFormat="1" ht="36.700000000000003" outlineLevel="6" x14ac:dyDescent="0.25">
      <c r="A478" s="81" t="s">
        <v>132</v>
      </c>
      <c r="B478" s="80" t="s">
        <v>501</v>
      </c>
      <c r="C478" s="80" t="s">
        <v>109</v>
      </c>
      <c r="D478" s="80" t="s">
        <v>127</v>
      </c>
      <c r="E478" s="83" t="s">
        <v>6</v>
      </c>
      <c r="F478" s="621">
        <f>F479+F482+F489</f>
        <v>5581195.9299999997</v>
      </c>
      <c r="G478" s="621">
        <f>G479+G482+G489</f>
        <v>5697043.7799999993</v>
      </c>
    </row>
    <row r="479" spans="1:12" s="163" customFormat="1" ht="36.700000000000003" outlineLevel="7" x14ac:dyDescent="0.25">
      <c r="A479" s="81" t="s">
        <v>528</v>
      </c>
      <c r="B479" s="80" t="s">
        <v>501</v>
      </c>
      <c r="C479" s="80" t="s">
        <v>109</v>
      </c>
      <c r="D479" s="80" t="s">
        <v>529</v>
      </c>
      <c r="E479" s="83" t="s">
        <v>6</v>
      </c>
      <c r="F479" s="621">
        <f>F480</f>
        <v>2639493.27</v>
      </c>
      <c r="G479" s="621">
        <f>G480</f>
        <v>2745073.01</v>
      </c>
    </row>
    <row r="480" spans="1:12" s="163" customFormat="1" ht="37.549999999999997" customHeight="1" outlineLevel="2" x14ac:dyDescent="0.25">
      <c r="A480" s="81" t="s">
        <v>11</v>
      </c>
      <c r="B480" s="80" t="s">
        <v>501</v>
      </c>
      <c r="C480" s="80" t="s">
        <v>109</v>
      </c>
      <c r="D480" s="80" t="s">
        <v>529</v>
      </c>
      <c r="E480" s="83" t="s">
        <v>12</v>
      </c>
      <c r="F480" s="621">
        <f>F481</f>
        <v>2639493.27</v>
      </c>
      <c r="G480" s="621">
        <f>G481</f>
        <v>2745073.01</v>
      </c>
    </row>
    <row r="481" spans="1:8" s="163" customFormat="1" ht="36.700000000000003" outlineLevel="4" x14ac:dyDescent="0.25">
      <c r="A481" s="81" t="s">
        <v>13</v>
      </c>
      <c r="B481" s="80" t="s">
        <v>501</v>
      </c>
      <c r="C481" s="80" t="s">
        <v>109</v>
      </c>
      <c r="D481" s="80" t="s">
        <v>529</v>
      </c>
      <c r="E481" s="83" t="s">
        <v>14</v>
      </c>
      <c r="F481" s="622">
        <f>2065468.39+574024.88</f>
        <v>2639493.27</v>
      </c>
      <c r="G481" s="622">
        <f>2148087.13+596985.88</f>
        <v>2745073.01</v>
      </c>
    </row>
    <row r="482" spans="1:8" s="163" customFormat="1" ht="55.05" outlineLevel="5" x14ac:dyDescent="0.25">
      <c r="A482" s="81" t="s">
        <v>494</v>
      </c>
      <c r="B482" s="80" t="s">
        <v>501</v>
      </c>
      <c r="C482" s="80" t="s">
        <v>109</v>
      </c>
      <c r="D482" s="80" t="s">
        <v>495</v>
      </c>
      <c r="E482" s="83" t="s">
        <v>6</v>
      </c>
      <c r="F482" s="621">
        <f>F483+F485+F487</f>
        <v>2761702.66</v>
      </c>
      <c r="G482" s="621">
        <f>G483+G485+G487</f>
        <v>2771970.77</v>
      </c>
    </row>
    <row r="483" spans="1:8" s="163" customFormat="1" ht="91.7" outlineLevel="6" x14ac:dyDescent="0.25">
      <c r="A483" s="81" t="s">
        <v>11</v>
      </c>
      <c r="B483" s="80" t="s">
        <v>501</v>
      </c>
      <c r="C483" s="80" t="s">
        <v>109</v>
      </c>
      <c r="D483" s="80" t="s">
        <v>495</v>
      </c>
      <c r="E483" s="83" t="s">
        <v>12</v>
      </c>
      <c r="F483" s="621">
        <f>F484</f>
        <v>2544862.66</v>
      </c>
      <c r="G483" s="621">
        <f>G484</f>
        <v>2546657.17</v>
      </c>
    </row>
    <row r="484" spans="1:8" s="163" customFormat="1" ht="36.700000000000003" outlineLevel="7" x14ac:dyDescent="0.25">
      <c r="A484" s="81" t="s">
        <v>13</v>
      </c>
      <c r="B484" s="80" t="s">
        <v>501</v>
      </c>
      <c r="C484" s="80" t="s">
        <v>109</v>
      </c>
      <c r="D484" s="80" t="s">
        <v>495</v>
      </c>
      <c r="E484" s="83" t="s">
        <v>14</v>
      </c>
      <c r="F484" s="621">
        <f>1954579.62+590283.04</f>
        <v>2544862.66</v>
      </c>
      <c r="G484" s="621">
        <f>613894.37+2032762.8-100000</f>
        <v>2546657.17</v>
      </c>
    </row>
    <row r="485" spans="1:8" s="163" customFormat="1" ht="36.700000000000003" outlineLevel="7" x14ac:dyDescent="0.25">
      <c r="A485" s="81" t="s">
        <v>15</v>
      </c>
      <c r="B485" s="80" t="s">
        <v>501</v>
      </c>
      <c r="C485" s="80" t="s">
        <v>109</v>
      </c>
      <c r="D485" s="80" t="s">
        <v>495</v>
      </c>
      <c r="E485" s="83" t="s">
        <v>16</v>
      </c>
      <c r="F485" s="621">
        <f>F486</f>
        <v>211840</v>
      </c>
      <c r="G485" s="621">
        <f>G486</f>
        <v>220313.60000000001</v>
      </c>
    </row>
    <row r="486" spans="1:8" s="163" customFormat="1" ht="36.700000000000003" outlineLevel="7" x14ac:dyDescent="0.25">
      <c r="A486" s="81" t="s">
        <v>17</v>
      </c>
      <c r="B486" s="80" t="s">
        <v>501</v>
      </c>
      <c r="C486" s="80" t="s">
        <v>109</v>
      </c>
      <c r="D486" s="80" t="s">
        <v>495</v>
      </c>
      <c r="E486" s="83" t="s">
        <v>18</v>
      </c>
      <c r="F486" s="622">
        <v>211840</v>
      </c>
      <c r="G486" s="622">
        <v>220313.60000000001</v>
      </c>
    </row>
    <row r="487" spans="1:8" outlineLevel="2" x14ac:dyDescent="0.25">
      <c r="A487" s="81" t="s">
        <v>19</v>
      </c>
      <c r="B487" s="80" t="s">
        <v>501</v>
      </c>
      <c r="C487" s="80" t="s">
        <v>109</v>
      </c>
      <c r="D487" s="80" t="s">
        <v>495</v>
      </c>
      <c r="E487" s="83" t="s">
        <v>20</v>
      </c>
      <c r="F487" s="621">
        <f>F488</f>
        <v>5000</v>
      </c>
      <c r="G487" s="621">
        <f>G488</f>
        <v>5000</v>
      </c>
    </row>
    <row r="488" spans="1:8" s="172" customFormat="1" outlineLevel="3" x14ac:dyDescent="0.25">
      <c r="A488" s="81" t="s">
        <v>21</v>
      </c>
      <c r="B488" s="80" t="s">
        <v>501</v>
      </c>
      <c r="C488" s="80" t="s">
        <v>109</v>
      </c>
      <c r="D488" s="80" t="s">
        <v>495</v>
      </c>
      <c r="E488" s="83" t="s">
        <v>22</v>
      </c>
      <c r="F488" s="622">
        <v>5000</v>
      </c>
      <c r="G488" s="622">
        <v>5000</v>
      </c>
      <c r="H488" s="171"/>
    </row>
    <row r="489" spans="1:8" outlineLevel="4" x14ac:dyDescent="0.25">
      <c r="A489" s="81" t="s">
        <v>531</v>
      </c>
      <c r="B489" s="80" t="s">
        <v>501</v>
      </c>
      <c r="C489" s="80" t="s">
        <v>109</v>
      </c>
      <c r="D489" s="80" t="s">
        <v>530</v>
      </c>
      <c r="E489" s="83" t="s">
        <v>6</v>
      </c>
      <c r="F489" s="621">
        <f>F490</f>
        <v>180000</v>
      </c>
      <c r="G489" s="621">
        <f>G490</f>
        <v>180000</v>
      </c>
    </row>
    <row r="490" spans="1:8" ht="91.7" outlineLevel="5" x14ac:dyDescent="0.25">
      <c r="A490" s="81" t="s">
        <v>11</v>
      </c>
      <c r="B490" s="80" t="s">
        <v>501</v>
      </c>
      <c r="C490" s="80" t="s">
        <v>109</v>
      </c>
      <c r="D490" s="80" t="s">
        <v>530</v>
      </c>
      <c r="E490" s="83" t="s">
        <v>12</v>
      </c>
      <c r="F490" s="621">
        <f>F491</f>
        <v>180000</v>
      </c>
      <c r="G490" s="621">
        <f>G491</f>
        <v>180000</v>
      </c>
    </row>
    <row r="491" spans="1:8" ht="32.950000000000003" customHeight="1" outlineLevel="6" x14ac:dyDescent="0.25">
      <c r="A491" s="81" t="s">
        <v>13</v>
      </c>
      <c r="B491" s="80" t="s">
        <v>501</v>
      </c>
      <c r="C491" s="80" t="s">
        <v>109</v>
      </c>
      <c r="D491" s="80" t="s">
        <v>530</v>
      </c>
      <c r="E491" s="83" t="s">
        <v>14</v>
      </c>
      <c r="F491" s="622">
        <v>180000</v>
      </c>
      <c r="G491" s="622">
        <v>180000</v>
      </c>
    </row>
    <row r="492" spans="1:8" s="170" customFormat="1" x14ac:dyDescent="0.25">
      <c r="A492" s="81" t="s">
        <v>23</v>
      </c>
      <c r="B492" s="80" t="s">
        <v>501</v>
      </c>
      <c r="C492" s="80" t="s">
        <v>24</v>
      </c>
      <c r="D492" s="80" t="s">
        <v>126</v>
      </c>
      <c r="E492" s="83" t="s">
        <v>6</v>
      </c>
      <c r="F492" s="621">
        <f>F493+F498</f>
        <v>142772</v>
      </c>
      <c r="G492" s="621">
        <f>G493+G498</f>
        <v>148480</v>
      </c>
      <c r="H492" s="173"/>
    </row>
    <row r="493" spans="1:8" s="172" customFormat="1" ht="55.05" outlineLevel="1" x14ac:dyDescent="0.25">
      <c r="A493" s="109" t="s">
        <v>830</v>
      </c>
      <c r="B493" s="110" t="s">
        <v>501</v>
      </c>
      <c r="C493" s="110" t="s">
        <v>24</v>
      </c>
      <c r="D493" s="110" t="s">
        <v>128</v>
      </c>
      <c r="E493" s="111" t="s">
        <v>6</v>
      </c>
      <c r="F493" s="623">
        <f t="shared" ref="F493:G496" si="31">F494</f>
        <v>34612</v>
      </c>
      <c r="G493" s="623">
        <f t="shared" si="31"/>
        <v>36000</v>
      </c>
      <c r="H493" s="171"/>
    </row>
    <row r="494" spans="1:8" ht="55.05" outlineLevel="2" x14ac:dyDescent="0.25">
      <c r="A494" s="113" t="s">
        <v>835</v>
      </c>
      <c r="B494" s="80" t="s">
        <v>501</v>
      </c>
      <c r="C494" s="80" t="s">
        <v>24</v>
      </c>
      <c r="D494" s="80" t="s">
        <v>315</v>
      </c>
      <c r="E494" s="83" t="s">
        <v>6</v>
      </c>
      <c r="F494" s="621">
        <f t="shared" si="31"/>
        <v>34612</v>
      </c>
      <c r="G494" s="621">
        <f t="shared" si="31"/>
        <v>36000</v>
      </c>
    </row>
    <row r="495" spans="1:8" s="172" customFormat="1" outlineLevel="3" x14ac:dyDescent="0.25">
      <c r="A495" s="113" t="s">
        <v>321</v>
      </c>
      <c r="B495" s="80" t="s">
        <v>501</v>
      </c>
      <c r="C495" s="80" t="s">
        <v>24</v>
      </c>
      <c r="D495" s="80" t="s">
        <v>316</v>
      </c>
      <c r="E495" s="83" t="s">
        <v>6</v>
      </c>
      <c r="F495" s="621">
        <f t="shared" si="31"/>
        <v>34612</v>
      </c>
      <c r="G495" s="621">
        <f t="shared" si="31"/>
        <v>36000</v>
      </c>
      <c r="H495" s="171"/>
    </row>
    <row r="496" spans="1:8" ht="36.700000000000003" outlineLevel="4" x14ac:dyDescent="0.25">
      <c r="A496" s="81" t="s">
        <v>15</v>
      </c>
      <c r="B496" s="80" t="s">
        <v>501</v>
      </c>
      <c r="C496" s="80" t="s">
        <v>24</v>
      </c>
      <c r="D496" s="80" t="s">
        <v>316</v>
      </c>
      <c r="E496" s="83" t="s">
        <v>16</v>
      </c>
      <c r="F496" s="621">
        <f t="shared" si="31"/>
        <v>34612</v>
      </c>
      <c r="G496" s="621">
        <f t="shared" si="31"/>
        <v>36000</v>
      </c>
    </row>
    <row r="497" spans="1:12" s="163" customFormat="1" ht="36.700000000000003" outlineLevel="4" x14ac:dyDescent="0.25">
      <c r="A497" s="81" t="s">
        <v>17</v>
      </c>
      <c r="B497" s="80" t="s">
        <v>501</v>
      </c>
      <c r="C497" s="80" t="s">
        <v>24</v>
      </c>
      <c r="D497" s="80" t="s">
        <v>316</v>
      </c>
      <c r="E497" s="83" t="s">
        <v>18</v>
      </c>
      <c r="F497" s="621">
        <v>34612</v>
      </c>
      <c r="G497" s="621">
        <v>36000</v>
      </c>
      <c r="I497" s="5"/>
      <c r="J497" s="5"/>
      <c r="K497" s="5"/>
      <c r="L497" s="5"/>
    </row>
    <row r="498" spans="1:12" s="163" customFormat="1" ht="36.700000000000003" outlineLevel="5" x14ac:dyDescent="0.25">
      <c r="A498" s="109" t="s">
        <v>132</v>
      </c>
      <c r="B498" s="110" t="s">
        <v>501</v>
      </c>
      <c r="C498" s="110" t="s">
        <v>24</v>
      </c>
      <c r="D498" s="110" t="s">
        <v>127</v>
      </c>
      <c r="E498" s="111" t="s">
        <v>6</v>
      </c>
      <c r="F498" s="624">
        <f t="shared" ref="F498:G500" si="32">F499</f>
        <v>108160</v>
      </c>
      <c r="G498" s="624">
        <f t="shared" si="32"/>
        <v>112480</v>
      </c>
    </row>
    <row r="499" spans="1:12" s="163" customFormat="1" ht="36.700000000000003" outlineLevel="6" x14ac:dyDescent="0.25">
      <c r="A499" s="81" t="s">
        <v>532</v>
      </c>
      <c r="B499" s="80" t="s">
        <v>501</v>
      </c>
      <c r="C499" s="80" t="s">
        <v>24</v>
      </c>
      <c r="D499" s="126">
        <v>9909970201</v>
      </c>
      <c r="E499" s="83" t="s">
        <v>6</v>
      </c>
      <c r="F499" s="622">
        <f t="shared" si="32"/>
        <v>108160</v>
      </c>
      <c r="G499" s="622">
        <f t="shared" si="32"/>
        <v>112480</v>
      </c>
    </row>
    <row r="500" spans="1:12" s="163" customFormat="1" ht="36.700000000000003" outlineLevel="7" x14ac:dyDescent="0.25">
      <c r="A500" s="81" t="s">
        <v>15</v>
      </c>
      <c r="B500" s="80" t="s">
        <v>501</v>
      </c>
      <c r="C500" s="80" t="s">
        <v>24</v>
      </c>
      <c r="D500" s="126">
        <v>9909970201</v>
      </c>
      <c r="E500" s="83" t="s">
        <v>16</v>
      </c>
      <c r="F500" s="622">
        <f t="shared" si="32"/>
        <v>108160</v>
      </c>
      <c r="G500" s="622">
        <f t="shared" si="32"/>
        <v>112480</v>
      </c>
    </row>
    <row r="501" spans="1:12" s="163" customFormat="1" ht="41.3" customHeight="1" outlineLevel="7" x14ac:dyDescent="0.25">
      <c r="A501" s="81" t="s">
        <v>17</v>
      </c>
      <c r="B501" s="80" t="s">
        <v>501</v>
      </c>
      <c r="C501" s="80" t="s">
        <v>24</v>
      </c>
      <c r="D501" s="126">
        <v>9909970201</v>
      </c>
      <c r="E501" s="83" t="s">
        <v>18</v>
      </c>
      <c r="F501" s="621">
        <v>108160</v>
      </c>
      <c r="G501" s="621">
        <v>112480</v>
      </c>
    </row>
    <row r="502" spans="1:12" s="163" customFormat="1" ht="55.05" outlineLevel="7" x14ac:dyDescent="0.25">
      <c r="A502" s="104" t="s">
        <v>546</v>
      </c>
      <c r="B502" s="105" t="s">
        <v>536</v>
      </c>
      <c r="C502" s="105" t="s">
        <v>5</v>
      </c>
      <c r="D502" s="105" t="s">
        <v>126</v>
      </c>
      <c r="E502" s="106" t="s">
        <v>6</v>
      </c>
      <c r="F502" s="620">
        <f>F503+F645+F659</f>
        <v>624884631.10000002</v>
      </c>
      <c r="G502" s="620">
        <f>G503+G645+G659</f>
        <v>640224927.78999996</v>
      </c>
    </row>
    <row r="503" spans="1:12" s="163" customFormat="1" outlineLevel="7" x14ac:dyDescent="0.25">
      <c r="A503" s="109" t="s">
        <v>69</v>
      </c>
      <c r="B503" s="110" t="s">
        <v>536</v>
      </c>
      <c r="C503" s="110" t="s">
        <v>70</v>
      </c>
      <c r="D503" s="110" t="s">
        <v>126</v>
      </c>
      <c r="E503" s="111" t="s">
        <v>6</v>
      </c>
      <c r="F503" s="623">
        <f>F504+F540+F606+F625+F580</f>
        <v>619631523.10000002</v>
      </c>
      <c r="G503" s="623">
        <f>G504+G540+G606+G625+G580</f>
        <v>634815090.78999996</v>
      </c>
    </row>
    <row r="504" spans="1:12" s="163" customFormat="1" outlineLevel="7" x14ac:dyDescent="0.25">
      <c r="A504" s="81" t="s">
        <v>110</v>
      </c>
      <c r="B504" s="80" t="s">
        <v>536</v>
      </c>
      <c r="C504" s="80" t="s">
        <v>111</v>
      </c>
      <c r="D504" s="80" t="s">
        <v>126</v>
      </c>
      <c r="E504" s="83" t="s">
        <v>6</v>
      </c>
      <c r="F504" s="621">
        <f>F505</f>
        <v>145001741.30000001</v>
      </c>
      <c r="G504" s="621">
        <f>G505</f>
        <v>148253770.30000001</v>
      </c>
    </row>
    <row r="505" spans="1:12" s="163" customFormat="1" ht="55.05" outlineLevel="7" x14ac:dyDescent="0.25">
      <c r="A505" s="109" t="s">
        <v>825</v>
      </c>
      <c r="B505" s="110" t="s">
        <v>536</v>
      </c>
      <c r="C505" s="110" t="s">
        <v>111</v>
      </c>
      <c r="D505" s="110" t="s">
        <v>138</v>
      </c>
      <c r="E505" s="111" t="s">
        <v>6</v>
      </c>
      <c r="F505" s="623">
        <f>F506</f>
        <v>145001741.30000001</v>
      </c>
      <c r="G505" s="623">
        <f>G506</f>
        <v>148253770.30000001</v>
      </c>
    </row>
    <row r="506" spans="1:12" s="163" customFormat="1" ht="55.05" outlineLevel="7" x14ac:dyDescent="0.25">
      <c r="A506" s="81" t="s">
        <v>834</v>
      </c>
      <c r="B506" s="80" t="s">
        <v>536</v>
      </c>
      <c r="C506" s="80" t="s">
        <v>111</v>
      </c>
      <c r="D506" s="80" t="s">
        <v>139</v>
      </c>
      <c r="E506" s="83" t="s">
        <v>6</v>
      </c>
      <c r="F506" s="621">
        <f>F507+F514</f>
        <v>145001741.30000001</v>
      </c>
      <c r="G506" s="621">
        <f>G507+G514</f>
        <v>148253770.30000001</v>
      </c>
    </row>
    <row r="507" spans="1:12" s="163" customFormat="1" ht="55.05" outlineLevel="7" x14ac:dyDescent="0.25">
      <c r="A507" s="113" t="s">
        <v>202</v>
      </c>
      <c r="B507" s="80" t="s">
        <v>536</v>
      </c>
      <c r="C507" s="80" t="s">
        <v>111</v>
      </c>
      <c r="D507" s="80" t="s">
        <v>219</v>
      </c>
      <c r="E507" s="83" t="s">
        <v>6</v>
      </c>
      <c r="F507" s="621">
        <f>F508+F511</f>
        <v>144743741.30000001</v>
      </c>
      <c r="G507" s="621">
        <f>G508+G511</f>
        <v>147995770.30000001</v>
      </c>
    </row>
    <row r="508" spans="1:12" s="163" customFormat="1" ht="55.05" outlineLevel="7" x14ac:dyDescent="0.25">
      <c r="A508" s="81" t="s">
        <v>113</v>
      </c>
      <c r="B508" s="80" t="s">
        <v>536</v>
      </c>
      <c r="C508" s="80" t="s">
        <v>111</v>
      </c>
      <c r="D508" s="80" t="s">
        <v>144</v>
      </c>
      <c r="E508" s="83" t="s">
        <v>6</v>
      </c>
      <c r="F508" s="621">
        <f>F509</f>
        <v>49165001.299999997</v>
      </c>
      <c r="G508" s="621">
        <f>G509</f>
        <v>46664655.299999997</v>
      </c>
    </row>
    <row r="509" spans="1:12" s="163" customFormat="1" ht="36.700000000000003" outlineLevel="7" x14ac:dyDescent="0.25">
      <c r="A509" s="81" t="s">
        <v>37</v>
      </c>
      <c r="B509" s="80" t="s">
        <v>536</v>
      </c>
      <c r="C509" s="80" t="s">
        <v>111</v>
      </c>
      <c r="D509" s="80" t="s">
        <v>144</v>
      </c>
      <c r="E509" s="83" t="s">
        <v>38</v>
      </c>
      <c r="F509" s="621">
        <f>F510</f>
        <v>49165001.299999997</v>
      </c>
      <c r="G509" s="621">
        <f>G510</f>
        <v>46664655.299999997</v>
      </c>
    </row>
    <row r="510" spans="1:12" s="163" customFormat="1" outlineLevel="7" x14ac:dyDescent="0.25">
      <c r="A510" s="81" t="s">
        <v>74</v>
      </c>
      <c r="B510" s="80" t="s">
        <v>536</v>
      </c>
      <c r="C510" s="80" t="s">
        <v>111</v>
      </c>
      <c r="D510" s="80" t="s">
        <v>144</v>
      </c>
      <c r="E510" s="83" t="s">
        <v>75</v>
      </c>
      <c r="F510" s="622">
        <f>49664655.3-500000+346</f>
        <v>49165001.299999997</v>
      </c>
      <c r="G510" s="622">
        <f>49664655.3-3000000</f>
        <v>46664655.299999997</v>
      </c>
    </row>
    <row r="511" spans="1:12" s="163" customFormat="1" ht="110.05" outlineLevel="7" x14ac:dyDescent="0.25">
      <c r="A511" s="113" t="s">
        <v>397</v>
      </c>
      <c r="B511" s="80" t="s">
        <v>536</v>
      </c>
      <c r="C511" s="80" t="s">
        <v>111</v>
      </c>
      <c r="D511" s="80" t="s">
        <v>145</v>
      </c>
      <c r="E511" s="83" t="s">
        <v>6</v>
      </c>
      <c r="F511" s="621">
        <f>F512</f>
        <v>95578740</v>
      </c>
      <c r="G511" s="621">
        <f>G512</f>
        <v>101331115</v>
      </c>
    </row>
    <row r="512" spans="1:12" s="163" customFormat="1" ht="36.700000000000003" outlineLevel="7" x14ac:dyDescent="0.25">
      <c r="A512" s="81" t="s">
        <v>37</v>
      </c>
      <c r="B512" s="80" t="s">
        <v>536</v>
      </c>
      <c r="C512" s="80" t="s">
        <v>111</v>
      </c>
      <c r="D512" s="80" t="s">
        <v>145</v>
      </c>
      <c r="E512" s="83" t="s">
        <v>38</v>
      </c>
      <c r="F512" s="621">
        <f>F513</f>
        <v>95578740</v>
      </c>
      <c r="G512" s="621">
        <f>G513</f>
        <v>101331115</v>
      </c>
    </row>
    <row r="513" spans="1:8" s="163" customFormat="1" ht="24.8" customHeight="1" outlineLevel="7" x14ac:dyDescent="0.25">
      <c r="A513" s="81" t="s">
        <v>74</v>
      </c>
      <c r="B513" s="80" t="s">
        <v>536</v>
      </c>
      <c r="C513" s="80" t="s">
        <v>111</v>
      </c>
      <c r="D513" s="80" t="s">
        <v>145</v>
      </c>
      <c r="E513" s="83" t="s">
        <v>75</v>
      </c>
      <c r="F513" s="622">
        <v>95578740</v>
      </c>
      <c r="G513" s="622">
        <v>101331115</v>
      </c>
    </row>
    <row r="514" spans="1:8" s="163" customFormat="1" ht="36.700000000000003" outlineLevel="7" x14ac:dyDescent="0.25">
      <c r="A514" s="113" t="s">
        <v>203</v>
      </c>
      <c r="B514" s="80" t="s">
        <v>536</v>
      </c>
      <c r="C514" s="80" t="s">
        <v>111</v>
      </c>
      <c r="D514" s="80" t="s">
        <v>221</v>
      </c>
      <c r="E514" s="83" t="s">
        <v>6</v>
      </c>
      <c r="F514" s="622">
        <f>F533+F515+F518+F521+F524</f>
        <v>258000</v>
      </c>
      <c r="G514" s="622">
        <f>G533+G515+G518+G521+G524</f>
        <v>258000</v>
      </c>
    </row>
    <row r="515" spans="1:8" s="163" customFormat="1" ht="39.75" customHeight="1" outlineLevel="7" x14ac:dyDescent="0.25">
      <c r="A515" s="81" t="s">
        <v>282</v>
      </c>
      <c r="B515" s="80" t="s">
        <v>536</v>
      </c>
      <c r="C515" s="80" t="s">
        <v>111</v>
      </c>
      <c r="D515" s="80" t="s">
        <v>283</v>
      </c>
      <c r="E515" s="83" t="s">
        <v>6</v>
      </c>
      <c r="F515" s="622">
        <f>F516</f>
        <v>100000</v>
      </c>
      <c r="G515" s="622">
        <f>G516</f>
        <v>100000</v>
      </c>
    </row>
    <row r="516" spans="1:8" s="163" customFormat="1" ht="39.75" customHeight="1" outlineLevel="7" x14ac:dyDescent="0.25">
      <c r="A516" s="81" t="s">
        <v>37</v>
      </c>
      <c r="B516" s="80" t="s">
        <v>536</v>
      </c>
      <c r="C516" s="80" t="s">
        <v>111</v>
      </c>
      <c r="D516" s="80" t="s">
        <v>283</v>
      </c>
      <c r="E516" s="83" t="s">
        <v>38</v>
      </c>
      <c r="F516" s="622">
        <f>F517</f>
        <v>100000</v>
      </c>
      <c r="G516" s="622">
        <f>G517</f>
        <v>100000</v>
      </c>
    </row>
    <row r="517" spans="1:8" s="163" customFormat="1" outlineLevel="7" x14ac:dyDescent="0.25">
      <c r="A517" s="81" t="s">
        <v>74</v>
      </c>
      <c r="B517" s="80" t="s">
        <v>536</v>
      </c>
      <c r="C517" s="80" t="s">
        <v>111</v>
      </c>
      <c r="D517" s="80" t="s">
        <v>283</v>
      </c>
      <c r="E517" s="83" t="s">
        <v>75</v>
      </c>
      <c r="F517" s="622">
        <v>100000</v>
      </c>
      <c r="G517" s="622">
        <v>100000</v>
      </c>
    </row>
    <row r="518" spans="1:8" s="163" customFormat="1" ht="36.700000000000003" outlineLevel="7" x14ac:dyDescent="0.25">
      <c r="A518" s="81" t="s">
        <v>268</v>
      </c>
      <c r="B518" s="80" t="s">
        <v>536</v>
      </c>
      <c r="C518" s="80" t="s">
        <v>111</v>
      </c>
      <c r="D518" s="80" t="s">
        <v>284</v>
      </c>
      <c r="E518" s="83" t="s">
        <v>6</v>
      </c>
      <c r="F518" s="622">
        <f>F519</f>
        <v>158000</v>
      </c>
      <c r="G518" s="622">
        <f>G519</f>
        <v>158000</v>
      </c>
    </row>
    <row r="519" spans="1:8" s="163" customFormat="1" ht="36.700000000000003" outlineLevel="7" x14ac:dyDescent="0.25">
      <c r="A519" s="81" t="s">
        <v>37</v>
      </c>
      <c r="B519" s="80" t="s">
        <v>536</v>
      </c>
      <c r="C519" s="80" t="s">
        <v>111</v>
      </c>
      <c r="D519" s="80" t="s">
        <v>284</v>
      </c>
      <c r="E519" s="83" t="s">
        <v>38</v>
      </c>
      <c r="F519" s="622">
        <f>F520</f>
        <v>158000</v>
      </c>
      <c r="G519" s="622">
        <f>G520</f>
        <v>158000</v>
      </c>
    </row>
    <row r="520" spans="1:8" s="163" customFormat="1" outlineLevel="7" x14ac:dyDescent="0.25">
      <c r="A520" s="81" t="s">
        <v>74</v>
      </c>
      <c r="B520" s="80" t="s">
        <v>536</v>
      </c>
      <c r="C520" s="80" t="s">
        <v>111</v>
      </c>
      <c r="D520" s="80" t="s">
        <v>284</v>
      </c>
      <c r="E520" s="83" t="s">
        <v>75</v>
      </c>
      <c r="F520" s="622">
        <v>158000</v>
      </c>
      <c r="G520" s="622">
        <v>158000</v>
      </c>
    </row>
    <row r="521" spans="1:8" s="163" customFormat="1" hidden="1" outlineLevel="7" x14ac:dyDescent="0.25">
      <c r="A521" s="81" t="s">
        <v>311</v>
      </c>
      <c r="B521" s="80" t="s">
        <v>536</v>
      </c>
      <c r="C521" s="80" t="s">
        <v>111</v>
      </c>
      <c r="D521" s="80" t="s">
        <v>534</v>
      </c>
      <c r="E521" s="80" t="s">
        <v>6</v>
      </c>
      <c r="F521" s="622">
        <f>F522</f>
        <v>0</v>
      </c>
      <c r="G521" s="622">
        <f>G522</f>
        <v>0</v>
      </c>
    </row>
    <row r="522" spans="1:8" s="163" customFormat="1" ht="36.700000000000003" hidden="1" outlineLevel="7" x14ac:dyDescent="0.25">
      <c r="A522" s="81" t="s">
        <v>37</v>
      </c>
      <c r="B522" s="80" t="s">
        <v>536</v>
      </c>
      <c r="C522" s="80" t="s">
        <v>111</v>
      </c>
      <c r="D522" s="80" t="s">
        <v>534</v>
      </c>
      <c r="E522" s="80" t="s">
        <v>38</v>
      </c>
      <c r="F522" s="622">
        <f>F523</f>
        <v>0</v>
      </c>
      <c r="G522" s="622">
        <f>G523</f>
        <v>0</v>
      </c>
    </row>
    <row r="523" spans="1:8" hidden="1" outlineLevel="7" x14ac:dyDescent="0.25">
      <c r="A523" s="81" t="s">
        <v>74</v>
      </c>
      <c r="B523" s="80" t="s">
        <v>536</v>
      </c>
      <c r="C523" s="80" t="s">
        <v>111</v>
      </c>
      <c r="D523" s="80" t="s">
        <v>534</v>
      </c>
      <c r="E523" s="80" t="s">
        <v>75</v>
      </c>
      <c r="F523" s="634">
        <f>1500000-1500000</f>
        <v>0</v>
      </c>
      <c r="G523" s="634">
        <f>1500000-1500000</f>
        <v>0</v>
      </c>
    </row>
    <row r="524" spans="1:8" ht="55.05" hidden="1" outlineLevel="7" x14ac:dyDescent="0.25">
      <c r="A524" s="113" t="s">
        <v>458</v>
      </c>
      <c r="B524" s="80" t="s">
        <v>536</v>
      </c>
      <c r="C524" s="80" t="s">
        <v>111</v>
      </c>
      <c r="D524" s="80" t="s">
        <v>459</v>
      </c>
      <c r="E524" s="80" t="s">
        <v>6</v>
      </c>
      <c r="F524" s="622">
        <f>F525</f>
        <v>0</v>
      </c>
      <c r="G524" s="622">
        <f>G525</f>
        <v>0</v>
      </c>
    </row>
    <row r="525" spans="1:8" ht="36.700000000000003" hidden="1" outlineLevel="7" x14ac:dyDescent="0.25">
      <c r="A525" s="81" t="s">
        <v>37</v>
      </c>
      <c r="B525" s="80" t="s">
        <v>536</v>
      </c>
      <c r="C525" s="80" t="s">
        <v>111</v>
      </c>
      <c r="D525" s="80" t="s">
        <v>459</v>
      </c>
      <c r="E525" s="80" t="s">
        <v>38</v>
      </c>
      <c r="F525" s="622">
        <f>F526</f>
        <v>0</v>
      </c>
      <c r="G525" s="622">
        <f>G526</f>
        <v>0</v>
      </c>
    </row>
    <row r="526" spans="1:8" ht="18.7" hidden="1" customHeight="1" outlineLevel="2" x14ac:dyDescent="0.25">
      <c r="A526" s="81" t="s">
        <v>74</v>
      </c>
      <c r="B526" s="80" t="s">
        <v>536</v>
      </c>
      <c r="C526" s="80" t="s">
        <v>111</v>
      </c>
      <c r="D526" s="80" t="s">
        <v>459</v>
      </c>
      <c r="E526" s="80" t="s">
        <v>75</v>
      </c>
      <c r="F526" s="634"/>
      <c r="G526" s="634"/>
    </row>
    <row r="527" spans="1:8" s="172" customFormat="1" ht="21.25" hidden="1" customHeight="1" outlineLevel="3" x14ac:dyDescent="0.25">
      <c r="A527" s="81" t="s">
        <v>725</v>
      </c>
      <c r="B527" s="80" t="s">
        <v>536</v>
      </c>
      <c r="C527" s="80" t="s">
        <v>111</v>
      </c>
      <c r="D527" s="80" t="s">
        <v>726</v>
      </c>
      <c r="E527" s="80" t="s">
        <v>6</v>
      </c>
      <c r="F527" s="622">
        <f>F528</f>
        <v>0</v>
      </c>
      <c r="G527" s="622">
        <f>G528</f>
        <v>0</v>
      </c>
      <c r="H527" s="171"/>
    </row>
    <row r="528" spans="1:8" ht="28.55" hidden="1" customHeight="1" outlineLevel="4" x14ac:dyDescent="0.25">
      <c r="A528" s="81" t="s">
        <v>37</v>
      </c>
      <c r="B528" s="80" t="s">
        <v>536</v>
      </c>
      <c r="C528" s="80" t="s">
        <v>111</v>
      </c>
      <c r="D528" s="80" t="s">
        <v>726</v>
      </c>
      <c r="E528" s="80" t="s">
        <v>38</v>
      </c>
      <c r="F528" s="622">
        <f>F529</f>
        <v>0</v>
      </c>
      <c r="G528" s="622">
        <f>G529</f>
        <v>0</v>
      </c>
    </row>
    <row r="529" spans="1:12" s="163" customFormat="1" ht="20.25" hidden="1" customHeight="1" outlineLevel="4" x14ac:dyDescent="0.25">
      <c r="A529" s="81" t="s">
        <v>74</v>
      </c>
      <c r="B529" s="80" t="s">
        <v>536</v>
      </c>
      <c r="C529" s="80" t="s">
        <v>111</v>
      </c>
      <c r="D529" s="80" t="s">
        <v>726</v>
      </c>
      <c r="E529" s="80" t="s">
        <v>75</v>
      </c>
      <c r="F529" s="622">
        <v>0</v>
      </c>
      <c r="G529" s="634"/>
      <c r="I529" s="5"/>
      <c r="J529" s="5"/>
      <c r="K529" s="5"/>
      <c r="L529" s="5"/>
    </row>
    <row r="530" spans="1:12" s="163" customFormat="1" ht="83.25" hidden="1" customHeight="1" outlineLevel="4" x14ac:dyDescent="0.25">
      <c r="A530" s="100" t="s">
        <v>589</v>
      </c>
      <c r="B530" s="80" t="s">
        <v>536</v>
      </c>
      <c r="C530" s="80" t="s">
        <v>111</v>
      </c>
      <c r="D530" s="80" t="s">
        <v>590</v>
      </c>
      <c r="E530" s="80" t="s">
        <v>6</v>
      </c>
      <c r="F530" s="622">
        <f>F531</f>
        <v>0</v>
      </c>
      <c r="G530" s="622">
        <f>G531</f>
        <v>0</v>
      </c>
      <c r="I530" s="5"/>
      <c r="J530" s="5"/>
      <c r="K530" s="5"/>
      <c r="L530" s="5"/>
    </row>
    <row r="531" spans="1:12" s="163" customFormat="1" ht="36.700000000000003" hidden="1" outlineLevel="4" x14ac:dyDescent="0.25">
      <c r="A531" s="81" t="s">
        <v>37</v>
      </c>
      <c r="B531" s="80" t="s">
        <v>536</v>
      </c>
      <c r="C531" s="80" t="s">
        <v>111</v>
      </c>
      <c r="D531" s="80" t="s">
        <v>590</v>
      </c>
      <c r="E531" s="80" t="s">
        <v>38</v>
      </c>
      <c r="F531" s="622">
        <f>F532</f>
        <v>0</v>
      </c>
      <c r="G531" s="622">
        <f>G532</f>
        <v>0</v>
      </c>
      <c r="I531" s="5"/>
      <c r="J531" s="5"/>
      <c r="K531" s="5"/>
      <c r="L531" s="5"/>
    </row>
    <row r="532" spans="1:12" s="163" customFormat="1" hidden="1" outlineLevel="4" x14ac:dyDescent="0.25">
      <c r="A532" s="81" t="s">
        <v>74</v>
      </c>
      <c r="B532" s="80" t="s">
        <v>536</v>
      </c>
      <c r="C532" s="80" t="s">
        <v>111</v>
      </c>
      <c r="D532" s="80" t="s">
        <v>590</v>
      </c>
      <c r="E532" s="80" t="s">
        <v>75</v>
      </c>
      <c r="F532" s="622">
        <v>0</v>
      </c>
      <c r="G532" s="622">
        <v>0</v>
      </c>
      <c r="I532" s="5"/>
      <c r="J532" s="5"/>
      <c r="K532" s="5"/>
      <c r="L532" s="5"/>
    </row>
    <row r="533" spans="1:12" s="163" customFormat="1" ht="64.2" hidden="1" customHeight="1" outlineLevel="5" x14ac:dyDescent="0.25">
      <c r="A533" s="81" t="s">
        <v>443</v>
      </c>
      <c r="B533" s="80" t="s">
        <v>536</v>
      </c>
      <c r="C533" s="80" t="s">
        <v>111</v>
      </c>
      <c r="D533" s="80" t="s">
        <v>444</v>
      </c>
      <c r="E533" s="83" t="s">
        <v>6</v>
      </c>
      <c r="F533" s="622">
        <f>F534</f>
        <v>0</v>
      </c>
      <c r="G533" s="622">
        <f>G534</f>
        <v>0</v>
      </c>
      <c r="I533" s="5"/>
      <c r="J533" s="5"/>
      <c r="K533" s="5"/>
      <c r="L533" s="5"/>
    </row>
    <row r="534" spans="1:12" s="163" customFormat="1" ht="36.700000000000003" hidden="1" customHeight="1" outlineLevel="6" x14ac:dyDescent="0.25">
      <c r="A534" s="81" t="s">
        <v>37</v>
      </c>
      <c r="B534" s="80" t="s">
        <v>536</v>
      </c>
      <c r="C534" s="80" t="s">
        <v>111</v>
      </c>
      <c r="D534" s="80" t="s">
        <v>444</v>
      </c>
      <c r="E534" s="83" t="s">
        <v>38</v>
      </c>
      <c r="F534" s="622">
        <f>F535</f>
        <v>0</v>
      </c>
      <c r="G534" s="622">
        <f>G535</f>
        <v>0</v>
      </c>
      <c r="I534" s="5"/>
      <c r="J534" s="5"/>
      <c r="K534" s="5"/>
      <c r="L534" s="5"/>
    </row>
    <row r="535" spans="1:12" s="163" customFormat="1" ht="27.2" hidden="1" customHeight="1" outlineLevel="7" x14ac:dyDescent="0.25">
      <c r="A535" s="81" t="s">
        <v>74</v>
      </c>
      <c r="B535" s="80" t="s">
        <v>536</v>
      </c>
      <c r="C535" s="80" t="s">
        <v>111</v>
      </c>
      <c r="D535" s="80" t="s">
        <v>444</v>
      </c>
      <c r="E535" s="83" t="s">
        <v>75</v>
      </c>
      <c r="F535" s="634">
        <f>169516.5-169516.5</f>
        <v>0</v>
      </c>
      <c r="G535" s="622">
        <v>0</v>
      </c>
      <c r="I535" s="5"/>
      <c r="J535" s="5"/>
      <c r="K535" s="5"/>
      <c r="L535" s="5"/>
    </row>
    <row r="536" spans="1:12" s="163" customFormat="1" ht="25.15" hidden="1" customHeight="1" outlineLevel="5" x14ac:dyDescent="0.25">
      <c r="A536" s="114" t="s">
        <v>591</v>
      </c>
      <c r="B536" s="80" t="s">
        <v>536</v>
      </c>
      <c r="C536" s="80" t="s">
        <v>111</v>
      </c>
      <c r="D536" s="80" t="s">
        <v>592</v>
      </c>
      <c r="E536" s="80" t="s">
        <v>6</v>
      </c>
      <c r="F536" s="622">
        <f t="shared" ref="F536:G538" si="33">F537</f>
        <v>0</v>
      </c>
      <c r="G536" s="622">
        <f t="shared" si="33"/>
        <v>0</v>
      </c>
      <c r="I536" s="5"/>
      <c r="J536" s="5"/>
      <c r="K536" s="5"/>
      <c r="L536" s="5"/>
    </row>
    <row r="537" spans="1:12" s="163" customFormat="1" ht="23.8" hidden="1" customHeight="1" outlineLevel="5" x14ac:dyDescent="0.25">
      <c r="A537" s="113" t="s">
        <v>562</v>
      </c>
      <c r="B537" s="80" t="s">
        <v>536</v>
      </c>
      <c r="C537" s="80" t="s">
        <v>111</v>
      </c>
      <c r="D537" s="80" t="s">
        <v>675</v>
      </c>
      <c r="E537" s="80" t="s">
        <v>6</v>
      </c>
      <c r="F537" s="622">
        <f t="shared" si="33"/>
        <v>0</v>
      </c>
      <c r="G537" s="622">
        <f t="shared" si="33"/>
        <v>0</v>
      </c>
      <c r="I537" s="5"/>
      <c r="J537" s="5"/>
      <c r="K537" s="5"/>
      <c r="L537" s="5"/>
    </row>
    <row r="538" spans="1:12" s="163" customFormat="1" ht="39.75" hidden="1" customHeight="1" outlineLevel="5" x14ac:dyDescent="0.25">
      <c r="A538" s="81" t="s">
        <v>264</v>
      </c>
      <c r="B538" s="80" t="s">
        <v>536</v>
      </c>
      <c r="C538" s="80" t="s">
        <v>111</v>
      </c>
      <c r="D538" s="80" t="s">
        <v>675</v>
      </c>
      <c r="E538" s="80" t="s">
        <v>265</v>
      </c>
      <c r="F538" s="622">
        <f t="shared" si="33"/>
        <v>0</v>
      </c>
      <c r="G538" s="622">
        <f t="shared" si="33"/>
        <v>0</v>
      </c>
      <c r="I538" s="5"/>
      <c r="J538" s="5"/>
      <c r="K538" s="5"/>
      <c r="L538" s="5"/>
    </row>
    <row r="539" spans="1:12" s="163" customFormat="1" ht="24.45" hidden="1" customHeight="1" outlineLevel="5" x14ac:dyDescent="0.25">
      <c r="A539" s="310" t="s">
        <v>266</v>
      </c>
      <c r="B539" s="80" t="s">
        <v>536</v>
      </c>
      <c r="C539" s="80" t="s">
        <v>111</v>
      </c>
      <c r="D539" s="80" t="s">
        <v>675</v>
      </c>
      <c r="E539" s="80" t="s">
        <v>267</v>
      </c>
      <c r="F539" s="622">
        <v>0</v>
      </c>
      <c r="G539" s="622">
        <v>0</v>
      </c>
    </row>
    <row r="540" spans="1:12" s="163" customFormat="1" ht="24.45" customHeight="1" outlineLevel="5" x14ac:dyDescent="0.25">
      <c r="A540" s="81" t="s">
        <v>71</v>
      </c>
      <c r="B540" s="80" t="s">
        <v>536</v>
      </c>
      <c r="C540" s="80" t="s">
        <v>72</v>
      </c>
      <c r="D540" s="80" t="s">
        <v>126</v>
      </c>
      <c r="E540" s="83" t="s">
        <v>6</v>
      </c>
      <c r="F540" s="621">
        <f>F541</f>
        <v>423183693.80000001</v>
      </c>
      <c r="G540" s="621">
        <f>G541</f>
        <v>437482827.72999996</v>
      </c>
    </row>
    <row r="541" spans="1:12" s="163" customFormat="1" ht="55.05" outlineLevel="5" x14ac:dyDescent="0.25">
      <c r="A541" s="109" t="s">
        <v>825</v>
      </c>
      <c r="B541" s="110" t="s">
        <v>536</v>
      </c>
      <c r="C541" s="110" t="s">
        <v>72</v>
      </c>
      <c r="D541" s="110" t="s">
        <v>138</v>
      </c>
      <c r="E541" s="111" t="s">
        <v>6</v>
      </c>
      <c r="F541" s="623">
        <f>F542</f>
        <v>423183693.80000001</v>
      </c>
      <c r="G541" s="623">
        <f>G542</f>
        <v>437482827.72999996</v>
      </c>
    </row>
    <row r="542" spans="1:12" s="163" customFormat="1" ht="58.75" customHeight="1" outlineLevel="5" x14ac:dyDescent="0.25">
      <c r="A542" s="81" t="s">
        <v>831</v>
      </c>
      <c r="B542" s="80" t="s">
        <v>536</v>
      </c>
      <c r="C542" s="80" t="s">
        <v>72</v>
      </c>
      <c r="D542" s="80" t="s">
        <v>146</v>
      </c>
      <c r="E542" s="83" t="s">
        <v>6</v>
      </c>
      <c r="F542" s="621">
        <f>F543+F556+F572+F576</f>
        <v>423183693.80000001</v>
      </c>
      <c r="G542" s="621">
        <f>G543+G556+G572+G576</f>
        <v>437482827.72999996</v>
      </c>
    </row>
    <row r="543" spans="1:12" s="163" customFormat="1" ht="55.05" outlineLevel="5" x14ac:dyDescent="0.25">
      <c r="A543" s="113" t="s">
        <v>205</v>
      </c>
      <c r="B543" s="80" t="s">
        <v>536</v>
      </c>
      <c r="C543" s="80" t="s">
        <v>72</v>
      </c>
      <c r="D543" s="80" t="s">
        <v>222</v>
      </c>
      <c r="E543" s="83" t="s">
        <v>6</v>
      </c>
      <c r="F543" s="621">
        <f>F544+F547+F550+F553</f>
        <v>412894862.13999999</v>
      </c>
      <c r="G543" s="621">
        <f>G544+G547+G550+G553</f>
        <v>427190904.13999999</v>
      </c>
    </row>
    <row r="544" spans="1:12" s="163" customFormat="1" ht="73.400000000000006" outlineLevel="5" x14ac:dyDescent="0.25">
      <c r="A544" s="25" t="s">
        <v>593</v>
      </c>
      <c r="B544" s="80" t="s">
        <v>536</v>
      </c>
      <c r="C544" s="80" t="s">
        <v>72</v>
      </c>
      <c r="D544" s="80" t="s">
        <v>594</v>
      </c>
      <c r="E544" s="83" t="s">
        <v>6</v>
      </c>
      <c r="F544" s="621">
        <f>F545</f>
        <v>23400000</v>
      </c>
      <c r="G544" s="621">
        <f>G545</f>
        <v>23400000</v>
      </c>
    </row>
    <row r="545" spans="1:12" s="163" customFormat="1" ht="36.700000000000003" outlineLevel="5" x14ac:dyDescent="0.25">
      <c r="A545" s="81" t="s">
        <v>37</v>
      </c>
      <c r="B545" s="80" t="s">
        <v>536</v>
      </c>
      <c r="C545" s="80" t="s">
        <v>72</v>
      </c>
      <c r="D545" s="80" t="s">
        <v>594</v>
      </c>
      <c r="E545" s="83" t="s">
        <v>38</v>
      </c>
      <c r="F545" s="621">
        <f>F546</f>
        <v>23400000</v>
      </c>
      <c r="G545" s="621">
        <f>G546</f>
        <v>23400000</v>
      </c>
    </row>
    <row r="546" spans="1:12" s="163" customFormat="1" outlineLevel="5" x14ac:dyDescent="0.25">
      <c r="A546" s="81" t="s">
        <v>74</v>
      </c>
      <c r="B546" s="80" t="s">
        <v>536</v>
      </c>
      <c r="C546" s="80" t="s">
        <v>72</v>
      </c>
      <c r="D546" s="80" t="s">
        <v>594</v>
      </c>
      <c r="E546" s="83" t="s">
        <v>75</v>
      </c>
      <c r="F546" s="621">
        <v>23400000</v>
      </c>
      <c r="G546" s="621">
        <v>23400000</v>
      </c>
    </row>
    <row r="547" spans="1:12" s="163" customFormat="1" ht="55.05" outlineLevel="5" x14ac:dyDescent="0.25">
      <c r="A547" s="81" t="s">
        <v>114</v>
      </c>
      <c r="B547" s="80" t="s">
        <v>536</v>
      </c>
      <c r="C547" s="80" t="s">
        <v>72</v>
      </c>
      <c r="D547" s="80" t="s">
        <v>147</v>
      </c>
      <c r="E547" s="83" t="s">
        <v>6</v>
      </c>
      <c r="F547" s="621">
        <f>F548</f>
        <v>101659299.14</v>
      </c>
      <c r="G547" s="621">
        <f>G548</f>
        <v>98659299.140000001</v>
      </c>
    </row>
    <row r="548" spans="1:12" s="163" customFormat="1" ht="36.700000000000003" outlineLevel="5" x14ac:dyDescent="0.25">
      <c r="A548" s="81" t="s">
        <v>37</v>
      </c>
      <c r="B548" s="80" t="s">
        <v>536</v>
      </c>
      <c r="C548" s="80" t="s">
        <v>72</v>
      </c>
      <c r="D548" s="80" t="s">
        <v>147</v>
      </c>
      <c r="E548" s="83" t="s">
        <v>38</v>
      </c>
      <c r="F548" s="621">
        <f>F549</f>
        <v>101659299.14</v>
      </c>
      <c r="G548" s="621">
        <f>G549</f>
        <v>98659299.140000001</v>
      </c>
    </row>
    <row r="549" spans="1:12" s="163" customFormat="1" outlineLevel="5" x14ac:dyDescent="0.25">
      <c r="A549" s="81" t="s">
        <v>74</v>
      </c>
      <c r="B549" s="80" t="s">
        <v>536</v>
      </c>
      <c r="C549" s="80" t="s">
        <v>72</v>
      </c>
      <c r="D549" s="80" t="s">
        <v>147</v>
      </c>
      <c r="E549" s="83" t="s">
        <v>75</v>
      </c>
      <c r="F549" s="622">
        <f>102159299.14-500000</f>
        <v>101659299.14</v>
      </c>
      <c r="G549" s="622">
        <f>102159299.14-3500000</f>
        <v>98659299.140000001</v>
      </c>
    </row>
    <row r="550" spans="1:12" s="163" customFormat="1" ht="146.75" outlineLevel="5" x14ac:dyDescent="0.25">
      <c r="A550" s="113" t="s">
        <v>400</v>
      </c>
      <c r="B550" s="80" t="s">
        <v>536</v>
      </c>
      <c r="C550" s="80" t="s">
        <v>72</v>
      </c>
      <c r="D550" s="80" t="s">
        <v>148</v>
      </c>
      <c r="E550" s="83" t="s">
        <v>6</v>
      </c>
      <c r="F550" s="621">
        <f>F551</f>
        <v>274599363</v>
      </c>
      <c r="G550" s="621">
        <f>G551</f>
        <v>291895405</v>
      </c>
    </row>
    <row r="551" spans="1:12" s="163" customFormat="1" ht="36.700000000000003" outlineLevel="5" x14ac:dyDescent="0.25">
      <c r="A551" s="81" t="s">
        <v>37</v>
      </c>
      <c r="B551" s="80" t="s">
        <v>536</v>
      </c>
      <c r="C551" s="80" t="s">
        <v>72</v>
      </c>
      <c r="D551" s="80" t="s">
        <v>148</v>
      </c>
      <c r="E551" s="83" t="s">
        <v>38</v>
      </c>
      <c r="F551" s="621">
        <f>F552</f>
        <v>274599363</v>
      </c>
      <c r="G551" s="621">
        <f>G552</f>
        <v>291895405</v>
      </c>
    </row>
    <row r="552" spans="1:12" s="163" customFormat="1" outlineLevel="5" x14ac:dyDescent="0.25">
      <c r="A552" s="81" t="s">
        <v>74</v>
      </c>
      <c r="B552" s="80" t="s">
        <v>536</v>
      </c>
      <c r="C552" s="80" t="s">
        <v>72</v>
      </c>
      <c r="D552" s="80" t="s">
        <v>148</v>
      </c>
      <c r="E552" s="83" t="s">
        <v>75</v>
      </c>
      <c r="F552" s="622">
        <v>274599363</v>
      </c>
      <c r="G552" s="622">
        <v>291895405</v>
      </c>
    </row>
    <row r="553" spans="1:12" s="163" customFormat="1" ht="146.75" outlineLevel="5" x14ac:dyDescent="0.25">
      <c r="A553" s="25" t="s">
        <v>470</v>
      </c>
      <c r="B553" s="80" t="s">
        <v>536</v>
      </c>
      <c r="C553" s="80" t="s">
        <v>72</v>
      </c>
      <c r="D553" s="80" t="s">
        <v>922</v>
      </c>
      <c r="E553" s="83" t="s">
        <v>6</v>
      </c>
      <c r="F553" s="622">
        <f>F554</f>
        <v>13236200</v>
      </c>
      <c r="G553" s="622">
        <f>G554</f>
        <v>13236200</v>
      </c>
    </row>
    <row r="554" spans="1:12" s="163" customFormat="1" ht="36.700000000000003" outlineLevel="5" x14ac:dyDescent="0.25">
      <c r="A554" s="81" t="s">
        <v>37</v>
      </c>
      <c r="B554" s="80" t="s">
        <v>536</v>
      </c>
      <c r="C554" s="80" t="s">
        <v>72</v>
      </c>
      <c r="D554" s="80" t="s">
        <v>922</v>
      </c>
      <c r="E554" s="83" t="s">
        <v>38</v>
      </c>
      <c r="F554" s="622">
        <f>F555</f>
        <v>13236200</v>
      </c>
      <c r="G554" s="622">
        <f>G555</f>
        <v>13236200</v>
      </c>
    </row>
    <row r="555" spans="1:12" s="163" customFormat="1" outlineLevel="5" x14ac:dyDescent="0.25">
      <c r="A555" s="81" t="s">
        <v>74</v>
      </c>
      <c r="B555" s="80" t="s">
        <v>536</v>
      </c>
      <c r="C555" s="80" t="s">
        <v>72</v>
      </c>
      <c r="D555" s="80" t="s">
        <v>922</v>
      </c>
      <c r="E555" s="83" t="s">
        <v>75</v>
      </c>
      <c r="F555" s="622">
        <v>13236200</v>
      </c>
      <c r="G555" s="622">
        <v>13236200</v>
      </c>
      <c r="I555" s="5"/>
      <c r="J555" s="5"/>
      <c r="K555" s="5"/>
      <c r="L555" s="5"/>
    </row>
    <row r="556" spans="1:12" s="163" customFormat="1" ht="36.700000000000003" outlineLevel="5" x14ac:dyDescent="0.25">
      <c r="A556" s="113" t="s">
        <v>206</v>
      </c>
      <c r="B556" s="80" t="s">
        <v>536</v>
      </c>
      <c r="C556" s="80" t="s">
        <v>72</v>
      </c>
      <c r="D556" s="80" t="s">
        <v>220</v>
      </c>
      <c r="E556" s="83" t="s">
        <v>6</v>
      </c>
      <c r="F556" s="622">
        <f>F569+F557+F560+F566+F563</f>
        <v>221200</v>
      </c>
      <c r="G556" s="622">
        <f>G569+G557+G560+G566+G563</f>
        <v>221200</v>
      </c>
      <c r="I556" s="5"/>
      <c r="J556" s="5"/>
      <c r="K556" s="5"/>
      <c r="L556" s="5"/>
    </row>
    <row r="557" spans="1:12" s="163" customFormat="1" ht="36.700000000000003" outlineLevel="5" x14ac:dyDescent="0.25">
      <c r="A557" s="81" t="s">
        <v>268</v>
      </c>
      <c r="B557" s="80" t="s">
        <v>536</v>
      </c>
      <c r="C557" s="80" t="s">
        <v>72</v>
      </c>
      <c r="D557" s="80" t="s">
        <v>269</v>
      </c>
      <c r="E557" s="83" t="s">
        <v>6</v>
      </c>
      <c r="F557" s="622">
        <f>F558</f>
        <v>221200</v>
      </c>
      <c r="G557" s="622">
        <f>G558</f>
        <v>221200</v>
      </c>
      <c r="I557" s="5"/>
      <c r="J557" s="5"/>
      <c r="K557" s="5"/>
      <c r="L557" s="5"/>
    </row>
    <row r="558" spans="1:12" s="163" customFormat="1" ht="36.700000000000003" outlineLevel="5" x14ac:dyDescent="0.25">
      <c r="A558" s="81" t="s">
        <v>37</v>
      </c>
      <c r="B558" s="80" t="s">
        <v>536</v>
      </c>
      <c r="C558" s="80" t="s">
        <v>72</v>
      </c>
      <c r="D558" s="80" t="s">
        <v>269</v>
      </c>
      <c r="E558" s="83" t="s">
        <v>38</v>
      </c>
      <c r="F558" s="622">
        <f>F559</f>
        <v>221200</v>
      </c>
      <c r="G558" s="622">
        <f>G559</f>
        <v>221200</v>
      </c>
      <c r="I558" s="5"/>
      <c r="J558" s="5"/>
      <c r="K558" s="5"/>
      <c r="L558" s="5"/>
    </row>
    <row r="559" spans="1:12" s="163" customFormat="1" outlineLevel="5" x14ac:dyDescent="0.25">
      <c r="A559" s="81" t="s">
        <v>74</v>
      </c>
      <c r="B559" s="80" t="s">
        <v>536</v>
      </c>
      <c r="C559" s="80" t="s">
        <v>72</v>
      </c>
      <c r="D559" s="80" t="s">
        <v>269</v>
      </c>
      <c r="E559" s="83" t="s">
        <v>75</v>
      </c>
      <c r="F559" s="622">
        <v>221200</v>
      </c>
      <c r="G559" s="622">
        <v>221200</v>
      </c>
      <c r="I559" s="5"/>
      <c r="J559" s="5"/>
      <c r="K559" s="5"/>
      <c r="L559" s="5"/>
    </row>
    <row r="560" spans="1:12" s="163" customFormat="1" hidden="1" outlineLevel="5" x14ac:dyDescent="0.25">
      <c r="A560" s="134" t="s">
        <v>311</v>
      </c>
      <c r="B560" s="80" t="s">
        <v>536</v>
      </c>
      <c r="C560" s="80" t="s">
        <v>72</v>
      </c>
      <c r="D560" s="80" t="s">
        <v>312</v>
      </c>
      <c r="E560" s="83" t="s">
        <v>6</v>
      </c>
      <c r="F560" s="622">
        <f>F561</f>
        <v>0</v>
      </c>
      <c r="G560" s="622">
        <f>G561</f>
        <v>0</v>
      </c>
      <c r="I560" s="5"/>
      <c r="J560" s="5"/>
      <c r="K560" s="5"/>
      <c r="L560" s="5"/>
    </row>
    <row r="561" spans="1:8" ht="36.700000000000003" hidden="1" outlineLevel="5" x14ac:dyDescent="0.25">
      <c r="A561" s="81" t="s">
        <v>37</v>
      </c>
      <c r="B561" s="80" t="s">
        <v>536</v>
      </c>
      <c r="C561" s="80" t="s">
        <v>72</v>
      </c>
      <c r="D561" s="80" t="s">
        <v>312</v>
      </c>
      <c r="E561" s="83" t="s">
        <v>38</v>
      </c>
      <c r="F561" s="622">
        <f>F562</f>
        <v>0</v>
      </c>
      <c r="G561" s="622">
        <f>G562</f>
        <v>0</v>
      </c>
    </row>
    <row r="562" spans="1:8" hidden="1" outlineLevel="5" x14ac:dyDescent="0.25">
      <c r="A562" s="81" t="s">
        <v>74</v>
      </c>
      <c r="B562" s="80" t="s">
        <v>536</v>
      </c>
      <c r="C562" s="80" t="s">
        <v>72</v>
      </c>
      <c r="D562" s="80" t="s">
        <v>312</v>
      </c>
      <c r="E562" s="83" t="s">
        <v>75</v>
      </c>
      <c r="F562" s="634">
        <f>3000000-3000000</f>
        <v>0</v>
      </c>
      <c r="G562" s="634">
        <f>1500000-1500000</f>
        <v>0</v>
      </c>
    </row>
    <row r="563" spans="1:8" ht="39.75" hidden="1" customHeight="1" outlineLevel="5" x14ac:dyDescent="0.25">
      <c r="A563" s="113" t="s">
        <v>458</v>
      </c>
      <c r="B563" s="80" t="s">
        <v>536</v>
      </c>
      <c r="C563" s="80" t="s">
        <v>72</v>
      </c>
      <c r="D563" s="80" t="s">
        <v>720</v>
      </c>
      <c r="E563" s="80" t="s">
        <v>6</v>
      </c>
      <c r="F563" s="622">
        <f>F564</f>
        <v>0</v>
      </c>
      <c r="G563" s="622">
        <f>G564</f>
        <v>0</v>
      </c>
    </row>
    <row r="564" spans="1:8" ht="36.700000000000003" hidden="1" outlineLevel="5" x14ac:dyDescent="0.25">
      <c r="A564" s="81" t="s">
        <v>37</v>
      </c>
      <c r="B564" s="80" t="s">
        <v>536</v>
      </c>
      <c r="C564" s="80" t="s">
        <v>72</v>
      </c>
      <c r="D564" s="80" t="s">
        <v>720</v>
      </c>
      <c r="E564" s="80" t="s">
        <v>38</v>
      </c>
      <c r="F564" s="622">
        <f>F565</f>
        <v>0</v>
      </c>
      <c r="G564" s="622">
        <f>G565</f>
        <v>0</v>
      </c>
    </row>
    <row r="565" spans="1:8" ht="23.95" hidden="1" customHeight="1" outlineLevel="5" x14ac:dyDescent="0.25">
      <c r="A565" s="81" t="s">
        <v>74</v>
      </c>
      <c r="B565" s="80" t="s">
        <v>536</v>
      </c>
      <c r="C565" s="80" t="s">
        <v>72</v>
      </c>
      <c r="D565" s="80" t="s">
        <v>720</v>
      </c>
      <c r="E565" s="80" t="s">
        <v>75</v>
      </c>
      <c r="F565" s="622">
        <v>0</v>
      </c>
      <c r="G565" s="622">
        <v>0</v>
      </c>
    </row>
    <row r="566" spans="1:8" ht="52.3" hidden="1" customHeight="1" outlineLevel="5" x14ac:dyDescent="0.25">
      <c r="A566" s="25" t="s">
        <v>595</v>
      </c>
      <c r="B566" s="80" t="s">
        <v>536</v>
      </c>
      <c r="C566" s="80" t="s">
        <v>72</v>
      </c>
      <c r="D566" s="80" t="s">
        <v>596</v>
      </c>
      <c r="E566" s="80" t="s">
        <v>6</v>
      </c>
      <c r="F566" s="622">
        <f>F567</f>
        <v>0</v>
      </c>
      <c r="G566" s="622">
        <f>G567</f>
        <v>0</v>
      </c>
    </row>
    <row r="567" spans="1:8" s="172" customFormat="1" ht="36.700000000000003" hidden="1" outlineLevel="5" x14ac:dyDescent="0.25">
      <c r="A567" s="81" t="s">
        <v>37</v>
      </c>
      <c r="B567" s="80" t="s">
        <v>536</v>
      </c>
      <c r="C567" s="80" t="s">
        <v>72</v>
      </c>
      <c r="D567" s="80" t="s">
        <v>596</v>
      </c>
      <c r="E567" s="80" t="s">
        <v>38</v>
      </c>
      <c r="F567" s="622">
        <f>F568</f>
        <v>0</v>
      </c>
      <c r="G567" s="622">
        <f>G568</f>
        <v>0</v>
      </c>
      <c r="H567" s="171"/>
    </row>
    <row r="568" spans="1:8" ht="38.25" hidden="1" customHeight="1" outlineLevel="4" x14ac:dyDescent="0.25">
      <c r="A568" s="81" t="s">
        <v>74</v>
      </c>
      <c r="B568" s="80" t="s">
        <v>536</v>
      </c>
      <c r="C568" s="80" t="s">
        <v>72</v>
      </c>
      <c r="D568" s="80" t="s">
        <v>596</v>
      </c>
      <c r="E568" s="80" t="s">
        <v>75</v>
      </c>
      <c r="F568" s="634"/>
      <c r="G568" s="634"/>
    </row>
    <row r="569" spans="1:8" ht="36.700000000000003" hidden="1" outlineLevel="4" x14ac:dyDescent="0.25">
      <c r="A569" s="81" t="s">
        <v>445</v>
      </c>
      <c r="B569" s="80" t="s">
        <v>536</v>
      </c>
      <c r="C569" s="80" t="s">
        <v>72</v>
      </c>
      <c r="D569" s="80" t="s">
        <v>446</v>
      </c>
      <c r="E569" s="83" t="s">
        <v>6</v>
      </c>
      <c r="F569" s="622">
        <f>F570</f>
        <v>0</v>
      </c>
      <c r="G569" s="622">
        <f>G570</f>
        <v>0</v>
      </c>
    </row>
    <row r="570" spans="1:8" ht="36.700000000000003" hidden="1" outlineLevel="5" x14ac:dyDescent="0.25">
      <c r="A570" s="81" t="s">
        <v>37</v>
      </c>
      <c r="B570" s="80" t="s">
        <v>536</v>
      </c>
      <c r="C570" s="80" t="s">
        <v>72</v>
      </c>
      <c r="D570" s="80" t="s">
        <v>446</v>
      </c>
      <c r="E570" s="83" t="s">
        <v>38</v>
      </c>
      <c r="F570" s="622">
        <f>F571</f>
        <v>0</v>
      </c>
      <c r="G570" s="622">
        <f>G571</f>
        <v>0</v>
      </c>
    </row>
    <row r="571" spans="1:8" s="163" customFormat="1" hidden="1" outlineLevel="6" x14ac:dyDescent="0.25">
      <c r="A571" s="81" t="s">
        <v>74</v>
      </c>
      <c r="B571" s="80" t="s">
        <v>536</v>
      </c>
      <c r="C571" s="80" t="s">
        <v>72</v>
      </c>
      <c r="D571" s="80" t="s">
        <v>446</v>
      </c>
      <c r="E571" s="83" t="s">
        <v>75</v>
      </c>
      <c r="F571" s="634">
        <f>900000-900000</f>
        <v>0</v>
      </c>
      <c r="G571" s="622">
        <v>0</v>
      </c>
    </row>
    <row r="572" spans="1:8" s="163" customFormat="1" ht="36.700000000000003" outlineLevel="7" x14ac:dyDescent="0.25">
      <c r="A572" s="113" t="s">
        <v>275</v>
      </c>
      <c r="B572" s="80" t="s">
        <v>536</v>
      </c>
      <c r="C572" s="80" t="s">
        <v>72</v>
      </c>
      <c r="D572" s="80" t="s">
        <v>223</v>
      </c>
      <c r="E572" s="83" t="s">
        <v>6</v>
      </c>
      <c r="F572" s="622">
        <f t="shared" ref="F572:G574" si="34">F573</f>
        <v>7109400</v>
      </c>
      <c r="G572" s="622">
        <f t="shared" si="34"/>
        <v>7109400</v>
      </c>
    </row>
    <row r="573" spans="1:8" s="163" customFormat="1" ht="110.05" outlineLevel="7" x14ac:dyDescent="0.25">
      <c r="A573" s="135" t="s">
        <v>658</v>
      </c>
      <c r="B573" s="80" t="s">
        <v>536</v>
      </c>
      <c r="C573" s="80" t="s">
        <v>72</v>
      </c>
      <c r="D573" s="80" t="s">
        <v>659</v>
      </c>
      <c r="E573" s="83" t="s">
        <v>6</v>
      </c>
      <c r="F573" s="622">
        <f t="shared" si="34"/>
        <v>7109400</v>
      </c>
      <c r="G573" s="622">
        <f t="shared" si="34"/>
        <v>7109400</v>
      </c>
    </row>
    <row r="574" spans="1:8" s="163" customFormat="1" ht="36.700000000000003" outlineLevel="7" x14ac:dyDescent="0.25">
      <c r="A574" s="81" t="s">
        <v>37</v>
      </c>
      <c r="B574" s="80" t="s">
        <v>536</v>
      </c>
      <c r="C574" s="80" t="s">
        <v>72</v>
      </c>
      <c r="D574" s="80" t="s">
        <v>659</v>
      </c>
      <c r="E574" s="83" t="s">
        <v>38</v>
      </c>
      <c r="F574" s="622">
        <f t="shared" si="34"/>
        <v>7109400</v>
      </c>
      <c r="G574" s="622">
        <f t="shared" si="34"/>
        <v>7109400</v>
      </c>
    </row>
    <row r="575" spans="1:8" s="163" customFormat="1" ht="17.5" customHeight="1" outlineLevel="7" x14ac:dyDescent="0.25">
      <c r="A575" s="81" t="s">
        <v>74</v>
      </c>
      <c r="B575" s="80" t="s">
        <v>536</v>
      </c>
      <c r="C575" s="80" t="s">
        <v>72</v>
      </c>
      <c r="D575" s="80" t="s">
        <v>659</v>
      </c>
      <c r="E575" s="83" t="s">
        <v>75</v>
      </c>
      <c r="F575" s="622">
        <v>7109400</v>
      </c>
      <c r="G575" s="622">
        <v>7109400</v>
      </c>
    </row>
    <row r="576" spans="1:8" s="163" customFormat="1" ht="29.25" customHeight="1" outlineLevel="7" x14ac:dyDescent="0.25">
      <c r="A576" s="596" t="s">
        <v>1049</v>
      </c>
      <c r="B576" s="80" t="s">
        <v>536</v>
      </c>
      <c r="C576" s="80" t="s">
        <v>72</v>
      </c>
      <c r="D576" s="80" t="s">
        <v>313</v>
      </c>
      <c r="E576" s="83" t="s">
        <v>6</v>
      </c>
      <c r="F576" s="622">
        <f t="shared" ref="F576:G578" si="35">F577</f>
        <v>2958231.66</v>
      </c>
      <c r="G576" s="622">
        <f t="shared" si="35"/>
        <v>2961323.59</v>
      </c>
    </row>
    <row r="577" spans="1:8" s="163" customFormat="1" ht="62.5" customHeight="1" outlineLevel="7" x14ac:dyDescent="0.25">
      <c r="A577" s="597" t="s">
        <v>1050</v>
      </c>
      <c r="B577" s="80" t="s">
        <v>536</v>
      </c>
      <c r="C577" s="80" t="s">
        <v>72</v>
      </c>
      <c r="D577" s="80" t="s">
        <v>968</v>
      </c>
      <c r="E577" s="83" t="s">
        <v>6</v>
      </c>
      <c r="F577" s="622">
        <f t="shared" si="35"/>
        <v>2958231.66</v>
      </c>
      <c r="G577" s="622">
        <f t="shared" si="35"/>
        <v>2961323.59</v>
      </c>
    </row>
    <row r="578" spans="1:8" s="163" customFormat="1" ht="25.5" customHeight="1" outlineLevel="7" x14ac:dyDescent="0.25">
      <c r="A578" s="81" t="s">
        <v>37</v>
      </c>
      <c r="B578" s="80" t="s">
        <v>536</v>
      </c>
      <c r="C578" s="80" t="s">
        <v>72</v>
      </c>
      <c r="D578" s="80" t="s">
        <v>968</v>
      </c>
      <c r="E578" s="83" t="s">
        <v>38</v>
      </c>
      <c r="F578" s="622">
        <f t="shared" si="35"/>
        <v>2958231.66</v>
      </c>
      <c r="G578" s="622">
        <f t="shared" si="35"/>
        <v>2961323.59</v>
      </c>
    </row>
    <row r="579" spans="1:8" s="163" customFormat="1" ht="21.75" customHeight="1" outlineLevel="7" x14ac:dyDescent="0.25">
      <c r="A579" s="81" t="s">
        <v>74</v>
      </c>
      <c r="B579" s="80" t="s">
        <v>536</v>
      </c>
      <c r="C579" s="80" t="s">
        <v>72</v>
      </c>
      <c r="D579" s="80" t="s">
        <v>968</v>
      </c>
      <c r="E579" s="83" t="s">
        <v>75</v>
      </c>
      <c r="F579" s="622">
        <f>2869484.71+88746.95</f>
        <v>2958231.66</v>
      </c>
      <c r="G579" s="622">
        <f>2872483.88+88839.71</f>
        <v>2961323.59</v>
      </c>
    </row>
    <row r="580" spans="1:8" s="163" customFormat="1" outlineLevel="5" x14ac:dyDescent="0.25">
      <c r="A580" s="81" t="s">
        <v>257</v>
      </c>
      <c r="B580" s="80" t="s">
        <v>536</v>
      </c>
      <c r="C580" s="80" t="s">
        <v>256</v>
      </c>
      <c r="D580" s="80" t="s">
        <v>126</v>
      </c>
      <c r="E580" s="83" t="s">
        <v>6</v>
      </c>
      <c r="F580" s="622">
        <f>F581</f>
        <v>26710552</v>
      </c>
      <c r="G580" s="622">
        <f>G581</f>
        <v>25208089.52</v>
      </c>
    </row>
    <row r="581" spans="1:8" s="163" customFormat="1" ht="55.05" outlineLevel="6" x14ac:dyDescent="0.25">
      <c r="A581" s="109" t="s">
        <v>825</v>
      </c>
      <c r="B581" s="110" t="s">
        <v>536</v>
      </c>
      <c r="C581" s="110" t="s">
        <v>256</v>
      </c>
      <c r="D581" s="110" t="s">
        <v>138</v>
      </c>
      <c r="E581" s="111" t="s">
        <v>6</v>
      </c>
      <c r="F581" s="624">
        <f>F582</f>
        <v>26710552</v>
      </c>
      <c r="G581" s="624">
        <f>G582</f>
        <v>25208089.52</v>
      </c>
    </row>
    <row r="582" spans="1:8" s="163" customFormat="1" ht="57.25" customHeight="1" outlineLevel="7" x14ac:dyDescent="0.25">
      <c r="A582" s="81" t="s">
        <v>832</v>
      </c>
      <c r="B582" s="80" t="s">
        <v>536</v>
      </c>
      <c r="C582" s="80" t="s">
        <v>256</v>
      </c>
      <c r="D582" s="80" t="s">
        <v>149</v>
      </c>
      <c r="E582" s="83" t="s">
        <v>6</v>
      </c>
      <c r="F582" s="621">
        <f>F583+F587+F600</f>
        <v>26710552</v>
      </c>
      <c r="G582" s="621">
        <f>G583+G587+G600</f>
        <v>25208089.52</v>
      </c>
    </row>
    <row r="583" spans="1:8" s="163" customFormat="1" ht="23.3" customHeight="1" outlineLevel="7" x14ac:dyDescent="0.25">
      <c r="A583" s="116" t="s">
        <v>207</v>
      </c>
      <c r="B583" s="80" t="s">
        <v>536</v>
      </c>
      <c r="C583" s="80" t="s">
        <v>256</v>
      </c>
      <c r="D583" s="80" t="s">
        <v>224</v>
      </c>
      <c r="E583" s="83" t="s">
        <v>6</v>
      </c>
      <c r="F583" s="621">
        <f t="shared" ref="F583:G585" si="36">F584</f>
        <v>24942762</v>
      </c>
      <c r="G583" s="621">
        <f t="shared" si="36"/>
        <v>23440299.52</v>
      </c>
    </row>
    <row r="584" spans="1:8" s="163" customFormat="1" ht="22.75" customHeight="1" outlineLevel="7" x14ac:dyDescent="0.25">
      <c r="A584" s="81" t="s">
        <v>115</v>
      </c>
      <c r="B584" s="80" t="s">
        <v>536</v>
      </c>
      <c r="C584" s="80" t="s">
        <v>256</v>
      </c>
      <c r="D584" s="80" t="s">
        <v>151</v>
      </c>
      <c r="E584" s="83" t="s">
        <v>6</v>
      </c>
      <c r="F584" s="621">
        <f t="shared" si="36"/>
        <v>24942762</v>
      </c>
      <c r="G584" s="621">
        <f t="shared" si="36"/>
        <v>23440299.52</v>
      </c>
    </row>
    <row r="585" spans="1:8" s="163" customFormat="1" ht="24.8" customHeight="1" outlineLevel="7" x14ac:dyDescent="0.25">
      <c r="A585" s="81" t="s">
        <v>37</v>
      </c>
      <c r="B585" s="80" t="s">
        <v>536</v>
      </c>
      <c r="C585" s="80" t="s">
        <v>256</v>
      </c>
      <c r="D585" s="80" t="s">
        <v>151</v>
      </c>
      <c r="E585" s="83" t="s">
        <v>38</v>
      </c>
      <c r="F585" s="621">
        <f t="shared" si="36"/>
        <v>24942762</v>
      </c>
      <c r="G585" s="621">
        <f t="shared" si="36"/>
        <v>23440299.52</v>
      </c>
    </row>
    <row r="586" spans="1:8" s="163" customFormat="1" ht="27" customHeight="1" outlineLevel="7" x14ac:dyDescent="0.25">
      <c r="A586" s="81" t="s">
        <v>74</v>
      </c>
      <c r="B586" s="80" t="s">
        <v>536</v>
      </c>
      <c r="C586" s="80" t="s">
        <v>256</v>
      </c>
      <c r="D586" s="80" t="s">
        <v>151</v>
      </c>
      <c r="E586" s="83" t="s">
        <v>75</v>
      </c>
      <c r="F586" s="622">
        <f>25942762-1000000</f>
        <v>24942762</v>
      </c>
      <c r="G586" s="622">
        <f>25942762-2502462.48</f>
        <v>23440299.52</v>
      </c>
    </row>
    <row r="587" spans="1:8" ht="42.8" customHeight="1" outlineLevel="7" x14ac:dyDescent="0.25">
      <c r="A587" s="113" t="s">
        <v>402</v>
      </c>
      <c r="B587" s="80" t="s">
        <v>536</v>
      </c>
      <c r="C587" s="80" t="s">
        <v>256</v>
      </c>
      <c r="D587" s="80" t="s">
        <v>225</v>
      </c>
      <c r="E587" s="83" t="s">
        <v>6</v>
      </c>
      <c r="F587" s="622">
        <f>F588+F594+F597</f>
        <v>31600</v>
      </c>
      <c r="G587" s="622">
        <f>G588+G594+G597</f>
        <v>31600</v>
      </c>
    </row>
    <row r="588" spans="1:8" ht="36.700000000000003" outlineLevel="7" x14ac:dyDescent="0.25">
      <c r="A588" s="81" t="s">
        <v>268</v>
      </c>
      <c r="B588" s="80" t="s">
        <v>536</v>
      </c>
      <c r="C588" s="80" t="s">
        <v>256</v>
      </c>
      <c r="D588" s="80" t="s">
        <v>288</v>
      </c>
      <c r="E588" s="83" t="s">
        <v>6</v>
      </c>
      <c r="F588" s="622">
        <f>F589</f>
        <v>31600</v>
      </c>
      <c r="G588" s="622">
        <f>G589</f>
        <v>31600</v>
      </c>
    </row>
    <row r="589" spans="1:8" ht="36.700000000000003" outlineLevel="7" x14ac:dyDescent="0.25">
      <c r="A589" s="81" t="s">
        <v>37</v>
      </c>
      <c r="B589" s="80" t="s">
        <v>536</v>
      </c>
      <c r="C589" s="80" t="s">
        <v>256</v>
      </c>
      <c r="D589" s="80" t="s">
        <v>288</v>
      </c>
      <c r="E589" s="83" t="s">
        <v>38</v>
      </c>
      <c r="F589" s="622">
        <f>F590</f>
        <v>31600</v>
      </c>
      <c r="G589" s="622">
        <f>G590</f>
        <v>31600</v>
      </c>
    </row>
    <row r="590" spans="1:8" ht="18" customHeight="1" outlineLevel="2" x14ac:dyDescent="0.25">
      <c r="A590" s="81" t="s">
        <v>74</v>
      </c>
      <c r="B590" s="80" t="s">
        <v>536</v>
      </c>
      <c r="C590" s="80" t="s">
        <v>256</v>
      </c>
      <c r="D590" s="80" t="s">
        <v>288</v>
      </c>
      <c r="E590" s="83" t="s">
        <v>75</v>
      </c>
      <c r="F590" s="622">
        <v>31600</v>
      </c>
      <c r="G590" s="622">
        <v>31600</v>
      </c>
    </row>
    <row r="591" spans="1:8" s="172" customFormat="1" hidden="1" outlineLevel="3" x14ac:dyDescent="0.25">
      <c r="A591" s="134" t="s">
        <v>311</v>
      </c>
      <c r="B591" s="80" t="s">
        <v>536</v>
      </c>
      <c r="C591" s="80" t="s">
        <v>256</v>
      </c>
      <c r="D591" s="80" t="s">
        <v>735</v>
      </c>
      <c r="E591" s="80" t="s">
        <v>6</v>
      </c>
      <c r="F591" s="622">
        <f>F592</f>
        <v>0</v>
      </c>
      <c r="G591" s="622">
        <f>G592</f>
        <v>0</v>
      </c>
      <c r="H591" s="171"/>
    </row>
    <row r="592" spans="1:8" ht="36.700000000000003" hidden="1" outlineLevel="3" x14ac:dyDescent="0.25">
      <c r="A592" s="81" t="s">
        <v>37</v>
      </c>
      <c r="B592" s="80" t="s">
        <v>536</v>
      </c>
      <c r="C592" s="80" t="s">
        <v>256</v>
      </c>
      <c r="D592" s="80" t="s">
        <v>735</v>
      </c>
      <c r="E592" s="80" t="s">
        <v>38</v>
      </c>
      <c r="F592" s="622">
        <f>F593</f>
        <v>0</v>
      </c>
      <c r="G592" s="622">
        <f>G593</f>
        <v>0</v>
      </c>
    </row>
    <row r="593" spans="1:12" s="163" customFormat="1" ht="19.55" hidden="1" customHeight="1" outlineLevel="3" x14ac:dyDescent="0.25">
      <c r="A593" s="81" t="s">
        <v>74</v>
      </c>
      <c r="B593" s="80" t="s">
        <v>536</v>
      </c>
      <c r="C593" s="80" t="s">
        <v>256</v>
      </c>
      <c r="D593" s="80" t="s">
        <v>735</v>
      </c>
      <c r="E593" s="80" t="s">
        <v>75</v>
      </c>
      <c r="F593" s="622">
        <v>0</v>
      </c>
      <c r="G593" s="622">
        <v>0</v>
      </c>
      <c r="I593" s="5"/>
      <c r="J593" s="5"/>
      <c r="K593" s="5"/>
      <c r="L593" s="5"/>
    </row>
    <row r="594" spans="1:12" s="163" customFormat="1" ht="26.5" hidden="1" customHeight="1" outlineLevel="3" x14ac:dyDescent="0.25">
      <c r="A594" s="81" t="s">
        <v>112</v>
      </c>
      <c r="B594" s="80" t="s">
        <v>536</v>
      </c>
      <c r="C594" s="80" t="s">
        <v>256</v>
      </c>
      <c r="D594" s="80" t="s">
        <v>150</v>
      </c>
      <c r="E594" s="83" t="s">
        <v>6</v>
      </c>
      <c r="F594" s="621">
        <f>F595</f>
        <v>0</v>
      </c>
      <c r="G594" s="621">
        <f>G595</f>
        <v>0</v>
      </c>
      <c r="I594" s="5"/>
      <c r="J594" s="5"/>
      <c r="K594" s="5"/>
      <c r="L594" s="5"/>
    </row>
    <row r="595" spans="1:12" s="163" customFormat="1" ht="36.700000000000003" hidden="1" outlineLevel="3" x14ac:dyDescent="0.25">
      <c r="A595" s="81" t="s">
        <v>37</v>
      </c>
      <c r="B595" s="80" t="s">
        <v>536</v>
      </c>
      <c r="C595" s="80" t="s">
        <v>256</v>
      </c>
      <c r="D595" s="80" t="s">
        <v>150</v>
      </c>
      <c r="E595" s="83" t="s">
        <v>38</v>
      </c>
      <c r="F595" s="621">
        <f>F596</f>
        <v>0</v>
      </c>
      <c r="G595" s="621">
        <f>G596</f>
        <v>0</v>
      </c>
      <c r="I595" s="5"/>
      <c r="J595" s="5"/>
      <c r="K595" s="5"/>
      <c r="L595" s="5"/>
    </row>
    <row r="596" spans="1:12" s="163" customFormat="1" ht="21.25" hidden="1" customHeight="1" outlineLevel="3" thickBot="1" x14ac:dyDescent="0.3">
      <c r="A596" s="81" t="s">
        <v>74</v>
      </c>
      <c r="B596" s="80" t="s">
        <v>536</v>
      </c>
      <c r="C596" s="80" t="s">
        <v>256</v>
      </c>
      <c r="D596" s="80" t="s">
        <v>150</v>
      </c>
      <c r="E596" s="83" t="s">
        <v>75</v>
      </c>
      <c r="F596" s="622"/>
      <c r="G596" s="622"/>
      <c r="I596" s="5"/>
      <c r="J596" s="5"/>
      <c r="K596" s="5"/>
      <c r="L596" s="5"/>
    </row>
    <row r="597" spans="1:12" s="163" customFormat="1" ht="21.25" hidden="1" customHeight="1" outlineLevel="3" thickBot="1" x14ac:dyDescent="0.35">
      <c r="A597" s="470" t="s">
        <v>938</v>
      </c>
      <c r="B597" s="439" t="s">
        <v>536</v>
      </c>
      <c r="C597" s="439" t="s">
        <v>256</v>
      </c>
      <c r="D597" s="539" t="s">
        <v>980</v>
      </c>
      <c r="E597" s="539" t="s">
        <v>6</v>
      </c>
      <c r="F597" s="622">
        <f>F598</f>
        <v>0</v>
      </c>
      <c r="G597" s="622">
        <f>G598</f>
        <v>0</v>
      </c>
      <c r="I597" s="5"/>
      <c r="J597" s="5"/>
      <c r="K597" s="5"/>
      <c r="L597" s="5"/>
    </row>
    <row r="598" spans="1:12" s="163" customFormat="1" ht="21.25" hidden="1" customHeight="1" outlineLevel="3" x14ac:dyDescent="0.3">
      <c r="A598" s="438" t="s">
        <v>37</v>
      </c>
      <c r="B598" s="439" t="s">
        <v>536</v>
      </c>
      <c r="C598" s="439" t="s">
        <v>256</v>
      </c>
      <c r="D598" s="539" t="s">
        <v>981</v>
      </c>
      <c r="E598" s="539" t="s">
        <v>38</v>
      </c>
      <c r="F598" s="622">
        <f>F599</f>
        <v>0</v>
      </c>
      <c r="G598" s="622">
        <f>G599</f>
        <v>0</v>
      </c>
      <c r="I598" s="5"/>
      <c r="J598" s="5"/>
      <c r="K598" s="5"/>
      <c r="L598" s="5"/>
    </row>
    <row r="599" spans="1:12" s="163" customFormat="1" ht="21.25" hidden="1" customHeight="1" outlineLevel="3" x14ac:dyDescent="0.3">
      <c r="A599" s="438" t="s">
        <v>74</v>
      </c>
      <c r="B599" s="439" t="s">
        <v>536</v>
      </c>
      <c r="C599" s="439" t="s">
        <v>256</v>
      </c>
      <c r="D599" s="539" t="s">
        <v>981</v>
      </c>
      <c r="E599" s="539" t="s">
        <v>75</v>
      </c>
      <c r="F599" s="634">
        <f>300000-300000</f>
        <v>0</v>
      </c>
      <c r="G599" s="622">
        <v>0</v>
      </c>
      <c r="I599" s="5"/>
      <c r="J599" s="5"/>
      <c r="K599" s="5"/>
      <c r="L599" s="5"/>
    </row>
    <row r="600" spans="1:12" s="163" customFormat="1" ht="55.05" outlineLevel="3" x14ac:dyDescent="0.25">
      <c r="A600" s="81" t="s">
        <v>754</v>
      </c>
      <c r="B600" s="80" t="s">
        <v>536</v>
      </c>
      <c r="C600" s="80" t="s">
        <v>256</v>
      </c>
      <c r="D600" s="80" t="s">
        <v>755</v>
      </c>
      <c r="E600" s="80" t="s">
        <v>6</v>
      </c>
      <c r="F600" s="622">
        <f>F601</f>
        <v>1736190</v>
      </c>
      <c r="G600" s="622">
        <f>G601</f>
        <v>1736190</v>
      </c>
      <c r="I600" s="5"/>
      <c r="J600" s="5"/>
      <c r="K600" s="5"/>
      <c r="L600" s="5"/>
    </row>
    <row r="601" spans="1:12" s="163" customFormat="1" ht="36.700000000000003" outlineLevel="3" x14ac:dyDescent="0.25">
      <c r="A601" s="81" t="s">
        <v>37</v>
      </c>
      <c r="B601" s="80" t="s">
        <v>536</v>
      </c>
      <c r="C601" s="80" t="s">
        <v>256</v>
      </c>
      <c r="D601" s="80" t="s">
        <v>756</v>
      </c>
      <c r="E601" s="80" t="s">
        <v>38</v>
      </c>
      <c r="F601" s="622">
        <f>F602</f>
        <v>1736190</v>
      </c>
      <c r="G601" s="622">
        <f>G602</f>
        <v>1736190</v>
      </c>
      <c r="I601" s="5"/>
      <c r="J601" s="5"/>
      <c r="K601" s="5"/>
      <c r="L601" s="5"/>
    </row>
    <row r="602" spans="1:12" s="163" customFormat="1" outlineLevel="3" x14ac:dyDescent="0.25">
      <c r="A602" s="81" t="s">
        <v>74</v>
      </c>
      <c r="B602" s="80" t="s">
        <v>536</v>
      </c>
      <c r="C602" s="80" t="s">
        <v>256</v>
      </c>
      <c r="D602" s="80" t="s">
        <v>756</v>
      </c>
      <c r="E602" s="80" t="s">
        <v>75</v>
      </c>
      <c r="F602" s="622">
        <v>1736190</v>
      </c>
      <c r="G602" s="622">
        <v>1736190</v>
      </c>
      <c r="I602" s="5"/>
      <c r="J602" s="5"/>
      <c r="K602" s="5"/>
      <c r="L602" s="5"/>
    </row>
    <row r="603" spans="1:12" s="163" customFormat="1" ht="55.05" hidden="1" outlineLevel="3" x14ac:dyDescent="0.25">
      <c r="A603" s="113" t="s">
        <v>458</v>
      </c>
      <c r="B603" s="80" t="s">
        <v>536</v>
      </c>
      <c r="C603" s="80" t="s">
        <v>256</v>
      </c>
      <c r="D603" s="80" t="s">
        <v>727</v>
      </c>
      <c r="E603" s="80" t="s">
        <v>6</v>
      </c>
      <c r="F603" s="622">
        <f>F604</f>
        <v>0</v>
      </c>
      <c r="G603" s="622">
        <f>G604</f>
        <v>0</v>
      </c>
      <c r="I603" s="5"/>
      <c r="J603" s="5"/>
      <c r="K603" s="5"/>
      <c r="L603" s="5"/>
    </row>
    <row r="604" spans="1:12" s="163" customFormat="1" ht="36.700000000000003" hidden="1" outlineLevel="3" x14ac:dyDescent="0.25">
      <c r="A604" s="81" t="s">
        <v>37</v>
      </c>
      <c r="B604" s="80" t="s">
        <v>536</v>
      </c>
      <c r="C604" s="80" t="s">
        <v>256</v>
      </c>
      <c r="D604" s="80" t="s">
        <v>727</v>
      </c>
      <c r="E604" s="80" t="s">
        <v>38</v>
      </c>
      <c r="F604" s="622">
        <f>F605</f>
        <v>0</v>
      </c>
      <c r="G604" s="622">
        <f>G605</f>
        <v>0</v>
      </c>
      <c r="I604" s="5"/>
      <c r="J604" s="5"/>
      <c r="K604" s="5"/>
      <c r="L604" s="5"/>
    </row>
    <row r="605" spans="1:12" s="163" customFormat="1" hidden="1" outlineLevel="3" x14ac:dyDescent="0.25">
      <c r="A605" s="81" t="s">
        <v>74</v>
      </c>
      <c r="B605" s="80" t="s">
        <v>536</v>
      </c>
      <c r="C605" s="80" t="s">
        <v>256</v>
      </c>
      <c r="D605" s="80" t="s">
        <v>727</v>
      </c>
      <c r="E605" s="80" t="s">
        <v>75</v>
      </c>
      <c r="F605" s="634"/>
      <c r="G605" s="634"/>
      <c r="I605" s="5"/>
      <c r="J605" s="5"/>
      <c r="K605" s="5"/>
      <c r="L605" s="5"/>
    </row>
    <row r="606" spans="1:12" s="163" customFormat="1" outlineLevel="3" x14ac:dyDescent="0.25">
      <c r="A606" s="81" t="s">
        <v>76</v>
      </c>
      <c r="B606" s="80" t="s">
        <v>536</v>
      </c>
      <c r="C606" s="80" t="s">
        <v>77</v>
      </c>
      <c r="D606" s="80" t="s">
        <v>126</v>
      </c>
      <c r="E606" s="83" t="s">
        <v>6</v>
      </c>
      <c r="F606" s="621">
        <f>F607</f>
        <v>2042300</v>
      </c>
      <c r="G606" s="621">
        <f>G607</f>
        <v>2042300</v>
      </c>
      <c r="I606" s="5"/>
      <c r="J606" s="5"/>
      <c r="K606" s="5"/>
      <c r="L606" s="5"/>
    </row>
    <row r="607" spans="1:12" s="163" customFormat="1" ht="55.05" outlineLevel="3" x14ac:dyDescent="0.25">
      <c r="A607" s="109" t="s">
        <v>825</v>
      </c>
      <c r="B607" s="110" t="s">
        <v>536</v>
      </c>
      <c r="C607" s="110" t="s">
        <v>77</v>
      </c>
      <c r="D607" s="110" t="s">
        <v>138</v>
      </c>
      <c r="E607" s="111" t="s">
        <v>6</v>
      </c>
      <c r="F607" s="623">
        <f>F608+F622</f>
        <v>2042300</v>
      </c>
      <c r="G607" s="623">
        <f>G608+G622</f>
        <v>2042300</v>
      </c>
      <c r="I607" s="5"/>
      <c r="J607" s="5"/>
      <c r="K607" s="5"/>
      <c r="L607" s="5"/>
    </row>
    <row r="608" spans="1:12" s="163" customFormat="1" ht="55.05" outlineLevel="3" x14ac:dyDescent="0.25">
      <c r="A608" s="81" t="s">
        <v>833</v>
      </c>
      <c r="B608" s="80" t="s">
        <v>536</v>
      </c>
      <c r="C608" s="80" t="s">
        <v>77</v>
      </c>
      <c r="D608" s="80" t="s">
        <v>146</v>
      </c>
      <c r="E608" s="83" t="s">
        <v>6</v>
      </c>
      <c r="F608" s="621">
        <f>F609+F613</f>
        <v>1917300</v>
      </c>
      <c r="G608" s="621">
        <f>G609+G613</f>
        <v>1917300</v>
      </c>
      <c r="I608" s="5"/>
      <c r="J608" s="5"/>
      <c r="K608" s="5"/>
      <c r="L608" s="5"/>
    </row>
    <row r="609" spans="1:12" s="163" customFormat="1" ht="36.700000000000003" outlineLevel="7" x14ac:dyDescent="0.25">
      <c r="A609" s="113" t="s">
        <v>206</v>
      </c>
      <c r="B609" s="80" t="s">
        <v>536</v>
      </c>
      <c r="C609" s="80" t="s">
        <v>77</v>
      </c>
      <c r="D609" s="80" t="s">
        <v>220</v>
      </c>
      <c r="E609" s="83" t="s">
        <v>6</v>
      </c>
      <c r="F609" s="621">
        <f t="shared" ref="F609:G610" si="37">F610</f>
        <v>70000</v>
      </c>
      <c r="G609" s="621">
        <f t="shared" si="37"/>
        <v>70000</v>
      </c>
      <c r="I609" s="5"/>
      <c r="J609" s="5"/>
      <c r="K609" s="5"/>
      <c r="L609" s="5"/>
    </row>
    <row r="610" spans="1:12" s="163" customFormat="1" outlineLevel="7" x14ac:dyDescent="0.25">
      <c r="A610" s="81" t="s">
        <v>424</v>
      </c>
      <c r="B610" s="80" t="s">
        <v>536</v>
      </c>
      <c r="C610" s="80" t="s">
        <v>77</v>
      </c>
      <c r="D610" s="80" t="s">
        <v>235</v>
      </c>
      <c r="E610" s="83" t="s">
        <v>6</v>
      </c>
      <c r="F610" s="621">
        <f t="shared" si="37"/>
        <v>70000</v>
      </c>
      <c r="G610" s="621">
        <f t="shared" si="37"/>
        <v>70000</v>
      </c>
      <c r="I610" s="5"/>
      <c r="J610" s="5"/>
      <c r="K610" s="5"/>
      <c r="L610" s="5"/>
    </row>
    <row r="611" spans="1:12" s="163" customFormat="1" ht="23.3" customHeight="1" outlineLevel="7" x14ac:dyDescent="0.25">
      <c r="A611" s="81" t="s">
        <v>15</v>
      </c>
      <c r="B611" s="80" t="s">
        <v>536</v>
      </c>
      <c r="C611" s="80" t="s">
        <v>77</v>
      </c>
      <c r="D611" s="80" t="s">
        <v>235</v>
      </c>
      <c r="E611" s="83" t="s">
        <v>16</v>
      </c>
      <c r="F611" s="621">
        <v>70000</v>
      </c>
      <c r="G611" s="621">
        <v>70000</v>
      </c>
      <c r="I611" s="5"/>
      <c r="J611" s="5"/>
      <c r="K611" s="5"/>
      <c r="L611" s="5"/>
    </row>
    <row r="612" spans="1:12" ht="36.700000000000003" outlineLevel="2" x14ac:dyDescent="0.25">
      <c r="A612" s="81" t="s">
        <v>17</v>
      </c>
      <c r="B612" s="80" t="s">
        <v>536</v>
      </c>
      <c r="C612" s="80" t="s">
        <v>77</v>
      </c>
      <c r="D612" s="80" t="s">
        <v>235</v>
      </c>
      <c r="E612" s="83" t="s">
        <v>18</v>
      </c>
      <c r="F612" s="621">
        <v>70000</v>
      </c>
      <c r="G612" s="621">
        <v>70000</v>
      </c>
    </row>
    <row r="613" spans="1:12" s="172" customFormat="1" ht="36.700000000000003" outlineLevel="3" x14ac:dyDescent="0.25">
      <c r="A613" s="113" t="s">
        <v>275</v>
      </c>
      <c r="B613" s="80" t="s">
        <v>536</v>
      </c>
      <c r="C613" s="80" t="s">
        <v>77</v>
      </c>
      <c r="D613" s="80" t="s">
        <v>223</v>
      </c>
      <c r="E613" s="80" t="s">
        <v>6</v>
      </c>
      <c r="F613" s="622">
        <f>F614</f>
        <v>1847300</v>
      </c>
      <c r="G613" s="622">
        <f>G614</f>
        <v>1847300</v>
      </c>
      <c r="H613" s="171"/>
    </row>
    <row r="614" spans="1:12" s="172" customFormat="1" ht="91.7" outlineLevel="3" x14ac:dyDescent="0.25">
      <c r="A614" s="100" t="s">
        <v>403</v>
      </c>
      <c r="B614" s="80" t="s">
        <v>536</v>
      </c>
      <c r="C614" s="80" t="s">
        <v>77</v>
      </c>
      <c r="D614" s="80" t="s">
        <v>152</v>
      </c>
      <c r="E614" s="80" t="s">
        <v>6</v>
      </c>
      <c r="F614" s="621">
        <f>F615+F619+F617</f>
        <v>1847300</v>
      </c>
      <c r="G614" s="621">
        <f>G615+G619+G617</f>
        <v>1847300</v>
      </c>
      <c r="H614" s="171"/>
    </row>
    <row r="615" spans="1:12" ht="36.700000000000003" hidden="1" outlineLevel="5" x14ac:dyDescent="0.25">
      <c r="A615" s="81" t="s">
        <v>15</v>
      </c>
      <c r="B615" s="80" t="s">
        <v>536</v>
      </c>
      <c r="C615" s="80" t="s">
        <v>77</v>
      </c>
      <c r="D615" s="80" t="s">
        <v>152</v>
      </c>
      <c r="E615" s="80" t="s">
        <v>16</v>
      </c>
      <c r="F615" s="621">
        <f>F616</f>
        <v>0</v>
      </c>
      <c r="G615" s="621">
        <f>G616</f>
        <v>0</v>
      </c>
    </row>
    <row r="616" spans="1:12" ht="36.700000000000003" hidden="1" outlineLevel="6" x14ac:dyDescent="0.25">
      <c r="A616" s="81" t="s">
        <v>17</v>
      </c>
      <c r="B616" s="80" t="s">
        <v>536</v>
      </c>
      <c r="C616" s="80" t="s">
        <v>77</v>
      </c>
      <c r="D616" s="80" t="s">
        <v>152</v>
      </c>
      <c r="E616" s="80" t="s">
        <v>18</v>
      </c>
      <c r="F616" s="622">
        <v>0</v>
      </c>
      <c r="G616" s="622">
        <v>0</v>
      </c>
    </row>
    <row r="617" spans="1:12" outlineLevel="7" x14ac:dyDescent="0.25">
      <c r="A617" s="81" t="s">
        <v>90</v>
      </c>
      <c r="B617" s="80" t="s">
        <v>536</v>
      </c>
      <c r="C617" s="80" t="s">
        <v>77</v>
      </c>
      <c r="D617" s="80" t="s">
        <v>152</v>
      </c>
      <c r="E617" s="80" t="s">
        <v>91</v>
      </c>
      <c r="F617" s="621">
        <f>F618</f>
        <v>1847300</v>
      </c>
      <c r="G617" s="621">
        <f>G618</f>
        <v>1847300</v>
      </c>
    </row>
    <row r="618" spans="1:12" ht="36.700000000000003" outlineLevel="6" x14ac:dyDescent="0.25">
      <c r="A618" s="81" t="s">
        <v>97</v>
      </c>
      <c r="B618" s="80" t="s">
        <v>536</v>
      </c>
      <c r="C618" s="80" t="s">
        <v>77</v>
      </c>
      <c r="D618" s="80" t="s">
        <v>152</v>
      </c>
      <c r="E618" s="80" t="s">
        <v>98</v>
      </c>
      <c r="F618" s="622">
        <v>1847300</v>
      </c>
      <c r="G618" s="622">
        <v>1847300</v>
      </c>
    </row>
    <row r="619" spans="1:12" ht="21.25" customHeight="1" outlineLevel="7" x14ac:dyDescent="0.25">
      <c r="A619" s="81" t="s">
        <v>37</v>
      </c>
      <c r="B619" s="80" t="s">
        <v>536</v>
      </c>
      <c r="C619" s="80" t="s">
        <v>77</v>
      </c>
      <c r="D619" s="80" t="s">
        <v>152</v>
      </c>
      <c r="E619" s="80" t="s">
        <v>38</v>
      </c>
      <c r="F619" s="621">
        <f>F620</f>
        <v>0</v>
      </c>
      <c r="G619" s="621">
        <f>G620</f>
        <v>0</v>
      </c>
    </row>
    <row r="620" spans="1:12" outlineLevel="7" x14ac:dyDescent="0.25">
      <c r="A620" s="81" t="s">
        <v>74</v>
      </c>
      <c r="B620" s="80" t="s">
        <v>536</v>
      </c>
      <c r="C620" s="80" t="s">
        <v>77</v>
      </c>
      <c r="D620" s="80" t="s">
        <v>152</v>
      </c>
      <c r="E620" s="80" t="s">
        <v>75</v>
      </c>
      <c r="F620" s="622">
        <v>0</v>
      </c>
      <c r="G620" s="622">
        <v>0</v>
      </c>
    </row>
    <row r="621" spans="1:12" ht="36.700000000000003" outlineLevel="7" x14ac:dyDescent="0.25">
      <c r="A621" s="25" t="s">
        <v>238</v>
      </c>
      <c r="B621" s="80" t="s">
        <v>536</v>
      </c>
      <c r="C621" s="80" t="s">
        <v>77</v>
      </c>
      <c r="D621" s="80" t="s">
        <v>237</v>
      </c>
      <c r="E621" s="83" t="s">
        <v>6</v>
      </c>
      <c r="F621" s="622">
        <f t="shared" ref="F621:G623" si="38">F622</f>
        <v>125000</v>
      </c>
      <c r="G621" s="622">
        <f t="shared" si="38"/>
        <v>125000</v>
      </c>
    </row>
    <row r="622" spans="1:12" outlineLevel="5" x14ac:dyDescent="0.25">
      <c r="A622" s="81" t="s">
        <v>78</v>
      </c>
      <c r="B622" s="80" t="s">
        <v>536</v>
      </c>
      <c r="C622" s="80" t="s">
        <v>77</v>
      </c>
      <c r="D622" s="80" t="s">
        <v>153</v>
      </c>
      <c r="E622" s="83" t="s">
        <v>6</v>
      </c>
      <c r="F622" s="621">
        <f t="shared" si="38"/>
        <v>125000</v>
      </c>
      <c r="G622" s="621">
        <f t="shared" si="38"/>
        <v>125000</v>
      </c>
    </row>
    <row r="623" spans="1:12" ht="36.700000000000003" outlineLevel="6" x14ac:dyDescent="0.25">
      <c r="A623" s="81" t="s">
        <v>15</v>
      </c>
      <c r="B623" s="80" t="s">
        <v>536</v>
      </c>
      <c r="C623" s="80" t="s">
        <v>77</v>
      </c>
      <c r="D623" s="80" t="s">
        <v>153</v>
      </c>
      <c r="E623" s="83" t="s">
        <v>16</v>
      </c>
      <c r="F623" s="621">
        <f t="shared" si="38"/>
        <v>125000</v>
      </c>
      <c r="G623" s="621">
        <f t="shared" si="38"/>
        <v>125000</v>
      </c>
    </row>
    <row r="624" spans="1:12" ht="36.700000000000003" outlineLevel="7" x14ac:dyDescent="0.25">
      <c r="A624" s="81" t="s">
        <v>17</v>
      </c>
      <c r="B624" s="80" t="s">
        <v>536</v>
      </c>
      <c r="C624" s="80" t="s">
        <v>77</v>
      </c>
      <c r="D624" s="80" t="s">
        <v>153</v>
      </c>
      <c r="E624" s="83" t="s">
        <v>18</v>
      </c>
      <c r="F624" s="622">
        <v>125000</v>
      </c>
      <c r="G624" s="622">
        <v>125000</v>
      </c>
    </row>
    <row r="625" spans="1:8" outlineLevel="6" x14ac:dyDescent="0.25">
      <c r="A625" s="81" t="s">
        <v>116</v>
      </c>
      <c r="B625" s="80" t="s">
        <v>536</v>
      </c>
      <c r="C625" s="80" t="s">
        <v>117</v>
      </c>
      <c r="D625" s="80" t="s">
        <v>126</v>
      </c>
      <c r="E625" s="83" t="s">
        <v>6</v>
      </c>
      <c r="F625" s="621">
        <f>F626</f>
        <v>22693236</v>
      </c>
      <c r="G625" s="621">
        <f>G626</f>
        <v>21828103.240000002</v>
      </c>
    </row>
    <row r="626" spans="1:8" ht="51.8" customHeight="1" outlineLevel="7" x14ac:dyDescent="0.25">
      <c r="A626" s="109" t="s">
        <v>827</v>
      </c>
      <c r="B626" s="110" t="s">
        <v>536</v>
      </c>
      <c r="C626" s="110" t="s">
        <v>117</v>
      </c>
      <c r="D626" s="110" t="s">
        <v>138</v>
      </c>
      <c r="E626" s="111" t="s">
        <v>6</v>
      </c>
      <c r="F626" s="628">
        <f>F627</f>
        <v>22693236</v>
      </c>
      <c r="G626" s="628">
        <f>G627</f>
        <v>21828103.240000002</v>
      </c>
    </row>
    <row r="627" spans="1:8" ht="36.700000000000003" outlineLevel="6" x14ac:dyDescent="0.25">
      <c r="A627" s="113" t="s">
        <v>209</v>
      </c>
      <c r="B627" s="80" t="s">
        <v>536</v>
      </c>
      <c r="C627" s="80" t="s">
        <v>117</v>
      </c>
      <c r="D627" s="80" t="s">
        <v>226</v>
      </c>
      <c r="E627" s="83" t="s">
        <v>6</v>
      </c>
      <c r="F627" s="623">
        <f>F628+F635+F642</f>
        <v>22693236</v>
      </c>
      <c r="G627" s="623">
        <f>G628+G635+G642</f>
        <v>21828103.240000002</v>
      </c>
    </row>
    <row r="628" spans="1:8" ht="55.05" outlineLevel="7" x14ac:dyDescent="0.25">
      <c r="A628" s="81" t="s">
        <v>494</v>
      </c>
      <c r="B628" s="80" t="s">
        <v>536</v>
      </c>
      <c r="C628" s="80" t="s">
        <v>117</v>
      </c>
      <c r="D628" s="80" t="s">
        <v>535</v>
      </c>
      <c r="E628" s="83" t="s">
        <v>6</v>
      </c>
      <c r="F628" s="621">
        <f>F629+F631+F633</f>
        <v>5442427</v>
      </c>
      <c r="G628" s="621">
        <f>G629+G631+G633</f>
        <v>5362924</v>
      </c>
    </row>
    <row r="629" spans="1:8" ht="91.7" outlineLevel="3" x14ac:dyDescent="0.25">
      <c r="A629" s="81" t="s">
        <v>11</v>
      </c>
      <c r="B629" s="80" t="s">
        <v>536</v>
      </c>
      <c r="C629" s="80" t="s">
        <v>117</v>
      </c>
      <c r="D629" s="80" t="s">
        <v>535</v>
      </c>
      <c r="E629" s="83" t="s">
        <v>12</v>
      </c>
      <c r="F629" s="621">
        <f>F630</f>
        <v>5312427</v>
      </c>
      <c r="G629" s="621">
        <f>G630</f>
        <v>5232924</v>
      </c>
    </row>
    <row r="630" spans="1:8" ht="36.700000000000003" outlineLevel="3" x14ac:dyDescent="0.25">
      <c r="A630" s="81" t="s">
        <v>13</v>
      </c>
      <c r="B630" s="80" t="s">
        <v>536</v>
      </c>
      <c r="C630" s="80" t="s">
        <v>117</v>
      </c>
      <c r="D630" s="80" t="s">
        <v>535</v>
      </c>
      <c r="E630" s="83" t="s">
        <v>14</v>
      </c>
      <c r="F630" s="622">
        <f>5512427-200000</f>
        <v>5312427</v>
      </c>
      <c r="G630" s="622">
        <f>5732924-500000</f>
        <v>5232924</v>
      </c>
    </row>
    <row r="631" spans="1:8" ht="36.700000000000003" outlineLevel="3" x14ac:dyDescent="0.25">
      <c r="A631" s="81" t="s">
        <v>15</v>
      </c>
      <c r="B631" s="80" t="s">
        <v>536</v>
      </c>
      <c r="C631" s="80" t="s">
        <v>117</v>
      </c>
      <c r="D631" s="80" t="s">
        <v>535</v>
      </c>
      <c r="E631" s="83" t="s">
        <v>16</v>
      </c>
      <c r="F631" s="621">
        <f>F632</f>
        <v>130000</v>
      </c>
      <c r="G631" s="621">
        <f>G632</f>
        <v>130000</v>
      </c>
    </row>
    <row r="632" spans="1:8" s="172" customFormat="1" ht="40.75" customHeight="1" outlineLevel="3" x14ac:dyDescent="0.25">
      <c r="A632" s="81" t="s">
        <v>17</v>
      </c>
      <c r="B632" s="80" t="s">
        <v>536</v>
      </c>
      <c r="C632" s="80" t="s">
        <v>117</v>
      </c>
      <c r="D632" s="80" t="s">
        <v>535</v>
      </c>
      <c r="E632" s="83" t="s">
        <v>18</v>
      </c>
      <c r="F632" s="622">
        <f>580000-450000</f>
        <v>130000</v>
      </c>
      <c r="G632" s="622">
        <f>580000-450000</f>
        <v>130000</v>
      </c>
      <c r="H632" s="171"/>
    </row>
    <row r="633" spans="1:8" hidden="1" outlineLevel="3" x14ac:dyDescent="0.25">
      <c r="A633" s="81" t="s">
        <v>19</v>
      </c>
      <c r="B633" s="80" t="s">
        <v>536</v>
      </c>
      <c r="C633" s="80" t="s">
        <v>117</v>
      </c>
      <c r="D633" s="80" t="s">
        <v>535</v>
      </c>
      <c r="E633" s="83" t="s">
        <v>20</v>
      </c>
      <c r="F633" s="622">
        <f>F634</f>
        <v>0</v>
      </c>
      <c r="G633" s="622">
        <f>G634</f>
        <v>0</v>
      </c>
    </row>
    <row r="634" spans="1:8" s="172" customFormat="1" hidden="1" outlineLevel="3" x14ac:dyDescent="0.25">
      <c r="A634" s="81" t="s">
        <v>21</v>
      </c>
      <c r="B634" s="80" t="s">
        <v>536</v>
      </c>
      <c r="C634" s="80" t="s">
        <v>117</v>
      </c>
      <c r="D634" s="80" t="s">
        <v>535</v>
      </c>
      <c r="E634" s="83" t="s">
        <v>22</v>
      </c>
      <c r="F634" s="622">
        <v>0</v>
      </c>
      <c r="G634" s="622">
        <v>0</v>
      </c>
      <c r="H634" s="171"/>
    </row>
    <row r="635" spans="1:8" ht="42.45" customHeight="1" outlineLevel="3" x14ac:dyDescent="0.25">
      <c r="A635" s="81" t="s">
        <v>33</v>
      </c>
      <c r="B635" s="80" t="s">
        <v>536</v>
      </c>
      <c r="C635" s="80" t="s">
        <v>117</v>
      </c>
      <c r="D635" s="80" t="s">
        <v>154</v>
      </c>
      <c r="E635" s="83" t="s">
        <v>6</v>
      </c>
      <c r="F635" s="621">
        <f>F636+F638+F640</f>
        <v>14893909</v>
      </c>
      <c r="G635" s="621">
        <f>G636+G638+G640</f>
        <v>14108279.24</v>
      </c>
    </row>
    <row r="636" spans="1:8" ht="91.7" outlineLevel="3" x14ac:dyDescent="0.25">
      <c r="A636" s="81" t="s">
        <v>11</v>
      </c>
      <c r="B636" s="80" t="s">
        <v>536</v>
      </c>
      <c r="C636" s="80" t="s">
        <v>117</v>
      </c>
      <c r="D636" s="80" t="s">
        <v>154</v>
      </c>
      <c r="E636" s="83" t="s">
        <v>12</v>
      </c>
      <c r="F636" s="621">
        <f>F637</f>
        <v>12715139</v>
      </c>
      <c r="G636" s="621">
        <f>G637</f>
        <v>12030237.24</v>
      </c>
    </row>
    <row r="637" spans="1:8" outlineLevel="3" x14ac:dyDescent="0.25">
      <c r="A637" s="81" t="s">
        <v>34</v>
      </c>
      <c r="B637" s="80" t="s">
        <v>536</v>
      </c>
      <c r="C637" s="80" t="s">
        <v>117</v>
      </c>
      <c r="D637" s="80" t="s">
        <v>154</v>
      </c>
      <c r="E637" s="83" t="s">
        <v>35</v>
      </c>
      <c r="F637" s="622">
        <v>12715139</v>
      </c>
      <c r="G637" s="622">
        <f>12779006-748768.76</f>
        <v>12030237.24</v>
      </c>
    </row>
    <row r="638" spans="1:8" ht="36.700000000000003" outlineLevel="3" x14ac:dyDescent="0.25">
      <c r="A638" s="81" t="s">
        <v>15</v>
      </c>
      <c r="B638" s="80" t="s">
        <v>536</v>
      </c>
      <c r="C638" s="80" t="s">
        <v>117</v>
      </c>
      <c r="D638" s="80" t="s">
        <v>154</v>
      </c>
      <c r="E638" s="83" t="s">
        <v>16</v>
      </c>
      <c r="F638" s="621">
        <f>F639</f>
        <v>2141434</v>
      </c>
      <c r="G638" s="621">
        <f>G639</f>
        <v>2041434</v>
      </c>
    </row>
    <row r="639" spans="1:8" ht="36.700000000000003" outlineLevel="3" x14ac:dyDescent="0.25">
      <c r="A639" s="81" t="s">
        <v>17</v>
      </c>
      <c r="B639" s="80" t="s">
        <v>536</v>
      </c>
      <c r="C639" s="80" t="s">
        <v>117</v>
      </c>
      <c r="D639" s="80" t="s">
        <v>154</v>
      </c>
      <c r="E639" s="83" t="s">
        <v>18</v>
      </c>
      <c r="F639" s="622">
        <f>2741434-600000</f>
        <v>2141434</v>
      </c>
      <c r="G639" s="622">
        <f>2741434-700000</f>
        <v>2041434</v>
      </c>
    </row>
    <row r="640" spans="1:8" s="172" customFormat="1" outlineLevel="3" x14ac:dyDescent="0.25">
      <c r="A640" s="81" t="s">
        <v>19</v>
      </c>
      <c r="B640" s="80" t="s">
        <v>536</v>
      </c>
      <c r="C640" s="80" t="s">
        <v>117</v>
      </c>
      <c r="D640" s="80" t="s">
        <v>154</v>
      </c>
      <c r="E640" s="83" t="s">
        <v>20</v>
      </c>
      <c r="F640" s="621">
        <f>F641</f>
        <v>37336</v>
      </c>
      <c r="G640" s="621">
        <f>G641</f>
        <v>36608</v>
      </c>
      <c r="H640" s="171"/>
    </row>
    <row r="641" spans="1:8" outlineLevel="3" x14ac:dyDescent="0.25">
      <c r="A641" s="81" t="s">
        <v>21</v>
      </c>
      <c r="B641" s="80" t="s">
        <v>536</v>
      </c>
      <c r="C641" s="80" t="s">
        <v>117</v>
      </c>
      <c r="D641" s="80" t="s">
        <v>154</v>
      </c>
      <c r="E641" s="83" t="s">
        <v>22</v>
      </c>
      <c r="F641" s="622">
        <v>37336</v>
      </c>
      <c r="G641" s="622">
        <v>36608</v>
      </c>
    </row>
    <row r="642" spans="1:8" ht="23.3" customHeight="1" outlineLevel="3" x14ac:dyDescent="0.25">
      <c r="A642" s="25" t="s">
        <v>36</v>
      </c>
      <c r="B642" s="80" t="s">
        <v>536</v>
      </c>
      <c r="C642" s="80" t="s">
        <v>117</v>
      </c>
      <c r="D642" s="80" t="s">
        <v>155</v>
      </c>
      <c r="E642" s="83" t="s">
        <v>6</v>
      </c>
      <c r="F642" s="621">
        <f>F643</f>
        <v>2356900</v>
      </c>
      <c r="G642" s="621">
        <f>G643</f>
        <v>2356900</v>
      </c>
    </row>
    <row r="643" spans="1:8" ht="45.7" customHeight="1" outlineLevel="3" x14ac:dyDescent="0.25">
      <c r="A643" s="81" t="s">
        <v>37</v>
      </c>
      <c r="B643" s="80" t="s">
        <v>536</v>
      </c>
      <c r="C643" s="80" t="s">
        <v>117</v>
      </c>
      <c r="D643" s="80" t="s">
        <v>155</v>
      </c>
      <c r="E643" s="83" t="s">
        <v>38</v>
      </c>
      <c r="F643" s="621">
        <f>F644</f>
        <v>2356900</v>
      </c>
      <c r="G643" s="621">
        <f>G644</f>
        <v>2356900</v>
      </c>
    </row>
    <row r="644" spans="1:8" ht="22.75" customHeight="1" outlineLevel="3" x14ac:dyDescent="0.25">
      <c r="A644" s="81" t="s">
        <v>39</v>
      </c>
      <c r="B644" s="80" t="s">
        <v>536</v>
      </c>
      <c r="C644" s="80" t="s">
        <v>117</v>
      </c>
      <c r="D644" s="80" t="s">
        <v>155</v>
      </c>
      <c r="E644" s="83" t="s">
        <v>40</v>
      </c>
      <c r="F644" s="622">
        <f>3345034-988134</f>
        <v>2356900</v>
      </c>
      <c r="G644" s="622">
        <f>3345034-988134</f>
        <v>2356900</v>
      </c>
    </row>
    <row r="645" spans="1:8" ht="27.7" customHeight="1" outlineLevel="3" x14ac:dyDescent="0.25">
      <c r="A645" s="109" t="s">
        <v>85</v>
      </c>
      <c r="B645" s="110" t="s">
        <v>536</v>
      </c>
      <c r="C645" s="110" t="s">
        <v>86</v>
      </c>
      <c r="D645" s="110" t="s">
        <v>126</v>
      </c>
      <c r="E645" s="111" t="s">
        <v>6</v>
      </c>
      <c r="F645" s="623">
        <f>F646+F652</f>
        <v>5253108</v>
      </c>
      <c r="G645" s="623">
        <f>G646+G652</f>
        <v>5409837</v>
      </c>
    </row>
    <row r="646" spans="1:8" outlineLevel="3" x14ac:dyDescent="0.25">
      <c r="A646" s="81" t="s">
        <v>94</v>
      </c>
      <c r="B646" s="80" t="s">
        <v>536</v>
      </c>
      <c r="C646" s="80" t="s">
        <v>95</v>
      </c>
      <c r="D646" s="80" t="s">
        <v>126</v>
      </c>
      <c r="E646" s="83" t="s">
        <v>6</v>
      </c>
      <c r="F646" s="621">
        <f t="shared" ref="F646:G650" si="39">F647</f>
        <v>1310000</v>
      </c>
      <c r="G646" s="621">
        <f t="shared" si="39"/>
        <v>1310000</v>
      </c>
    </row>
    <row r="647" spans="1:8" ht="55.05" outlineLevel="3" x14ac:dyDescent="0.25">
      <c r="A647" s="109" t="s">
        <v>825</v>
      </c>
      <c r="B647" s="110" t="s">
        <v>536</v>
      </c>
      <c r="C647" s="110" t="s">
        <v>95</v>
      </c>
      <c r="D647" s="110" t="s">
        <v>138</v>
      </c>
      <c r="E647" s="111" t="s">
        <v>6</v>
      </c>
      <c r="F647" s="623">
        <f t="shared" si="39"/>
        <v>1310000</v>
      </c>
      <c r="G647" s="623">
        <f t="shared" si="39"/>
        <v>1310000</v>
      </c>
    </row>
    <row r="648" spans="1:8" outlineLevel="3" x14ac:dyDescent="0.25">
      <c r="A648" s="113" t="s">
        <v>1062</v>
      </c>
      <c r="B648" s="80" t="s">
        <v>536</v>
      </c>
      <c r="C648" s="80" t="s">
        <v>95</v>
      </c>
      <c r="D648" s="80" t="s">
        <v>736</v>
      </c>
      <c r="E648" s="83" t="s">
        <v>6</v>
      </c>
      <c r="F648" s="621">
        <f t="shared" si="39"/>
        <v>1310000</v>
      </c>
      <c r="G648" s="621">
        <f t="shared" si="39"/>
        <v>1310000</v>
      </c>
    </row>
    <row r="649" spans="1:8" ht="110.05" outlineLevel="3" x14ac:dyDescent="0.25">
      <c r="A649" s="100" t="s">
        <v>405</v>
      </c>
      <c r="B649" s="80" t="s">
        <v>536</v>
      </c>
      <c r="C649" s="80" t="s">
        <v>95</v>
      </c>
      <c r="D649" s="80" t="s">
        <v>737</v>
      </c>
      <c r="E649" s="83" t="s">
        <v>6</v>
      </c>
      <c r="F649" s="621">
        <f t="shared" si="39"/>
        <v>1310000</v>
      </c>
      <c r="G649" s="621">
        <f t="shared" si="39"/>
        <v>1310000</v>
      </c>
    </row>
    <row r="650" spans="1:8" ht="28.55" customHeight="1" outlineLevel="3" x14ac:dyDescent="0.25">
      <c r="A650" s="81" t="s">
        <v>90</v>
      </c>
      <c r="B650" s="80" t="s">
        <v>536</v>
      </c>
      <c r="C650" s="80" t="s">
        <v>95</v>
      </c>
      <c r="D650" s="80" t="s">
        <v>737</v>
      </c>
      <c r="E650" s="83" t="s">
        <v>91</v>
      </c>
      <c r="F650" s="621">
        <f t="shared" si="39"/>
        <v>1310000</v>
      </c>
      <c r="G650" s="621">
        <f t="shared" si="39"/>
        <v>1310000</v>
      </c>
    </row>
    <row r="651" spans="1:8" ht="36.700000000000003" outlineLevel="3" x14ac:dyDescent="0.25">
      <c r="A651" s="81" t="s">
        <v>97</v>
      </c>
      <c r="B651" s="80" t="s">
        <v>536</v>
      </c>
      <c r="C651" s="80" t="s">
        <v>95</v>
      </c>
      <c r="D651" s="80" t="s">
        <v>737</v>
      </c>
      <c r="E651" s="83" t="s">
        <v>98</v>
      </c>
      <c r="F651" s="622">
        <v>1310000</v>
      </c>
      <c r="G651" s="622">
        <v>1310000</v>
      </c>
    </row>
    <row r="652" spans="1:8" outlineLevel="3" x14ac:dyDescent="0.25">
      <c r="A652" s="81" t="s">
        <v>123</v>
      </c>
      <c r="B652" s="80" t="s">
        <v>536</v>
      </c>
      <c r="C652" s="80" t="s">
        <v>124</v>
      </c>
      <c r="D652" s="80" t="s">
        <v>126</v>
      </c>
      <c r="E652" s="83" t="s">
        <v>6</v>
      </c>
      <c r="F652" s="621">
        <f t="shared" ref="F652:G655" si="40">F653</f>
        <v>3943108</v>
      </c>
      <c r="G652" s="621">
        <f t="shared" si="40"/>
        <v>4099837</v>
      </c>
    </row>
    <row r="653" spans="1:8" ht="39.75" customHeight="1" outlineLevel="3" x14ac:dyDescent="0.25">
      <c r="A653" s="109" t="s">
        <v>827</v>
      </c>
      <c r="B653" s="110" t="s">
        <v>536</v>
      </c>
      <c r="C653" s="110" t="s">
        <v>124</v>
      </c>
      <c r="D653" s="110" t="s">
        <v>138</v>
      </c>
      <c r="E653" s="111" t="s">
        <v>6</v>
      </c>
      <c r="F653" s="623">
        <f t="shared" si="40"/>
        <v>3943108</v>
      </c>
      <c r="G653" s="623">
        <f t="shared" si="40"/>
        <v>4099837</v>
      </c>
    </row>
    <row r="654" spans="1:8" ht="37.4" customHeight="1" outlineLevel="3" x14ac:dyDescent="0.25">
      <c r="A654" s="81" t="s">
        <v>834</v>
      </c>
      <c r="B654" s="80" t="s">
        <v>536</v>
      </c>
      <c r="C654" s="80" t="s">
        <v>124</v>
      </c>
      <c r="D654" s="80" t="s">
        <v>139</v>
      </c>
      <c r="E654" s="83" t="s">
        <v>6</v>
      </c>
      <c r="F654" s="621">
        <f t="shared" si="40"/>
        <v>3943108</v>
      </c>
      <c r="G654" s="621">
        <f t="shared" si="40"/>
        <v>4099837</v>
      </c>
    </row>
    <row r="655" spans="1:8" ht="36.700000000000003" outlineLevel="3" x14ac:dyDescent="0.25">
      <c r="A655" s="113" t="s">
        <v>204</v>
      </c>
      <c r="B655" s="80" t="s">
        <v>536</v>
      </c>
      <c r="C655" s="80" t="s">
        <v>124</v>
      </c>
      <c r="D655" s="80" t="s">
        <v>234</v>
      </c>
      <c r="E655" s="83" t="s">
        <v>6</v>
      </c>
      <c r="F655" s="621">
        <f t="shared" si="40"/>
        <v>3943108</v>
      </c>
      <c r="G655" s="621">
        <f t="shared" si="40"/>
        <v>4099837</v>
      </c>
    </row>
    <row r="656" spans="1:8" s="170" customFormat="1" ht="151.5" customHeight="1" x14ac:dyDescent="0.25">
      <c r="A656" s="100" t="s">
        <v>657</v>
      </c>
      <c r="B656" s="80" t="s">
        <v>536</v>
      </c>
      <c r="C656" s="80" t="s">
        <v>124</v>
      </c>
      <c r="D656" s="80" t="s">
        <v>156</v>
      </c>
      <c r="E656" s="83" t="s">
        <v>6</v>
      </c>
      <c r="F656" s="621">
        <f>F657</f>
        <v>3943108</v>
      </c>
      <c r="G656" s="621">
        <f>G657</f>
        <v>4099837</v>
      </c>
      <c r="H656" s="169"/>
    </row>
    <row r="657" spans="1:8" s="170" customFormat="1" ht="29.25" customHeight="1" x14ac:dyDescent="0.25">
      <c r="A657" s="81" t="s">
        <v>90</v>
      </c>
      <c r="B657" s="80" t="s">
        <v>536</v>
      </c>
      <c r="C657" s="80" t="s">
        <v>124</v>
      </c>
      <c r="D657" s="80" t="s">
        <v>156</v>
      </c>
      <c r="E657" s="83" t="s">
        <v>91</v>
      </c>
      <c r="F657" s="621">
        <f>F658</f>
        <v>3943108</v>
      </c>
      <c r="G657" s="621">
        <f>G658</f>
        <v>4099837</v>
      </c>
      <c r="H657" s="169"/>
    </row>
    <row r="658" spans="1:8" s="170" customFormat="1" ht="40.1" customHeight="1" x14ac:dyDescent="0.25">
      <c r="A658" s="81" t="s">
        <v>92</v>
      </c>
      <c r="B658" s="80" t="s">
        <v>536</v>
      </c>
      <c r="C658" s="80" t="s">
        <v>124</v>
      </c>
      <c r="D658" s="80" t="s">
        <v>156</v>
      </c>
      <c r="E658" s="83" t="s">
        <v>93</v>
      </c>
      <c r="F658" s="622">
        <v>3943108</v>
      </c>
      <c r="G658" s="622">
        <v>4099837</v>
      </c>
      <c r="H658" s="169"/>
    </row>
    <row r="659" spans="1:8" s="170" customFormat="1" ht="19.55" hidden="1" customHeight="1" x14ac:dyDescent="0.25">
      <c r="A659" s="109" t="s">
        <v>100</v>
      </c>
      <c r="B659" s="80" t="s">
        <v>536</v>
      </c>
      <c r="C659" s="80" t="s">
        <v>101</v>
      </c>
      <c r="D659" s="110" t="s">
        <v>126</v>
      </c>
      <c r="E659" s="83" t="s">
        <v>6</v>
      </c>
      <c r="F659" s="622">
        <f t="shared" ref="F659:G664" si="41">F660</f>
        <v>0</v>
      </c>
      <c r="G659" s="622">
        <f t="shared" si="41"/>
        <v>0</v>
      </c>
      <c r="H659" s="169"/>
    </row>
    <row r="660" spans="1:8" ht="21.25" hidden="1" customHeight="1" x14ac:dyDescent="0.25">
      <c r="A660" s="81" t="s">
        <v>301</v>
      </c>
      <c r="B660" s="80" t="s">
        <v>536</v>
      </c>
      <c r="C660" s="80" t="s">
        <v>300</v>
      </c>
      <c r="D660" s="110" t="s">
        <v>126</v>
      </c>
      <c r="E660" s="83" t="s">
        <v>6</v>
      </c>
      <c r="F660" s="622">
        <f t="shared" si="41"/>
        <v>0</v>
      </c>
      <c r="G660" s="622">
        <f t="shared" si="41"/>
        <v>0</v>
      </c>
    </row>
    <row r="661" spans="1:8" ht="57.75" hidden="1" customHeight="1" x14ac:dyDescent="0.25">
      <c r="A661" s="109" t="s">
        <v>377</v>
      </c>
      <c r="B661" s="80" t="s">
        <v>536</v>
      </c>
      <c r="C661" s="80" t="s">
        <v>300</v>
      </c>
      <c r="D661" s="110" t="s">
        <v>200</v>
      </c>
      <c r="E661" s="83" t="s">
        <v>6</v>
      </c>
      <c r="F661" s="622">
        <f t="shared" si="41"/>
        <v>0</v>
      </c>
      <c r="G661" s="622">
        <f t="shared" si="41"/>
        <v>0</v>
      </c>
    </row>
    <row r="662" spans="1:8" ht="58.75" hidden="1" customHeight="1" x14ac:dyDescent="0.25">
      <c r="A662" s="81" t="s">
        <v>213</v>
      </c>
      <c r="B662" s="80" t="s">
        <v>536</v>
      </c>
      <c r="C662" s="80" t="s">
        <v>300</v>
      </c>
      <c r="D662" s="80" t="s">
        <v>674</v>
      </c>
      <c r="E662" s="83" t="s">
        <v>6</v>
      </c>
      <c r="F662" s="622">
        <f t="shared" si="41"/>
        <v>0</v>
      </c>
      <c r="G662" s="622">
        <f t="shared" si="41"/>
        <v>0</v>
      </c>
    </row>
    <row r="663" spans="1:8" ht="21.75" hidden="1" customHeight="1" x14ac:dyDescent="0.25">
      <c r="A663" s="81" t="s">
        <v>378</v>
      </c>
      <c r="B663" s="80" t="s">
        <v>536</v>
      </c>
      <c r="C663" s="80" t="s">
        <v>300</v>
      </c>
      <c r="D663" s="80" t="s">
        <v>303</v>
      </c>
      <c r="E663" s="83" t="s">
        <v>6</v>
      </c>
      <c r="F663" s="622">
        <f>F664+F667+F670</f>
        <v>0</v>
      </c>
      <c r="G663" s="622">
        <v>0</v>
      </c>
    </row>
    <row r="664" spans="1:8" ht="37.549999999999997" hidden="1" customHeight="1" x14ac:dyDescent="0.25">
      <c r="A664" s="81" t="s">
        <v>281</v>
      </c>
      <c r="B664" s="80" t="s">
        <v>536</v>
      </c>
      <c r="C664" s="80" t="s">
        <v>300</v>
      </c>
      <c r="D664" s="80" t="s">
        <v>302</v>
      </c>
      <c r="E664" s="83" t="s">
        <v>6</v>
      </c>
      <c r="F664" s="622">
        <f t="shared" si="41"/>
        <v>0</v>
      </c>
      <c r="G664" s="622">
        <f t="shared" si="41"/>
        <v>0</v>
      </c>
    </row>
    <row r="665" spans="1:8" ht="21.25" hidden="1" customHeight="1" x14ac:dyDescent="0.25">
      <c r="A665" s="81" t="s">
        <v>37</v>
      </c>
      <c r="B665" s="80" t="s">
        <v>536</v>
      </c>
      <c r="C665" s="80" t="s">
        <v>300</v>
      </c>
      <c r="D665" s="80" t="s">
        <v>302</v>
      </c>
      <c r="E665" s="83" t="s">
        <v>38</v>
      </c>
      <c r="F665" s="622">
        <f>F666</f>
        <v>0</v>
      </c>
      <c r="G665" s="622">
        <f>G666</f>
        <v>0</v>
      </c>
    </row>
    <row r="666" spans="1:8" ht="21.25" hidden="1" customHeight="1" x14ac:dyDescent="0.25">
      <c r="A666" s="81" t="s">
        <v>74</v>
      </c>
      <c r="B666" s="80" t="s">
        <v>536</v>
      </c>
      <c r="C666" s="80" t="s">
        <v>300</v>
      </c>
      <c r="D666" s="80" t="s">
        <v>302</v>
      </c>
      <c r="E666" s="83" t="s">
        <v>75</v>
      </c>
      <c r="F666" s="634"/>
      <c r="G666" s="634"/>
    </row>
    <row r="667" spans="1:8" ht="18" hidden="1" customHeight="1" x14ac:dyDescent="0.25">
      <c r="A667" s="81" t="s">
        <v>788</v>
      </c>
      <c r="B667" s="80" t="s">
        <v>536</v>
      </c>
      <c r="C667" s="80" t="s">
        <v>300</v>
      </c>
      <c r="D667" s="80" t="s">
        <v>764</v>
      </c>
      <c r="E667" s="83" t="s">
        <v>6</v>
      </c>
      <c r="F667" s="622">
        <f>F668</f>
        <v>0</v>
      </c>
      <c r="G667" s="622">
        <f>G668</f>
        <v>0</v>
      </c>
    </row>
    <row r="668" spans="1:8" s="163" customFormat="1" ht="18.7" hidden="1" customHeight="1" x14ac:dyDescent="0.25">
      <c r="A668" s="81" t="s">
        <v>37</v>
      </c>
      <c r="B668" s="80" t="s">
        <v>536</v>
      </c>
      <c r="C668" s="80" t="s">
        <v>300</v>
      </c>
      <c r="D668" s="80" t="s">
        <v>764</v>
      </c>
      <c r="E668" s="83" t="s">
        <v>38</v>
      </c>
      <c r="F668" s="622">
        <f>F669</f>
        <v>0</v>
      </c>
      <c r="G668" s="622">
        <f>G669</f>
        <v>0</v>
      </c>
    </row>
    <row r="669" spans="1:8" s="163" customFormat="1" ht="21.25" hidden="1" customHeight="1" x14ac:dyDescent="0.25">
      <c r="A669" s="81" t="s">
        <v>74</v>
      </c>
      <c r="B669" s="80" t="s">
        <v>536</v>
      </c>
      <c r="C669" s="80" t="s">
        <v>300</v>
      </c>
      <c r="D669" s="80" t="s">
        <v>764</v>
      </c>
      <c r="E669" s="83" t="s">
        <v>75</v>
      </c>
      <c r="F669" s="622">
        <v>0</v>
      </c>
      <c r="G669" s="634"/>
    </row>
    <row r="670" spans="1:8" s="163" customFormat="1" ht="18.7" hidden="1" customHeight="1" x14ac:dyDescent="0.25">
      <c r="A670" s="81" t="s">
        <v>911</v>
      </c>
      <c r="B670" s="80" t="s">
        <v>536</v>
      </c>
      <c r="C670" s="80" t="s">
        <v>300</v>
      </c>
      <c r="D670" s="80" t="s">
        <v>769</v>
      </c>
      <c r="E670" s="83" t="s">
        <v>6</v>
      </c>
      <c r="F670" s="622">
        <f>F671</f>
        <v>0</v>
      </c>
      <c r="G670" s="622">
        <f>G671</f>
        <v>0</v>
      </c>
    </row>
    <row r="671" spans="1:8" s="163" customFormat="1" ht="18" hidden="1" customHeight="1" x14ac:dyDescent="0.25">
      <c r="A671" s="81" t="s">
        <v>37</v>
      </c>
      <c r="B671" s="80" t="s">
        <v>536</v>
      </c>
      <c r="C671" s="80" t="s">
        <v>300</v>
      </c>
      <c r="D671" s="80" t="s">
        <v>769</v>
      </c>
      <c r="E671" s="83" t="s">
        <v>38</v>
      </c>
      <c r="F671" s="622">
        <f>F672</f>
        <v>0</v>
      </c>
      <c r="G671" s="622">
        <f>G672</f>
        <v>0</v>
      </c>
    </row>
    <row r="672" spans="1:8" s="163" customFormat="1" ht="18.7" hidden="1" customHeight="1" x14ac:dyDescent="0.25">
      <c r="A672" s="81" t="s">
        <v>74</v>
      </c>
      <c r="B672" s="80" t="s">
        <v>536</v>
      </c>
      <c r="C672" s="80" t="s">
        <v>300</v>
      </c>
      <c r="D672" s="80" t="s">
        <v>769</v>
      </c>
      <c r="E672" s="83" t="s">
        <v>75</v>
      </c>
      <c r="F672" s="622">
        <v>0</v>
      </c>
      <c r="G672" s="634"/>
    </row>
    <row r="673" spans="1:12" s="163" customFormat="1" ht="36.700000000000003" x14ac:dyDescent="0.25">
      <c r="A673" s="175" t="s">
        <v>750</v>
      </c>
      <c r="B673" s="139">
        <v>959</v>
      </c>
      <c r="C673" s="140" t="s">
        <v>5</v>
      </c>
      <c r="D673" s="140" t="s">
        <v>126</v>
      </c>
      <c r="E673" s="140" t="s">
        <v>6</v>
      </c>
      <c r="F673" s="629">
        <f>F674</f>
        <v>1768008</v>
      </c>
      <c r="G673" s="629">
        <f t="shared" ref="G673:G674" si="42">G674</f>
        <v>1838749</v>
      </c>
    </row>
    <row r="674" spans="1:12" s="163" customFormat="1" x14ac:dyDescent="0.25">
      <c r="A674" s="81" t="s">
        <v>7</v>
      </c>
      <c r="B674" s="80" t="s">
        <v>751</v>
      </c>
      <c r="C674" s="80" t="s">
        <v>8</v>
      </c>
      <c r="D674" s="80" t="s">
        <v>126</v>
      </c>
      <c r="E674" s="80" t="s">
        <v>6</v>
      </c>
      <c r="F674" s="622">
        <f>F675</f>
        <v>1768008</v>
      </c>
      <c r="G674" s="622">
        <f t="shared" si="42"/>
        <v>1838749</v>
      </c>
    </row>
    <row r="675" spans="1:12" s="163" customFormat="1" ht="55.05" x14ac:dyDescent="0.25">
      <c r="A675" s="81" t="s">
        <v>9</v>
      </c>
      <c r="B675" s="80" t="s">
        <v>751</v>
      </c>
      <c r="C675" s="80" t="s">
        <v>10</v>
      </c>
      <c r="D675" s="80" t="s">
        <v>126</v>
      </c>
      <c r="E675" s="80" t="s">
        <v>6</v>
      </c>
      <c r="F675" s="621">
        <f>F676+F687+F692</f>
        <v>1768008</v>
      </c>
      <c r="G675" s="621">
        <f>G676+G687+G692</f>
        <v>1838749</v>
      </c>
    </row>
    <row r="676" spans="1:12" s="163" customFormat="1" ht="36.700000000000003" x14ac:dyDescent="0.25">
      <c r="A676" s="81" t="s">
        <v>132</v>
      </c>
      <c r="B676" s="80" t="s">
        <v>751</v>
      </c>
      <c r="C676" s="80" t="s">
        <v>10</v>
      </c>
      <c r="D676" s="80" t="s">
        <v>127</v>
      </c>
      <c r="E676" s="80" t="s">
        <v>6</v>
      </c>
      <c r="F676" s="621">
        <f>F677+F680</f>
        <v>1748508</v>
      </c>
      <c r="G676" s="621">
        <f>G677+G680</f>
        <v>1818433</v>
      </c>
    </row>
    <row r="677" spans="1:12" s="163" customFormat="1" x14ac:dyDescent="0.25">
      <c r="A677" s="81" t="s">
        <v>752</v>
      </c>
      <c r="B677" s="80" t="s">
        <v>751</v>
      </c>
      <c r="C677" s="80" t="s">
        <v>10</v>
      </c>
      <c r="D677" s="80" t="s">
        <v>143</v>
      </c>
      <c r="E677" s="80" t="s">
        <v>6</v>
      </c>
      <c r="F677" s="621">
        <f>F678</f>
        <v>1439461</v>
      </c>
      <c r="G677" s="621">
        <f>G678</f>
        <v>1497040</v>
      </c>
    </row>
    <row r="678" spans="1:12" s="163" customFormat="1" ht="91.7" x14ac:dyDescent="0.25">
      <c r="A678" s="81" t="s">
        <v>11</v>
      </c>
      <c r="B678" s="80" t="s">
        <v>751</v>
      </c>
      <c r="C678" s="80" t="s">
        <v>10</v>
      </c>
      <c r="D678" s="80" t="s">
        <v>143</v>
      </c>
      <c r="E678" s="80" t="s">
        <v>12</v>
      </c>
      <c r="F678" s="621">
        <f>F679</f>
        <v>1439461</v>
      </c>
      <c r="G678" s="621">
        <f>G679</f>
        <v>1497040</v>
      </c>
    </row>
    <row r="679" spans="1:12" s="163" customFormat="1" ht="36.700000000000003" x14ac:dyDescent="0.25">
      <c r="A679" s="81" t="s">
        <v>13</v>
      </c>
      <c r="B679" s="80" t="s">
        <v>751</v>
      </c>
      <c r="C679" s="80" t="s">
        <v>10</v>
      </c>
      <c r="D679" s="80" t="s">
        <v>143</v>
      </c>
      <c r="E679" s="80" t="s">
        <v>14</v>
      </c>
      <c r="F679" s="622">
        <f>1105577+333884</f>
        <v>1439461</v>
      </c>
      <c r="G679" s="622">
        <f>1149800+347240</f>
        <v>1497040</v>
      </c>
    </row>
    <row r="680" spans="1:12" s="163" customFormat="1" ht="55.05" x14ac:dyDescent="0.25">
      <c r="A680" s="81" t="s">
        <v>494</v>
      </c>
      <c r="B680" s="80" t="s">
        <v>751</v>
      </c>
      <c r="C680" s="80" t="s">
        <v>10</v>
      </c>
      <c r="D680" s="80" t="s">
        <v>495</v>
      </c>
      <c r="E680" s="80" t="s">
        <v>6</v>
      </c>
      <c r="F680" s="622">
        <f>F681+F683+F685</f>
        <v>309047</v>
      </c>
      <c r="G680" s="622">
        <f>G681+G683+G685</f>
        <v>321393</v>
      </c>
    </row>
    <row r="681" spans="1:12" s="163" customFormat="1" ht="89.7" customHeight="1" x14ac:dyDescent="0.25">
      <c r="A681" s="81" t="s">
        <v>11</v>
      </c>
      <c r="B681" s="80" t="s">
        <v>751</v>
      </c>
      <c r="C681" s="80" t="s">
        <v>10</v>
      </c>
      <c r="D681" s="80" t="s">
        <v>495</v>
      </c>
      <c r="E681" s="80" t="s">
        <v>12</v>
      </c>
      <c r="F681" s="622">
        <f>F682</f>
        <v>213387</v>
      </c>
      <c r="G681" s="622">
        <f>G682</f>
        <v>221923</v>
      </c>
    </row>
    <row r="682" spans="1:12" s="163" customFormat="1" ht="36.700000000000003" x14ac:dyDescent="0.25">
      <c r="A682" s="81" t="s">
        <v>13</v>
      </c>
      <c r="B682" s="80" t="s">
        <v>751</v>
      </c>
      <c r="C682" s="80" t="s">
        <v>10</v>
      </c>
      <c r="D682" s="80" t="s">
        <v>495</v>
      </c>
      <c r="E682" s="80" t="s">
        <v>14</v>
      </c>
      <c r="F682" s="622">
        <f>163892+49495</f>
        <v>213387</v>
      </c>
      <c r="G682" s="622">
        <f>51475+170448</f>
        <v>221923</v>
      </c>
    </row>
    <row r="683" spans="1:12" s="163" customFormat="1" ht="36.700000000000003" x14ac:dyDescent="0.25">
      <c r="A683" s="81" t="s">
        <v>15</v>
      </c>
      <c r="B683" s="80" t="s">
        <v>751</v>
      </c>
      <c r="C683" s="80" t="s">
        <v>10</v>
      </c>
      <c r="D683" s="80" t="s">
        <v>495</v>
      </c>
      <c r="E683" s="80" t="s">
        <v>16</v>
      </c>
      <c r="F683" s="622">
        <f>F684</f>
        <v>95160</v>
      </c>
      <c r="G683" s="622">
        <f>G684</f>
        <v>98970</v>
      </c>
    </row>
    <row r="684" spans="1:12" s="163" customFormat="1" ht="36.700000000000003" x14ac:dyDescent="0.25">
      <c r="A684" s="81" t="s">
        <v>17</v>
      </c>
      <c r="B684" s="80" t="s">
        <v>751</v>
      </c>
      <c r="C684" s="80" t="s">
        <v>10</v>
      </c>
      <c r="D684" s="80" t="s">
        <v>495</v>
      </c>
      <c r="E684" s="80" t="s">
        <v>18</v>
      </c>
      <c r="F684" s="622">
        <v>95160</v>
      </c>
      <c r="G684" s="622">
        <v>98970</v>
      </c>
      <c r="I684" s="683"/>
      <c r="J684" s="683"/>
      <c r="K684" s="229"/>
      <c r="L684" s="229"/>
    </row>
    <row r="685" spans="1:12" s="163" customFormat="1" x14ac:dyDescent="0.25">
      <c r="A685" s="81" t="s">
        <v>19</v>
      </c>
      <c r="B685" s="80" t="s">
        <v>751</v>
      </c>
      <c r="C685" s="80" t="s">
        <v>10</v>
      </c>
      <c r="D685" s="80" t="s">
        <v>495</v>
      </c>
      <c r="E685" s="83" t="s">
        <v>20</v>
      </c>
      <c r="F685" s="622">
        <f>F686</f>
        <v>500</v>
      </c>
      <c r="G685" s="622">
        <f>G686</f>
        <v>500</v>
      </c>
      <c r="I685" s="585"/>
      <c r="J685" s="585"/>
      <c r="K685" s="229"/>
      <c r="L685" s="229"/>
    </row>
    <row r="686" spans="1:12" s="163" customFormat="1" x14ac:dyDescent="0.25">
      <c r="A686" s="81" t="s">
        <v>21</v>
      </c>
      <c r="B686" s="80" t="s">
        <v>751</v>
      </c>
      <c r="C686" s="80" t="s">
        <v>10</v>
      </c>
      <c r="D686" s="80" t="s">
        <v>495</v>
      </c>
      <c r="E686" s="83" t="s">
        <v>22</v>
      </c>
      <c r="F686" s="622">
        <v>500</v>
      </c>
      <c r="G686" s="622">
        <v>500</v>
      </c>
      <c r="I686" s="585"/>
      <c r="J686" s="585"/>
      <c r="K686" s="229"/>
      <c r="L686" s="229"/>
    </row>
    <row r="687" spans="1:12" s="163" customFormat="1" ht="55.05" x14ac:dyDescent="0.3">
      <c r="A687" s="109" t="s">
        <v>830</v>
      </c>
      <c r="B687" s="110" t="s">
        <v>751</v>
      </c>
      <c r="C687" s="110" t="s">
        <v>24</v>
      </c>
      <c r="D687" s="594" t="s">
        <v>128</v>
      </c>
      <c r="E687" s="594" t="s">
        <v>6</v>
      </c>
      <c r="F687" s="622">
        <f t="shared" ref="F687:G690" si="43">F688</f>
        <v>10400</v>
      </c>
      <c r="G687" s="622">
        <f t="shared" si="43"/>
        <v>10816</v>
      </c>
      <c r="I687" s="585"/>
      <c r="J687" s="585"/>
      <c r="K687" s="229"/>
      <c r="L687" s="229"/>
    </row>
    <row r="688" spans="1:12" s="163" customFormat="1" ht="55.05" x14ac:dyDescent="0.3">
      <c r="A688" s="113" t="s">
        <v>835</v>
      </c>
      <c r="B688" s="80" t="s">
        <v>751</v>
      </c>
      <c r="C688" s="80" t="s">
        <v>24</v>
      </c>
      <c r="D688" s="595" t="s">
        <v>315</v>
      </c>
      <c r="E688" s="595" t="s">
        <v>6</v>
      </c>
      <c r="F688" s="622">
        <f t="shared" si="43"/>
        <v>10400</v>
      </c>
      <c r="G688" s="622">
        <f t="shared" si="43"/>
        <v>10816</v>
      </c>
      <c r="I688" s="585"/>
      <c r="J688" s="585"/>
      <c r="K688" s="229"/>
      <c r="L688" s="229"/>
    </row>
    <row r="689" spans="1:12" s="163" customFormat="1" x14ac:dyDescent="0.3">
      <c r="A689" s="113" t="s">
        <v>321</v>
      </c>
      <c r="B689" s="80" t="s">
        <v>751</v>
      </c>
      <c r="C689" s="80" t="s">
        <v>24</v>
      </c>
      <c r="D689" s="595" t="s">
        <v>316</v>
      </c>
      <c r="E689" s="595" t="s">
        <v>6</v>
      </c>
      <c r="F689" s="622">
        <f t="shared" si="43"/>
        <v>10400</v>
      </c>
      <c r="G689" s="622">
        <f t="shared" si="43"/>
        <v>10816</v>
      </c>
      <c r="I689" s="585"/>
      <c r="J689" s="585"/>
      <c r="K689" s="229"/>
      <c r="L689" s="229"/>
    </row>
    <row r="690" spans="1:12" s="163" customFormat="1" ht="36.700000000000003" x14ac:dyDescent="0.3">
      <c r="A690" s="81" t="s">
        <v>15</v>
      </c>
      <c r="B690" s="80" t="s">
        <v>751</v>
      </c>
      <c r="C690" s="80" t="s">
        <v>24</v>
      </c>
      <c r="D690" s="595" t="s">
        <v>316</v>
      </c>
      <c r="E690" s="595" t="s">
        <v>16</v>
      </c>
      <c r="F690" s="622">
        <f t="shared" si="43"/>
        <v>10400</v>
      </c>
      <c r="G690" s="622">
        <f t="shared" si="43"/>
        <v>10816</v>
      </c>
      <c r="I690" s="585"/>
      <c r="J690" s="585"/>
      <c r="K690" s="229"/>
      <c r="L690" s="229"/>
    </row>
    <row r="691" spans="1:12" s="163" customFormat="1" ht="36.700000000000003" x14ac:dyDescent="0.3">
      <c r="A691" s="81" t="s">
        <v>17</v>
      </c>
      <c r="B691" s="80" t="s">
        <v>751</v>
      </c>
      <c r="C691" s="80" t="s">
        <v>24</v>
      </c>
      <c r="D691" s="595" t="s">
        <v>316</v>
      </c>
      <c r="E691" s="80" t="s">
        <v>18</v>
      </c>
      <c r="F691" s="622">
        <v>10400</v>
      </c>
      <c r="G691" s="622">
        <v>10816</v>
      </c>
      <c r="I691" s="585"/>
      <c r="J691" s="585"/>
      <c r="K691" s="229"/>
      <c r="L691" s="229"/>
    </row>
    <row r="692" spans="1:12" s="163" customFormat="1" ht="55.05" x14ac:dyDescent="0.3">
      <c r="A692" s="114" t="s">
        <v>829</v>
      </c>
      <c r="B692" s="110" t="s">
        <v>751</v>
      </c>
      <c r="C692" s="80" t="s">
        <v>24</v>
      </c>
      <c r="D692" s="594" t="s">
        <v>317</v>
      </c>
      <c r="E692" s="594" t="s">
        <v>6</v>
      </c>
      <c r="F692" s="622">
        <f t="shared" ref="F692:G695" si="44">F693</f>
        <v>9100</v>
      </c>
      <c r="G692" s="622">
        <f t="shared" si="44"/>
        <v>9500</v>
      </c>
      <c r="I692" s="585"/>
      <c r="J692" s="585"/>
      <c r="K692" s="229"/>
      <c r="L692" s="229"/>
    </row>
    <row r="693" spans="1:12" s="163" customFormat="1" ht="36.700000000000003" x14ac:dyDescent="0.3">
      <c r="A693" s="113" t="s">
        <v>249</v>
      </c>
      <c r="B693" s="80" t="s">
        <v>751</v>
      </c>
      <c r="C693" s="80" t="s">
        <v>24</v>
      </c>
      <c r="D693" s="595" t="s">
        <v>318</v>
      </c>
      <c r="E693" s="595" t="s">
        <v>6</v>
      </c>
      <c r="F693" s="622">
        <f t="shared" si="44"/>
        <v>9100</v>
      </c>
      <c r="G693" s="622">
        <f t="shared" si="44"/>
        <v>9500</v>
      </c>
      <c r="I693" s="585"/>
      <c r="J693" s="585"/>
      <c r="K693" s="229"/>
      <c r="L693" s="229"/>
    </row>
    <row r="694" spans="1:12" s="163" customFormat="1" ht="55.05" x14ac:dyDescent="0.3">
      <c r="A694" s="81" t="s">
        <v>25</v>
      </c>
      <c r="B694" s="80" t="s">
        <v>751</v>
      </c>
      <c r="C694" s="80" t="s">
        <v>24</v>
      </c>
      <c r="D694" s="595" t="s">
        <v>329</v>
      </c>
      <c r="E694" s="595" t="s">
        <v>6</v>
      </c>
      <c r="F694" s="622">
        <f t="shared" si="44"/>
        <v>9100</v>
      </c>
      <c r="G694" s="622">
        <f t="shared" si="44"/>
        <v>9500</v>
      </c>
      <c r="I694" s="585"/>
      <c r="J694" s="585"/>
      <c r="K694" s="229"/>
      <c r="L694" s="229"/>
    </row>
    <row r="695" spans="1:12" s="163" customFormat="1" ht="36.700000000000003" x14ac:dyDescent="0.3">
      <c r="A695" s="81" t="s">
        <v>15</v>
      </c>
      <c r="B695" s="80" t="s">
        <v>751</v>
      </c>
      <c r="C695" s="80" t="s">
        <v>24</v>
      </c>
      <c r="D695" s="595" t="s">
        <v>329</v>
      </c>
      <c r="E695" s="595" t="s">
        <v>16</v>
      </c>
      <c r="F695" s="622">
        <f t="shared" si="44"/>
        <v>9100</v>
      </c>
      <c r="G695" s="622">
        <f t="shared" si="44"/>
        <v>9500</v>
      </c>
      <c r="I695" s="585"/>
      <c r="J695" s="585"/>
      <c r="K695" s="229"/>
      <c r="L695" s="229"/>
    </row>
    <row r="696" spans="1:12" s="163" customFormat="1" ht="36.700000000000003" x14ac:dyDescent="0.3">
      <c r="A696" s="81" t="s">
        <v>17</v>
      </c>
      <c r="B696" s="80" t="s">
        <v>751</v>
      </c>
      <c r="C696" s="80" t="s">
        <v>24</v>
      </c>
      <c r="D696" s="595" t="s">
        <v>329</v>
      </c>
      <c r="E696" s="80" t="s">
        <v>18</v>
      </c>
      <c r="F696" s="622">
        <v>9100</v>
      </c>
      <c r="G696" s="622">
        <v>9500</v>
      </c>
      <c r="I696" s="585"/>
      <c r="J696" s="585"/>
      <c r="K696" s="229"/>
      <c r="L696" s="229"/>
    </row>
    <row r="697" spans="1:12" s="163" customFormat="1" x14ac:dyDescent="0.3">
      <c r="A697" s="176" t="s">
        <v>768</v>
      </c>
      <c r="B697" s="177"/>
      <c r="C697" s="177"/>
      <c r="D697" s="178"/>
      <c r="E697" s="177"/>
      <c r="F697" s="620">
        <f>F10+F32+F475+F502+F673</f>
        <v>954904716.25999999</v>
      </c>
      <c r="G697" s="620">
        <f>G10+G32+G475+G502+G673</f>
        <v>952311189.88999999</v>
      </c>
      <c r="I697" s="683"/>
      <c r="J697" s="683"/>
      <c r="K697" s="229"/>
    </row>
    <row r="698" spans="1:12" s="163" customFormat="1" x14ac:dyDescent="0.3">
      <c r="A698" s="162"/>
      <c r="B698" s="7"/>
      <c r="C698" s="7"/>
      <c r="D698" s="179" t="s">
        <v>798</v>
      </c>
      <c r="E698" s="7"/>
      <c r="F698" s="630">
        <f>F702-F699</f>
        <v>415682663.99999976</v>
      </c>
      <c r="G698" s="630">
        <f>G702-G699</f>
        <v>395939297.99999976</v>
      </c>
    </row>
    <row r="699" spans="1:12" s="163" customFormat="1" x14ac:dyDescent="0.3">
      <c r="A699" s="162"/>
      <c r="B699" s="7"/>
      <c r="C699" s="7"/>
      <c r="D699" s="179" t="s">
        <v>538</v>
      </c>
      <c r="E699" s="7"/>
      <c r="F699" s="630">
        <f>F656+F649+F614+F577+F573+F566+F553+F550+F544+F530+F511+F457+F442+F439+F436+F430+F427+F417+F400+F395+F389+F365+F355+F322+F307+F299+F279+F267+F260+F205+F191+F185+F164+F155+F150+F145+F140+F137+F132+F49-572026.17</f>
        <v>549614118.86000013</v>
      </c>
      <c r="G699" s="630">
        <f>G656+G649+G614+G577+G573+G566+G553+G550+G544+G530+G511+G457+G442+G439+G436+G430+G427+G417+G400+G395+G389+G365+G355+G322+G307+G299+G279+G267+G260+G205+G191+G185+G164+G155+G150+G145+G140+G137+G132+G49-572118.93+G384</f>
        <v>576168856.7900002</v>
      </c>
    </row>
    <row r="700" spans="1:12" s="163" customFormat="1" x14ac:dyDescent="0.3">
      <c r="A700" s="162"/>
      <c r="B700" s="7"/>
      <c r="C700" s="7"/>
      <c r="D700" s="179"/>
      <c r="E700" s="7"/>
      <c r="F700" s="630"/>
      <c r="G700" s="630"/>
    </row>
    <row r="701" spans="1:12" s="163" customFormat="1" x14ac:dyDescent="0.3">
      <c r="A701" s="162"/>
      <c r="B701" s="7"/>
      <c r="C701" s="7"/>
      <c r="D701" s="230" t="s">
        <v>799</v>
      </c>
      <c r="E701" s="7"/>
      <c r="F701" s="631">
        <f>F698*2.5%</f>
        <v>10392066.599999994</v>
      </c>
      <c r="G701" s="631">
        <f>G698*5%</f>
        <v>19796964.899999987</v>
      </c>
    </row>
    <row r="702" spans="1:12" s="163" customFormat="1" x14ac:dyDescent="0.3">
      <c r="A702" s="162"/>
      <c r="B702" s="7"/>
      <c r="C702" s="7"/>
      <c r="D702" s="179"/>
      <c r="E702" s="7"/>
      <c r="F702" s="630">
        <f>'прил 8'!C63</f>
        <v>965296782.8599999</v>
      </c>
      <c r="G702" s="630">
        <f>'прил 8'!D63</f>
        <v>972108154.78999996</v>
      </c>
    </row>
    <row r="703" spans="1:12" s="163" customFormat="1" x14ac:dyDescent="0.3">
      <c r="A703" s="162"/>
      <c r="B703" s="7"/>
      <c r="C703" s="7"/>
      <c r="D703" s="179"/>
      <c r="E703" s="7"/>
      <c r="F703" s="630">
        <f>F702-F697-F701</f>
        <v>-8.9406967163085938E-8</v>
      </c>
      <c r="G703" s="630">
        <f>G702-G697-G701</f>
        <v>0</v>
      </c>
    </row>
    <row r="704" spans="1:12" s="163" customFormat="1" x14ac:dyDescent="0.3">
      <c r="A704" s="162"/>
      <c r="B704" s="7"/>
      <c r="C704" s="7"/>
      <c r="D704" s="179" t="s">
        <v>800</v>
      </c>
      <c r="E704" s="7"/>
      <c r="F704" s="630">
        <f>262246.95+271757.84+38021.38</f>
        <v>572026.17000000004</v>
      </c>
      <c r="G704" s="630">
        <f>262339.71+271757.84+38021.38</f>
        <v>572118.93000000005</v>
      </c>
    </row>
    <row r="705" spans="1:7" s="163" customFormat="1" x14ac:dyDescent="0.3">
      <c r="A705" s="162"/>
      <c r="B705" s="7"/>
      <c r="C705" s="7"/>
      <c r="D705" s="179" t="s">
        <v>801</v>
      </c>
      <c r="E705" s="7"/>
      <c r="F705" s="630"/>
      <c r="G705" s="617"/>
    </row>
    <row r="706" spans="1:7" s="163" customFormat="1" x14ac:dyDescent="0.3">
      <c r="A706" s="162"/>
      <c r="B706" s="7"/>
      <c r="C706" s="7"/>
      <c r="D706" s="179"/>
      <c r="E706" s="7"/>
      <c r="F706" s="630"/>
      <c r="G706" s="617"/>
    </row>
    <row r="707" spans="1:7" s="163" customFormat="1" x14ac:dyDescent="0.3">
      <c r="A707" s="162"/>
      <c r="B707" s="7"/>
      <c r="C707" s="7"/>
      <c r="D707" s="179"/>
      <c r="E707" s="7"/>
      <c r="F707" s="630">
        <f>F697+F701</f>
        <v>965296782.86000001</v>
      </c>
      <c r="G707" s="630">
        <f>G697+G701</f>
        <v>972108154.78999996</v>
      </c>
    </row>
    <row r="708" spans="1:7" s="163" customFormat="1" x14ac:dyDescent="0.3">
      <c r="A708" s="162"/>
      <c r="B708" s="7"/>
      <c r="C708" s="7"/>
      <c r="D708" s="179"/>
      <c r="E708" s="7"/>
      <c r="F708" s="630">
        <f>'прил 8'!C63</f>
        <v>965296782.8599999</v>
      </c>
      <c r="G708" s="630">
        <f>'прил 8'!D63</f>
        <v>972108154.78999996</v>
      </c>
    </row>
    <row r="709" spans="1:7" s="163" customFormat="1" x14ac:dyDescent="0.3">
      <c r="A709" s="162"/>
      <c r="B709" s="7"/>
      <c r="C709" s="7"/>
      <c r="D709" s="179"/>
      <c r="E709" s="7"/>
      <c r="F709" s="630">
        <f>F708-F707</f>
        <v>0</v>
      </c>
      <c r="G709" s="630">
        <f>G708-G707</f>
        <v>0</v>
      </c>
    </row>
    <row r="710" spans="1:7" s="163" customFormat="1" x14ac:dyDescent="0.3">
      <c r="A710" s="162"/>
      <c r="B710" s="7"/>
      <c r="C710" s="7"/>
      <c r="D710" s="179"/>
      <c r="E710" s="7"/>
      <c r="F710" s="630"/>
      <c r="G710" s="617"/>
    </row>
    <row r="711" spans="1:7" s="163" customFormat="1" x14ac:dyDescent="0.3">
      <c r="A711" s="162"/>
      <c r="B711" s="7"/>
      <c r="C711" s="7"/>
      <c r="D711" s="179"/>
      <c r="E711" s="7"/>
      <c r="F711" s="630"/>
      <c r="G711" s="617"/>
    </row>
    <row r="712" spans="1:7" s="163" customFormat="1" x14ac:dyDescent="0.3">
      <c r="A712" s="162"/>
      <c r="B712" s="7" t="s">
        <v>824</v>
      </c>
      <c r="C712" s="7"/>
      <c r="D712" s="179"/>
      <c r="E712" s="7"/>
      <c r="F712" s="630">
        <f>F408+F429+F434+F658</f>
        <v>44625553.170000002</v>
      </c>
      <c r="G712" s="630">
        <f>G408+G429+G434+G658</f>
        <v>46083357.090000004</v>
      </c>
    </row>
    <row r="713" spans="1:7" s="163" customFormat="1" x14ac:dyDescent="0.3">
      <c r="A713" s="162"/>
      <c r="B713" s="7"/>
      <c r="C713" s="7"/>
      <c r="D713" s="179"/>
      <c r="E713" s="7"/>
      <c r="F713" s="632"/>
      <c r="G713" s="617"/>
    </row>
    <row r="714" spans="1:7" s="163" customFormat="1" x14ac:dyDescent="0.3">
      <c r="A714" s="162"/>
      <c r="B714" s="7"/>
      <c r="C714" s="7"/>
      <c r="D714" s="179"/>
      <c r="E714" s="7"/>
      <c r="F714" s="630"/>
      <c r="G714" s="617"/>
    </row>
    <row r="719" spans="1:7" s="163" customFormat="1" x14ac:dyDescent="0.3">
      <c r="A719" s="162"/>
      <c r="B719" s="7" t="s">
        <v>662</v>
      </c>
      <c r="C719" s="7"/>
      <c r="D719" s="180"/>
      <c r="E719" s="7"/>
      <c r="F719" s="633"/>
      <c r="G719" s="630"/>
    </row>
    <row r="720" spans="1:7" s="163" customFormat="1" x14ac:dyDescent="0.3">
      <c r="A720" s="162"/>
      <c r="B720" s="7" t="s">
        <v>661</v>
      </c>
      <c r="C720" s="7"/>
      <c r="D720" s="180"/>
      <c r="E720" s="7"/>
      <c r="F720" s="633"/>
      <c r="G720" s="630"/>
    </row>
  </sheetData>
  <mergeCells count="8">
    <mergeCell ref="A7:F7"/>
    <mergeCell ref="I684:J684"/>
    <mergeCell ref="I697:J697"/>
    <mergeCell ref="F1:G1"/>
    <mergeCell ref="E2:G2"/>
    <mergeCell ref="F3:G3"/>
    <mergeCell ref="A5:F5"/>
    <mergeCell ref="A6:F6"/>
  </mergeCells>
  <pageMargins left="1.1811023622047243" right="0.39370078740157483" top="0.78740157480314965" bottom="0.78740157480314965" header="0.31496062992125984" footer="0.31496062992125984"/>
  <pageSetup paperSize="9" scale="59" orientation="portrait" r:id="rId1"/>
  <rowBreaks count="4" manualBreakCount="4">
    <brk id="413" max="6" man="1"/>
    <brk id="450" max="6" man="1"/>
    <brk id="516" max="6" man="1"/>
    <brk id="611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767"/>
  <sheetViews>
    <sheetView view="pageBreakPreview" topLeftCell="A577" zoomScale="98" zoomScaleNormal="100" zoomScaleSheetLayoutView="98" workbookViewId="0">
      <selection activeCell="A584" sqref="A584"/>
    </sheetView>
  </sheetViews>
  <sheetFormatPr defaultRowHeight="18.350000000000001" outlineLevelRow="6" x14ac:dyDescent="0.3"/>
  <cols>
    <col min="1" max="1" width="80.125" style="189" customWidth="1"/>
    <col min="2" max="2" width="8.375" style="189" customWidth="1"/>
    <col min="3" max="3" width="18.875" style="189" customWidth="1"/>
    <col min="4" max="4" width="7.125" style="189" customWidth="1"/>
    <col min="5" max="5" width="18.375" style="189" customWidth="1"/>
    <col min="6" max="6" width="13.125" style="165" bestFit="1" customWidth="1"/>
    <col min="7" max="7" width="18" style="165" customWidth="1"/>
    <col min="8" max="8" width="23.875" style="165" customWidth="1"/>
    <col min="9" max="252" width="9.125" style="165"/>
    <col min="253" max="253" width="76.375" style="165" customWidth="1"/>
    <col min="254" max="254" width="7.625" style="165" customWidth="1"/>
    <col min="255" max="255" width="9.625" style="165" customWidth="1"/>
    <col min="256" max="256" width="7.625" style="165" customWidth="1"/>
    <col min="257" max="257" width="14.375" style="165" customWidth="1"/>
    <col min="258" max="508" width="9.125" style="165"/>
    <col min="509" max="509" width="76.375" style="165" customWidth="1"/>
    <col min="510" max="510" width="7.625" style="165" customWidth="1"/>
    <col min="511" max="511" width="9.625" style="165" customWidth="1"/>
    <col min="512" max="512" width="7.625" style="165" customWidth="1"/>
    <col min="513" max="513" width="14.375" style="165" customWidth="1"/>
    <col min="514" max="764" width="9.125" style="165"/>
    <col min="765" max="765" width="76.375" style="165" customWidth="1"/>
    <col min="766" max="766" width="7.625" style="165" customWidth="1"/>
    <col min="767" max="767" width="9.625" style="165" customWidth="1"/>
    <col min="768" max="768" width="7.625" style="165" customWidth="1"/>
    <col min="769" max="769" width="14.375" style="165" customWidth="1"/>
    <col min="770" max="1020" width="9.125" style="165"/>
    <col min="1021" max="1021" width="76.375" style="165" customWidth="1"/>
    <col min="1022" max="1022" width="7.625" style="165" customWidth="1"/>
    <col min="1023" max="1023" width="9.625" style="165" customWidth="1"/>
    <col min="1024" max="1024" width="7.625" style="165" customWidth="1"/>
    <col min="1025" max="1025" width="14.375" style="165" customWidth="1"/>
    <col min="1026" max="1276" width="9.125" style="165"/>
    <col min="1277" max="1277" width="76.375" style="165" customWidth="1"/>
    <col min="1278" max="1278" width="7.625" style="165" customWidth="1"/>
    <col min="1279" max="1279" width="9.625" style="165" customWidth="1"/>
    <col min="1280" max="1280" width="7.625" style="165" customWidth="1"/>
    <col min="1281" max="1281" width="14.375" style="165" customWidth="1"/>
    <col min="1282" max="1532" width="9.125" style="165"/>
    <col min="1533" max="1533" width="76.375" style="165" customWidth="1"/>
    <col min="1534" max="1534" width="7.625" style="165" customWidth="1"/>
    <col min="1535" max="1535" width="9.625" style="165" customWidth="1"/>
    <col min="1536" max="1536" width="7.625" style="165" customWidth="1"/>
    <col min="1537" max="1537" width="14.375" style="165" customWidth="1"/>
    <col min="1538" max="1788" width="9.125" style="165"/>
    <col min="1789" max="1789" width="76.375" style="165" customWidth="1"/>
    <col min="1790" max="1790" width="7.625" style="165" customWidth="1"/>
    <col min="1791" max="1791" width="9.625" style="165" customWidth="1"/>
    <col min="1792" max="1792" width="7.625" style="165" customWidth="1"/>
    <col min="1793" max="1793" width="14.375" style="165" customWidth="1"/>
    <col min="1794" max="2044" width="9.125" style="165"/>
    <col min="2045" max="2045" width="76.375" style="165" customWidth="1"/>
    <col min="2046" max="2046" width="7.625" style="165" customWidth="1"/>
    <col min="2047" max="2047" width="9.625" style="165" customWidth="1"/>
    <col min="2048" max="2048" width="7.625" style="165" customWidth="1"/>
    <col min="2049" max="2049" width="14.375" style="165" customWidth="1"/>
    <col min="2050" max="2300" width="9.125" style="165"/>
    <col min="2301" max="2301" width="76.375" style="165" customWidth="1"/>
    <col min="2302" max="2302" width="7.625" style="165" customWidth="1"/>
    <col min="2303" max="2303" width="9.625" style="165" customWidth="1"/>
    <col min="2304" max="2304" width="7.625" style="165" customWidth="1"/>
    <col min="2305" max="2305" width="14.375" style="165" customWidth="1"/>
    <col min="2306" max="2556" width="9.125" style="165"/>
    <col min="2557" max="2557" width="76.375" style="165" customWidth="1"/>
    <col min="2558" max="2558" width="7.625" style="165" customWidth="1"/>
    <col min="2559" max="2559" width="9.625" style="165" customWidth="1"/>
    <col min="2560" max="2560" width="7.625" style="165" customWidth="1"/>
    <col min="2561" max="2561" width="14.375" style="165" customWidth="1"/>
    <col min="2562" max="2812" width="9.125" style="165"/>
    <col min="2813" max="2813" width="76.375" style="165" customWidth="1"/>
    <col min="2814" max="2814" width="7.625" style="165" customWidth="1"/>
    <col min="2815" max="2815" width="9.625" style="165" customWidth="1"/>
    <col min="2816" max="2816" width="7.625" style="165" customWidth="1"/>
    <col min="2817" max="2817" width="14.375" style="165" customWidth="1"/>
    <col min="2818" max="3068" width="9.125" style="165"/>
    <col min="3069" max="3069" width="76.375" style="165" customWidth="1"/>
    <col min="3070" max="3070" width="7.625" style="165" customWidth="1"/>
    <col min="3071" max="3071" width="9.625" style="165" customWidth="1"/>
    <col min="3072" max="3072" width="7.625" style="165" customWidth="1"/>
    <col min="3073" max="3073" width="14.375" style="165" customWidth="1"/>
    <col min="3074" max="3324" width="9.125" style="165"/>
    <col min="3325" max="3325" width="76.375" style="165" customWidth="1"/>
    <col min="3326" max="3326" width="7.625" style="165" customWidth="1"/>
    <col min="3327" max="3327" width="9.625" style="165" customWidth="1"/>
    <col min="3328" max="3328" width="7.625" style="165" customWidth="1"/>
    <col min="3329" max="3329" width="14.375" style="165" customWidth="1"/>
    <col min="3330" max="3580" width="9.125" style="165"/>
    <col min="3581" max="3581" width="76.375" style="165" customWidth="1"/>
    <col min="3582" max="3582" width="7.625" style="165" customWidth="1"/>
    <col min="3583" max="3583" width="9.625" style="165" customWidth="1"/>
    <col min="3584" max="3584" width="7.625" style="165" customWidth="1"/>
    <col min="3585" max="3585" width="14.375" style="165" customWidth="1"/>
    <col min="3586" max="3836" width="9.125" style="165"/>
    <col min="3837" max="3837" width="76.375" style="165" customWidth="1"/>
    <col min="3838" max="3838" width="7.625" style="165" customWidth="1"/>
    <col min="3839" max="3839" width="9.625" style="165" customWidth="1"/>
    <col min="3840" max="3840" width="7.625" style="165" customWidth="1"/>
    <col min="3841" max="3841" width="14.375" style="165" customWidth="1"/>
    <col min="3842" max="4092" width="9.125" style="165"/>
    <col min="4093" max="4093" width="76.375" style="165" customWidth="1"/>
    <col min="4094" max="4094" width="7.625" style="165" customWidth="1"/>
    <col min="4095" max="4095" width="9.625" style="165" customWidth="1"/>
    <col min="4096" max="4096" width="7.625" style="165" customWidth="1"/>
    <col min="4097" max="4097" width="14.375" style="165" customWidth="1"/>
    <col min="4098" max="4348" width="9.125" style="165"/>
    <col min="4349" max="4349" width="76.375" style="165" customWidth="1"/>
    <col min="4350" max="4350" width="7.625" style="165" customWidth="1"/>
    <col min="4351" max="4351" width="9.625" style="165" customWidth="1"/>
    <col min="4352" max="4352" width="7.625" style="165" customWidth="1"/>
    <col min="4353" max="4353" width="14.375" style="165" customWidth="1"/>
    <col min="4354" max="4604" width="9.125" style="165"/>
    <col min="4605" max="4605" width="76.375" style="165" customWidth="1"/>
    <col min="4606" max="4606" width="7.625" style="165" customWidth="1"/>
    <col min="4607" max="4607" width="9.625" style="165" customWidth="1"/>
    <col min="4608" max="4608" width="7.625" style="165" customWidth="1"/>
    <col min="4609" max="4609" width="14.375" style="165" customWidth="1"/>
    <col min="4610" max="4860" width="9.125" style="165"/>
    <col min="4861" max="4861" width="76.375" style="165" customWidth="1"/>
    <col min="4862" max="4862" width="7.625" style="165" customWidth="1"/>
    <col min="4863" max="4863" width="9.625" style="165" customWidth="1"/>
    <col min="4864" max="4864" width="7.625" style="165" customWidth="1"/>
    <col min="4865" max="4865" width="14.375" style="165" customWidth="1"/>
    <col min="4866" max="5116" width="9.125" style="165"/>
    <col min="5117" max="5117" width="76.375" style="165" customWidth="1"/>
    <col min="5118" max="5118" width="7.625" style="165" customWidth="1"/>
    <col min="5119" max="5119" width="9.625" style="165" customWidth="1"/>
    <col min="5120" max="5120" width="7.625" style="165" customWidth="1"/>
    <col min="5121" max="5121" width="14.375" style="165" customWidth="1"/>
    <col min="5122" max="5372" width="9.125" style="165"/>
    <col min="5373" max="5373" width="76.375" style="165" customWidth="1"/>
    <col min="5374" max="5374" width="7.625" style="165" customWidth="1"/>
    <col min="5375" max="5375" width="9.625" style="165" customWidth="1"/>
    <col min="5376" max="5376" width="7.625" style="165" customWidth="1"/>
    <col min="5377" max="5377" width="14.375" style="165" customWidth="1"/>
    <col min="5378" max="5628" width="9.125" style="165"/>
    <col min="5629" max="5629" width="76.375" style="165" customWidth="1"/>
    <col min="5630" max="5630" width="7.625" style="165" customWidth="1"/>
    <col min="5631" max="5631" width="9.625" style="165" customWidth="1"/>
    <col min="5632" max="5632" width="7.625" style="165" customWidth="1"/>
    <col min="5633" max="5633" width="14.375" style="165" customWidth="1"/>
    <col min="5634" max="5884" width="9.125" style="165"/>
    <col min="5885" max="5885" width="76.375" style="165" customWidth="1"/>
    <col min="5886" max="5886" width="7.625" style="165" customWidth="1"/>
    <col min="5887" max="5887" width="9.625" style="165" customWidth="1"/>
    <col min="5888" max="5888" width="7.625" style="165" customWidth="1"/>
    <col min="5889" max="5889" width="14.375" style="165" customWidth="1"/>
    <col min="5890" max="6140" width="9.125" style="165"/>
    <col min="6141" max="6141" width="76.375" style="165" customWidth="1"/>
    <col min="6142" max="6142" width="7.625" style="165" customWidth="1"/>
    <col min="6143" max="6143" width="9.625" style="165" customWidth="1"/>
    <col min="6144" max="6144" width="7.625" style="165" customWidth="1"/>
    <col min="6145" max="6145" width="14.375" style="165" customWidth="1"/>
    <col min="6146" max="6396" width="9.125" style="165"/>
    <col min="6397" max="6397" width="76.375" style="165" customWidth="1"/>
    <col min="6398" max="6398" width="7.625" style="165" customWidth="1"/>
    <col min="6399" max="6399" width="9.625" style="165" customWidth="1"/>
    <col min="6400" max="6400" width="7.625" style="165" customWidth="1"/>
    <col min="6401" max="6401" width="14.375" style="165" customWidth="1"/>
    <col min="6402" max="6652" width="9.125" style="165"/>
    <col min="6653" max="6653" width="76.375" style="165" customWidth="1"/>
    <col min="6654" max="6654" width="7.625" style="165" customWidth="1"/>
    <col min="6655" max="6655" width="9.625" style="165" customWidth="1"/>
    <col min="6656" max="6656" width="7.625" style="165" customWidth="1"/>
    <col min="6657" max="6657" width="14.375" style="165" customWidth="1"/>
    <col min="6658" max="6908" width="9.125" style="165"/>
    <col min="6909" max="6909" width="76.375" style="165" customWidth="1"/>
    <col min="6910" max="6910" width="7.625" style="165" customWidth="1"/>
    <col min="6911" max="6911" width="9.625" style="165" customWidth="1"/>
    <col min="6912" max="6912" width="7.625" style="165" customWidth="1"/>
    <col min="6913" max="6913" width="14.375" style="165" customWidth="1"/>
    <col min="6914" max="7164" width="9.125" style="165"/>
    <col min="7165" max="7165" width="76.375" style="165" customWidth="1"/>
    <col min="7166" max="7166" width="7.625" style="165" customWidth="1"/>
    <col min="7167" max="7167" width="9.625" style="165" customWidth="1"/>
    <col min="7168" max="7168" width="7.625" style="165" customWidth="1"/>
    <col min="7169" max="7169" width="14.375" style="165" customWidth="1"/>
    <col min="7170" max="7420" width="9.125" style="165"/>
    <col min="7421" max="7421" width="76.375" style="165" customWidth="1"/>
    <col min="7422" max="7422" width="7.625" style="165" customWidth="1"/>
    <col min="7423" max="7423" width="9.625" style="165" customWidth="1"/>
    <col min="7424" max="7424" width="7.625" style="165" customWidth="1"/>
    <col min="7425" max="7425" width="14.375" style="165" customWidth="1"/>
    <col min="7426" max="7676" width="9.125" style="165"/>
    <col min="7677" max="7677" width="76.375" style="165" customWidth="1"/>
    <col min="7678" max="7678" width="7.625" style="165" customWidth="1"/>
    <col min="7679" max="7679" width="9.625" style="165" customWidth="1"/>
    <col min="7680" max="7680" width="7.625" style="165" customWidth="1"/>
    <col min="7681" max="7681" width="14.375" style="165" customWidth="1"/>
    <col min="7682" max="7932" width="9.125" style="165"/>
    <col min="7933" max="7933" width="76.375" style="165" customWidth="1"/>
    <col min="7934" max="7934" width="7.625" style="165" customWidth="1"/>
    <col min="7935" max="7935" width="9.625" style="165" customWidth="1"/>
    <col min="7936" max="7936" width="7.625" style="165" customWidth="1"/>
    <col min="7937" max="7937" width="14.375" style="165" customWidth="1"/>
    <col min="7938" max="8188" width="9.125" style="165"/>
    <col min="8189" max="8189" width="76.375" style="165" customWidth="1"/>
    <col min="8190" max="8190" width="7.625" style="165" customWidth="1"/>
    <col min="8191" max="8191" width="9.625" style="165" customWidth="1"/>
    <col min="8192" max="8192" width="7.625" style="165" customWidth="1"/>
    <col min="8193" max="8193" width="14.375" style="165" customWidth="1"/>
    <col min="8194" max="8444" width="9.125" style="165"/>
    <col min="8445" max="8445" width="76.375" style="165" customWidth="1"/>
    <col min="8446" max="8446" width="7.625" style="165" customWidth="1"/>
    <col min="8447" max="8447" width="9.625" style="165" customWidth="1"/>
    <col min="8448" max="8448" width="7.625" style="165" customWidth="1"/>
    <col min="8449" max="8449" width="14.375" style="165" customWidth="1"/>
    <col min="8450" max="8700" width="9.125" style="165"/>
    <col min="8701" max="8701" width="76.375" style="165" customWidth="1"/>
    <col min="8702" max="8702" width="7.625" style="165" customWidth="1"/>
    <col min="8703" max="8703" width="9.625" style="165" customWidth="1"/>
    <col min="8704" max="8704" width="7.625" style="165" customWidth="1"/>
    <col min="8705" max="8705" width="14.375" style="165" customWidth="1"/>
    <col min="8706" max="8956" width="9.125" style="165"/>
    <col min="8957" max="8957" width="76.375" style="165" customWidth="1"/>
    <col min="8958" max="8958" width="7.625" style="165" customWidth="1"/>
    <col min="8959" max="8959" width="9.625" style="165" customWidth="1"/>
    <col min="8960" max="8960" width="7.625" style="165" customWidth="1"/>
    <col min="8961" max="8961" width="14.375" style="165" customWidth="1"/>
    <col min="8962" max="9212" width="9.125" style="165"/>
    <col min="9213" max="9213" width="76.375" style="165" customWidth="1"/>
    <col min="9214" max="9214" width="7.625" style="165" customWidth="1"/>
    <col min="9215" max="9215" width="9.625" style="165" customWidth="1"/>
    <col min="9216" max="9216" width="7.625" style="165" customWidth="1"/>
    <col min="9217" max="9217" width="14.375" style="165" customWidth="1"/>
    <col min="9218" max="9468" width="9.125" style="165"/>
    <col min="9469" max="9469" width="76.375" style="165" customWidth="1"/>
    <col min="9470" max="9470" width="7.625" style="165" customWidth="1"/>
    <col min="9471" max="9471" width="9.625" style="165" customWidth="1"/>
    <col min="9472" max="9472" width="7.625" style="165" customWidth="1"/>
    <col min="9473" max="9473" width="14.375" style="165" customWidth="1"/>
    <col min="9474" max="9724" width="9.125" style="165"/>
    <col min="9725" max="9725" width="76.375" style="165" customWidth="1"/>
    <col min="9726" max="9726" width="7.625" style="165" customWidth="1"/>
    <col min="9727" max="9727" width="9.625" style="165" customWidth="1"/>
    <col min="9728" max="9728" width="7.625" style="165" customWidth="1"/>
    <col min="9729" max="9729" width="14.375" style="165" customWidth="1"/>
    <col min="9730" max="9980" width="9.125" style="165"/>
    <col min="9981" max="9981" width="76.375" style="165" customWidth="1"/>
    <col min="9982" max="9982" width="7.625" style="165" customWidth="1"/>
    <col min="9983" max="9983" width="9.625" style="165" customWidth="1"/>
    <col min="9984" max="9984" width="7.625" style="165" customWidth="1"/>
    <col min="9985" max="9985" width="14.375" style="165" customWidth="1"/>
    <col min="9986" max="10236" width="9.125" style="165"/>
    <col min="10237" max="10237" width="76.375" style="165" customWidth="1"/>
    <col min="10238" max="10238" width="7.625" style="165" customWidth="1"/>
    <col min="10239" max="10239" width="9.625" style="165" customWidth="1"/>
    <col min="10240" max="10240" width="7.625" style="165" customWidth="1"/>
    <col min="10241" max="10241" width="14.375" style="165" customWidth="1"/>
    <col min="10242" max="10492" width="9.125" style="165"/>
    <col min="10493" max="10493" width="76.375" style="165" customWidth="1"/>
    <col min="10494" max="10494" width="7.625" style="165" customWidth="1"/>
    <col min="10495" max="10495" width="9.625" style="165" customWidth="1"/>
    <col min="10496" max="10496" width="7.625" style="165" customWidth="1"/>
    <col min="10497" max="10497" width="14.375" style="165" customWidth="1"/>
    <col min="10498" max="10748" width="9.125" style="165"/>
    <col min="10749" max="10749" width="76.375" style="165" customWidth="1"/>
    <col min="10750" max="10750" width="7.625" style="165" customWidth="1"/>
    <col min="10751" max="10751" width="9.625" style="165" customWidth="1"/>
    <col min="10752" max="10752" width="7.625" style="165" customWidth="1"/>
    <col min="10753" max="10753" width="14.375" style="165" customWidth="1"/>
    <col min="10754" max="11004" width="9.125" style="165"/>
    <col min="11005" max="11005" width="76.375" style="165" customWidth="1"/>
    <col min="11006" max="11006" width="7.625" style="165" customWidth="1"/>
    <col min="11007" max="11007" width="9.625" style="165" customWidth="1"/>
    <col min="11008" max="11008" width="7.625" style="165" customWidth="1"/>
    <col min="11009" max="11009" width="14.375" style="165" customWidth="1"/>
    <col min="11010" max="11260" width="9.125" style="165"/>
    <col min="11261" max="11261" width="76.375" style="165" customWidth="1"/>
    <col min="11262" max="11262" width="7.625" style="165" customWidth="1"/>
    <col min="11263" max="11263" width="9.625" style="165" customWidth="1"/>
    <col min="11264" max="11264" width="7.625" style="165" customWidth="1"/>
    <col min="11265" max="11265" width="14.375" style="165" customWidth="1"/>
    <col min="11266" max="11516" width="9.125" style="165"/>
    <col min="11517" max="11517" width="76.375" style="165" customWidth="1"/>
    <col min="11518" max="11518" width="7.625" style="165" customWidth="1"/>
    <col min="11519" max="11519" width="9.625" style="165" customWidth="1"/>
    <col min="11520" max="11520" width="7.625" style="165" customWidth="1"/>
    <col min="11521" max="11521" width="14.375" style="165" customWidth="1"/>
    <col min="11522" max="11772" width="9.125" style="165"/>
    <col min="11773" max="11773" width="76.375" style="165" customWidth="1"/>
    <col min="11774" max="11774" width="7.625" style="165" customWidth="1"/>
    <col min="11775" max="11775" width="9.625" style="165" customWidth="1"/>
    <col min="11776" max="11776" width="7.625" style="165" customWidth="1"/>
    <col min="11777" max="11777" width="14.375" style="165" customWidth="1"/>
    <col min="11778" max="12028" width="9.125" style="165"/>
    <col min="12029" max="12029" width="76.375" style="165" customWidth="1"/>
    <col min="12030" max="12030" width="7.625" style="165" customWidth="1"/>
    <col min="12031" max="12031" width="9.625" style="165" customWidth="1"/>
    <col min="12032" max="12032" width="7.625" style="165" customWidth="1"/>
    <col min="12033" max="12033" width="14.375" style="165" customWidth="1"/>
    <col min="12034" max="12284" width="9.125" style="165"/>
    <col min="12285" max="12285" width="76.375" style="165" customWidth="1"/>
    <col min="12286" max="12286" width="7.625" style="165" customWidth="1"/>
    <col min="12287" max="12287" width="9.625" style="165" customWidth="1"/>
    <col min="12288" max="12288" width="7.625" style="165" customWidth="1"/>
    <col min="12289" max="12289" width="14.375" style="165" customWidth="1"/>
    <col min="12290" max="12540" width="9.125" style="165"/>
    <col min="12541" max="12541" width="76.375" style="165" customWidth="1"/>
    <col min="12542" max="12542" width="7.625" style="165" customWidth="1"/>
    <col min="12543" max="12543" width="9.625" style="165" customWidth="1"/>
    <col min="12544" max="12544" width="7.625" style="165" customWidth="1"/>
    <col min="12545" max="12545" width="14.375" style="165" customWidth="1"/>
    <col min="12546" max="12796" width="9.125" style="165"/>
    <col min="12797" max="12797" width="76.375" style="165" customWidth="1"/>
    <col min="12798" max="12798" width="7.625" style="165" customWidth="1"/>
    <col min="12799" max="12799" width="9.625" style="165" customWidth="1"/>
    <col min="12800" max="12800" width="7.625" style="165" customWidth="1"/>
    <col min="12801" max="12801" width="14.375" style="165" customWidth="1"/>
    <col min="12802" max="13052" width="9.125" style="165"/>
    <col min="13053" max="13053" width="76.375" style="165" customWidth="1"/>
    <col min="13054" max="13054" width="7.625" style="165" customWidth="1"/>
    <col min="13055" max="13055" width="9.625" style="165" customWidth="1"/>
    <col min="13056" max="13056" width="7.625" style="165" customWidth="1"/>
    <col min="13057" max="13057" width="14.375" style="165" customWidth="1"/>
    <col min="13058" max="13308" width="9.125" style="165"/>
    <col min="13309" max="13309" width="76.375" style="165" customWidth="1"/>
    <col min="13310" max="13310" width="7.625" style="165" customWidth="1"/>
    <col min="13311" max="13311" width="9.625" style="165" customWidth="1"/>
    <col min="13312" max="13312" width="7.625" style="165" customWidth="1"/>
    <col min="13313" max="13313" width="14.375" style="165" customWidth="1"/>
    <col min="13314" max="13564" width="9.125" style="165"/>
    <col min="13565" max="13565" width="76.375" style="165" customWidth="1"/>
    <col min="13566" max="13566" width="7.625" style="165" customWidth="1"/>
    <col min="13567" max="13567" width="9.625" style="165" customWidth="1"/>
    <col min="13568" max="13568" width="7.625" style="165" customWidth="1"/>
    <col min="13569" max="13569" width="14.375" style="165" customWidth="1"/>
    <col min="13570" max="13820" width="9.125" style="165"/>
    <col min="13821" max="13821" width="76.375" style="165" customWidth="1"/>
    <col min="13822" max="13822" width="7.625" style="165" customWidth="1"/>
    <col min="13823" max="13823" width="9.625" style="165" customWidth="1"/>
    <col min="13824" max="13824" width="7.625" style="165" customWidth="1"/>
    <col min="13825" max="13825" width="14.375" style="165" customWidth="1"/>
    <col min="13826" max="14076" width="9.125" style="165"/>
    <col min="14077" max="14077" width="76.375" style="165" customWidth="1"/>
    <col min="14078" max="14078" width="7.625" style="165" customWidth="1"/>
    <col min="14079" max="14079" width="9.625" style="165" customWidth="1"/>
    <col min="14080" max="14080" width="7.625" style="165" customWidth="1"/>
    <col min="14081" max="14081" width="14.375" style="165" customWidth="1"/>
    <col min="14082" max="14332" width="9.125" style="165"/>
    <col min="14333" max="14333" width="76.375" style="165" customWidth="1"/>
    <col min="14334" max="14334" width="7.625" style="165" customWidth="1"/>
    <col min="14335" max="14335" width="9.625" style="165" customWidth="1"/>
    <col min="14336" max="14336" width="7.625" style="165" customWidth="1"/>
    <col min="14337" max="14337" width="14.375" style="165" customWidth="1"/>
    <col min="14338" max="14588" width="9.125" style="165"/>
    <col min="14589" max="14589" width="76.375" style="165" customWidth="1"/>
    <col min="14590" max="14590" width="7.625" style="165" customWidth="1"/>
    <col min="14591" max="14591" width="9.625" style="165" customWidth="1"/>
    <col min="14592" max="14592" width="7.625" style="165" customWidth="1"/>
    <col min="14593" max="14593" width="14.375" style="165" customWidth="1"/>
    <col min="14594" max="14844" width="9.125" style="165"/>
    <col min="14845" max="14845" width="76.375" style="165" customWidth="1"/>
    <col min="14846" max="14846" width="7.625" style="165" customWidth="1"/>
    <col min="14847" max="14847" width="9.625" style="165" customWidth="1"/>
    <col min="14848" max="14848" width="7.625" style="165" customWidth="1"/>
    <col min="14849" max="14849" width="14.375" style="165" customWidth="1"/>
    <col min="14850" max="15100" width="9.125" style="165"/>
    <col min="15101" max="15101" width="76.375" style="165" customWidth="1"/>
    <col min="15102" max="15102" width="7.625" style="165" customWidth="1"/>
    <col min="15103" max="15103" width="9.625" style="165" customWidth="1"/>
    <col min="15104" max="15104" width="7.625" style="165" customWidth="1"/>
    <col min="15105" max="15105" width="14.375" style="165" customWidth="1"/>
    <col min="15106" max="15356" width="9.125" style="165"/>
    <col min="15357" max="15357" width="76.375" style="165" customWidth="1"/>
    <col min="15358" max="15358" width="7.625" style="165" customWidth="1"/>
    <col min="15359" max="15359" width="9.625" style="165" customWidth="1"/>
    <col min="15360" max="15360" width="7.625" style="165" customWidth="1"/>
    <col min="15361" max="15361" width="14.375" style="165" customWidth="1"/>
    <col min="15362" max="15612" width="9.125" style="165"/>
    <col min="15613" max="15613" width="76.375" style="165" customWidth="1"/>
    <col min="15614" max="15614" width="7.625" style="165" customWidth="1"/>
    <col min="15615" max="15615" width="9.625" style="165" customWidth="1"/>
    <col min="15616" max="15616" width="7.625" style="165" customWidth="1"/>
    <col min="15617" max="15617" width="14.375" style="165" customWidth="1"/>
    <col min="15618" max="15868" width="9.125" style="165"/>
    <col min="15869" max="15869" width="76.375" style="165" customWidth="1"/>
    <col min="15870" max="15870" width="7.625" style="165" customWidth="1"/>
    <col min="15871" max="15871" width="9.625" style="165" customWidth="1"/>
    <col min="15872" max="15872" width="7.625" style="165" customWidth="1"/>
    <col min="15873" max="15873" width="14.375" style="165" customWidth="1"/>
    <col min="15874" max="16124" width="9.125" style="165"/>
    <col min="16125" max="16125" width="76.375" style="165" customWidth="1"/>
    <col min="16126" max="16126" width="7.625" style="165" customWidth="1"/>
    <col min="16127" max="16127" width="9.625" style="165" customWidth="1"/>
    <col min="16128" max="16128" width="7.625" style="165" customWidth="1"/>
    <col min="16129" max="16129" width="14.375" style="165" customWidth="1"/>
    <col min="16130" max="16384" width="9.125" style="165"/>
  </cols>
  <sheetData>
    <row r="1" spans="1:7" x14ac:dyDescent="0.3">
      <c r="E1" s="638" t="s">
        <v>255</v>
      </c>
    </row>
    <row r="2" spans="1:7" x14ac:dyDescent="0.3">
      <c r="E2" s="638" t="s">
        <v>1058</v>
      </c>
    </row>
    <row r="3" spans="1:7" x14ac:dyDescent="0.3">
      <c r="E3" s="638" t="s">
        <v>653</v>
      </c>
    </row>
    <row r="4" spans="1:7" x14ac:dyDescent="0.3">
      <c r="E4" s="638" t="s">
        <v>1059</v>
      </c>
    </row>
    <row r="5" spans="1:7" ht="19.05" x14ac:dyDescent="0.35">
      <c r="A5" s="685" t="s">
        <v>196</v>
      </c>
      <c r="B5" s="686"/>
      <c r="C5" s="686"/>
      <c r="D5" s="686"/>
      <c r="E5" s="686"/>
    </row>
    <row r="6" spans="1:7" x14ac:dyDescent="0.3">
      <c r="A6" s="677" t="s">
        <v>1060</v>
      </c>
      <c r="B6" s="687"/>
      <c r="C6" s="687"/>
      <c r="D6" s="687"/>
      <c r="E6" s="687"/>
    </row>
    <row r="7" spans="1:7" x14ac:dyDescent="0.3">
      <c r="A7" s="677" t="s">
        <v>699</v>
      </c>
      <c r="B7" s="677"/>
      <c r="C7" s="677"/>
      <c r="D7" s="677"/>
      <c r="E7" s="677"/>
    </row>
    <row r="8" spans="1:7" x14ac:dyDescent="0.3">
      <c r="A8" s="677" t="s">
        <v>258</v>
      </c>
      <c r="B8" s="677"/>
      <c r="C8" s="677"/>
      <c r="D8" s="677"/>
      <c r="E8" s="677"/>
    </row>
    <row r="9" spans="1:7" x14ac:dyDescent="0.3">
      <c r="A9" s="677" t="s">
        <v>259</v>
      </c>
      <c r="B9" s="677"/>
      <c r="C9" s="677"/>
      <c r="D9" s="677"/>
      <c r="E9" s="677"/>
    </row>
    <row r="10" spans="1:7" x14ac:dyDescent="0.3">
      <c r="A10" s="279"/>
      <c r="B10" s="190"/>
      <c r="C10" s="190"/>
      <c r="D10" s="190"/>
      <c r="E10" s="191" t="s">
        <v>408</v>
      </c>
    </row>
    <row r="11" spans="1:7" x14ac:dyDescent="0.25">
      <c r="A11" s="168" t="s">
        <v>0</v>
      </c>
      <c r="B11" s="168" t="s">
        <v>2</v>
      </c>
      <c r="C11" s="168" t="s">
        <v>3</v>
      </c>
      <c r="D11" s="168" t="s">
        <v>4</v>
      </c>
      <c r="E11" s="168" t="s">
        <v>197</v>
      </c>
    </row>
    <row r="12" spans="1:7" s="170" customFormat="1" x14ac:dyDescent="0.25">
      <c r="A12" s="81" t="s">
        <v>7</v>
      </c>
      <c r="B12" s="105" t="s">
        <v>8</v>
      </c>
      <c r="C12" s="105" t="s">
        <v>126</v>
      </c>
      <c r="D12" s="105" t="s">
        <v>6</v>
      </c>
      <c r="E12" s="128">
        <f>E13+E18+E40+E33+E46+E66+E61</f>
        <v>130526070.3</v>
      </c>
      <c r="G12" s="169">
        <f>E12/'прил 11 '!F715*100</f>
        <v>13.370913610165678</v>
      </c>
    </row>
    <row r="13" spans="1:7" ht="36.700000000000003" outlineLevel="1" x14ac:dyDescent="0.25">
      <c r="A13" s="81" t="s">
        <v>28</v>
      </c>
      <c r="B13" s="80" t="s">
        <v>29</v>
      </c>
      <c r="C13" s="80" t="s">
        <v>126</v>
      </c>
      <c r="D13" s="80" t="s">
        <v>6</v>
      </c>
      <c r="E13" s="82">
        <f>E14</f>
        <v>3046120</v>
      </c>
    </row>
    <row r="14" spans="1:7" outlineLevel="2" x14ac:dyDescent="0.25">
      <c r="A14" s="81" t="s">
        <v>198</v>
      </c>
      <c r="B14" s="80" t="s">
        <v>29</v>
      </c>
      <c r="C14" s="80" t="s">
        <v>127</v>
      </c>
      <c r="D14" s="80" t="s">
        <v>6</v>
      </c>
      <c r="E14" s="82">
        <f>E15</f>
        <v>3046120</v>
      </c>
    </row>
    <row r="15" spans="1:7" outlineLevel="4" x14ac:dyDescent="0.25">
      <c r="A15" s="81" t="s">
        <v>496</v>
      </c>
      <c r="B15" s="80" t="s">
        <v>29</v>
      </c>
      <c r="C15" s="80" t="s">
        <v>497</v>
      </c>
      <c r="D15" s="80" t="s">
        <v>6</v>
      </c>
      <c r="E15" s="82">
        <f>E16</f>
        <v>3046120</v>
      </c>
    </row>
    <row r="16" spans="1:7" ht="56.25" customHeight="1" outlineLevel="5" x14ac:dyDescent="0.25">
      <c r="A16" s="81" t="s">
        <v>11</v>
      </c>
      <c r="B16" s="80" t="s">
        <v>29</v>
      </c>
      <c r="C16" s="80" t="s">
        <v>497</v>
      </c>
      <c r="D16" s="80" t="s">
        <v>12</v>
      </c>
      <c r="E16" s="82">
        <f>E17</f>
        <v>3046120</v>
      </c>
    </row>
    <row r="17" spans="1:5" ht="18" customHeight="1" outlineLevel="6" x14ac:dyDescent="0.25">
      <c r="A17" s="81" t="s">
        <v>13</v>
      </c>
      <c r="B17" s="80" t="s">
        <v>29</v>
      </c>
      <c r="C17" s="80" t="s">
        <v>497</v>
      </c>
      <c r="D17" s="80" t="s">
        <v>14</v>
      </c>
      <c r="E17" s="82">
        <f>'прил 11 '!F38</f>
        <v>3046120</v>
      </c>
    </row>
    <row r="18" spans="1:5" ht="38.25" customHeight="1" outlineLevel="1" x14ac:dyDescent="0.25">
      <c r="A18" s="81" t="s">
        <v>108</v>
      </c>
      <c r="B18" s="80" t="s">
        <v>109</v>
      </c>
      <c r="C18" s="80" t="s">
        <v>126</v>
      </c>
      <c r="D18" s="80" t="s">
        <v>6</v>
      </c>
      <c r="E18" s="82">
        <f>E19</f>
        <v>5529388.2999999998</v>
      </c>
    </row>
    <row r="19" spans="1:5" outlineLevel="3" x14ac:dyDescent="0.25">
      <c r="A19" s="81" t="s">
        <v>198</v>
      </c>
      <c r="B19" s="80" t="s">
        <v>109</v>
      </c>
      <c r="C19" s="80" t="s">
        <v>127</v>
      </c>
      <c r="D19" s="80" t="s">
        <v>6</v>
      </c>
      <c r="E19" s="82">
        <f>E20+E23+E30</f>
        <v>5529388.2999999998</v>
      </c>
    </row>
    <row r="20" spans="1:5" ht="23.3" customHeight="1" outlineLevel="4" x14ac:dyDescent="0.25">
      <c r="A20" s="81" t="s">
        <v>528</v>
      </c>
      <c r="B20" s="80" t="s">
        <v>109</v>
      </c>
      <c r="C20" s="80" t="s">
        <v>529</v>
      </c>
      <c r="D20" s="80" t="s">
        <v>6</v>
      </c>
      <c r="E20" s="82">
        <f>E21</f>
        <v>2537974.2999999998</v>
      </c>
    </row>
    <row r="21" spans="1:5" ht="57.25" customHeight="1" outlineLevel="5" x14ac:dyDescent="0.25">
      <c r="A21" s="81" t="s">
        <v>11</v>
      </c>
      <c r="B21" s="80" t="s">
        <v>109</v>
      </c>
      <c r="C21" s="80" t="s">
        <v>529</v>
      </c>
      <c r="D21" s="80" t="s">
        <v>12</v>
      </c>
      <c r="E21" s="82">
        <f>E22</f>
        <v>2537974.2999999998</v>
      </c>
    </row>
    <row r="22" spans="1:5" ht="16.5" customHeight="1" outlineLevel="6" x14ac:dyDescent="0.25">
      <c r="A22" s="81" t="s">
        <v>13</v>
      </c>
      <c r="B22" s="80" t="s">
        <v>109</v>
      </c>
      <c r="C22" s="80" t="s">
        <v>529</v>
      </c>
      <c r="D22" s="80" t="s">
        <v>14</v>
      </c>
      <c r="E22" s="82">
        <f>'прил 11 '!F487</f>
        <v>2537974.2999999998</v>
      </c>
    </row>
    <row r="23" spans="1:5" ht="38.25" customHeight="1" outlineLevel="4" x14ac:dyDescent="0.25">
      <c r="A23" s="81" t="s">
        <v>494</v>
      </c>
      <c r="B23" s="80" t="s">
        <v>109</v>
      </c>
      <c r="C23" s="80" t="s">
        <v>495</v>
      </c>
      <c r="D23" s="80" t="s">
        <v>6</v>
      </c>
      <c r="E23" s="82">
        <f>E24+E26+E28</f>
        <v>2811414</v>
      </c>
    </row>
    <row r="24" spans="1:5" ht="73.400000000000006" outlineLevel="5" x14ac:dyDescent="0.25">
      <c r="A24" s="81" t="s">
        <v>11</v>
      </c>
      <c r="B24" s="80" t="s">
        <v>109</v>
      </c>
      <c r="C24" s="80" t="s">
        <v>495</v>
      </c>
      <c r="D24" s="80" t="s">
        <v>12</v>
      </c>
      <c r="E24" s="82">
        <f>E25</f>
        <v>2560414</v>
      </c>
    </row>
    <row r="25" spans="1:5" ht="16.5" customHeight="1" outlineLevel="6" x14ac:dyDescent="0.25">
      <c r="A25" s="81" t="s">
        <v>13</v>
      </c>
      <c r="B25" s="80" t="s">
        <v>109</v>
      </c>
      <c r="C25" s="80" t="s">
        <v>495</v>
      </c>
      <c r="D25" s="80" t="s">
        <v>14</v>
      </c>
      <c r="E25" s="82">
        <f>'прил 11 '!F490</f>
        <v>2560414</v>
      </c>
    </row>
    <row r="26" spans="1:5" ht="16.5" customHeight="1" outlineLevel="5" x14ac:dyDescent="0.25">
      <c r="A26" s="81" t="s">
        <v>15</v>
      </c>
      <c r="B26" s="80" t="s">
        <v>109</v>
      </c>
      <c r="C26" s="80" t="s">
        <v>495</v>
      </c>
      <c r="D26" s="80" t="s">
        <v>16</v>
      </c>
      <c r="E26" s="82">
        <f>E27</f>
        <v>246000</v>
      </c>
    </row>
    <row r="27" spans="1:5" ht="21.25" customHeight="1" outlineLevel="6" x14ac:dyDescent="0.25">
      <c r="A27" s="81" t="s">
        <v>17</v>
      </c>
      <c r="B27" s="80" t="s">
        <v>109</v>
      </c>
      <c r="C27" s="80" t="s">
        <v>495</v>
      </c>
      <c r="D27" s="80" t="s">
        <v>18</v>
      </c>
      <c r="E27" s="82">
        <f>'прил 11 '!F492</f>
        <v>246000</v>
      </c>
    </row>
    <row r="28" spans="1:5" outlineLevel="5" x14ac:dyDescent="0.25">
      <c r="A28" s="81" t="s">
        <v>19</v>
      </c>
      <c r="B28" s="80" t="s">
        <v>109</v>
      </c>
      <c r="C28" s="80" t="s">
        <v>495</v>
      </c>
      <c r="D28" s="80" t="s">
        <v>20</v>
      </c>
      <c r="E28" s="82">
        <f>E29</f>
        <v>5000</v>
      </c>
    </row>
    <row r="29" spans="1:5" outlineLevel="6" x14ac:dyDescent="0.25">
      <c r="A29" s="81" t="s">
        <v>21</v>
      </c>
      <c r="B29" s="80" t="s">
        <v>109</v>
      </c>
      <c r="C29" s="80" t="s">
        <v>495</v>
      </c>
      <c r="D29" s="80" t="s">
        <v>22</v>
      </c>
      <c r="E29" s="82">
        <f>'прил 11 '!F494</f>
        <v>5000</v>
      </c>
    </row>
    <row r="30" spans="1:5" outlineLevel="4" x14ac:dyDescent="0.25">
      <c r="A30" s="81" t="s">
        <v>531</v>
      </c>
      <c r="B30" s="80" t="s">
        <v>109</v>
      </c>
      <c r="C30" s="80" t="s">
        <v>530</v>
      </c>
      <c r="D30" s="80" t="s">
        <v>6</v>
      </c>
      <c r="E30" s="82">
        <f>E31</f>
        <v>180000</v>
      </c>
    </row>
    <row r="31" spans="1:5" ht="57.25" customHeight="1" outlineLevel="5" x14ac:dyDescent="0.25">
      <c r="A31" s="81" t="s">
        <v>11</v>
      </c>
      <c r="B31" s="80" t="s">
        <v>109</v>
      </c>
      <c r="C31" s="80" t="s">
        <v>530</v>
      </c>
      <c r="D31" s="80" t="s">
        <v>12</v>
      </c>
      <c r="E31" s="82">
        <f>E32</f>
        <v>180000</v>
      </c>
    </row>
    <row r="32" spans="1:5" ht="18" customHeight="1" outlineLevel="6" x14ac:dyDescent="0.25">
      <c r="A32" s="81" t="s">
        <v>13</v>
      </c>
      <c r="B32" s="80" t="s">
        <v>109</v>
      </c>
      <c r="C32" s="80" t="s">
        <v>530</v>
      </c>
      <c r="D32" s="80" t="s">
        <v>14</v>
      </c>
      <c r="E32" s="82">
        <f>'прил 11 '!F497</f>
        <v>180000</v>
      </c>
    </row>
    <row r="33" spans="1:5" ht="39.75" customHeight="1" outlineLevel="1" x14ac:dyDescent="0.25">
      <c r="A33" s="81" t="s">
        <v>30</v>
      </c>
      <c r="B33" s="80" t="s">
        <v>31</v>
      </c>
      <c r="C33" s="80" t="s">
        <v>126</v>
      </c>
      <c r="D33" s="80" t="s">
        <v>6</v>
      </c>
      <c r="E33" s="82">
        <f>E34</f>
        <v>23294985</v>
      </c>
    </row>
    <row r="34" spans="1:5" outlineLevel="3" x14ac:dyDescent="0.25">
      <c r="A34" s="81" t="s">
        <v>198</v>
      </c>
      <c r="B34" s="80" t="s">
        <v>31</v>
      </c>
      <c r="C34" s="80" t="s">
        <v>127</v>
      </c>
      <c r="D34" s="80" t="s">
        <v>6</v>
      </c>
      <c r="E34" s="82">
        <f>E35</f>
        <v>23294985</v>
      </c>
    </row>
    <row r="35" spans="1:5" ht="39.25" customHeight="1" outlineLevel="4" x14ac:dyDescent="0.25">
      <c r="A35" s="81" t="s">
        <v>494</v>
      </c>
      <c r="B35" s="80" t="s">
        <v>31</v>
      </c>
      <c r="C35" s="80" t="s">
        <v>495</v>
      </c>
      <c r="D35" s="80" t="s">
        <v>6</v>
      </c>
      <c r="E35" s="82">
        <f>E36+E38</f>
        <v>23294985</v>
      </c>
    </row>
    <row r="36" spans="1:5" ht="38.25" customHeight="1" outlineLevel="5" x14ac:dyDescent="0.25">
      <c r="A36" s="81" t="s">
        <v>11</v>
      </c>
      <c r="B36" s="80" t="s">
        <v>31</v>
      </c>
      <c r="C36" s="80" t="s">
        <v>495</v>
      </c>
      <c r="D36" s="80" t="s">
        <v>12</v>
      </c>
      <c r="E36" s="82">
        <f>E37</f>
        <v>23192985</v>
      </c>
    </row>
    <row r="37" spans="1:5" ht="17.5" customHeight="1" outlineLevel="6" x14ac:dyDescent="0.25">
      <c r="A37" s="81" t="s">
        <v>13</v>
      </c>
      <c r="B37" s="80" t="s">
        <v>31</v>
      </c>
      <c r="C37" s="80" t="s">
        <v>495</v>
      </c>
      <c r="D37" s="80" t="s">
        <v>14</v>
      </c>
      <c r="E37" s="82">
        <f>'прил 11 '!F43</f>
        <v>23192985</v>
      </c>
    </row>
    <row r="38" spans="1:5" ht="17.5" customHeight="1" outlineLevel="5" x14ac:dyDescent="0.25">
      <c r="A38" s="81" t="s">
        <v>15</v>
      </c>
      <c r="B38" s="80" t="s">
        <v>31</v>
      </c>
      <c r="C38" s="80" t="s">
        <v>495</v>
      </c>
      <c r="D38" s="80" t="s">
        <v>16</v>
      </c>
      <c r="E38" s="82">
        <f>E39</f>
        <v>102000</v>
      </c>
    </row>
    <row r="39" spans="1:5" ht="20.25" customHeight="1" outlineLevel="6" x14ac:dyDescent="0.25">
      <c r="A39" s="81" t="s">
        <v>17</v>
      </c>
      <c r="B39" s="80" t="s">
        <v>31</v>
      </c>
      <c r="C39" s="80" t="s">
        <v>495</v>
      </c>
      <c r="D39" s="80" t="s">
        <v>18</v>
      </c>
      <c r="E39" s="82">
        <f>'прил 11 '!F45</f>
        <v>102000</v>
      </c>
    </row>
    <row r="40" spans="1:5" outlineLevel="6" x14ac:dyDescent="0.25">
      <c r="A40" s="81" t="s">
        <v>260</v>
      </c>
      <c r="B40" s="80" t="s">
        <v>261</v>
      </c>
      <c r="C40" s="80" t="s">
        <v>126</v>
      </c>
      <c r="D40" s="80" t="s">
        <v>6</v>
      </c>
      <c r="E40" s="82">
        <f>E41</f>
        <v>12402</v>
      </c>
    </row>
    <row r="41" spans="1:5" ht="22.75" customHeight="1" outlineLevel="6" x14ac:dyDescent="0.25">
      <c r="A41" s="81" t="s">
        <v>132</v>
      </c>
      <c r="B41" s="80" t="s">
        <v>261</v>
      </c>
      <c r="C41" s="80" t="s">
        <v>127</v>
      </c>
      <c r="D41" s="80" t="s">
        <v>6</v>
      </c>
      <c r="E41" s="82">
        <f>E42</f>
        <v>12402</v>
      </c>
    </row>
    <row r="42" spans="1:5" outlineLevel="6" x14ac:dyDescent="0.25">
      <c r="A42" s="81" t="s">
        <v>277</v>
      </c>
      <c r="B42" s="80" t="s">
        <v>261</v>
      </c>
      <c r="C42" s="80" t="s">
        <v>276</v>
      </c>
      <c r="D42" s="80" t="s">
        <v>6</v>
      </c>
      <c r="E42" s="82">
        <f>E43</f>
        <v>12402</v>
      </c>
    </row>
    <row r="43" spans="1:5" ht="91.7" outlineLevel="6" x14ac:dyDescent="0.25">
      <c r="A43" s="81" t="s">
        <v>410</v>
      </c>
      <c r="B43" s="80" t="s">
        <v>261</v>
      </c>
      <c r="C43" s="80" t="s">
        <v>285</v>
      </c>
      <c r="D43" s="80" t="s">
        <v>6</v>
      </c>
      <c r="E43" s="82">
        <f>E44</f>
        <v>12402</v>
      </c>
    </row>
    <row r="44" spans="1:5" ht="23.3" customHeight="1" outlineLevel="6" x14ac:dyDescent="0.25">
      <c r="A44" s="81" t="s">
        <v>15</v>
      </c>
      <c r="B44" s="80" t="s">
        <v>261</v>
      </c>
      <c r="C44" s="80" t="s">
        <v>285</v>
      </c>
      <c r="D44" s="80" t="s">
        <v>16</v>
      </c>
      <c r="E44" s="82">
        <f>E45</f>
        <v>12402</v>
      </c>
    </row>
    <row r="45" spans="1:5" ht="19.55" customHeight="1" outlineLevel="6" x14ac:dyDescent="0.25">
      <c r="A45" s="81" t="s">
        <v>17</v>
      </c>
      <c r="B45" s="80" t="s">
        <v>261</v>
      </c>
      <c r="C45" s="80" t="s">
        <v>285</v>
      </c>
      <c r="D45" s="80" t="s">
        <v>18</v>
      </c>
      <c r="E45" s="82">
        <f>'прил 11 '!F51</f>
        <v>12402</v>
      </c>
    </row>
    <row r="46" spans="1:5" ht="36" customHeight="1" outlineLevel="1" x14ac:dyDescent="0.25">
      <c r="A46" s="81" t="s">
        <v>9</v>
      </c>
      <c r="B46" s="80" t="s">
        <v>10</v>
      </c>
      <c r="C46" s="80" t="s">
        <v>126</v>
      </c>
      <c r="D46" s="80" t="s">
        <v>6</v>
      </c>
      <c r="E46" s="82">
        <f>E47</f>
        <v>10128946</v>
      </c>
    </row>
    <row r="47" spans="1:5" outlineLevel="3" x14ac:dyDescent="0.25">
      <c r="A47" s="81" t="s">
        <v>198</v>
      </c>
      <c r="B47" s="80" t="s">
        <v>10</v>
      </c>
      <c r="C47" s="80" t="s">
        <v>127</v>
      </c>
      <c r="D47" s="80" t="s">
        <v>6</v>
      </c>
      <c r="E47" s="82">
        <f>E48+E55+E58</f>
        <v>10128946</v>
      </c>
    </row>
    <row r="48" spans="1:5" ht="39.75" customHeight="1" outlineLevel="4" x14ac:dyDescent="0.25">
      <c r="A48" s="81" t="s">
        <v>494</v>
      </c>
      <c r="B48" s="80" t="s">
        <v>10</v>
      </c>
      <c r="C48" s="80" t="s">
        <v>495</v>
      </c>
      <c r="D48" s="80" t="s">
        <v>6</v>
      </c>
      <c r="E48" s="82">
        <f>E49+E51+E53</f>
        <v>7899480</v>
      </c>
    </row>
    <row r="49" spans="1:5" ht="77.3" customHeight="1" outlineLevel="5" x14ac:dyDescent="0.25">
      <c r="A49" s="81" t="s">
        <v>11</v>
      </c>
      <c r="B49" s="80" t="s">
        <v>10</v>
      </c>
      <c r="C49" s="80" t="s">
        <v>495</v>
      </c>
      <c r="D49" s="80" t="s">
        <v>12</v>
      </c>
      <c r="E49" s="82">
        <f>E50</f>
        <v>7523916</v>
      </c>
    </row>
    <row r="50" spans="1:5" ht="18.7" customHeight="1" outlineLevel="6" x14ac:dyDescent="0.25">
      <c r="A50" s="81" t="s">
        <v>13</v>
      </c>
      <c r="B50" s="80" t="s">
        <v>10</v>
      </c>
      <c r="C50" s="80" t="s">
        <v>495</v>
      </c>
      <c r="D50" s="80" t="s">
        <v>14</v>
      </c>
      <c r="E50" s="82">
        <f>'прил 11 '!F16+'прил 11 '!F699</f>
        <v>7523916</v>
      </c>
    </row>
    <row r="51" spans="1:5" ht="18.7" customHeight="1" outlineLevel="5" x14ac:dyDescent="0.25">
      <c r="A51" s="81" t="s">
        <v>15</v>
      </c>
      <c r="B51" s="80" t="s">
        <v>10</v>
      </c>
      <c r="C51" s="80" t="s">
        <v>495</v>
      </c>
      <c r="D51" s="80" t="s">
        <v>16</v>
      </c>
      <c r="E51" s="82">
        <f>E52</f>
        <v>374064</v>
      </c>
    </row>
    <row r="52" spans="1:5" ht="15.8" customHeight="1" outlineLevel="6" x14ac:dyDescent="0.25">
      <c r="A52" s="81" t="s">
        <v>17</v>
      </c>
      <c r="B52" s="80" t="s">
        <v>10</v>
      </c>
      <c r="C52" s="80" t="s">
        <v>495</v>
      </c>
      <c r="D52" s="80" t="s">
        <v>18</v>
      </c>
      <c r="E52" s="82">
        <f>'прил 11 '!F18+'прил 11 '!F701</f>
        <v>374064</v>
      </c>
    </row>
    <row r="53" spans="1:5" outlineLevel="5" x14ac:dyDescent="0.25">
      <c r="A53" s="81" t="s">
        <v>19</v>
      </c>
      <c r="B53" s="80" t="s">
        <v>10</v>
      </c>
      <c r="C53" s="80" t="s">
        <v>495</v>
      </c>
      <c r="D53" s="80" t="s">
        <v>20</v>
      </c>
      <c r="E53" s="82">
        <f>E54</f>
        <v>1500</v>
      </c>
    </row>
    <row r="54" spans="1:5" outlineLevel="6" x14ac:dyDescent="0.25">
      <c r="A54" s="81" t="s">
        <v>21</v>
      </c>
      <c r="B54" s="80" t="s">
        <v>10</v>
      </c>
      <c r="C54" s="80" t="s">
        <v>495</v>
      </c>
      <c r="D54" s="80" t="s">
        <v>22</v>
      </c>
      <c r="E54" s="82">
        <f>'прил 11 '!F20+'прил 11 '!F703</f>
        <v>1500</v>
      </c>
    </row>
    <row r="55" spans="1:5" outlineLevel="4" x14ac:dyDescent="0.25">
      <c r="A55" s="81" t="s">
        <v>199</v>
      </c>
      <c r="B55" s="80" t="s">
        <v>10</v>
      </c>
      <c r="C55" s="80" t="s">
        <v>143</v>
      </c>
      <c r="D55" s="80" t="s">
        <v>6</v>
      </c>
      <c r="E55" s="82">
        <f>E56</f>
        <v>1384096</v>
      </c>
    </row>
    <row r="56" spans="1:5" ht="58.75" customHeight="1" outlineLevel="5" x14ac:dyDescent="0.25">
      <c r="A56" s="81" t="s">
        <v>11</v>
      </c>
      <c r="B56" s="80" t="s">
        <v>10</v>
      </c>
      <c r="C56" s="80" t="s">
        <v>143</v>
      </c>
      <c r="D56" s="80" t="s">
        <v>12</v>
      </c>
      <c r="E56" s="82">
        <f>E57</f>
        <v>1384096</v>
      </c>
    </row>
    <row r="57" spans="1:5" ht="17.5" customHeight="1" outlineLevel="6" x14ac:dyDescent="0.25">
      <c r="A57" s="81" t="s">
        <v>13</v>
      </c>
      <c r="B57" s="80" t="s">
        <v>10</v>
      </c>
      <c r="C57" s="80" t="s">
        <v>143</v>
      </c>
      <c r="D57" s="80" t="s">
        <v>14</v>
      </c>
      <c r="E57" s="82">
        <f>'прил 11 '!F696</f>
        <v>1384096</v>
      </c>
    </row>
    <row r="58" spans="1:5" ht="19.55" customHeight="1" outlineLevel="4" x14ac:dyDescent="0.25">
      <c r="A58" s="81" t="s">
        <v>498</v>
      </c>
      <c r="B58" s="80" t="s">
        <v>10</v>
      </c>
      <c r="C58" s="80" t="s">
        <v>537</v>
      </c>
      <c r="D58" s="80" t="s">
        <v>6</v>
      </c>
      <c r="E58" s="82">
        <f>E59</f>
        <v>845370</v>
      </c>
    </row>
    <row r="59" spans="1:5" ht="59.95" customHeight="1" outlineLevel="5" x14ac:dyDescent="0.25">
      <c r="A59" s="81" t="s">
        <v>11</v>
      </c>
      <c r="B59" s="80" t="s">
        <v>10</v>
      </c>
      <c r="C59" s="80" t="s">
        <v>537</v>
      </c>
      <c r="D59" s="80" t="s">
        <v>12</v>
      </c>
      <c r="E59" s="82">
        <f>E60</f>
        <v>845370</v>
      </c>
    </row>
    <row r="60" spans="1:5" ht="19.55" customHeight="1" outlineLevel="6" x14ac:dyDescent="0.25">
      <c r="A60" s="81" t="s">
        <v>13</v>
      </c>
      <c r="B60" s="80" t="s">
        <v>10</v>
      </c>
      <c r="C60" s="80" t="s">
        <v>537</v>
      </c>
      <c r="D60" s="80" t="s">
        <v>14</v>
      </c>
      <c r="E60" s="82">
        <f>'прил 11 '!F56</f>
        <v>845370</v>
      </c>
    </row>
    <row r="61" spans="1:5" ht="19.55" customHeight="1" outlineLevel="6" x14ac:dyDescent="0.25">
      <c r="A61" s="81" t="s">
        <v>698</v>
      </c>
      <c r="B61" s="80" t="s">
        <v>695</v>
      </c>
      <c r="C61" s="80" t="s">
        <v>126</v>
      </c>
      <c r="D61" s="80" t="s">
        <v>6</v>
      </c>
      <c r="E61" s="82">
        <f>E62</f>
        <v>12000000</v>
      </c>
    </row>
    <row r="62" spans="1:5" ht="19.55" customHeight="1" outlineLevel="6" x14ac:dyDescent="0.25">
      <c r="A62" s="81" t="s">
        <v>132</v>
      </c>
      <c r="B62" s="80" t="s">
        <v>695</v>
      </c>
      <c r="C62" s="80" t="s">
        <v>127</v>
      </c>
      <c r="D62" s="80" t="s">
        <v>6</v>
      </c>
      <c r="E62" s="82">
        <f>E63</f>
        <v>12000000</v>
      </c>
    </row>
    <row r="63" spans="1:5" ht="19.55" customHeight="1" outlineLevel="6" x14ac:dyDescent="0.25">
      <c r="A63" s="81" t="s">
        <v>697</v>
      </c>
      <c r="B63" s="80" t="s">
        <v>695</v>
      </c>
      <c r="C63" s="80" t="s">
        <v>539</v>
      </c>
      <c r="D63" s="80" t="s">
        <v>6</v>
      </c>
      <c r="E63" s="82">
        <f>E64</f>
        <v>12000000</v>
      </c>
    </row>
    <row r="64" spans="1:5" ht="19.55" customHeight="1" outlineLevel="6" x14ac:dyDescent="0.25">
      <c r="A64" s="81" t="s">
        <v>19</v>
      </c>
      <c r="B64" s="80" t="s">
        <v>695</v>
      </c>
      <c r="C64" s="80" t="s">
        <v>539</v>
      </c>
      <c r="D64" s="80" t="s">
        <v>20</v>
      </c>
      <c r="E64" s="82">
        <f>E65</f>
        <v>12000000</v>
      </c>
    </row>
    <row r="65" spans="1:5" ht="19.55" customHeight="1" outlineLevel="6" x14ac:dyDescent="0.25">
      <c r="A65" s="81" t="s">
        <v>696</v>
      </c>
      <c r="B65" s="80" t="s">
        <v>695</v>
      </c>
      <c r="C65" s="80" t="s">
        <v>539</v>
      </c>
      <c r="D65" s="80" t="s">
        <v>694</v>
      </c>
      <c r="E65" s="82">
        <f>'прил 11 '!F61</f>
        <v>12000000</v>
      </c>
    </row>
    <row r="66" spans="1:5" outlineLevel="1" x14ac:dyDescent="0.25">
      <c r="A66" s="81" t="s">
        <v>23</v>
      </c>
      <c r="B66" s="80" t="s">
        <v>24</v>
      </c>
      <c r="C66" s="80" t="s">
        <v>126</v>
      </c>
      <c r="D66" s="80" t="s">
        <v>6</v>
      </c>
      <c r="E66" s="82">
        <f>E67+E92+E97+E105+E117+E112</f>
        <v>76514229</v>
      </c>
    </row>
    <row r="67" spans="1:5" ht="36.700000000000003" outlineLevel="2" x14ac:dyDescent="0.25">
      <c r="A67" s="109" t="s">
        <v>853</v>
      </c>
      <c r="B67" s="110" t="s">
        <v>24</v>
      </c>
      <c r="C67" s="110" t="s">
        <v>128</v>
      </c>
      <c r="D67" s="110" t="s">
        <v>6</v>
      </c>
      <c r="E67" s="82">
        <f>E68+E75+E83</f>
        <v>24816664</v>
      </c>
    </row>
    <row r="68" spans="1:5" ht="36.700000000000003" outlineLevel="3" x14ac:dyDescent="0.25">
      <c r="A68" s="81" t="s">
        <v>835</v>
      </c>
      <c r="B68" s="80" t="s">
        <v>24</v>
      </c>
      <c r="C68" s="80" t="s">
        <v>315</v>
      </c>
      <c r="D68" s="80" t="s">
        <v>6</v>
      </c>
      <c r="E68" s="82">
        <f>E69+E72</f>
        <v>949236</v>
      </c>
    </row>
    <row r="69" spans="1:5" outlineLevel="4" x14ac:dyDescent="0.25">
      <c r="A69" s="81" t="s">
        <v>321</v>
      </c>
      <c r="B69" s="80" t="s">
        <v>24</v>
      </c>
      <c r="C69" s="80" t="s">
        <v>316</v>
      </c>
      <c r="D69" s="80" t="s">
        <v>6</v>
      </c>
      <c r="E69" s="82">
        <f>E70</f>
        <v>849236</v>
      </c>
    </row>
    <row r="70" spans="1:5" ht="19.55" customHeight="1" outlineLevel="5" x14ac:dyDescent="0.25">
      <c r="A70" s="81" t="s">
        <v>15</v>
      </c>
      <c r="B70" s="80" t="s">
        <v>24</v>
      </c>
      <c r="C70" s="80" t="s">
        <v>316</v>
      </c>
      <c r="D70" s="80" t="s">
        <v>16</v>
      </c>
      <c r="E70" s="82">
        <f>E71</f>
        <v>849236</v>
      </c>
    </row>
    <row r="71" spans="1:5" ht="21.25" customHeight="1" outlineLevel="6" x14ac:dyDescent="0.25">
      <c r="A71" s="81" t="s">
        <v>17</v>
      </c>
      <c r="B71" s="80" t="s">
        <v>24</v>
      </c>
      <c r="C71" s="80" t="s">
        <v>316</v>
      </c>
      <c r="D71" s="80" t="s">
        <v>18</v>
      </c>
      <c r="E71" s="82">
        <f>'прил 11 '!F26+'прил 11 '!F67+'прил 11 '!F503+'прил 11 '!F709</f>
        <v>849236</v>
      </c>
    </row>
    <row r="72" spans="1:5" outlineLevel="4" x14ac:dyDescent="0.25">
      <c r="A72" s="81" t="s">
        <v>322</v>
      </c>
      <c r="B72" s="80" t="s">
        <v>24</v>
      </c>
      <c r="C72" s="80" t="s">
        <v>323</v>
      </c>
      <c r="D72" s="80" t="s">
        <v>6</v>
      </c>
      <c r="E72" s="82">
        <f>E73</f>
        <v>100000</v>
      </c>
    </row>
    <row r="73" spans="1:5" ht="19.55" customHeight="1" outlineLevel="5" x14ac:dyDescent="0.25">
      <c r="A73" s="81" t="s">
        <v>15</v>
      </c>
      <c r="B73" s="80" t="s">
        <v>24</v>
      </c>
      <c r="C73" s="80" t="s">
        <v>323</v>
      </c>
      <c r="D73" s="80" t="s">
        <v>16</v>
      </c>
      <c r="E73" s="82">
        <f>E74</f>
        <v>100000</v>
      </c>
    </row>
    <row r="74" spans="1:5" ht="20.25" customHeight="1" outlineLevel="6" x14ac:dyDescent="0.25">
      <c r="A74" s="81" t="s">
        <v>17</v>
      </c>
      <c r="B74" s="80" t="s">
        <v>24</v>
      </c>
      <c r="C74" s="80" t="s">
        <v>323</v>
      </c>
      <c r="D74" s="80" t="s">
        <v>18</v>
      </c>
      <c r="E74" s="82">
        <f>'прил 11 '!F70</f>
        <v>100000</v>
      </c>
    </row>
    <row r="75" spans="1:5" ht="36.700000000000003" outlineLevel="6" x14ac:dyDescent="0.25">
      <c r="A75" s="81" t="s">
        <v>216</v>
      </c>
      <c r="B75" s="80" t="s">
        <v>24</v>
      </c>
      <c r="C75" s="80" t="s">
        <v>231</v>
      </c>
      <c r="D75" s="80" t="s">
        <v>6</v>
      </c>
      <c r="E75" s="82">
        <f>E76</f>
        <v>22416328</v>
      </c>
    </row>
    <row r="76" spans="1:5" ht="36.700000000000003" outlineLevel="4" x14ac:dyDescent="0.25">
      <c r="A76" s="81" t="s">
        <v>33</v>
      </c>
      <c r="B76" s="80" t="s">
        <v>24</v>
      </c>
      <c r="C76" s="80" t="s">
        <v>130</v>
      </c>
      <c r="D76" s="80" t="s">
        <v>6</v>
      </c>
      <c r="E76" s="82">
        <f>E77+E79+E81</f>
        <v>22416328</v>
      </c>
    </row>
    <row r="77" spans="1:5" ht="55.55" customHeight="1" outlineLevel="5" x14ac:dyDescent="0.25">
      <c r="A77" s="81" t="s">
        <v>11</v>
      </c>
      <c r="B77" s="80" t="s">
        <v>24</v>
      </c>
      <c r="C77" s="80" t="s">
        <v>130</v>
      </c>
      <c r="D77" s="80" t="s">
        <v>12</v>
      </c>
      <c r="E77" s="82">
        <f>E78</f>
        <v>11899000</v>
      </c>
    </row>
    <row r="78" spans="1:5" outlineLevel="6" x14ac:dyDescent="0.25">
      <c r="A78" s="81" t="s">
        <v>34</v>
      </c>
      <c r="B78" s="80" t="s">
        <v>24</v>
      </c>
      <c r="C78" s="80" t="s">
        <v>130</v>
      </c>
      <c r="D78" s="80" t="s">
        <v>35</v>
      </c>
      <c r="E78" s="82">
        <f>'прил 11 '!F74</f>
        <v>11899000</v>
      </c>
    </row>
    <row r="79" spans="1:5" ht="18.7" customHeight="1" outlineLevel="5" x14ac:dyDescent="0.25">
      <c r="A79" s="81" t="s">
        <v>15</v>
      </c>
      <c r="B79" s="80" t="s">
        <v>24</v>
      </c>
      <c r="C79" s="80" t="s">
        <v>130</v>
      </c>
      <c r="D79" s="80" t="s">
        <v>16</v>
      </c>
      <c r="E79" s="82">
        <f>E80</f>
        <v>9748820</v>
      </c>
    </row>
    <row r="80" spans="1:5" ht="20.25" customHeight="1" outlineLevel="6" x14ac:dyDescent="0.25">
      <c r="A80" s="81" t="s">
        <v>17</v>
      </c>
      <c r="B80" s="80" t="s">
        <v>24</v>
      </c>
      <c r="C80" s="80" t="s">
        <v>130</v>
      </c>
      <c r="D80" s="80" t="s">
        <v>18</v>
      </c>
      <c r="E80" s="82">
        <f>'прил 11 '!F76</f>
        <v>9748820</v>
      </c>
    </row>
    <row r="81" spans="1:5" outlineLevel="5" x14ac:dyDescent="0.25">
      <c r="A81" s="81" t="s">
        <v>19</v>
      </c>
      <c r="B81" s="80" t="s">
        <v>24</v>
      </c>
      <c r="C81" s="80" t="s">
        <v>130</v>
      </c>
      <c r="D81" s="80" t="s">
        <v>20</v>
      </c>
      <c r="E81" s="82">
        <f>E82</f>
        <v>768508</v>
      </c>
    </row>
    <row r="82" spans="1:5" outlineLevel="6" x14ac:dyDescent="0.25">
      <c r="A82" s="81" t="s">
        <v>21</v>
      </c>
      <c r="B82" s="80" t="s">
        <v>24</v>
      </c>
      <c r="C82" s="80" t="s">
        <v>130</v>
      </c>
      <c r="D82" s="80" t="s">
        <v>22</v>
      </c>
      <c r="E82" s="82">
        <f>'прил 11 '!F78</f>
        <v>768508</v>
      </c>
    </row>
    <row r="83" spans="1:5" ht="15.8" customHeight="1" outlineLevel="6" x14ac:dyDescent="0.25">
      <c r="A83" s="25" t="s">
        <v>693</v>
      </c>
      <c r="B83" s="80" t="s">
        <v>24</v>
      </c>
      <c r="C83" s="80" t="s">
        <v>270</v>
      </c>
      <c r="D83" s="80" t="s">
        <v>6</v>
      </c>
      <c r="E83" s="82">
        <f>E84+E87</f>
        <v>1451100</v>
      </c>
    </row>
    <row r="84" spans="1:5" ht="36.700000000000003" outlineLevel="6" x14ac:dyDescent="0.25">
      <c r="A84" s="25" t="s">
        <v>717</v>
      </c>
      <c r="B84" s="80" t="s">
        <v>24</v>
      </c>
      <c r="C84" s="80" t="s">
        <v>692</v>
      </c>
      <c r="D84" s="80" t="s">
        <v>6</v>
      </c>
      <c r="E84" s="82">
        <f>E85</f>
        <v>0</v>
      </c>
    </row>
    <row r="85" spans="1:5" ht="36.700000000000003" outlineLevel="6" x14ac:dyDescent="0.25">
      <c r="A85" s="81" t="s">
        <v>15</v>
      </c>
      <c r="B85" s="80" t="s">
        <v>24</v>
      </c>
      <c r="C85" s="80" t="s">
        <v>691</v>
      </c>
      <c r="D85" s="80" t="s">
        <v>16</v>
      </c>
      <c r="E85" s="82">
        <f>E86</f>
        <v>0</v>
      </c>
    </row>
    <row r="86" spans="1:5" ht="36.700000000000003" outlineLevel="6" x14ac:dyDescent="0.25">
      <c r="A86" s="81" t="s">
        <v>17</v>
      </c>
      <c r="B86" s="80" t="s">
        <v>24</v>
      </c>
      <c r="C86" s="80" t="s">
        <v>691</v>
      </c>
      <c r="D86" s="80" t="s">
        <v>18</v>
      </c>
      <c r="E86" s="82">
        <f>'прил 11 '!F82</f>
        <v>0</v>
      </c>
    </row>
    <row r="87" spans="1:5" ht="36.700000000000003" outlineLevel="6" x14ac:dyDescent="0.25">
      <c r="A87" s="81" t="s">
        <v>690</v>
      </c>
      <c r="B87" s="80" t="s">
        <v>24</v>
      </c>
      <c r="C87" s="80" t="s">
        <v>692</v>
      </c>
      <c r="D87" s="80" t="s">
        <v>6</v>
      </c>
      <c r="E87" s="82">
        <f>E90+E88</f>
        <v>1451100</v>
      </c>
    </row>
    <row r="88" spans="1:5" ht="73.400000000000006" outlineLevel="6" x14ac:dyDescent="0.25">
      <c r="A88" s="81" t="s">
        <v>11</v>
      </c>
      <c r="B88" s="80" t="s">
        <v>24</v>
      </c>
      <c r="C88" s="80" t="s">
        <v>689</v>
      </c>
      <c r="D88" s="80" t="s">
        <v>12</v>
      </c>
      <c r="E88" s="82">
        <f>E89</f>
        <v>116000</v>
      </c>
    </row>
    <row r="89" spans="1:5" ht="36.700000000000003" outlineLevel="6" x14ac:dyDescent="0.25">
      <c r="A89" s="81" t="s">
        <v>13</v>
      </c>
      <c r="B89" s="80" t="s">
        <v>24</v>
      </c>
      <c r="C89" s="80" t="s">
        <v>689</v>
      </c>
      <c r="D89" s="80" t="s">
        <v>14</v>
      </c>
      <c r="E89" s="82">
        <f>'прил 11 '!F85</f>
        <v>116000</v>
      </c>
    </row>
    <row r="90" spans="1:5" ht="36.700000000000003" outlineLevel="6" x14ac:dyDescent="0.25">
      <c r="A90" s="81" t="s">
        <v>15</v>
      </c>
      <c r="B90" s="80" t="s">
        <v>24</v>
      </c>
      <c r="C90" s="80" t="s">
        <v>689</v>
      </c>
      <c r="D90" s="80" t="s">
        <v>16</v>
      </c>
      <c r="E90" s="82">
        <f>E91</f>
        <v>1335100</v>
      </c>
    </row>
    <row r="91" spans="1:5" ht="36.700000000000003" outlineLevel="6" x14ac:dyDescent="0.25">
      <c r="A91" s="81" t="s">
        <v>17</v>
      </c>
      <c r="B91" s="80" t="s">
        <v>24</v>
      </c>
      <c r="C91" s="80" t="s">
        <v>689</v>
      </c>
      <c r="D91" s="80" t="s">
        <v>18</v>
      </c>
      <c r="E91" s="82">
        <f>'прил 11 '!F87</f>
        <v>1335100</v>
      </c>
    </row>
    <row r="92" spans="1:5" ht="36.700000000000003" outlineLevel="6" x14ac:dyDescent="0.25">
      <c r="A92" s="109" t="s">
        <v>852</v>
      </c>
      <c r="B92" s="110" t="s">
        <v>24</v>
      </c>
      <c r="C92" s="110" t="s">
        <v>131</v>
      </c>
      <c r="D92" s="110" t="s">
        <v>6</v>
      </c>
      <c r="E92" s="82">
        <f>E93</f>
        <v>50000</v>
      </c>
    </row>
    <row r="93" spans="1:5" outlineLevel="6" x14ac:dyDescent="0.25">
      <c r="A93" s="81" t="s">
        <v>324</v>
      </c>
      <c r="B93" s="80" t="s">
        <v>24</v>
      </c>
      <c r="C93" s="80" t="s">
        <v>233</v>
      </c>
      <c r="D93" s="80" t="s">
        <v>6</v>
      </c>
      <c r="E93" s="82">
        <f>E94</f>
        <v>50000</v>
      </c>
    </row>
    <row r="94" spans="1:5" ht="36.700000000000003" outlineLevel="6" x14ac:dyDescent="0.25">
      <c r="A94" s="81" t="s">
        <v>325</v>
      </c>
      <c r="B94" s="80" t="s">
        <v>24</v>
      </c>
      <c r="C94" s="80" t="s">
        <v>326</v>
      </c>
      <c r="D94" s="80" t="s">
        <v>6</v>
      </c>
      <c r="E94" s="82">
        <f>E95</f>
        <v>50000</v>
      </c>
    </row>
    <row r="95" spans="1:5" ht="36.700000000000003" outlineLevel="6" x14ac:dyDescent="0.25">
      <c r="A95" s="81" t="s">
        <v>15</v>
      </c>
      <c r="B95" s="80" t="s">
        <v>24</v>
      </c>
      <c r="C95" s="80" t="s">
        <v>326</v>
      </c>
      <c r="D95" s="80" t="s">
        <v>16</v>
      </c>
      <c r="E95" s="82">
        <f>E96</f>
        <v>50000</v>
      </c>
    </row>
    <row r="96" spans="1:5" ht="20.25" customHeight="1" outlineLevel="6" x14ac:dyDescent="0.25">
      <c r="A96" s="81" t="s">
        <v>17</v>
      </c>
      <c r="B96" s="80" t="s">
        <v>24</v>
      </c>
      <c r="C96" s="80" t="s">
        <v>326</v>
      </c>
      <c r="D96" s="80" t="s">
        <v>18</v>
      </c>
      <c r="E96" s="82">
        <f>'прил 11 '!F92</f>
        <v>50000</v>
      </c>
    </row>
    <row r="97" spans="1:5" ht="45" customHeight="1" outlineLevel="6" x14ac:dyDescent="0.25">
      <c r="A97" s="109" t="s">
        <v>829</v>
      </c>
      <c r="B97" s="110" t="s">
        <v>24</v>
      </c>
      <c r="C97" s="110" t="s">
        <v>317</v>
      </c>
      <c r="D97" s="110" t="s">
        <v>6</v>
      </c>
      <c r="E97" s="82">
        <f>E98</f>
        <v>1847368</v>
      </c>
    </row>
    <row r="98" spans="1:5" ht="36.700000000000003" customHeight="1" outlineLevel="6" x14ac:dyDescent="0.25">
      <c r="A98" s="113" t="s">
        <v>327</v>
      </c>
      <c r="B98" s="80" t="s">
        <v>24</v>
      </c>
      <c r="C98" s="80" t="s">
        <v>318</v>
      </c>
      <c r="D98" s="80" t="s">
        <v>6</v>
      </c>
      <c r="E98" s="82">
        <f>E99+E102</f>
        <v>1847368</v>
      </c>
    </row>
    <row r="99" spans="1:5" ht="36.700000000000003" outlineLevel="6" x14ac:dyDescent="0.25">
      <c r="A99" s="113" t="s">
        <v>328</v>
      </c>
      <c r="B99" s="80" t="s">
        <v>24</v>
      </c>
      <c r="C99" s="80" t="s">
        <v>329</v>
      </c>
      <c r="D99" s="80" t="s">
        <v>6</v>
      </c>
      <c r="E99" s="82">
        <f>E100</f>
        <v>1801438</v>
      </c>
    </row>
    <row r="100" spans="1:5" ht="23.3" customHeight="1" outlineLevel="6" x14ac:dyDescent="0.25">
      <c r="A100" s="81" t="s">
        <v>15</v>
      </c>
      <c r="B100" s="80" t="s">
        <v>24</v>
      </c>
      <c r="C100" s="80" t="s">
        <v>329</v>
      </c>
      <c r="D100" s="80" t="s">
        <v>16</v>
      </c>
      <c r="E100" s="82">
        <f>E101</f>
        <v>1801438</v>
      </c>
    </row>
    <row r="101" spans="1:5" ht="21.75" customHeight="1" outlineLevel="6" x14ac:dyDescent="0.25">
      <c r="A101" s="81" t="s">
        <v>17</v>
      </c>
      <c r="B101" s="80" t="s">
        <v>24</v>
      </c>
      <c r="C101" s="80" t="s">
        <v>329</v>
      </c>
      <c r="D101" s="80" t="s">
        <v>18</v>
      </c>
      <c r="E101" s="82">
        <f>'прил 11 '!F97+'прил 11 '!F31+'прил 11 '!F714</f>
        <v>1801438</v>
      </c>
    </row>
    <row r="102" spans="1:5" ht="21.25" customHeight="1" outlineLevel="6" x14ac:dyDescent="0.25">
      <c r="A102" s="113" t="s">
        <v>330</v>
      </c>
      <c r="B102" s="80" t="s">
        <v>24</v>
      </c>
      <c r="C102" s="80" t="s">
        <v>319</v>
      </c>
      <c r="D102" s="80" t="s">
        <v>6</v>
      </c>
      <c r="E102" s="82">
        <f>E103</f>
        <v>45930</v>
      </c>
    </row>
    <row r="103" spans="1:5" ht="21.25" customHeight="1" outlineLevel="6" x14ac:dyDescent="0.25">
      <c r="A103" s="81" t="s">
        <v>15</v>
      </c>
      <c r="B103" s="80" t="s">
        <v>24</v>
      </c>
      <c r="C103" s="80" t="s">
        <v>319</v>
      </c>
      <c r="D103" s="80" t="s">
        <v>16</v>
      </c>
      <c r="E103" s="82">
        <f>E104</f>
        <v>45930</v>
      </c>
    </row>
    <row r="104" spans="1:5" ht="21.25" customHeight="1" outlineLevel="6" x14ac:dyDescent="0.25">
      <c r="A104" s="81" t="s">
        <v>17</v>
      </c>
      <c r="B104" s="80" t="s">
        <v>24</v>
      </c>
      <c r="C104" s="80" t="s">
        <v>319</v>
      </c>
      <c r="D104" s="80" t="s">
        <v>18</v>
      </c>
      <c r="E104" s="82">
        <f>'прил 11 '!F100</f>
        <v>45930</v>
      </c>
    </row>
    <row r="105" spans="1:5" ht="38.25" customHeight="1" outlineLevel="6" x14ac:dyDescent="0.25">
      <c r="A105" s="109" t="s">
        <v>851</v>
      </c>
      <c r="B105" s="110" t="s">
        <v>24</v>
      </c>
      <c r="C105" s="110" t="s">
        <v>331</v>
      </c>
      <c r="D105" s="110" t="s">
        <v>6</v>
      </c>
      <c r="E105" s="82">
        <f>E106</f>
        <v>2760000</v>
      </c>
    </row>
    <row r="106" spans="1:5" ht="36.700000000000003" outlineLevel="6" x14ac:dyDescent="0.25">
      <c r="A106" s="81" t="s">
        <v>215</v>
      </c>
      <c r="B106" s="80" t="s">
        <v>24</v>
      </c>
      <c r="C106" s="80" t="s">
        <v>332</v>
      </c>
      <c r="D106" s="80" t="s">
        <v>6</v>
      </c>
      <c r="E106" s="82">
        <f>E107</f>
        <v>2760000</v>
      </c>
    </row>
    <row r="107" spans="1:5" ht="55.05" outlineLevel="6" x14ac:dyDescent="0.25">
      <c r="A107" s="81" t="s">
        <v>32</v>
      </c>
      <c r="B107" s="80" t="s">
        <v>24</v>
      </c>
      <c r="C107" s="80" t="s">
        <v>333</v>
      </c>
      <c r="D107" s="80" t="s">
        <v>6</v>
      </c>
      <c r="E107" s="82">
        <f>E108+E110</f>
        <v>2760000</v>
      </c>
    </row>
    <row r="108" spans="1:5" ht="18" customHeight="1" outlineLevel="6" x14ac:dyDescent="0.25">
      <c r="A108" s="81" t="s">
        <v>15</v>
      </c>
      <c r="B108" s="80" t="s">
        <v>24</v>
      </c>
      <c r="C108" s="80" t="s">
        <v>333</v>
      </c>
      <c r="D108" s="80" t="s">
        <v>16</v>
      </c>
      <c r="E108" s="82">
        <f>E109</f>
        <v>2620000</v>
      </c>
    </row>
    <row r="109" spans="1:5" ht="18.7" customHeight="1" outlineLevel="6" x14ac:dyDescent="0.25">
      <c r="A109" s="81" t="s">
        <v>17</v>
      </c>
      <c r="B109" s="80" t="s">
        <v>24</v>
      </c>
      <c r="C109" s="80" t="s">
        <v>333</v>
      </c>
      <c r="D109" s="80" t="s">
        <v>18</v>
      </c>
      <c r="E109" s="82">
        <f>'прил 11 '!F105</f>
        <v>2620000</v>
      </c>
    </row>
    <row r="110" spans="1:5" outlineLevel="6" x14ac:dyDescent="0.25">
      <c r="A110" s="81" t="s">
        <v>19</v>
      </c>
      <c r="B110" s="80" t="s">
        <v>24</v>
      </c>
      <c r="C110" s="80" t="s">
        <v>333</v>
      </c>
      <c r="D110" s="80" t="s">
        <v>20</v>
      </c>
      <c r="E110" s="82">
        <f>E111</f>
        <v>140000</v>
      </c>
    </row>
    <row r="111" spans="1:5" outlineLevel="6" x14ac:dyDescent="0.25">
      <c r="A111" s="81" t="s">
        <v>21</v>
      </c>
      <c r="B111" s="80" t="s">
        <v>24</v>
      </c>
      <c r="C111" s="80" t="s">
        <v>333</v>
      </c>
      <c r="D111" s="80" t="s">
        <v>22</v>
      </c>
      <c r="E111" s="82">
        <f>'прил 11 '!F107</f>
        <v>140000</v>
      </c>
    </row>
    <row r="112" spans="1:5" ht="36.700000000000003" outlineLevel="6" x14ac:dyDescent="0.25">
      <c r="A112" s="109" t="s">
        <v>950</v>
      </c>
      <c r="B112" s="110" t="s">
        <v>24</v>
      </c>
      <c r="C112" s="110" t="s">
        <v>952</v>
      </c>
      <c r="D112" s="110" t="s">
        <v>6</v>
      </c>
      <c r="E112" s="82">
        <f>E113</f>
        <v>100000</v>
      </c>
    </row>
    <row r="113" spans="1:5" ht="36.700000000000003" outlineLevel="6" x14ac:dyDescent="0.25">
      <c r="A113" s="81" t="s">
        <v>951</v>
      </c>
      <c r="B113" s="80" t="s">
        <v>24</v>
      </c>
      <c r="C113" s="80" t="s">
        <v>953</v>
      </c>
      <c r="D113" s="80" t="s">
        <v>6</v>
      </c>
      <c r="E113" s="82">
        <f>E114</f>
        <v>100000</v>
      </c>
    </row>
    <row r="114" spans="1:5" outlineLevel="6" x14ac:dyDescent="0.25">
      <c r="A114" s="81" t="s">
        <v>322</v>
      </c>
      <c r="B114" s="80" t="s">
        <v>24</v>
      </c>
      <c r="C114" s="80" t="s">
        <v>954</v>
      </c>
      <c r="D114" s="80" t="s">
        <v>6</v>
      </c>
      <c r="E114" s="82">
        <f>E115</f>
        <v>100000</v>
      </c>
    </row>
    <row r="115" spans="1:5" ht="36.700000000000003" outlineLevel="6" x14ac:dyDescent="0.25">
      <c r="A115" s="81" t="s">
        <v>15</v>
      </c>
      <c r="B115" s="80" t="s">
        <v>24</v>
      </c>
      <c r="C115" s="80" t="s">
        <v>954</v>
      </c>
      <c r="D115" s="80" t="s">
        <v>16</v>
      </c>
      <c r="E115" s="82">
        <f>E116</f>
        <v>100000</v>
      </c>
    </row>
    <row r="116" spans="1:5" ht="36.700000000000003" outlineLevel="6" x14ac:dyDescent="0.25">
      <c r="A116" s="81" t="s">
        <v>17</v>
      </c>
      <c r="B116" s="80" t="s">
        <v>24</v>
      </c>
      <c r="C116" s="80" t="s">
        <v>954</v>
      </c>
      <c r="D116" s="80" t="s">
        <v>18</v>
      </c>
      <c r="E116" s="82">
        <f>'прил 11 '!F112</f>
        <v>100000</v>
      </c>
    </row>
    <row r="117" spans="1:5" outlineLevel="2" x14ac:dyDescent="0.25">
      <c r="A117" s="81" t="s">
        <v>198</v>
      </c>
      <c r="B117" s="80" t="s">
        <v>24</v>
      </c>
      <c r="C117" s="80" t="s">
        <v>127</v>
      </c>
      <c r="D117" s="80" t="s">
        <v>6</v>
      </c>
      <c r="E117" s="82">
        <f>E121+E132+E135+E138+E126+E118</f>
        <v>46940197</v>
      </c>
    </row>
    <row r="118" spans="1:5" ht="165.1" outlineLevel="2" x14ac:dyDescent="0.25">
      <c r="A118" s="275" t="s">
        <v>941</v>
      </c>
      <c r="B118" s="80" t="s">
        <v>24</v>
      </c>
      <c r="C118" s="80" t="s">
        <v>942</v>
      </c>
      <c r="D118" s="80" t="s">
        <v>6</v>
      </c>
      <c r="E118" s="82">
        <f>E119</f>
        <v>1600000</v>
      </c>
    </row>
    <row r="119" spans="1:5" ht="36.700000000000003" outlineLevel="2" x14ac:dyDescent="0.25">
      <c r="A119" s="81" t="s">
        <v>15</v>
      </c>
      <c r="B119" s="80" t="s">
        <v>24</v>
      </c>
      <c r="C119" s="80" t="s">
        <v>942</v>
      </c>
      <c r="D119" s="80" t="s">
        <v>16</v>
      </c>
      <c r="E119" s="82">
        <f>E120</f>
        <v>1600000</v>
      </c>
    </row>
    <row r="120" spans="1:5" ht="36.700000000000003" outlineLevel="2" x14ac:dyDescent="0.25">
      <c r="A120" s="81" t="s">
        <v>17</v>
      </c>
      <c r="B120" s="80" t="s">
        <v>24</v>
      </c>
      <c r="C120" s="80" t="s">
        <v>942</v>
      </c>
      <c r="D120" s="80" t="s">
        <v>18</v>
      </c>
      <c r="E120" s="82">
        <f>'прил 11 '!F116</f>
        <v>1600000</v>
      </c>
    </row>
    <row r="121" spans="1:5" ht="36.700000000000003" customHeight="1" outlineLevel="4" x14ac:dyDescent="0.25">
      <c r="A121" s="81" t="s">
        <v>494</v>
      </c>
      <c r="B121" s="80" t="s">
        <v>24</v>
      </c>
      <c r="C121" s="80" t="s">
        <v>495</v>
      </c>
      <c r="D121" s="80" t="s">
        <v>6</v>
      </c>
      <c r="E121" s="82">
        <f>E122+E124</f>
        <v>37225780</v>
      </c>
    </row>
    <row r="122" spans="1:5" ht="73.400000000000006" outlineLevel="5" x14ac:dyDescent="0.25">
      <c r="A122" s="81" t="s">
        <v>11</v>
      </c>
      <c r="B122" s="80" t="s">
        <v>24</v>
      </c>
      <c r="C122" s="80" t="s">
        <v>495</v>
      </c>
      <c r="D122" s="80" t="s">
        <v>12</v>
      </c>
      <c r="E122" s="82">
        <f>E123</f>
        <v>37205780</v>
      </c>
    </row>
    <row r="123" spans="1:5" ht="17.5" customHeight="1" outlineLevel="6" x14ac:dyDescent="0.25">
      <c r="A123" s="81" t="s">
        <v>13</v>
      </c>
      <c r="B123" s="80" t="s">
        <v>24</v>
      </c>
      <c r="C123" s="80" t="s">
        <v>495</v>
      </c>
      <c r="D123" s="80" t="s">
        <v>14</v>
      </c>
      <c r="E123" s="82">
        <f>'прил 11 '!F119</f>
        <v>37205780</v>
      </c>
    </row>
    <row r="124" spans="1:5" ht="17.5" customHeight="1" outlineLevel="6" x14ac:dyDescent="0.25">
      <c r="A124" s="81" t="s">
        <v>15</v>
      </c>
      <c r="B124" s="80" t="s">
        <v>24</v>
      </c>
      <c r="C124" s="80" t="s">
        <v>495</v>
      </c>
      <c r="D124" s="80" t="s">
        <v>16</v>
      </c>
      <c r="E124" s="82">
        <f>E125</f>
        <v>20000</v>
      </c>
    </row>
    <row r="125" spans="1:5" ht="21.25" customHeight="1" outlineLevel="6" x14ac:dyDescent="0.25">
      <c r="A125" s="81" t="s">
        <v>17</v>
      </c>
      <c r="B125" s="80" t="s">
        <v>24</v>
      </c>
      <c r="C125" s="80" t="s">
        <v>495</v>
      </c>
      <c r="D125" s="80" t="s">
        <v>18</v>
      </c>
      <c r="E125" s="82">
        <f>'прил 11 '!F121</f>
        <v>20000</v>
      </c>
    </row>
    <row r="126" spans="1:5" ht="39.25" customHeight="1" outlineLevel="6" x14ac:dyDescent="0.25">
      <c r="A126" s="81" t="s">
        <v>688</v>
      </c>
      <c r="B126" s="80" t="s">
        <v>24</v>
      </c>
      <c r="C126" s="80" t="s">
        <v>686</v>
      </c>
      <c r="D126" s="80" t="s">
        <v>6</v>
      </c>
      <c r="E126" s="82">
        <f>E129+E127</f>
        <v>0</v>
      </c>
    </row>
    <row r="127" spans="1:5" ht="39.25" customHeight="1" outlineLevel="6" x14ac:dyDescent="0.25">
      <c r="A127" s="81" t="s">
        <v>15</v>
      </c>
      <c r="B127" s="80" t="s">
        <v>24</v>
      </c>
      <c r="C127" s="80" t="s">
        <v>686</v>
      </c>
      <c r="D127" s="80" t="s">
        <v>16</v>
      </c>
      <c r="E127" s="82">
        <f>E128</f>
        <v>0</v>
      </c>
    </row>
    <row r="128" spans="1:5" ht="39.25" customHeight="1" outlineLevel="6" x14ac:dyDescent="0.25">
      <c r="A128" s="81" t="s">
        <v>17</v>
      </c>
      <c r="B128" s="80" t="s">
        <v>24</v>
      </c>
      <c r="C128" s="80" t="s">
        <v>686</v>
      </c>
      <c r="D128" s="80" t="s">
        <v>18</v>
      </c>
      <c r="E128" s="82">
        <f>'прил 11 '!F124</f>
        <v>0</v>
      </c>
    </row>
    <row r="129" spans="1:5" ht="19.55" customHeight="1" outlineLevel="6" x14ac:dyDescent="0.25">
      <c r="A129" s="81" t="s">
        <v>19</v>
      </c>
      <c r="B129" s="80" t="s">
        <v>24</v>
      </c>
      <c r="C129" s="80" t="s">
        <v>686</v>
      </c>
      <c r="D129" s="80" t="s">
        <v>20</v>
      </c>
      <c r="E129" s="82">
        <f>E131+E130</f>
        <v>0</v>
      </c>
    </row>
    <row r="130" spans="1:5" ht="21.25" customHeight="1" outlineLevel="6" x14ac:dyDescent="0.25">
      <c r="A130" s="81" t="s">
        <v>715</v>
      </c>
      <c r="B130" s="80" t="s">
        <v>24</v>
      </c>
      <c r="C130" s="80" t="s">
        <v>686</v>
      </c>
      <c r="D130" s="80" t="s">
        <v>716</v>
      </c>
      <c r="E130" s="82">
        <f>'прил 11 '!F126</f>
        <v>0</v>
      </c>
    </row>
    <row r="131" spans="1:5" ht="36.700000000000003" customHeight="1" outlineLevel="6" x14ac:dyDescent="0.25">
      <c r="A131" s="81" t="s">
        <v>687</v>
      </c>
      <c r="B131" s="80" t="s">
        <v>24</v>
      </c>
      <c r="C131" s="80" t="s">
        <v>686</v>
      </c>
      <c r="D131" s="80" t="s">
        <v>22</v>
      </c>
      <c r="E131" s="82">
        <f>'прил 11 '!F127</f>
        <v>0</v>
      </c>
    </row>
    <row r="132" spans="1:5" ht="36.700000000000003" outlineLevel="6" x14ac:dyDescent="0.25">
      <c r="A132" s="81" t="s">
        <v>540</v>
      </c>
      <c r="B132" s="80" t="s">
        <v>24</v>
      </c>
      <c r="C132" s="80" t="s">
        <v>502</v>
      </c>
      <c r="D132" s="80" t="s">
        <v>6</v>
      </c>
      <c r="E132" s="82">
        <f>E133</f>
        <v>200000</v>
      </c>
    </row>
    <row r="133" spans="1:5" ht="16.5" customHeight="1" outlineLevel="6" x14ac:dyDescent="0.25">
      <c r="A133" s="81" t="s">
        <v>15</v>
      </c>
      <c r="B133" s="80" t="s">
        <v>24</v>
      </c>
      <c r="C133" s="80" t="s">
        <v>502</v>
      </c>
      <c r="D133" s="80" t="s">
        <v>16</v>
      </c>
      <c r="E133" s="82">
        <f>E134</f>
        <v>200000</v>
      </c>
    </row>
    <row r="134" spans="1:5" ht="20.25" customHeight="1" outlineLevel="6" x14ac:dyDescent="0.25">
      <c r="A134" s="81" t="s">
        <v>17</v>
      </c>
      <c r="B134" s="80" t="s">
        <v>24</v>
      </c>
      <c r="C134" s="80" t="s">
        <v>502</v>
      </c>
      <c r="D134" s="80" t="s">
        <v>18</v>
      </c>
      <c r="E134" s="82">
        <f>'прил 11 '!F130</f>
        <v>200000</v>
      </c>
    </row>
    <row r="135" spans="1:5" ht="40.75" customHeight="1" outlineLevel="6" x14ac:dyDescent="0.25">
      <c r="A135" s="81" t="s">
        <v>532</v>
      </c>
      <c r="B135" s="80" t="s">
        <v>24</v>
      </c>
      <c r="C135" s="80" t="s">
        <v>533</v>
      </c>
      <c r="D135" s="80" t="s">
        <v>6</v>
      </c>
      <c r="E135" s="82">
        <f>E136</f>
        <v>104000</v>
      </c>
    </row>
    <row r="136" spans="1:5" ht="19.55" customHeight="1" outlineLevel="6" x14ac:dyDescent="0.25">
      <c r="A136" s="81" t="s">
        <v>15</v>
      </c>
      <c r="B136" s="80" t="s">
        <v>24</v>
      </c>
      <c r="C136" s="80" t="s">
        <v>533</v>
      </c>
      <c r="D136" s="80" t="s">
        <v>16</v>
      </c>
      <c r="E136" s="82">
        <f>E137</f>
        <v>104000</v>
      </c>
    </row>
    <row r="137" spans="1:5" ht="20.25" customHeight="1" outlineLevel="6" x14ac:dyDescent="0.25">
      <c r="A137" s="81" t="s">
        <v>17</v>
      </c>
      <c r="B137" s="80" t="s">
        <v>24</v>
      </c>
      <c r="C137" s="80" t="s">
        <v>533</v>
      </c>
      <c r="D137" s="80" t="s">
        <v>18</v>
      </c>
      <c r="E137" s="82">
        <f>'прил 11 '!F507</f>
        <v>104000</v>
      </c>
    </row>
    <row r="138" spans="1:5" ht="21.75" customHeight="1" outlineLevel="6" x14ac:dyDescent="0.25">
      <c r="A138" s="81" t="s">
        <v>277</v>
      </c>
      <c r="B138" s="80" t="s">
        <v>24</v>
      </c>
      <c r="C138" s="80" t="s">
        <v>276</v>
      </c>
      <c r="D138" s="80" t="s">
        <v>6</v>
      </c>
      <c r="E138" s="82">
        <f>E139+E165+E142+E150+E155+E160+E147</f>
        <v>7810417</v>
      </c>
    </row>
    <row r="139" spans="1:5" outlineLevel="6" x14ac:dyDescent="0.25">
      <c r="A139" s="81" t="s">
        <v>566</v>
      </c>
      <c r="B139" s="80" t="s">
        <v>24</v>
      </c>
      <c r="C139" s="80" t="s">
        <v>579</v>
      </c>
      <c r="D139" s="80" t="s">
        <v>6</v>
      </c>
      <c r="E139" s="82">
        <f>E140</f>
        <v>0</v>
      </c>
    </row>
    <row r="140" spans="1:5" ht="36.700000000000003" outlineLevel="6" x14ac:dyDescent="0.25">
      <c r="A140" s="81" t="s">
        <v>15</v>
      </c>
      <c r="B140" s="80" t="s">
        <v>24</v>
      </c>
      <c r="C140" s="80" t="s">
        <v>579</v>
      </c>
      <c r="D140" s="80" t="s">
        <v>16</v>
      </c>
      <c r="E140" s="82">
        <f>E141</f>
        <v>0</v>
      </c>
    </row>
    <row r="141" spans="1:5" ht="36.700000000000003" outlineLevel="6" x14ac:dyDescent="0.25">
      <c r="A141" s="81" t="s">
        <v>17</v>
      </c>
      <c r="B141" s="80" t="s">
        <v>24</v>
      </c>
      <c r="C141" s="80" t="s">
        <v>579</v>
      </c>
      <c r="D141" s="80" t="s">
        <v>18</v>
      </c>
      <c r="E141" s="643"/>
    </row>
    <row r="142" spans="1:5" ht="55.05" outlineLevel="4" x14ac:dyDescent="0.25">
      <c r="A142" s="100" t="s">
        <v>411</v>
      </c>
      <c r="B142" s="80" t="s">
        <v>24</v>
      </c>
      <c r="C142" s="80" t="s">
        <v>278</v>
      </c>
      <c r="D142" s="80" t="s">
        <v>6</v>
      </c>
      <c r="E142" s="82">
        <f>E143+E145</f>
        <v>1490622</v>
      </c>
    </row>
    <row r="143" spans="1:5" ht="38.25" customHeight="1" outlineLevel="5" x14ac:dyDescent="0.25">
      <c r="A143" s="81" t="s">
        <v>11</v>
      </c>
      <c r="B143" s="80" t="s">
        <v>24</v>
      </c>
      <c r="C143" s="80" t="s">
        <v>278</v>
      </c>
      <c r="D143" s="80" t="s">
        <v>12</v>
      </c>
      <c r="E143" s="82">
        <f>E144</f>
        <v>1475622</v>
      </c>
    </row>
    <row r="144" spans="1:5" ht="18.7" customHeight="1" outlineLevel="6" x14ac:dyDescent="0.25">
      <c r="A144" s="81" t="s">
        <v>13</v>
      </c>
      <c r="B144" s="80" t="s">
        <v>24</v>
      </c>
      <c r="C144" s="80" t="s">
        <v>278</v>
      </c>
      <c r="D144" s="80" t="s">
        <v>14</v>
      </c>
      <c r="E144" s="82">
        <f>'прил 11 '!F134</f>
        <v>1475622</v>
      </c>
    </row>
    <row r="145" spans="1:5" ht="16.5" customHeight="1" outlineLevel="5" x14ac:dyDescent="0.25">
      <c r="A145" s="81" t="s">
        <v>15</v>
      </c>
      <c r="B145" s="80" t="s">
        <v>24</v>
      </c>
      <c r="C145" s="80" t="s">
        <v>278</v>
      </c>
      <c r="D145" s="80" t="s">
        <v>16</v>
      </c>
      <c r="E145" s="82">
        <f>E146</f>
        <v>15000</v>
      </c>
    </row>
    <row r="146" spans="1:5" ht="20.25" customHeight="1" outlineLevel="6" x14ac:dyDescent="0.25">
      <c r="A146" s="81" t="s">
        <v>17</v>
      </c>
      <c r="B146" s="80" t="s">
        <v>24</v>
      </c>
      <c r="C146" s="80" t="s">
        <v>278</v>
      </c>
      <c r="D146" s="80" t="s">
        <v>18</v>
      </c>
      <c r="E146" s="82">
        <f>'прил 11 '!F136</f>
        <v>15000</v>
      </c>
    </row>
    <row r="147" spans="1:5" ht="80.5" customHeight="1" outlineLevel="6" x14ac:dyDescent="0.25">
      <c r="A147" s="81" t="s">
        <v>722</v>
      </c>
      <c r="B147" s="80" t="s">
        <v>24</v>
      </c>
      <c r="C147" s="80" t="s">
        <v>721</v>
      </c>
      <c r="D147" s="80" t="s">
        <v>6</v>
      </c>
      <c r="E147" s="82">
        <f>E148</f>
        <v>353579</v>
      </c>
    </row>
    <row r="148" spans="1:5" ht="41.95" customHeight="1" outlineLevel="6" x14ac:dyDescent="0.25">
      <c r="A148" s="81" t="s">
        <v>11</v>
      </c>
      <c r="B148" s="80" t="s">
        <v>24</v>
      </c>
      <c r="C148" s="80" t="s">
        <v>721</v>
      </c>
      <c r="D148" s="80" t="s">
        <v>12</v>
      </c>
      <c r="E148" s="82">
        <f>E149</f>
        <v>353579</v>
      </c>
    </row>
    <row r="149" spans="1:5" ht="41.95" customHeight="1" outlineLevel="6" x14ac:dyDescent="0.25">
      <c r="A149" s="81" t="s">
        <v>13</v>
      </c>
      <c r="B149" s="80" t="s">
        <v>24</v>
      </c>
      <c r="C149" s="80" t="s">
        <v>721</v>
      </c>
      <c r="D149" s="80" t="s">
        <v>14</v>
      </c>
      <c r="E149" s="82">
        <f>'прил 11 '!F139</f>
        <v>353579</v>
      </c>
    </row>
    <row r="150" spans="1:5" outlineLevel="4" x14ac:dyDescent="0.25">
      <c r="A150" s="100" t="s">
        <v>573</v>
      </c>
      <c r="B150" s="80" t="s">
        <v>24</v>
      </c>
      <c r="C150" s="80" t="s">
        <v>580</v>
      </c>
      <c r="D150" s="80" t="s">
        <v>6</v>
      </c>
      <c r="E150" s="82">
        <f>E151+E153</f>
        <v>2276349</v>
      </c>
    </row>
    <row r="151" spans="1:5" ht="73.400000000000006" outlineLevel="5" x14ac:dyDescent="0.25">
      <c r="A151" s="81" t="s">
        <v>11</v>
      </c>
      <c r="B151" s="80" t="s">
        <v>24</v>
      </c>
      <c r="C151" s="80" t="s">
        <v>580</v>
      </c>
      <c r="D151" s="80" t="s">
        <v>12</v>
      </c>
      <c r="E151" s="82">
        <f>E152</f>
        <v>2261349</v>
      </c>
    </row>
    <row r="152" spans="1:5" ht="19.55" customHeight="1" outlineLevel="6" x14ac:dyDescent="0.25">
      <c r="A152" s="81" t="s">
        <v>13</v>
      </c>
      <c r="B152" s="80" t="s">
        <v>24</v>
      </c>
      <c r="C152" s="80" t="s">
        <v>580</v>
      </c>
      <c r="D152" s="80" t="s">
        <v>14</v>
      </c>
      <c r="E152" s="82">
        <f>'прил 11 '!F142</f>
        <v>2261349</v>
      </c>
    </row>
    <row r="153" spans="1:5" ht="19.55" customHeight="1" outlineLevel="5" x14ac:dyDescent="0.25">
      <c r="A153" s="81" t="s">
        <v>15</v>
      </c>
      <c r="B153" s="80" t="s">
        <v>24</v>
      </c>
      <c r="C153" s="80" t="s">
        <v>580</v>
      </c>
      <c r="D153" s="80" t="s">
        <v>16</v>
      </c>
      <c r="E153" s="82">
        <f>E154</f>
        <v>15000</v>
      </c>
    </row>
    <row r="154" spans="1:5" ht="19.55" customHeight="1" outlineLevel="6" x14ac:dyDescent="0.25">
      <c r="A154" s="81" t="s">
        <v>17</v>
      </c>
      <c r="B154" s="80" t="s">
        <v>24</v>
      </c>
      <c r="C154" s="80" t="s">
        <v>580</v>
      </c>
      <c r="D154" s="80" t="s">
        <v>18</v>
      </c>
      <c r="E154" s="82">
        <f>'прил 11 '!F144</f>
        <v>15000</v>
      </c>
    </row>
    <row r="155" spans="1:5" ht="64.55" customHeight="1" outlineLevel="4" x14ac:dyDescent="0.25">
      <c r="A155" s="100" t="s">
        <v>382</v>
      </c>
      <c r="B155" s="80" t="s">
        <v>24</v>
      </c>
      <c r="C155" s="80" t="s">
        <v>279</v>
      </c>
      <c r="D155" s="80" t="s">
        <v>6</v>
      </c>
      <c r="E155" s="82">
        <f>E156+E158</f>
        <v>946950</v>
      </c>
    </row>
    <row r="156" spans="1:5" ht="73.400000000000006" outlineLevel="5" x14ac:dyDescent="0.25">
      <c r="A156" s="81" t="s">
        <v>11</v>
      </c>
      <c r="B156" s="80" t="s">
        <v>24</v>
      </c>
      <c r="C156" s="80" t="s">
        <v>279</v>
      </c>
      <c r="D156" s="80" t="s">
        <v>12</v>
      </c>
      <c r="E156" s="82">
        <f>E157</f>
        <v>901950</v>
      </c>
    </row>
    <row r="157" spans="1:5" ht="19.55" customHeight="1" outlineLevel="6" x14ac:dyDescent="0.25">
      <c r="A157" s="81" t="s">
        <v>13</v>
      </c>
      <c r="B157" s="80" t="s">
        <v>24</v>
      </c>
      <c r="C157" s="80" t="s">
        <v>279</v>
      </c>
      <c r="D157" s="80" t="s">
        <v>14</v>
      </c>
      <c r="E157" s="82">
        <f>'прил 11 '!F147</f>
        <v>901950</v>
      </c>
    </row>
    <row r="158" spans="1:5" ht="19.55" customHeight="1" outlineLevel="5" x14ac:dyDescent="0.25">
      <c r="A158" s="81" t="s">
        <v>15</v>
      </c>
      <c r="B158" s="80" t="s">
        <v>24</v>
      </c>
      <c r="C158" s="80" t="s">
        <v>279</v>
      </c>
      <c r="D158" s="80" t="s">
        <v>16</v>
      </c>
      <c r="E158" s="82">
        <f>E159</f>
        <v>45000</v>
      </c>
    </row>
    <row r="159" spans="1:5" ht="19.55" customHeight="1" outlineLevel="6" x14ac:dyDescent="0.25">
      <c r="A159" s="81" t="s">
        <v>17</v>
      </c>
      <c r="B159" s="80" t="s">
        <v>24</v>
      </c>
      <c r="C159" s="80" t="s">
        <v>279</v>
      </c>
      <c r="D159" s="80" t="s">
        <v>18</v>
      </c>
      <c r="E159" s="82">
        <f>'прил 11 '!F149</f>
        <v>45000</v>
      </c>
    </row>
    <row r="160" spans="1:5" ht="36.700000000000003" outlineLevel="6" x14ac:dyDescent="0.25">
      <c r="A160" s="81" t="s">
        <v>406</v>
      </c>
      <c r="B160" s="80" t="s">
        <v>24</v>
      </c>
      <c r="C160" s="80" t="s">
        <v>407</v>
      </c>
      <c r="D160" s="80" t="s">
        <v>6</v>
      </c>
      <c r="E160" s="82">
        <f>E161+E163</f>
        <v>2028917</v>
      </c>
    </row>
    <row r="161" spans="1:7" ht="73.400000000000006" outlineLevel="6" x14ac:dyDescent="0.25">
      <c r="A161" s="81" t="s">
        <v>11</v>
      </c>
      <c r="B161" s="80" t="s">
        <v>24</v>
      </c>
      <c r="C161" s="80" t="s">
        <v>407</v>
      </c>
      <c r="D161" s="80" t="s">
        <v>12</v>
      </c>
      <c r="E161" s="82">
        <f>E162</f>
        <v>1871317</v>
      </c>
    </row>
    <row r="162" spans="1:7" ht="17.5" customHeight="1" outlineLevel="6" x14ac:dyDescent="0.25">
      <c r="A162" s="81" t="s">
        <v>13</v>
      </c>
      <c r="B162" s="80" t="s">
        <v>24</v>
      </c>
      <c r="C162" s="80" t="s">
        <v>407</v>
      </c>
      <c r="D162" s="80" t="s">
        <v>14</v>
      </c>
      <c r="E162" s="82">
        <f>'прил 11 '!F152</f>
        <v>1871317</v>
      </c>
    </row>
    <row r="163" spans="1:7" ht="17.5" customHeight="1" outlineLevel="6" x14ac:dyDescent="0.25">
      <c r="A163" s="81" t="s">
        <v>15</v>
      </c>
      <c r="B163" s="80" t="s">
        <v>24</v>
      </c>
      <c r="C163" s="80" t="s">
        <v>407</v>
      </c>
      <c r="D163" s="80" t="s">
        <v>16</v>
      </c>
      <c r="E163" s="82">
        <f>E164</f>
        <v>157600</v>
      </c>
    </row>
    <row r="164" spans="1:7" ht="17.5" customHeight="1" outlineLevel="6" x14ac:dyDescent="0.25">
      <c r="A164" s="81" t="s">
        <v>17</v>
      </c>
      <c r="B164" s="80" t="s">
        <v>24</v>
      </c>
      <c r="C164" s="80" t="s">
        <v>407</v>
      </c>
      <c r="D164" s="80" t="s">
        <v>18</v>
      </c>
      <c r="E164" s="82">
        <f>'прил 11 '!F154</f>
        <v>157600</v>
      </c>
    </row>
    <row r="165" spans="1:7" ht="94.75" customHeight="1" outlineLevel="6" x14ac:dyDescent="0.25">
      <c r="A165" s="100" t="s">
        <v>656</v>
      </c>
      <c r="B165" s="80" t="s">
        <v>24</v>
      </c>
      <c r="C165" s="80" t="s">
        <v>295</v>
      </c>
      <c r="D165" s="80" t="s">
        <v>6</v>
      </c>
      <c r="E165" s="82">
        <f>E166+E168</f>
        <v>714000</v>
      </c>
    </row>
    <row r="166" spans="1:7" ht="73.400000000000006" outlineLevel="6" x14ac:dyDescent="0.25">
      <c r="A166" s="81" t="s">
        <v>11</v>
      </c>
      <c r="B166" s="80" t="s">
        <v>24</v>
      </c>
      <c r="C166" s="80" t="s">
        <v>295</v>
      </c>
      <c r="D166" s="80" t="s">
        <v>12</v>
      </c>
      <c r="E166" s="82">
        <f>E167</f>
        <v>654000</v>
      </c>
    </row>
    <row r="167" spans="1:7" ht="19.55" customHeight="1" outlineLevel="6" x14ac:dyDescent="0.25">
      <c r="A167" s="81" t="s">
        <v>13</v>
      </c>
      <c r="B167" s="80" t="s">
        <v>24</v>
      </c>
      <c r="C167" s="80" t="s">
        <v>295</v>
      </c>
      <c r="D167" s="80" t="s">
        <v>14</v>
      </c>
      <c r="E167" s="82">
        <f>'прил 11 '!F157</f>
        <v>654000</v>
      </c>
    </row>
    <row r="168" spans="1:7" ht="36.700000000000003" outlineLevel="6" x14ac:dyDescent="0.25">
      <c r="A168" s="81" t="s">
        <v>15</v>
      </c>
      <c r="B168" s="80" t="s">
        <v>24</v>
      </c>
      <c r="C168" s="80" t="s">
        <v>295</v>
      </c>
      <c r="D168" s="80" t="s">
        <v>16</v>
      </c>
      <c r="E168" s="82">
        <f>E169</f>
        <v>60000</v>
      </c>
    </row>
    <row r="169" spans="1:7" ht="36.700000000000003" outlineLevel="6" x14ac:dyDescent="0.25">
      <c r="A169" s="81" t="s">
        <v>17</v>
      </c>
      <c r="B169" s="80" t="s">
        <v>24</v>
      </c>
      <c r="C169" s="80" t="s">
        <v>295</v>
      </c>
      <c r="D169" s="80" t="s">
        <v>18</v>
      </c>
      <c r="E169" s="82">
        <f>'прил 11 '!F159</f>
        <v>60000</v>
      </c>
    </row>
    <row r="170" spans="1:7" ht="22.75" customHeight="1" outlineLevel="6" x14ac:dyDescent="0.25">
      <c r="A170" s="104" t="s">
        <v>581</v>
      </c>
      <c r="B170" s="105" t="s">
        <v>26</v>
      </c>
      <c r="C170" s="105" t="s">
        <v>126</v>
      </c>
      <c r="D170" s="105" t="s">
        <v>6</v>
      </c>
      <c r="E170" s="128">
        <f t="shared" ref="E170:E175" si="0">E171</f>
        <v>1951380</v>
      </c>
      <c r="G170" s="169">
        <f>E170/'прил 11 '!F715*100</f>
        <v>0.1998967205603914</v>
      </c>
    </row>
    <row r="171" spans="1:7" ht="22.75" customHeight="1" outlineLevel="6" x14ac:dyDescent="0.25">
      <c r="A171" s="81" t="s">
        <v>582</v>
      </c>
      <c r="B171" s="80" t="s">
        <v>583</v>
      </c>
      <c r="C171" s="80" t="s">
        <v>126</v>
      </c>
      <c r="D171" s="80" t="s">
        <v>6</v>
      </c>
      <c r="E171" s="82">
        <f t="shared" si="0"/>
        <v>1951380</v>
      </c>
    </row>
    <row r="172" spans="1:7" outlineLevel="6" x14ac:dyDescent="0.25">
      <c r="A172" s="81" t="s">
        <v>198</v>
      </c>
      <c r="B172" s="80" t="s">
        <v>583</v>
      </c>
      <c r="C172" s="80" t="s">
        <v>127</v>
      </c>
      <c r="D172" s="80" t="s">
        <v>6</v>
      </c>
      <c r="E172" s="82">
        <f t="shared" si="0"/>
        <v>1951380</v>
      </c>
    </row>
    <row r="173" spans="1:7" outlineLevel="6" x14ac:dyDescent="0.25">
      <c r="A173" s="81" t="s">
        <v>277</v>
      </c>
      <c r="B173" s="80" t="s">
        <v>583</v>
      </c>
      <c r="C173" s="80" t="s">
        <v>276</v>
      </c>
      <c r="D173" s="80" t="s">
        <v>6</v>
      </c>
      <c r="E173" s="82">
        <f>E174+E177</f>
        <v>1951380</v>
      </c>
    </row>
    <row r="174" spans="1:7" ht="36.700000000000003" outlineLevel="6" x14ac:dyDescent="0.25">
      <c r="A174" s="113" t="s">
        <v>584</v>
      </c>
      <c r="B174" s="80" t="s">
        <v>583</v>
      </c>
      <c r="C174" s="80" t="s">
        <v>585</v>
      </c>
      <c r="D174" s="80" t="s">
        <v>6</v>
      </c>
      <c r="E174" s="82">
        <f t="shared" si="0"/>
        <v>1681380</v>
      </c>
    </row>
    <row r="175" spans="1:7" ht="73.400000000000006" outlineLevel="6" x14ac:dyDescent="0.25">
      <c r="A175" s="81" t="s">
        <v>11</v>
      </c>
      <c r="B175" s="80" t="s">
        <v>583</v>
      </c>
      <c r="C175" s="80" t="s">
        <v>585</v>
      </c>
      <c r="D175" s="80" t="s">
        <v>12</v>
      </c>
      <c r="E175" s="82">
        <f t="shared" si="0"/>
        <v>1681380</v>
      </c>
    </row>
    <row r="176" spans="1:7" ht="36.700000000000003" outlineLevel="6" x14ac:dyDescent="0.25">
      <c r="A176" s="81" t="s">
        <v>13</v>
      </c>
      <c r="B176" s="80" t="s">
        <v>583</v>
      </c>
      <c r="C176" s="80" t="s">
        <v>585</v>
      </c>
      <c r="D176" s="80" t="s">
        <v>14</v>
      </c>
      <c r="E176" s="82">
        <f>'прил 11 '!F166</f>
        <v>1681380</v>
      </c>
    </row>
    <row r="177" spans="1:7" ht="55.05" outlineLevel="6" x14ac:dyDescent="0.25">
      <c r="A177" s="113" t="s">
        <v>723</v>
      </c>
      <c r="B177" s="80" t="s">
        <v>583</v>
      </c>
      <c r="C177" s="80" t="s">
        <v>728</v>
      </c>
      <c r="D177" s="80" t="s">
        <v>6</v>
      </c>
      <c r="E177" s="82">
        <f>E178</f>
        <v>270000</v>
      </c>
    </row>
    <row r="178" spans="1:7" ht="73.400000000000006" outlineLevel="6" x14ac:dyDescent="0.25">
      <c r="A178" s="81" t="s">
        <v>11</v>
      </c>
      <c r="B178" s="80" t="s">
        <v>583</v>
      </c>
      <c r="C178" s="80" t="s">
        <v>728</v>
      </c>
      <c r="D178" s="80" t="s">
        <v>12</v>
      </c>
      <c r="E178" s="82">
        <f>E179</f>
        <v>270000</v>
      </c>
    </row>
    <row r="179" spans="1:7" ht="36.700000000000003" outlineLevel="6" x14ac:dyDescent="0.25">
      <c r="A179" s="81" t="s">
        <v>13</v>
      </c>
      <c r="B179" s="80" t="s">
        <v>583</v>
      </c>
      <c r="C179" s="80" t="s">
        <v>728</v>
      </c>
      <c r="D179" s="80" t="s">
        <v>14</v>
      </c>
      <c r="E179" s="82">
        <f>'прил 11 '!F169</f>
        <v>270000</v>
      </c>
    </row>
    <row r="180" spans="1:7" s="170" customFormat="1" ht="19.55" customHeight="1" x14ac:dyDescent="0.25">
      <c r="A180" s="81" t="s">
        <v>41</v>
      </c>
      <c r="B180" s="105" t="s">
        <v>42</v>
      </c>
      <c r="C180" s="105" t="s">
        <v>126</v>
      </c>
      <c r="D180" s="105" t="s">
        <v>6</v>
      </c>
      <c r="E180" s="128">
        <f>E181+E186</f>
        <v>805000</v>
      </c>
      <c r="G180" s="169">
        <f>E180/'прил 11 '!F715*100</f>
        <v>8.2463108185548223E-2</v>
      </c>
    </row>
    <row r="181" spans="1:7" ht="36.700000000000003" outlineLevel="1" x14ac:dyDescent="0.25">
      <c r="A181" s="81" t="s">
        <v>43</v>
      </c>
      <c r="B181" s="80" t="s">
        <v>44</v>
      </c>
      <c r="C181" s="80" t="s">
        <v>126</v>
      </c>
      <c r="D181" s="80" t="s">
        <v>6</v>
      </c>
      <c r="E181" s="82">
        <f>E182</f>
        <v>200000</v>
      </c>
    </row>
    <row r="182" spans="1:7" outlineLevel="3" x14ac:dyDescent="0.25">
      <c r="A182" s="81" t="s">
        <v>198</v>
      </c>
      <c r="B182" s="80" t="s">
        <v>44</v>
      </c>
      <c r="C182" s="80" t="s">
        <v>127</v>
      </c>
      <c r="D182" s="80" t="s">
        <v>6</v>
      </c>
      <c r="E182" s="82">
        <f>E183</f>
        <v>200000</v>
      </c>
    </row>
    <row r="183" spans="1:7" ht="19.55" customHeight="1" outlineLevel="4" x14ac:dyDescent="0.25">
      <c r="A183" s="81" t="s">
        <v>45</v>
      </c>
      <c r="B183" s="80" t="s">
        <v>44</v>
      </c>
      <c r="C183" s="80" t="s">
        <v>133</v>
      </c>
      <c r="D183" s="80" t="s">
        <v>6</v>
      </c>
      <c r="E183" s="82">
        <f>E184</f>
        <v>200000</v>
      </c>
    </row>
    <row r="184" spans="1:7" ht="17.5" customHeight="1" outlineLevel="5" x14ac:dyDescent="0.25">
      <c r="A184" s="81" t="s">
        <v>15</v>
      </c>
      <c r="B184" s="80" t="s">
        <v>44</v>
      </c>
      <c r="C184" s="80" t="s">
        <v>133</v>
      </c>
      <c r="D184" s="80" t="s">
        <v>16</v>
      </c>
      <c r="E184" s="82">
        <f>E185</f>
        <v>200000</v>
      </c>
    </row>
    <row r="185" spans="1:7" ht="18.7" customHeight="1" outlineLevel="6" x14ac:dyDescent="0.25">
      <c r="A185" s="81" t="s">
        <v>17</v>
      </c>
      <c r="B185" s="80" t="s">
        <v>44</v>
      </c>
      <c r="C185" s="80" t="s">
        <v>133</v>
      </c>
      <c r="D185" s="80" t="s">
        <v>18</v>
      </c>
      <c r="E185" s="82">
        <f>'прил 11 '!F175</f>
        <v>200000</v>
      </c>
    </row>
    <row r="186" spans="1:7" outlineLevel="6" x14ac:dyDescent="0.25">
      <c r="A186" s="81" t="s">
        <v>504</v>
      </c>
      <c r="B186" s="80" t="s">
        <v>505</v>
      </c>
      <c r="C186" s="80" t="s">
        <v>126</v>
      </c>
      <c r="D186" s="80" t="s">
        <v>6</v>
      </c>
      <c r="E186" s="82">
        <f>E187</f>
        <v>605000</v>
      </c>
    </row>
    <row r="187" spans="1:7" ht="36.700000000000003" outlineLevel="6" x14ac:dyDescent="0.25">
      <c r="A187" s="81" t="s">
        <v>132</v>
      </c>
      <c r="B187" s="80" t="s">
        <v>505</v>
      </c>
      <c r="C187" s="80" t="s">
        <v>127</v>
      </c>
      <c r="D187" s="80" t="s">
        <v>6</v>
      </c>
      <c r="E187" s="82">
        <f>E188</f>
        <v>605000</v>
      </c>
    </row>
    <row r="188" spans="1:7" ht="36.700000000000003" outlineLevel="6" x14ac:dyDescent="0.25">
      <c r="A188" s="81" t="s">
        <v>506</v>
      </c>
      <c r="B188" s="80" t="s">
        <v>505</v>
      </c>
      <c r="C188" s="80" t="s">
        <v>685</v>
      </c>
      <c r="D188" s="80" t="s">
        <v>6</v>
      </c>
      <c r="E188" s="82">
        <f>E189</f>
        <v>605000</v>
      </c>
    </row>
    <row r="189" spans="1:7" ht="36.700000000000003" outlineLevel="6" x14ac:dyDescent="0.25">
      <c r="A189" s="81" t="s">
        <v>15</v>
      </c>
      <c r="B189" s="80" t="s">
        <v>505</v>
      </c>
      <c r="C189" s="80" t="s">
        <v>685</v>
      </c>
      <c r="D189" s="80" t="s">
        <v>16</v>
      </c>
      <c r="E189" s="82">
        <f>E190</f>
        <v>605000</v>
      </c>
    </row>
    <row r="190" spans="1:7" ht="36.700000000000003" outlineLevel="6" x14ac:dyDescent="0.25">
      <c r="A190" s="81" t="s">
        <v>17</v>
      </c>
      <c r="B190" s="80" t="s">
        <v>505</v>
      </c>
      <c r="C190" s="80" t="s">
        <v>685</v>
      </c>
      <c r="D190" s="80" t="s">
        <v>18</v>
      </c>
      <c r="E190" s="82">
        <f>'прил 11 '!F180</f>
        <v>605000</v>
      </c>
    </row>
    <row r="191" spans="1:7" s="170" customFormat="1" x14ac:dyDescent="0.25">
      <c r="A191" s="81" t="s">
        <v>119</v>
      </c>
      <c r="B191" s="105" t="s">
        <v>46</v>
      </c>
      <c r="C191" s="105" t="s">
        <v>126</v>
      </c>
      <c r="D191" s="105" t="s">
        <v>6</v>
      </c>
      <c r="E191" s="128">
        <f>E192+E198+E209+E221</f>
        <v>15218133.93</v>
      </c>
      <c r="G191" s="169">
        <f>E191/'прил 11 '!F715*100</f>
        <v>1.5589249995673937</v>
      </c>
    </row>
    <row r="192" spans="1:7" s="170" customFormat="1" x14ac:dyDescent="0.25">
      <c r="A192" s="81" t="s">
        <v>121</v>
      </c>
      <c r="B192" s="80" t="s">
        <v>122</v>
      </c>
      <c r="C192" s="80" t="s">
        <v>126</v>
      </c>
      <c r="D192" s="80" t="s">
        <v>6</v>
      </c>
      <c r="E192" s="82">
        <f>E193</f>
        <v>1122746.8500000001</v>
      </c>
    </row>
    <row r="193" spans="1:5" s="170" customFormat="1" x14ac:dyDescent="0.25">
      <c r="A193" s="81" t="s">
        <v>198</v>
      </c>
      <c r="B193" s="80" t="s">
        <v>122</v>
      </c>
      <c r="C193" s="80" t="s">
        <v>127</v>
      </c>
      <c r="D193" s="80" t="s">
        <v>6</v>
      </c>
      <c r="E193" s="82">
        <f>E194</f>
        <v>1122746.8500000001</v>
      </c>
    </row>
    <row r="194" spans="1:5" s="170" customFormat="1" x14ac:dyDescent="0.25">
      <c r="A194" s="81" t="s">
        <v>277</v>
      </c>
      <c r="B194" s="80" t="s">
        <v>122</v>
      </c>
      <c r="C194" s="80" t="s">
        <v>276</v>
      </c>
      <c r="D194" s="80" t="s">
        <v>6</v>
      </c>
      <c r="E194" s="82">
        <f>E195</f>
        <v>1122746.8500000001</v>
      </c>
    </row>
    <row r="195" spans="1:5" s="170" customFormat="1" ht="55.55" customHeight="1" x14ac:dyDescent="0.25">
      <c r="A195" s="113" t="s">
        <v>383</v>
      </c>
      <c r="B195" s="80" t="s">
        <v>122</v>
      </c>
      <c r="C195" s="80" t="s">
        <v>286</v>
      </c>
      <c r="D195" s="80" t="s">
        <v>6</v>
      </c>
      <c r="E195" s="82">
        <f>E196</f>
        <v>1122746.8500000001</v>
      </c>
    </row>
    <row r="196" spans="1:5" s="170" customFormat="1" ht="18.7" customHeight="1" x14ac:dyDescent="0.25">
      <c r="A196" s="81" t="s">
        <v>15</v>
      </c>
      <c r="B196" s="80" t="s">
        <v>122</v>
      </c>
      <c r="C196" s="80" t="s">
        <v>286</v>
      </c>
      <c r="D196" s="80" t="s">
        <v>16</v>
      </c>
      <c r="E196" s="82">
        <f>E197</f>
        <v>1122746.8500000001</v>
      </c>
    </row>
    <row r="197" spans="1:5" s="170" customFormat="1" ht="18" customHeight="1" x14ac:dyDescent="0.25">
      <c r="A197" s="81" t="s">
        <v>17</v>
      </c>
      <c r="B197" s="80" t="s">
        <v>122</v>
      </c>
      <c r="C197" s="80" t="s">
        <v>286</v>
      </c>
      <c r="D197" s="80" t="s">
        <v>18</v>
      </c>
      <c r="E197" s="82">
        <f>'прил 11 '!F187</f>
        <v>1122746.8500000001</v>
      </c>
    </row>
    <row r="198" spans="1:5" s="170" customFormat="1" x14ac:dyDescent="0.25">
      <c r="A198" s="81" t="s">
        <v>290</v>
      </c>
      <c r="B198" s="80" t="s">
        <v>291</v>
      </c>
      <c r="C198" s="80" t="s">
        <v>126</v>
      </c>
      <c r="D198" s="80" t="s">
        <v>6</v>
      </c>
      <c r="E198" s="82">
        <f>E199+E206</f>
        <v>103387.08</v>
      </c>
    </row>
    <row r="199" spans="1:5" s="170" customFormat="1" ht="21.25" customHeight="1" x14ac:dyDescent="0.25">
      <c r="A199" s="81" t="s">
        <v>132</v>
      </c>
      <c r="B199" s="80" t="s">
        <v>291</v>
      </c>
      <c r="C199" s="80" t="s">
        <v>127</v>
      </c>
      <c r="D199" s="80" t="s">
        <v>6</v>
      </c>
      <c r="E199" s="82">
        <f>E200</f>
        <v>3387.08</v>
      </c>
    </row>
    <row r="200" spans="1:5" s="170" customFormat="1" x14ac:dyDescent="0.25">
      <c r="A200" s="81" t="s">
        <v>277</v>
      </c>
      <c r="B200" s="80" t="s">
        <v>291</v>
      </c>
      <c r="C200" s="80" t="s">
        <v>276</v>
      </c>
      <c r="D200" s="80" t="s">
        <v>6</v>
      </c>
      <c r="E200" s="82">
        <f>E201</f>
        <v>3387.08</v>
      </c>
    </row>
    <row r="201" spans="1:5" s="170" customFormat="1" ht="76.75" customHeight="1" x14ac:dyDescent="0.25">
      <c r="A201" s="100" t="s">
        <v>385</v>
      </c>
      <c r="B201" s="80" t="s">
        <v>291</v>
      </c>
      <c r="C201" s="80" t="s">
        <v>384</v>
      </c>
      <c r="D201" s="80" t="s">
        <v>6</v>
      </c>
      <c r="E201" s="82">
        <f>E202</f>
        <v>3387.08</v>
      </c>
    </row>
    <row r="202" spans="1:5" s="170" customFormat="1" ht="17.5" customHeight="1" x14ac:dyDescent="0.25">
      <c r="A202" s="81" t="s">
        <v>15</v>
      </c>
      <c r="B202" s="80" t="s">
        <v>291</v>
      </c>
      <c r="C202" s="80" t="s">
        <v>384</v>
      </c>
      <c r="D202" s="80" t="s">
        <v>16</v>
      </c>
      <c r="E202" s="82">
        <f>E203</f>
        <v>3387.08</v>
      </c>
    </row>
    <row r="203" spans="1:5" s="170" customFormat="1" ht="21.25" customHeight="1" x14ac:dyDescent="0.25">
      <c r="A203" s="81" t="s">
        <v>17</v>
      </c>
      <c r="B203" s="80" t="s">
        <v>291</v>
      </c>
      <c r="C203" s="80" t="s">
        <v>384</v>
      </c>
      <c r="D203" s="80" t="s">
        <v>18</v>
      </c>
      <c r="E203" s="82">
        <f>'прил 11 '!F193</f>
        <v>3387.08</v>
      </c>
    </row>
    <row r="204" spans="1:5" s="170" customFormat="1" ht="58.75" customHeight="1" x14ac:dyDescent="0.25">
      <c r="A204" s="109" t="s">
        <v>821</v>
      </c>
      <c r="B204" s="80" t="s">
        <v>291</v>
      </c>
      <c r="C204" s="80" t="s">
        <v>320</v>
      </c>
      <c r="D204" s="83" t="s">
        <v>6</v>
      </c>
      <c r="E204" s="82">
        <f>E205</f>
        <v>100000</v>
      </c>
    </row>
    <row r="205" spans="1:5" s="170" customFormat="1" ht="41.95" customHeight="1" x14ac:dyDescent="0.25">
      <c r="A205" s="81" t="s">
        <v>808</v>
      </c>
      <c r="B205" s="80" t="s">
        <v>291</v>
      </c>
      <c r="C205" s="80" t="s">
        <v>809</v>
      </c>
      <c r="D205" s="83" t="s">
        <v>6</v>
      </c>
      <c r="E205" s="82">
        <f>E206</f>
        <v>100000</v>
      </c>
    </row>
    <row r="206" spans="1:5" s="170" customFormat="1" ht="97.5" customHeight="1" x14ac:dyDescent="0.25">
      <c r="A206" s="81" t="s">
        <v>811</v>
      </c>
      <c r="B206" s="80" t="s">
        <v>291</v>
      </c>
      <c r="C206" s="80" t="s">
        <v>810</v>
      </c>
      <c r="D206" s="83" t="s">
        <v>6</v>
      </c>
      <c r="E206" s="82">
        <f>E207</f>
        <v>100000</v>
      </c>
    </row>
    <row r="207" spans="1:5" s="170" customFormat="1" ht="40.75" customHeight="1" x14ac:dyDescent="0.25">
      <c r="A207" s="81" t="s">
        <v>772</v>
      </c>
      <c r="B207" s="80" t="s">
        <v>291</v>
      </c>
      <c r="C207" s="80" t="s">
        <v>810</v>
      </c>
      <c r="D207" s="83" t="s">
        <v>20</v>
      </c>
      <c r="E207" s="82">
        <f>E208</f>
        <v>100000</v>
      </c>
    </row>
    <row r="208" spans="1:5" s="170" customFormat="1" ht="56.25" customHeight="1" x14ac:dyDescent="0.25">
      <c r="A208" s="81" t="s">
        <v>47</v>
      </c>
      <c r="B208" s="80" t="s">
        <v>291</v>
      </c>
      <c r="C208" s="80" t="s">
        <v>810</v>
      </c>
      <c r="D208" s="83" t="s">
        <v>48</v>
      </c>
      <c r="E208" s="82">
        <f>'прил 11 '!F198</f>
        <v>100000</v>
      </c>
    </row>
    <row r="209" spans="1:5" outlineLevel="6" x14ac:dyDescent="0.25">
      <c r="A209" s="81" t="s">
        <v>49</v>
      </c>
      <c r="B209" s="80" t="s">
        <v>50</v>
      </c>
      <c r="C209" s="80" t="s">
        <v>126</v>
      </c>
      <c r="D209" s="80" t="s">
        <v>6</v>
      </c>
      <c r="E209" s="82">
        <f>E210</f>
        <v>13057000</v>
      </c>
    </row>
    <row r="210" spans="1:5" ht="59.95" customHeight="1" outlineLevel="6" x14ac:dyDescent="0.25">
      <c r="A210" s="109" t="s">
        <v>850</v>
      </c>
      <c r="B210" s="110" t="s">
        <v>50</v>
      </c>
      <c r="C210" s="110" t="s">
        <v>335</v>
      </c>
      <c r="D210" s="110" t="s">
        <v>6</v>
      </c>
      <c r="E210" s="82">
        <f>E211</f>
        <v>13057000</v>
      </c>
    </row>
    <row r="211" spans="1:5" ht="41.95" customHeight="1" outlineLevel="6" x14ac:dyDescent="0.25">
      <c r="A211" s="81" t="s">
        <v>336</v>
      </c>
      <c r="B211" s="80" t="s">
        <v>50</v>
      </c>
      <c r="C211" s="80" t="s">
        <v>337</v>
      </c>
      <c r="D211" s="80" t="s">
        <v>6</v>
      </c>
      <c r="E211" s="82">
        <f>E212+E215+E218</f>
        <v>13057000</v>
      </c>
    </row>
    <row r="212" spans="1:5" ht="39.75" customHeight="1" outlineLevel="6" x14ac:dyDescent="0.25">
      <c r="A212" s="119" t="s">
        <v>729</v>
      </c>
      <c r="B212" s="80" t="s">
        <v>50</v>
      </c>
      <c r="C212" s="80" t="s">
        <v>339</v>
      </c>
      <c r="D212" s="80" t="s">
        <v>6</v>
      </c>
      <c r="E212" s="82">
        <f>E213</f>
        <v>13057000</v>
      </c>
    </row>
    <row r="213" spans="1:5" ht="18" customHeight="1" outlineLevel="6" x14ac:dyDescent="0.25">
      <c r="A213" s="81" t="s">
        <v>15</v>
      </c>
      <c r="B213" s="80" t="s">
        <v>50</v>
      </c>
      <c r="C213" s="80" t="s">
        <v>339</v>
      </c>
      <c r="D213" s="80" t="s">
        <v>16</v>
      </c>
      <c r="E213" s="82">
        <f>E214</f>
        <v>13057000</v>
      </c>
    </row>
    <row r="214" spans="1:5" ht="17.5" customHeight="1" outlineLevel="6" x14ac:dyDescent="0.25">
      <c r="A214" s="81" t="s">
        <v>17</v>
      </c>
      <c r="B214" s="80" t="s">
        <v>50</v>
      </c>
      <c r="C214" s="80" t="s">
        <v>339</v>
      </c>
      <c r="D214" s="80" t="s">
        <v>18</v>
      </c>
      <c r="E214" s="82">
        <f>'прил 11 '!F204</f>
        <v>13057000</v>
      </c>
    </row>
    <row r="215" spans="1:5" ht="73.400000000000006" outlineLevel="6" x14ac:dyDescent="0.25">
      <c r="A215" s="81" t="s">
        <v>564</v>
      </c>
      <c r="B215" s="80" t="s">
        <v>50</v>
      </c>
      <c r="C215" s="80" t="s">
        <v>586</v>
      </c>
      <c r="D215" s="80" t="s">
        <v>6</v>
      </c>
      <c r="E215" s="82">
        <f>E216</f>
        <v>0</v>
      </c>
    </row>
    <row r="216" spans="1:5" ht="36.700000000000003" outlineLevel="6" x14ac:dyDescent="0.25">
      <c r="A216" s="81" t="s">
        <v>15</v>
      </c>
      <c r="B216" s="80" t="s">
        <v>50</v>
      </c>
      <c r="C216" s="80" t="s">
        <v>586</v>
      </c>
      <c r="D216" s="80" t="s">
        <v>16</v>
      </c>
      <c r="E216" s="82">
        <f>E217</f>
        <v>0</v>
      </c>
    </row>
    <row r="217" spans="1:5" ht="36.700000000000003" outlineLevel="6" x14ac:dyDescent="0.25">
      <c r="A217" s="81" t="s">
        <v>17</v>
      </c>
      <c r="B217" s="80" t="s">
        <v>50</v>
      </c>
      <c r="C217" s="80" t="s">
        <v>586</v>
      </c>
      <c r="D217" s="80" t="s">
        <v>18</v>
      </c>
      <c r="E217" s="82">
        <f>'прил 11 '!F207</f>
        <v>0</v>
      </c>
    </row>
    <row r="218" spans="1:5" ht="36.700000000000003" outlineLevel="6" x14ac:dyDescent="0.25">
      <c r="A218" s="81" t="s">
        <v>280</v>
      </c>
      <c r="B218" s="80" t="s">
        <v>50</v>
      </c>
      <c r="C218" s="80" t="s">
        <v>409</v>
      </c>
      <c r="D218" s="80" t="s">
        <v>6</v>
      </c>
      <c r="E218" s="82">
        <f>E219</f>
        <v>0</v>
      </c>
    </row>
    <row r="219" spans="1:5" ht="17.5" customHeight="1" outlineLevel="6" x14ac:dyDescent="0.25">
      <c r="A219" s="81" t="s">
        <v>15</v>
      </c>
      <c r="B219" s="80" t="s">
        <v>50</v>
      </c>
      <c r="C219" s="80" t="s">
        <v>409</v>
      </c>
      <c r="D219" s="80" t="s">
        <v>16</v>
      </c>
      <c r="E219" s="82">
        <f>E220</f>
        <v>0</v>
      </c>
    </row>
    <row r="220" spans="1:5" ht="21.25" customHeight="1" outlineLevel="6" x14ac:dyDescent="0.25">
      <c r="A220" s="81" t="s">
        <v>17</v>
      </c>
      <c r="B220" s="80" t="s">
        <v>50</v>
      </c>
      <c r="C220" s="80" t="s">
        <v>409</v>
      </c>
      <c r="D220" s="80" t="s">
        <v>18</v>
      </c>
      <c r="E220" s="82">
        <f>'прил 11 '!F210</f>
        <v>0</v>
      </c>
    </row>
    <row r="221" spans="1:5" outlineLevel="1" x14ac:dyDescent="0.25">
      <c r="A221" s="81" t="s">
        <v>52</v>
      </c>
      <c r="B221" s="80" t="s">
        <v>53</v>
      </c>
      <c r="C221" s="80" t="s">
        <v>126</v>
      </c>
      <c r="D221" s="80" t="s">
        <v>6</v>
      </c>
      <c r="E221" s="82">
        <f>E227+E222</f>
        <v>935000</v>
      </c>
    </row>
    <row r="222" spans="1:5" ht="55.05" outlineLevel="1" x14ac:dyDescent="0.25">
      <c r="A222" s="109" t="s">
        <v>856</v>
      </c>
      <c r="B222" s="80" t="s">
        <v>53</v>
      </c>
      <c r="C222" s="110" t="s">
        <v>412</v>
      </c>
      <c r="D222" s="110" t="s">
        <v>6</v>
      </c>
      <c r="E222" s="82">
        <f>E223</f>
        <v>100000</v>
      </c>
    </row>
    <row r="223" spans="1:5" ht="36.700000000000003" outlineLevel="1" x14ac:dyDescent="0.25">
      <c r="A223" s="81" t="s">
        <v>789</v>
      </c>
      <c r="B223" s="80" t="s">
        <v>53</v>
      </c>
      <c r="C223" s="80" t="s">
        <v>414</v>
      </c>
      <c r="D223" s="80" t="s">
        <v>6</v>
      </c>
      <c r="E223" s="82">
        <f>E224</f>
        <v>100000</v>
      </c>
    </row>
    <row r="224" spans="1:5" ht="84.25" customHeight="1" outlineLevel="1" x14ac:dyDescent="0.25">
      <c r="A224" s="81" t="s">
        <v>781</v>
      </c>
      <c r="B224" s="80" t="s">
        <v>53</v>
      </c>
      <c r="C224" s="80" t="s">
        <v>782</v>
      </c>
      <c r="D224" s="80" t="s">
        <v>6</v>
      </c>
      <c r="E224" s="82">
        <f>E225</f>
        <v>100000</v>
      </c>
    </row>
    <row r="225" spans="1:7" outlineLevel="1" x14ac:dyDescent="0.25">
      <c r="A225" s="81" t="s">
        <v>19</v>
      </c>
      <c r="B225" s="80" t="s">
        <v>53</v>
      </c>
      <c r="C225" s="80" t="s">
        <v>782</v>
      </c>
      <c r="D225" s="80" t="s">
        <v>20</v>
      </c>
      <c r="E225" s="82">
        <f>'прил 11 '!F216</f>
        <v>100000</v>
      </c>
    </row>
    <row r="226" spans="1:7" ht="55.05" outlineLevel="1" x14ac:dyDescent="0.25">
      <c r="A226" s="81" t="s">
        <v>47</v>
      </c>
      <c r="B226" s="80" t="s">
        <v>53</v>
      </c>
      <c r="C226" s="80" t="s">
        <v>782</v>
      </c>
      <c r="D226" s="80" t="s">
        <v>48</v>
      </c>
      <c r="E226" s="82">
        <f>'прил 11 '!F216</f>
        <v>100000</v>
      </c>
    </row>
    <row r="227" spans="1:7" ht="56.25" customHeight="1" outlineLevel="1" x14ac:dyDescent="0.25">
      <c r="A227" s="109" t="s">
        <v>848</v>
      </c>
      <c r="B227" s="110" t="s">
        <v>53</v>
      </c>
      <c r="C227" s="80" t="s">
        <v>340</v>
      </c>
      <c r="D227" s="80" t="s">
        <v>6</v>
      </c>
      <c r="E227" s="82">
        <f>E228+E232</f>
        <v>835000</v>
      </c>
    </row>
    <row r="228" spans="1:7" ht="43.5" customHeight="1" outlineLevel="1" x14ac:dyDescent="0.25">
      <c r="A228" s="81" t="s">
        <v>386</v>
      </c>
      <c r="B228" s="80" t="s">
        <v>53</v>
      </c>
      <c r="C228" s="80" t="s">
        <v>341</v>
      </c>
      <c r="D228" s="80" t="s">
        <v>6</v>
      </c>
      <c r="E228" s="82">
        <f>E229</f>
        <v>235000</v>
      </c>
    </row>
    <row r="229" spans="1:7" ht="24.8" customHeight="1" outlineLevel="1" x14ac:dyDescent="0.25">
      <c r="A229" s="81" t="s">
        <v>342</v>
      </c>
      <c r="B229" s="80" t="s">
        <v>53</v>
      </c>
      <c r="C229" s="80" t="s">
        <v>343</v>
      </c>
      <c r="D229" s="80" t="s">
        <v>6</v>
      </c>
      <c r="E229" s="82">
        <f>E230</f>
        <v>235000</v>
      </c>
    </row>
    <row r="230" spans="1:7" ht="16.5" customHeight="1" outlineLevel="1" x14ac:dyDescent="0.25">
      <c r="A230" s="81" t="s">
        <v>15</v>
      </c>
      <c r="B230" s="80" t="s">
        <v>53</v>
      </c>
      <c r="C230" s="80" t="s">
        <v>343</v>
      </c>
      <c r="D230" s="80" t="s">
        <v>16</v>
      </c>
      <c r="E230" s="82">
        <f>E231</f>
        <v>235000</v>
      </c>
    </row>
    <row r="231" spans="1:7" ht="19.55" customHeight="1" outlineLevel="1" x14ac:dyDescent="0.25">
      <c r="A231" s="81" t="s">
        <v>17</v>
      </c>
      <c r="B231" s="80" t="s">
        <v>53</v>
      </c>
      <c r="C231" s="80" t="s">
        <v>343</v>
      </c>
      <c r="D231" s="80" t="s">
        <v>18</v>
      </c>
      <c r="E231" s="82">
        <f>'прил 11 '!F221</f>
        <v>235000</v>
      </c>
    </row>
    <row r="232" spans="1:7" ht="37.549999999999997" customHeight="1" outlineLevel="4" x14ac:dyDescent="0.25">
      <c r="A232" s="113" t="s">
        <v>388</v>
      </c>
      <c r="B232" s="80" t="s">
        <v>53</v>
      </c>
      <c r="C232" s="80" t="s">
        <v>387</v>
      </c>
      <c r="D232" s="80" t="s">
        <v>6</v>
      </c>
      <c r="E232" s="82">
        <f>E233</f>
        <v>600000</v>
      </c>
    </row>
    <row r="233" spans="1:7" ht="26.5" customHeight="1" outlineLevel="5" x14ac:dyDescent="0.25">
      <c r="A233" s="81" t="s">
        <v>344</v>
      </c>
      <c r="B233" s="80" t="s">
        <v>53</v>
      </c>
      <c r="C233" s="80" t="s">
        <v>417</v>
      </c>
      <c r="D233" s="80" t="s">
        <v>6</v>
      </c>
      <c r="E233" s="82">
        <f>E234</f>
        <v>600000</v>
      </c>
    </row>
    <row r="234" spans="1:7" ht="18" customHeight="1" outlineLevel="6" x14ac:dyDescent="0.25">
      <c r="A234" s="81" t="s">
        <v>15</v>
      </c>
      <c r="B234" s="80" t="s">
        <v>53</v>
      </c>
      <c r="C234" s="80" t="s">
        <v>417</v>
      </c>
      <c r="D234" s="80" t="s">
        <v>16</v>
      </c>
      <c r="E234" s="82">
        <f>E235</f>
        <v>600000</v>
      </c>
    </row>
    <row r="235" spans="1:7" ht="21.25" customHeight="1" outlineLevel="6" x14ac:dyDescent="0.25">
      <c r="A235" s="81" t="s">
        <v>17</v>
      </c>
      <c r="B235" s="80" t="s">
        <v>53</v>
      </c>
      <c r="C235" s="80" t="s">
        <v>417</v>
      </c>
      <c r="D235" s="80" t="s">
        <v>18</v>
      </c>
      <c r="E235" s="82">
        <f>'прил 11 '!F225</f>
        <v>600000</v>
      </c>
    </row>
    <row r="236" spans="1:7" s="170" customFormat="1" x14ac:dyDescent="0.25">
      <c r="A236" s="81" t="s">
        <v>54</v>
      </c>
      <c r="B236" s="105" t="s">
        <v>55</v>
      </c>
      <c r="C236" s="105" t="s">
        <v>126</v>
      </c>
      <c r="D236" s="105" t="s">
        <v>6</v>
      </c>
      <c r="E236" s="128">
        <f>E237+E248+E286+E341</f>
        <v>60856185.18</v>
      </c>
      <c r="G236" s="169">
        <f>E236/'прил 11 '!F715*100</f>
        <v>6.2340250711280696</v>
      </c>
    </row>
    <row r="237" spans="1:7" s="170" customFormat="1" x14ac:dyDescent="0.25">
      <c r="A237" s="81" t="s">
        <v>56</v>
      </c>
      <c r="B237" s="80" t="s">
        <v>57</v>
      </c>
      <c r="C237" s="80" t="s">
        <v>126</v>
      </c>
      <c r="D237" s="80" t="s">
        <v>6</v>
      </c>
      <c r="E237" s="82">
        <f>E238+E243</f>
        <v>2500000</v>
      </c>
    </row>
    <row r="238" spans="1:7" s="170" customFormat="1" ht="36.700000000000003" customHeight="1" x14ac:dyDescent="0.25">
      <c r="A238" s="109" t="s">
        <v>847</v>
      </c>
      <c r="B238" s="110" t="s">
        <v>57</v>
      </c>
      <c r="C238" s="110" t="s">
        <v>331</v>
      </c>
      <c r="D238" s="110" t="s">
        <v>6</v>
      </c>
      <c r="E238" s="82">
        <f>E239</f>
        <v>2500000</v>
      </c>
    </row>
    <row r="239" spans="1:7" s="170" customFormat="1" ht="36.700000000000003" x14ac:dyDescent="0.25">
      <c r="A239" s="81" t="s">
        <v>345</v>
      </c>
      <c r="B239" s="80" t="s">
        <v>57</v>
      </c>
      <c r="C239" s="80" t="s">
        <v>332</v>
      </c>
      <c r="D239" s="80" t="s">
        <v>6</v>
      </c>
      <c r="E239" s="82">
        <f>E240</f>
        <v>2500000</v>
      </c>
    </row>
    <row r="240" spans="1:7" s="170" customFormat="1" x14ac:dyDescent="0.25">
      <c r="A240" s="81" t="s">
        <v>346</v>
      </c>
      <c r="B240" s="80" t="s">
        <v>57</v>
      </c>
      <c r="C240" s="80" t="s">
        <v>347</v>
      </c>
      <c r="D240" s="80" t="s">
        <v>6</v>
      </c>
      <c r="E240" s="82">
        <f>E241</f>
        <v>2500000</v>
      </c>
    </row>
    <row r="241" spans="1:5" s="170" customFormat="1" ht="17.5" customHeight="1" x14ac:dyDescent="0.25">
      <c r="A241" s="81" t="s">
        <v>15</v>
      </c>
      <c r="B241" s="80" t="s">
        <v>57</v>
      </c>
      <c r="C241" s="80" t="s">
        <v>347</v>
      </c>
      <c r="D241" s="80" t="s">
        <v>16</v>
      </c>
      <c r="E241" s="82">
        <f>E242</f>
        <v>2500000</v>
      </c>
    </row>
    <row r="242" spans="1:5" s="170" customFormat="1" ht="16.5" customHeight="1" x14ac:dyDescent="0.25">
      <c r="A242" s="81" t="s">
        <v>17</v>
      </c>
      <c r="B242" s="80" t="s">
        <v>57</v>
      </c>
      <c r="C242" s="80" t="s">
        <v>347</v>
      </c>
      <c r="D242" s="80" t="s">
        <v>18</v>
      </c>
      <c r="E242" s="82">
        <f>'прил 11 '!F232</f>
        <v>2500000</v>
      </c>
    </row>
    <row r="243" spans="1:5" s="170" customFormat="1" ht="36.700000000000003" x14ac:dyDescent="0.25">
      <c r="A243" s="81" t="s">
        <v>132</v>
      </c>
      <c r="B243" s="80" t="s">
        <v>57</v>
      </c>
      <c r="C243" s="80" t="s">
        <v>127</v>
      </c>
      <c r="D243" s="80" t="s">
        <v>6</v>
      </c>
      <c r="E243" s="82">
        <f>E244</f>
        <v>0</v>
      </c>
    </row>
    <row r="244" spans="1:5" s="170" customFormat="1" x14ac:dyDescent="0.25">
      <c r="A244" s="81" t="s">
        <v>277</v>
      </c>
      <c r="B244" s="80" t="s">
        <v>57</v>
      </c>
      <c r="C244" s="80" t="s">
        <v>276</v>
      </c>
      <c r="D244" s="80" t="s">
        <v>6</v>
      </c>
      <c r="E244" s="82">
        <f>E245</f>
        <v>0</v>
      </c>
    </row>
    <row r="245" spans="1:5" s="170" customFormat="1" ht="55.05" x14ac:dyDescent="0.25">
      <c r="A245" s="100" t="s">
        <v>381</v>
      </c>
      <c r="B245" s="80" t="s">
        <v>57</v>
      </c>
      <c r="C245" s="80" t="s">
        <v>507</v>
      </c>
      <c r="D245" s="80" t="s">
        <v>6</v>
      </c>
      <c r="E245" s="82">
        <f>E246</f>
        <v>0</v>
      </c>
    </row>
    <row r="246" spans="1:5" s="170" customFormat="1" ht="36.700000000000003" x14ac:dyDescent="0.25">
      <c r="A246" s="81" t="s">
        <v>15</v>
      </c>
      <c r="B246" s="80" t="s">
        <v>57</v>
      </c>
      <c r="C246" s="80" t="s">
        <v>507</v>
      </c>
      <c r="D246" s="80" t="s">
        <v>16</v>
      </c>
      <c r="E246" s="82">
        <f>E247</f>
        <v>0</v>
      </c>
    </row>
    <row r="247" spans="1:5" s="170" customFormat="1" ht="36.700000000000003" x14ac:dyDescent="0.25">
      <c r="A247" s="81" t="s">
        <v>17</v>
      </c>
      <c r="B247" s="80" t="s">
        <v>57</v>
      </c>
      <c r="C247" s="80" t="s">
        <v>507</v>
      </c>
      <c r="D247" s="80" t="s">
        <v>18</v>
      </c>
      <c r="E247" s="82">
        <v>0</v>
      </c>
    </row>
    <row r="248" spans="1:5" s="170" customFormat="1" x14ac:dyDescent="0.25">
      <c r="A248" s="81" t="s">
        <v>58</v>
      </c>
      <c r="B248" s="80" t="s">
        <v>59</v>
      </c>
      <c r="C248" s="80" t="s">
        <v>126</v>
      </c>
      <c r="D248" s="80" t="s">
        <v>6</v>
      </c>
      <c r="E248" s="82">
        <f>E249</f>
        <v>32060658</v>
      </c>
    </row>
    <row r="249" spans="1:5" s="170" customFormat="1" ht="39.25" customHeight="1" x14ac:dyDescent="0.25">
      <c r="A249" s="109" t="s">
        <v>845</v>
      </c>
      <c r="B249" s="110" t="s">
        <v>59</v>
      </c>
      <c r="C249" s="110" t="s">
        <v>134</v>
      </c>
      <c r="D249" s="110" t="s">
        <v>6</v>
      </c>
      <c r="E249" s="82">
        <f>E250+E276</f>
        <v>32060658</v>
      </c>
    </row>
    <row r="250" spans="1:5" s="170" customFormat="1" ht="55.05" x14ac:dyDescent="0.25">
      <c r="A250" s="81" t="s">
        <v>846</v>
      </c>
      <c r="B250" s="80" t="s">
        <v>59</v>
      </c>
      <c r="C250" s="80" t="s">
        <v>350</v>
      </c>
      <c r="D250" s="80" t="s">
        <v>6</v>
      </c>
      <c r="E250" s="82">
        <f>E251+E258+E261+E264+E267+E273+E270+E280+E283</f>
        <v>32060658</v>
      </c>
    </row>
    <row r="251" spans="1:5" s="170" customFormat="1" ht="54.7" customHeight="1" x14ac:dyDescent="0.25">
      <c r="A251" s="81" t="s">
        <v>60</v>
      </c>
      <c r="B251" s="80" t="s">
        <v>59</v>
      </c>
      <c r="C251" s="80" t="s">
        <v>351</v>
      </c>
      <c r="D251" s="80" t="s">
        <v>6</v>
      </c>
      <c r="E251" s="82">
        <f>E252+E256+E254</f>
        <v>11500000</v>
      </c>
    </row>
    <row r="252" spans="1:5" s="170" customFormat="1" ht="21.75" customHeight="1" x14ac:dyDescent="0.25">
      <c r="A252" s="81" t="s">
        <v>15</v>
      </c>
      <c r="B252" s="80" t="s">
        <v>59</v>
      </c>
      <c r="C252" s="80" t="s">
        <v>351</v>
      </c>
      <c r="D252" s="80" t="s">
        <v>16</v>
      </c>
      <c r="E252" s="82">
        <f>E253</f>
        <v>1500000</v>
      </c>
    </row>
    <row r="253" spans="1:5" s="170" customFormat="1" ht="21.75" customHeight="1" x14ac:dyDescent="0.25">
      <c r="A253" s="81" t="s">
        <v>17</v>
      </c>
      <c r="B253" s="80" t="s">
        <v>59</v>
      </c>
      <c r="C253" s="80" t="s">
        <v>351</v>
      </c>
      <c r="D253" s="80" t="s">
        <v>18</v>
      </c>
      <c r="E253" s="82">
        <f>'прил 11 '!F243</f>
        <v>1500000</v>
      </c>
    </row>
    <row r="254" spans="1:5" s="170" customFormat="1" ht="21.75" customHeight="1" x14ac:dyDescent="0.25">
      <c r="A254" s="81" t="s">
        <v>264</v>
      </c>
      <c r="B254" s="80" t="s">
        <v>59</v>
      </c>
      <c r="C254" s="80" t="s">
        <v>351</v>
      </c>
      <c r="D254" s="80" t="s">
        <v>265</v>
      </c>
      <c r="E254" s="82">
        <f>E255</f>
        <v>0</v>
      </c>
    </row>
    <row r="255" spans="1:5" s="170" customFormat="1" ht="21.75" customHeight="1" x14ac:dyDescent="0.25">
      <c r="A255" s="81" t="s">
        <v>266</v>
      </c>
      <c r="B255" s="80" t="s">
        <v>59</v>
      </c>
      <c r="C255" s="80" t="s">
        <v>351</v>
      </c>
      <c r="D255" s="80" t="s">
        <v>267</v>
      </c>
      <c r="E255" s="82">
        <f>'прил 11 '!F245</f>
        <v>0</v>
      </c>
    </row>
    <row r="256" spans="1:5" s="170" customFormat="1" ht="21.75" customHeight="1" x14ac:dyDescent="0.25">
      <c r="A256" s="81" t="s">
        <v>19</v>
      </c>
      <c r="B256" s="80" t="s">
        <v>59</v>
      </c>
      <c r="C256" s="80" t="s">
        <v>351</v>
      </c>
      <c r="D256" s="80" t="s">
        <v>20</v>
      </c>
      <c r="E256" s="82">
        <f>E257</f>
        <v>10000000</v>
      </c>
    </row>
    <row r="257" spans="1:5" s="170" customFormat="1" ht="59.95" customHeight="1" x14ac:dyDescent="0.25">
      <c r="A257" s="81" t="s">
        <v>47</v>
      </c>
      <c r="B257" s="80" t="s">
        <v>59</v>
      </c>
      <c r="C257" s="80" t="s">
        <v>351</v>
      </c>
      <c r="D257" s="80" t="s">
        <v>48</v>
      </c>
      <c r="E257" s="82">
        <f>'прил 11 '!F247</f>
        <v>10000000</v>
      </c>
    </row>
    <row r="258" spans="1:5" s="170" customFormat="1" ht="36.700000000000003" customHeight="1" x14ac:dyDescent="0.25">
      <c r="A258" s="81" t="s">
        <v>250</v>
      </c>
      <c r="B258" s="80" t="s">
        <v>59</v>
      </c>
      <c r="C258" s="80" t="s">
        <v>352</v>
      </c>
      <c r="D258" s="80" t="s">
        <v>6</v>
      </c>
      <c r="E258" s="82">
        <f>E259</f>
        <v>4400000</v>
      </c>
    </row>
    <row r="259" spans="1:5" s="170" customFormat="1" x14ac:dyDescent="0.25">
      <c r="A259" s="81" t="s">
        <v>19</v>
      </c>
      <c r="B259" s="80" t="s">
        <v>59</v>
      </c>
      <c r="C259" s="80" t="s">
        <v>352</v>
      </c>
      <c r="D259" s="80" t="s">
        <v>20</v>
      </c>
      <c r="E259" s="82">
        <f>E260</f>
        <v>4400000</v>
      </c>
    </row>
    <row r="260" spans="1:5" s="170" customFormat="1" ht="38.25" customHeight="1" x14ac:dyDescent="0.25">
      <c r="A260" s="81" t="s">
        <v>47</v>
      </c>
      <c r="B260" s="80" t="s">
        <v>59</v>
      </c>
      <c r="C260" s="80" t="s">
        <v>352</v>
      </c>
      <c r="D260" s="80" t="s">
        <v>48</v>
      </c>
      <c r="E260" s="82">
        <f>'прил 11 '!F250</f>
        <v>4400000</v>
      </c>
    </row>
    <row r="261" spans="1:5" s="170" customFormat="1" ht="36.700000000000003" x14ac:dyDescent="0.25">
      <c r="A261" s="81" t="s">
        <v>262</v>
      </c>
      <c r="B261" s="80" t="s">
        <v>59</v>
      </c>
      <c r="C261" s="80" t="s">
        <v>353</v>
      </c>
      <c r="D261" s="80" t="s">
        <v>6</v>
      </c>
      <c r="E261" s="82">
        <f>E262</f>
        <v>15439000</v>
      </c>
    </row>
    <row r="262" spans="1:5" s="170" customFormat="1" x14ac:dyDescent="0.25">
      <c r="A262" s="81" t="s">
        <v>19</v>
      </c>
      <c r="B262" s="80" t="s">
        <v>59</v>
      </c>
      <c r="C262" s="80" t="s">
        <v>353</v>
      </c>
      <c r="D262" s="80" t="s">
        <v>20</v>
      </c>
      <c r="E262" s="82">
        <f>E263</f>
        <v>15439000</v>
      </c>
    </row>
    <row r="263" spans="1:5" s="170" customFormat="1" ht="57.25" customHeight="1" x14ac:dyDescent="0.25">
      <c r="A263" s="81" t="s">
        <v>47</v>
      </c>
      <c r="B263" s="80" t="s">
        <v>59</v>
      </c>
      <c r="C263" s="80" t="s">
        <v>353</v>
      </c>
      <c r="D263" s="80" t="s">
        <v>48</v>
      </c>
      <c r="E263" s="82">
        <f>'прил 11 '!F253</f>
        <v>15439000</v>
      </c>
    </row>
    <row r="264" spans="1:5" s="170" customFormat="1" ht="20.25" customHeight="1" x14ac:dyDescent="0.25">
      <c r="A264" s="81" t="s">
        <v>299</v>
      </c>
      <c r="B264" s="80" t="s">
        <v>59</v>
      </c>
      <c r="C264" s="80" t="s">
        <v>390</v>
      </c>
      <c r="D264" s="80" t="s">
        <v>6</v>
      </c>
      <c r="E264" s="82">
        <f>E265</f>
        <v>0</v>
      </c>
    </row>
    <row r="265" spans="1:5" s="170" customFormat="1" ht="31.75" customHeight="1" x14ac:dyDescent="0.25">
      <c r="A265" s="81" t="s">
        <v>15</v>
      </c>
      <c r="B265" s="80" t="s">
        <v>59</v>
      </c>
      <c r="C265" s="80" t="s">
        <v>390</v>
      </c>
      <c r="D265" s="80" t="s">
        <v>16</v>
      </c>
      <c r="E265" s="82">
        <f>E266</f>
        <v>0</v>
      </c>
    </row>
    <row r="266" spans="1:5" s="170" customFormat="1" ht="35.5" customHeight="1" x14ac:dyDescent="0.25">
      <c r="A266" s="81" t="s">
        <v>17</v>
      </c>
      <c r="B266" s="80" t="s">
        <v>59</v>
      </c>
      <c r="C266" s="80" t="s">
        <v>390</v>
      </c>
      <c r="D266" s="80" t="s">
        <v>18</v>
      </c>
      <c r="E266" s="82">
        <v>0</v>
      </c>
    </row>
    <row r="267" spans="1:5" s="170" customFormat="1" ht="26.5" customHeight="1" x14ac:dyDescent="0.25">
      <c r="A267" s="81" t="s">
        <v>263</v>
      </c>
      <c r="B267" s="80" t="s">
        <v>59</v>
      </c>
      <c r="C267" s="80" t="s">
        <v>391</v>
      </c>
      <c r="D267" s="80" t="s">
        <v>6</v>
      </c>
      <c r="E267" s="82">
        <f>E268</f>
        <v>0</v>
      </c>
    </row>
    <row r="268" spans="1:5" s="170" customFormat="1" ht="22.75" customHeight="1" x14ac:dyDescent="0.25">
      <c r="A268" s="81" t="s">
        <v>15</v>
      </c>
      <c r="B268" s="80" t="s">
        <v>59</v>
      </c>
      <c r="C268" s="80" t="s">
        <v>391</v>
      </c>
      <c r="D268" s="80" t="s">
        <v>16</v>
      </c>
      <c r="E268" s="82">
        <f>E269</f>
        <v>0</v>
      </c>
    </row>
    <row r="269" spans="1:5" s="170" customFormat="1" ht="27.7" customHeight="1" x14ac:dyDescent="0.25">
      <c r="A269" s="81" t="s">
        <v>17</v>
      </c>
      <c r="B269" s="80" t="s">
        <v>59</v>
      </c>
      <c r="C269" s="80" t="s">
        <v>391</v>
      </c>
      <c r="D269" s="80" t="s">
        <v>18</v>
      </c>
      <c r="E269" s="82">
        <v>0</v>
      </c>
    </row>
    <row r="270" spans="1:5" s="170" customFormat="1" ht="31.75" customHeight="1" x14ac:dyDescent="0.25">
      <c r="A270" s="81" t="s">
        <v>707</v>
      </c>
      <c r="B270" s="80" t="s">
        <v>59</v>
      </c>
      <c r="C270" s="80" t="s">
        <v>708</v>
      </c>
      <c r="D270" s="80" t="s">
        <v>6</v>
      </c>
      <c r="E270" s="82">
        <f>E271</f>
        <v>0</v>
      </c>
    </row>
    <row r="271" spans="1:5" s="170" customFormat="1" ht="30.75" customHeight="1" x14ac:dyDescent="0.25">
      <c r="A271" s="81" t="s">
        <v>15</v>
      </c>
      <c r="B271" s="80" t="s">
        <v>59</v>
      </c>
      <c r="C271" s="80" t="s">
        <v>708</v>
      </c>
      <c r="D271" s="80" t="s">
        <v>16</v>
      </c>
      <c r="E271" s="82">
        <f>E272</f>
        <v>0</v>
      </c>
    </row>
    <row r="272" spans="1:5" s="170" customFormat="1" ht="38.25" customHeight="1" x14ac:dyDescent="0.25">
      <c r="A272" s="81" t="s">
        <v>17</v>
      </c>
      <c r="B272" s="80" t="s">
        <v>59</v>
      </c>
      <c r="C272" s="80" t="s">
        <v>708</v>
      </c>
      <c r="D272" s="80" t="s">
        <v>18</v>
      </c>
      <c r="E272" s="82">
        <v>0</v>
      </c>
    </row>
    <row r="273" spans="1:5" s="170" customFormat="1" ht="39.25" customHeight="1" x14ac:dyDescent="0.25">
      <c r="A273" s="81" t="s">
        <v>682</v>
      </c>
      <c r="B273" s="80" t="s">
        <v>59</v>
      </c>
      <c r="C273" s="80" t="s">
        <v>681</v>
      </c>
      <c r="D273" s="80" t="s">
        <v>6</v>
      </c>
      <c r="E273" s="82">
        <f>E274</f>
        <v>0</v>
      </c>
    </row>
    <row r="274" spans="1:5" s="170" customFormat="1" ht="28.55" customHeight="1" x14ac:dyDescent="0.25">
      <c r="A274" s="81" t="s">
        <v>15</v>
      </c>
      <c r="B274" s="80" t="s">
        <v>59</v>
      </c>
      <c r="C274" s="80" t="s">
        <v>681</v>
      </c>
      <c r="D274" s="80" t="s">
        <v>16</v>
      </c>
      <c r="E274" s="82">
        <f>E275</f>
        <v>0</v>
      </c>
    </row>
    <row r="275" spans="1:5" s="170" customFormat="1" ht="24.8" customHeight="1" x14ac:dyDescent="0.25">
      <c r="A275" s="81" t="s">
        <v>17</v>
      </c>
      <c r="B275" s="80" t="s">
        <v>59</v>
      </c>
      <c r="C275" s="80" t="s">
        <v>681</v>
      </c>
      <c r="D275" s="80" t="s">
        <v>18</v>
      </c>
      <c r="E275" s="82">
        <v>0</v>
      </c>
    </row>
    <row r="276" spans="1:5" s="170" customFormat="1" ht="27.7" customHeight="1" x14ac:dyDescent="0.25">
      <c r="A276" s="113" t="s">
        <v>455</v>
      </c>
      <c r="B276" s="80" t="s">
        <v>59</v>
      </c>
      <c r="C276" s="80" t="s">
        <v>700</v>
      </c>
      <c r="D276" s="80" t="s">
        <v>6</v>
      </c>
      <c r="E276" s="82">
        <f>E277</f>
        <v>0</v>
      </c>
    </row>
    <row r="277" spans="1:5" s="170" customFormat="1" ht="45" customHeight="1" x14ac:dyDescent="0.25">
      <c r="A277" s="81" t="s">
        <v>460</v>
      </c>
      <c r="B277" s="80" t="s">
        <v>59</v>
      </c>
      <c r="C277" s="80" t="s">
        <v>701</v>
      </c>
      <c r="D277" s="80" t="s">
        <v>6</v>
      </c>
      <c r="E277" s="82">
        <f>E278</f>
        <v>0</v>
      </c>
    </row>
    <row r="278" spans="1:5" s="170" customFormat="1" ht="40.75" customHeight="1" x14ac:dyDescent="0.25">
      <c r="A278" s="81" t="s">
        <v>264</v>
      </c>
      <c r="B278" s="80" t="s">
        <v>59</v>
      </c>
      <c r="C278" s="80" t="s">
        <v>701</v>
      </c>
      <c r="D278" s="80" t="s">
        <v>265</v>
      </c>
      <c r="E278" s="82">
        <f>E279</f>
        <v>0</v>
      </c>
    </row>
    <row r="279" spans="1:5" s="170" customFormat="1" ht="27.7" customHeight="1" x14ac:dyDescent="0.25">
      <c r="A279" s="81" t="s">
        <v>266</v>
      </c>
      <c r="B279" s="80" t="s">
        <v>59</v>
      </c>
      <c r="C279" s="80" t="s">
        <v>701</v>
      </c>
      <c r="D279" s="80" t="s">
        <v>267</v>
      </c>
      <c r="E279" s="82">
        <v>0</v>
      </c>
    </row>
    <row r="280" spans="1:5" s="170" customFormat="1" ht="26.5" customHeight="1" x14ac:dyDescent="0.25">
      <c r="A280" s="81" t="s">
        <v>460</v>
      </c>
      <c r="B280" s="80" t="s">
        <v>59</v>
      </c>
      <c r="C280" s="80" t="s">
        <v>390</v>
      </c>
      <c r="D280" s="83" t="s">
        <v>6</v>
      </c>
      <c r="E280" s="82">
        <f>E281</f>
        <v>521658</v>
      </c>
    </row>
    <row r="281" spans="1:5" s="170" customFormat="1" ht="25.5" customHeight="1" x14ac:dyDescent="0.25">
      <c r="A281" s="81" t="s">
        <v>264</v>
      </c>
      <c r="B281" s="80" t="s">
        <v>59</v>
      </c>
      <c r="C281" s="80" t="s">
        <v>390</v>
      </c>
      <c r="D281" s="83" t="s">
        <v>16</v>
      </c>
      <c r="E281" s="82">
        <f>E282</f>
        <v>521658</v>
      </c>
    </row>
    <row r="282" spans="1:5" s="170" customFormat="1" ht="26.5" customHeight="1" x14ac:dyDescent="0.25">
      <c r="A282" s="81" t="s">
        <v>266</v>
      </c>
      <c r="B282" s="80" t="s">
        <v>59</v>
      </c>
      <c r="C282" s="80" t="s">
        <v>390</v>
      </c>
      <c r="D282" s="83" t="s">
        <v>18</v>
      </c>
      <c r="E282" s="82">
        <f>'прил 11 '!F256</f>
        <v>521658</v>
      </c>
    </row>
    <row r="283" spans="1:5" s="170" customFormat="1" ht="36.700000000000003" customHeight="1" x14ac:dyDescent="0.25">
      <c r="A283" s="81" t="s">
        <v>263</v>
      </c>
      <c r="B283" s="80" t="s">
        <v>59</v>
      </c>
      <c r="C283" s="80" t="s">
        <v>391</v>
      </c>
      <c r="D283" s="83" t="s">
        <v>6</v>
      </c>
      <c r="E283" s="82">
        <f>E284</f>
        <v>200000</v>
      </c>
    </row>
    <row r="284" spans="1:5" s="170" customFormat="1" ht="36.700000000000003" customHeight="1" x14ac:dyDescent="0.25">
      <c r="A284" s="81" t="s">
        <v>15</v>
      </c>
      <c r="B284" s="80" t="s">
        <v>59</v>
      </c>
      <c r="C284" s="80" t="s">
        <v>391</v>
      </c>
      <c r="D284" s="83" t="s">
        <v>16</v>
      </c>
      <c r="E284" s="82">
        <f>E285</f>
        <v>200000</v>
      </c>
    </row>
    <row r="285" spans="1:5" s="170" customFormat="1" ht="36.700000000000003" customHeight="1" x14ac:dyDescent="0.25">
      <c r="A285" s="81" t="s">
        <v>17</v>
      </c>
      <c r="B285" s="80" t="s">
        <v>59</v>
      </c>
      <c r="C285" s="80" t="s">
        <v>391</v>
      </c>
      <c r="D285" s="83" t="s">
        <v>18</v>
      </c>
      <c r="E285" s="82">
        <f>'прил 11 '!F259</f>
        <v>200000</v>
      </c>
    </row>
    <row r="286" spans="1:5" s="170" customFormat="1" ht="24.8" customHeight="1" x14ac:dyDescent="0.25">
      <c r="A286" s="81" t="s">
        <v>61</v>
      </c>
      <c r="B286" s="80" t="s">
        <v>62</v>
      </c>
      <c r="C286" s="80" t="s">
        <v>126</v>
      </c>
      <c r="D286" s="80" t="s">
        <v>6</v>
      </c>
      <c r="E286" s="82">
        <f>E287+E301+E318</f>
        <v>23235707.259999998</v>
      </c>
    </row>
    <row r="287" spans="1:5" s="170" customFormat="1" ht="58.75" customHeight="1" x14ac:dyDescent="0.25">
      <c r="A287" s="109" t="s">
        <v>845</v>
      </c>
      <c r="B287" s="110" t="s">
        <v>62</v>
      </c>
      <c r="C287" s="110" t="s">
        <v>134</v>
      </c>
      <c r="D287" s="110" t="s">
        <v>6</v>
      </c>
      <c r="E287" s="82">
        <f>E288</f>
        <v>1068036.28</v>
      </c>
    </row>
    <row r="288" spans="1:5" s="170" customFormat="1" x14ac:dyDescent="0.25">
      <c r="A288" s="81" t="s">
        <v>354</v>
      </c>
      <c r="B288" s="80" t="s">
        <v>62</v>
      </c>
      <c r="C288" s="80" t="s">
        <v>232</v>
      </c>
      <c r="D288" s="80" t="s">
        <v>6</v>
      </c>
      <c r="E288" s="82">
        <f>E289+E295+E292+E298</f>
        <v>1068036.28</v>
      </c>
    </row>
    <row r="289" spans="1:5" s="170" customFormat="1" x14ac:dyDescent="0.25">
      <c r="A289" s="81" t="s">
        <v>360</v>
      </c>
      <c r="B289" s="80" t="s">
        <v>62</v>
      </c>
      <c r="C289" s="80" t="s">
        <v>461</v>
      </c>
      <c r="D289" s="80" t="s">
        <v>6</v>
      </c>
      <c r="E289" s="82">
        <f>E290</f>
        <v>400000</v>
      </c>
    </row>
    <row r="290" spans="1:5" s="170" customFormat="1" ht="16.5" customHeight="1" x14ac:dyDescent="0.25">
      <c r="A290" s="25" t="s">
        <v>15</v>
      </c>
      <c r="B290" s="80" t="s">
        <v>62</v>
      </c>
      <c r="C290" s="80" t="s">
        <v>461</v>
      </c>
      <c r="D290" s="80" t="s">
        <v>16</v>
      </c>
      <c r="E290" s="82">
        <f>E291</f>
        <v>400000</v>
      </c>
    </row>
    <row r="291" spans="1:5" s="170" customFormat="1" ht="20.25" customHeight="1" x14ac:dyDescent="0.25">
      <c r="A291" s="25" t="s">
        <v>17</v>
      </c>
      <c r="B291" s="80" t="s">
        <v>62</v>
      </c>
      <c r="C291" s="80" t="s">
        <v>461</v>
      </c>
      <c r="D291" s="80" t="s">
        <v>18</v>
      </c>
      <c r="E291" s="82">
        <f>'прил 11 '!F275</f>
        <v>400000</v>
      </c>
    </row>
    <row r="292" spans="1:5" s="170" customFormat="1" ht="45.7" customHeight="1" x14ac:dyDescent="0.25">
      <c r="A292" s="25" t="s">
        <v>767</v>
      </c>
      <c r="B292" s="80" t="s">
        <v>62</v>
      </c>
      <c r="C292" s="80" t="s">
        <v>766</v>
      </c>
      <c r="D292" s="83" t="s">
        <v>6</v>
      </c>
      <c r="E292" s="82">
        <f>E293</f>
        <v>168036.28000000003</v>
      </c>
    </row>
    <row r="293" spans="1:5" s="170" customFormat="1" ht="20.25" customHeight="1" x14ac:dyDescent="0.25">
      <c r="A293" s="25" t="s">
        <v>15</v>
      </c>
      <c r="B293" s="80" t="s">
        <v>62</v>
      </c>
      <c r="C293" s="80" t="s">
        <v>766</v>
      </c>
      <c r="D293" s="83" t="s">
        <v>16</v>
      </c>
      <c r="E293" s="82">
        <f>E294</f>
        <v>168036.28000000003</v>
      </c>
    </row>
    <row r="294" spans="1:5" s="170" customFormat="1" ht="20.25" customHeight="1" x14ac:dyDescent="0.25">
      <c r="A294" s="25" t="s">
        <v>17</v>
      </c>
      <c r="B294" s="80" t="s">
        <v>62</v>
      </c>
      <c r="C294" s="80" t="s">
        <v>766</v>
      </c>
      <c r="D294" s="83" t="s">
        <v>18</v>
      </c>
      <c r="E294" s="82">
        <f>'прил 11 '!F278</f>
        <v>168036.28000000003</v>
      </c>
    </row>
    <row r="295" spans="1:5" s="170" customFormat="1" ht="36.700000000000003" x14ac:dyDescent="0.25">
      <c r="A295" s="81" t="s">
        <v>63</v>
      </c>
      <c r="B295" s="80" t="s">
        <v>62</v>
      </c>
      <c r="C295" s="80" t="s">
        <v>355</v>
      </c>
      <c r="D295" s="80" t="s">
        <v>6</v>
      </c>
      <c r="E295" s="82">
        <f>E296</f>
        <v>500000</v>
      </c>
    </row>
    <row r="296" spans="1:5" s="170" customFormat="1" ht="16.5" customHeight="1" x14ac:dyDescent="0.25">
      <c r="A296" s="81" t="s">
        <v>15</v>
      </c>
      <c r="B296" s="80" t="s">
        <v>62</v>
      </c>
      <c r="C296" s="80" t="s">
        <v>355</v>
      </c>
      <c r="D296" s="80" t="s">
        <v>16</v>
      </c>
      <c r="E296" s="82">
        <f>E297</f>
        <v>500000</v>
      </c>
    </row>
    <row r="297" spans="1:5" s="170" customFormat="1" ht="21.75" customHeight="1" x14ac:dyDescent="0.25">
      <c r="A297" s="81" t="s">
        <v>17</v>
      </c>
      <c r="B297" s="80" t="s">
        <v>62</v>
      </c>
      <c r="C297" s="80" t="s">
        <v>355</v>
      </c>
      <c r="D297" s="80" t="s">
        <v>18</v>
      </c>
      <c r="E297" s="82">
        <f>'прил 11 '!F281</f>
        <v>500000</v>
      </c>
    </row>
    <row r="298" spans="1:5" s="170" customFormat="1" ht="38.049999999999997" customHeight="1" x14ac:dyDescent="0.25">
      <c r="A298" s="81" t="s">
        <v>948</v>
      </c>
      <c r="B298" s="80" t="s">
        <v>62</v>
      </c>
      <c r="C298" s="80" t="s">
        <v>949</v>
      </c>
      <c r="D298" s="80" t="s">
        <v>6</v>
      </c>
      <c r="E298" s="82">
        <f>E299</f>
        <v>0</v>
      </c>
    </row>
    <row r="299" spans="1:5" s="170" customFormat="1" ht="21.75" customHeight="1" x14ac:dyDescent="0.25">
      <c r="A299" s="81" t="s">
        <v>15</v>
      </c>
      <c r="B299" s="80" t="s">
        <v>62</v>
      </c>
      <c r="C299" s="80" t="s">
        <v>949</v>
      </c>
      <c r="D299" s="80" t="s">
        <v>16</v>
      </c>
      <c r="E299" s="82">
        <f>E300</f>
        <v>0</v>
      </c>
    </row>
    <row r="300" spans="1:5" s="170" customFormat="1" ht="21.75" customHeight="1" x14ac:dyDescent="0.25">
      <c r="A300" s="81" t="s">
        <v>17</v>
      </c>
      <c r="B300" s="80" t="s">
        <v>62</v>
      </c>
      <c r="C300" s="80" t="s">
        <v>949</v>
      </c>
      <c r="D300" s="80" t="s">
        <v>18</v>
      </c>
      <c r="E300" s="82">
        <f>'прил 11 '!F284</f>
        <v>0</v>
      </c>
    </row>
    <row r="301" spans="1:5" s="170" customFormat="1" ht="36.700000000000003" customHeight="1" x14ac:dyDescent="0.25">
      <c r="A301" s="109" t="s">
        <v>508</v>
      </c>
      <c r="B301" s="110" t="s">
        <v>62</v>
      </c>
      <c r="C301" s="110" t="s">
        <v>509</v>
      </c>
      <c r="D301" s="110" t="s">
        <v>6</v>
      </c>
      <c r="E301" s="82">
        <f>E302</f>
        <v>9214506.0600000005</v>
      </c>
    </row>
    <row r="302" spans="1:5" s="170" customFormat="1" ht="36.700000000000003" x14ac:dyDescent="0.25">
      <c r="A302" s="81" t="s">
        <v>510</v>
      </c>
      <c r="B302" s="80" t="s">
        <v>62</v>
      </c>
      <c r="C302" s="80" t="s">
        <v>511</v>
      </c>
      <c r="D302" s="80" t="s">
        <v>6</v>
      </c>
      <c r="E302" s="82">
        <f>E303+E306+E309+E315+E312</f>
        <v>9214506.0600000005</v>
      </c>
    </row>
    <row r="303" spans="1:5" s="170" customFormat="1" ht="38.25" customHeight="1" x14ac:dyDescent="0.25">
      <c r="A303" s="81" t="s">
        <v>512</v>
      </c>
      <c r="B303" s="80" t="s">
        <v>62</v>
      </c>
      <c r="C303" s="80" t="s">
        <v>513</v>
      </c>
      <c r="D303" s="80" t="s">
        <v>6</v>
      </c>
      <c r="E303" s="82">
        <f>E304</f>
        <v>2170900</v>
      </c>
    </row>
    <row r="304" spans="1:5" s="170" customFormat="1" ht="38.25" customHeight="1" x14ac:dyDescent="0.25">
      <c r="A304" s="81" t="s">
        <v>15</v>
      </c>
      <c r="B304" s="80" t="s">
        <v>62</v>
      </c>
      <c r="C304" s="80" t="s">
        <v>513</v>
      </c>
      <c r="D304" s="80" t="s">
        <v>16</v>
      </c>
      <c r="E304" s="82">
        <f>E305</f>
        <v>2170900</v>
      </c>
    </row>
    <row r="305" spans="1:9" s="170" customFormat="1" ht="38.25" customHeight="1" x14ac:dyDescent="0.25">
      <c r="A305" s="81" t="s">
        <v>17</v>
      </c>
      <c r="B305" s="80" t="s">
        <v>62</v>
      </c>
      <c r="C305" s="80" t="s">
        <v>513</v>
      </c>
      <c r="D305" s="80" t="s">
        <v>18</v>
      </c>
      <c r="E305" s="82">
        <f>'прил 11 '!F289</f>
        <v>2170900</v>
      </c>
    </row>
    <row r="306" spans="1:9" s="170" customFormat="1" ht="38.25" customHeight="1" x14ac:dyDescent="0.25">
      <c r="A306" s="81" t="s">
        <v>514</v>
      </c>
      <c r="B306" s="80" t="s">
        <v>62</v>
      </c>
      <c r="C306" s="80" t="s">
        <v>515</v>
      </c>
      <c r="D306" s="80" t="s">
        <v>6</v>
      </c>
      <c r="E306" s="82">
        <f>E307</f>
        <v>3348000</v>
      </c>
    </row>
    <row r="307" spans="1:9" s="170" customFormat="1" ht="38.25" customHeight="1" x14ac:dyDescent="0.25">
      <c r="A307" s="81" t="s">
        <v>15</v>
      </c>
      <c r="B307" s="80" t="s">
        <v>62</v>
      </c>
      <c r="C307" s="80" t="s">
        <v>515</v>
      </c>
      <c r="D307" s="80" t="s">
        <v>16</v>
      </c>
      <c r="E307" s="82">
        <f>E308</f>
        <v>3348000</v>
      </c>
      <c r="H307" s="170" t="s">
        <v>51</v>
      </c>
    </row>
    <row r="308" spans="1:9" s="170" customFormat="1" ht="38.25" customHeight="1" x14ac:dyDescent="0.25">
      <c r="A308" s="81" t="s">
        <v>17</v>
      </c>
      <c r="B308" s="80" t="s">
        <v>62</v>
      </c>
      <c r="C308" s="80" t="s">
        <v>515</v>
      </c>
      <c r="D308" s="80" t="s">
        <v>18</v>
      </c>
      <c r="E308" s="82">
        <f>'прил 11 '!F292</f>
        <v>3348000</v>
      </c>
    </row>
    <row r="309" spans="1:9" s="170" customFormat="1" ht="38.25" customHeight="1" x14ac:dyDescent="0.25">
      <c r="A309" s="81" t="s">
        <v>516</v>
      </c>
      <c r="B309" s="80" t="s">
        <v>62</v>
      </c>
      <c r="C309" s="80" t="s">
        <v>517</v>
      </c>
      <c r="D309" s="80" t="s">
        <v>6</v>
      </c>
      <c r="E309" s="82">
        <f>E310</f>
        <v>3635000</v>
      </c>
    </row>
    <row r="310" spans="1:9" s="170" customFormat="1" ht="38.25" customHeight="1" x14ac:dyDescent="0.25">
      <c r="A310" s="81" t="s">
        <v>15</v>
      </c>
      <c r="B310" s="80" t="s">
        <v>62</v>
      </c>
      <c r="C310" s="80" t="s">
        <v>517</v>
      </c>
      <c r="D310" s="80" t="s">
        <v>16</v>
      </c>
      <c r="E310" s="82">
        <f>E311</f>
        <v>3635000</v>
      </c>
      <c r="I310" s="170" t="s">
        <v>51</v>
      </c>
    </row>
    <row r="311" spans="1:9" s="170" customFormat="1" ht="18.7" customHeight="1" x14ac:dyDescent="0.25">
      <c r="A311" s="81" t="s">
        <v>17</v>
      </c>
      <c r="B311" s="80" t="s">
        <v>62</v>
      </c>
      <c r="C311" s="80" t="s">
        <v>517</v>
      </c>
      <c r="D311" s="80" t="s">
        <v>18</v>
      </c>
      <c r="E311" s="82">
        <f>'прил 11 '!F295</f>
        <v>3635000</v>
      </c>
    </row>
    <row r="312" spans="1:9" s="170" customFormat="1" ht="37.4" customHeight="1" x14ac:dyDescent="0.25">
      <c r="A312" s="81" t="s">
        <v>706</v>
      </c>
      <c r="B312" s="80" t="s">
        <v>62</v>
      </c>
      <c r="C312" s="80" t="s">
        <v>916</v>
      </c>
      <c r="D312" s="80" t="s">
        <v>6</v>
      </c>
      <c r="E312" s="82">
        <f>E313</f>
        <v>0</v>
      </c>
    </row>
    <row r="313" spans="1:9" s="170" customFormat="1" ht="18.7" customHeight="1" x14ac:dyDescent="0.25">
      <c r="A313" s="81" t="s">
        <v>15</v>
      </c>
      <c r="B313" s="80" t="s">
        <v>62</v>
      </c>
      <c r="C313" s="80" t="s">
        <v>916</v>
      </c>
      <c r="D313" s="80" t="s">
        <v>16</v>
      </c>
      <c r="E313" s="82">
        <f>E314</f>
        <v>0</v>
      </c>
    </row>
    <row r="314" spans="1:9" s="170" customFormat="1" ht="18.7" customHeight="1" x14ac:dyDescent="0.25">
      <c r="A314" s="81" t="s">
        <v>17</v>
      </c>
      <c r="B314" s="80" t="s">
        <v>62</v>
      </c>
      <c r="C314" s="80" t="s">
        <v>916</v>
      </c>
      <c r="D314" s="80" t="s">
        <v>18</v>
      </c>
      <c r="E314" s="82">
        <v>0</v>
      </c>
    </row>
    <row r="315" spans="1:9" s="170" customFormat="1" ht="43.5" customHeight="1" x14ac:dyDescent="0.25">
      <c r="A315" s="81" t="s">
        <v>682</v>
      </c>
      <c r="B315" s="80" t="s">
        <v>62</v>
      </c>
      <c r="C315" s="80" t="s">
        <v>874</v>
      </c>
      <c r="D315" s="80" t="s">
        <v>6</v>
      </c>
      <c r="E315" s="82">
        <f>E316</f>
        <v>60606.06</v>
      </c>
    </row>
    <row r="316" spans="1:9" s="170" customFormat="1" ht="21.25" customHeight="1" x14ac:dyDescent="0.25">
      <c r="A316" s="81" t="s">
        <v>15</v>
      </c>
      <c r="B316" s="80" t="s">
        <v>62</v>
      </c>
      <c r="C316" s="80" t="s">
        <v>874</v>
      </c>
      <c r="D316" s="80" t="s">
        <v>16</v>
      </c>
      <c r="E316" s="82">
        <f>E317</f>
        <v>60606.06</v>
      </c>
    </row>
    <row r="317" spans="1:9" s="170" customFormat="1" ht="47.25" customHeight="1" x14ac:dyDescent="0.25">
      <c r="A317" s="81" t="s">
        <v>17</v>
      </c>
      <c r="B317" s="80" t="s">
        <v>62</v>
      </c>
      <c r="C317" s="80" t="s">
        <v>874</v>
      </c>
      <c r="D317" s="80" t="s">
        <v>18</v>
      </c>
      <c r="E317" s="82">
        <f>62000-1393.94</f>
        <v>60606.06</v>
      </c>
    </row>
    <row r="318" spans="1:9" s="170" customFormat="1" ht="55.05" x14ac:dyDescent="0.25">
      <c r="A318" s="109" t="s">
        <v>518</v>
      </c>
      <c r="B318" s="110" t="s">
        <v>62</v>
      </c>
      <c r="C318" s="110" t="s">
        <v>519</v>
      </c>
      <c r="D318" s="110" t="s">
        <v>6</v>
      </c>
      <c r="E318" s="82">
        <f>E319+E327</f>
        <v>12953164.92</v>
      </c>
    </row>
    <row r="319" spans="1:9" s="170" customFormat="1" ht="55.05" x14ac:dyDescent="0.25">
      <c r="A319" s="109" t="s">
        <v>550</v>
      </c>
      <c r="B319" s="110" t="s">
        <v>62</v>
      </c>
      <c r="C319" s="110" t="s">
        <v>551</v>
      </c>
      <c r="D319" s="110" t="s">
        <v>6</v>
      </c>
      <c r="E319" s="82">
        <f>E320</f>
        <v>6970638.8700000001</v>
      </c>
    </row>
    <row r="320" spans="1:9" s="170" customFormat="1" ht="23.3" customHeight="1" x14ac:dyDescent="0.25">
      <c r="A320" s="81" t="s">
        <v>1128</v>
      </c>
      <c r="B320" s="80" t="s">
        <v>62</v>
      </c>
      <c r="C320" s="80" t="s">
        <v>552</v>
      </c>
      <c r="D320" s="80" t="s">
        <v>6</v>
      </c>
      <c r="E320" s="82">
        <f>E321+E324</f>
        <v>6970638.8700000001</v>
      </c>
    </row>
    <row r="321" spans="1:5" s="170" customFormat="1" ht="36.700000000000003" x14ac:dyDescent="0.25">
      <c r="A321" s="81" t="s">
        <v>548</v>
      </c>
      <c r="B321" s="80" t="s">
        <v>62</v>
      </c>
      <c r="C321" s="80" t="s">
        <v>553</v>
      </c>
      <c r="D321" s="80" t="s">
        <v>6</v>
      </c>
      <c r="E321" s="82">
        <f>E322</f>
        <v>6970638.8700000001</v>
      </c>
    </row>
    <row r="322" spans="1:5" s="170" customFormat="1" ht="36.700000000000003" x14ac:dyDescent="0.25">
      <c r="A322" s="81" t="s">
        <v>15</v>
      </c>
      <c r="B322" s="80" t="s">
        <v>62</v>
      </c>
      <c r="C322" s="80" t="s">
        <v>553</v>
      </c>
      <c r="D322" s="80" t="s">
        <v>16</v>
      </c>
      <c r="E322" s="82">
        <f>E323</f>
        <v>6970638.8700000001</v>
      </c>
    </row>
    <row r="323" spans="1:5" s="170" customFormat="1" ht="36.700000000000003" x14ac:dyDescent="0.25">
      <c r="A323" s="81" t="s">
        <v>17</v>
      </c>
      <c r="B323" s="80" t="s">
        <v>62</v>
      </c>
      <c r="C323" s="80" t="s">
        <v>553</v>
      </c>
      <c r="D323" s="80" t="s">
        <v>18</v>
      </c>
      <c r="E323" s="82">
        <f>'прил 11 '!F307</f>
        <v>6970638.8700000001</v>
      </c>
    </row>
    <row r="324" spans="1:5" s="170" customFormat="1" ht="36.700000000000003" x14ac:dyDescent="0.25">
      <c r="A324" s="25" t="s">
        <v>680</v>
      </c>
      <c r="B324" s="80" t="s">
        <v>62</v>
      </c>
      <c r="C324" s="80" t="s">
        <v>724</v>
      </c>
      <c r="D324" s="80" t="s">
        <v>6</v>
      </c>
      <c r="E324" s="82">
        <f>E325</f>
        <v>0</v>
      </c>
    </row>
    <row r="325" spans="1:5" s="170" customFormat="1" ht="36.700000000000003" x14ac:dyDescent="0.25">
      <c r="A325" s="81" t="s">
        <v>15</v>
      </c>
      <c r="B325" s="80" t="s">
        <v>62</v>
      </c>
      <c r="C325" s="80" t="s">
        <v>724</v>
      </c>
      <c r="D325" s="80" t="s">
        <v>16</v>
      </c>
      <c r="E325" s="82">
        <f>E326</f>
        <v>0</v>
      </c>
    </row>
    <row r="326" spans="1:5" s="170" customFormat="1" ht="36.700000000000003" x14ac:dyDescent="0.25">
      <c r="A326" s="81" t="s">
        <v>17</v>
      </c>
      <c r="B326" s="80" t="s">
        <v>62</v>
      </c>
      <c r="C326" s="80" t="s">
        <v>724</v>
      </c>
      <c r="D326" s="80" t="s">
        <v>18</v>
      </c>
      <c r="E326" s="82">
        <f>'прил 11 '!F310</f>
        <v>0</v>
      </c>
    </row>
    <row r="327" spans="1:5" s="170" customFormat="1" ht="36.700000000000003" x14ac:dyDescent="0.25">
      <c r="A327" s="121" t="s">
        <v>554</v>
      </c>
      <c r="B327" s="80" t="s">
        <v>62</v>
      </c>
      <c r="C327" s="110" t="s">
        <v>556</v>
      </c>
      <c r="D327" s="110" t="s">
        <v>6</v>
      </c>
      <c r="E327" s="82">
        <f>E328</f>
        <v>5982526.0499999998</v>
      </c>
    </row>
    <row r="328" spans="1:5" s="170" customFormat="1" ht="36.700000000000003" x14ac:dyDescent="0.25">
      <c r="A328" s="121" t="s">
        <v>555</v>
      </c>
      <c r="B328" s="80" t="s">
        <v>62</v>
      </c>
      <c r="C328" s="110" t="s">
        <v>557</v>
      </c>
      <c r="D328" s="110" t="s">
        <v>6</v>
      </c>
      <c r="E328" s="82">
        <f>E329+E332+E335+E338</f>
        <v>5982526.0499999998</v>
      </c>
    </row>
    <row r="329" spans="1:5" s="170" customFormat="1" ht="36.700000000000003" customHeight="1" x14ac:dyDescent="0.25">
      <c r="A329" s="25" t="s">
        <v>1125</v>
      </c>
      <c r="B329" s="80" t="s">
        <v>62</v>
      </c>
      <c r="C329" s="80" t="s">
        <v>587</v>
      </c>
      <c r="D329" s="80" t="s">
        <v>6</v>
      </c>
      <c r="E329" s="82">
        <f>E330</f>
        <v>5803050.2599999998</v>
      </c>
    </row>
    <row r="330" spans="1:5" s="170" customFormat="1" ht="36.700000000000003" x14ac:dyDescent="0.25">
      <c r="A330" s="81" t="s">
        <v>15</v>
      </c>
      <c r="B330" s="80" t="s">
        <v>62</v>
      </c>
      <c r="C330" s="80" t="s">
        <v>587</v>
      </c>
      <c r="D330" s="80" t="s">
        <v>16</v>
      </c>
      <c r="E330" s="82">
        <f>E331</f>
        <v>5803050.2599999998</v>
      </c>
    </row>
    <row r="331" spans="1:5" s="170" customFormat="1" ht="36.700000000000003" x14ac:dyDescent="0.25">
      <c r="A331" s="81" t="s">
        <v>17</v>
      </c>
      <c r="B331" s="80" t="s">
        <v>62</v>
      </c>
      <c r="C331" s="80" t="s">
        <v>587</v>
      </c>
      <c r="D331" s="80" t="s">
        <v>18</v>
      </c>
      <c r="E331" s="82">
        <f>'прил 11 '!F315</f>
        <v>5803050.2599999998</v>
      </c>
    </row>
    <row r="332" spans="1:5" s="170" customFormat="1" ht="55.05" x14ac:dyDescent="0.25">
      <c r="A332" s="25" t="s">
        <v>559</v>
      </c>
      <c r="B332" s="80" t="s">
        <v>62</v>
      </c>
      <c r="C332" s="80" t="s">
        <v>558</v>
      </c>
      <c r="D332" s="80" t="s">
        <v>6</v>
      </c>
      <c r="E332" s="82">
        <f>E333</f>
        <v>179475.78999999998</v>
      </c>
    </row>
    <row r="333" spans="1:5" s="170" customFormat="1" ht="36.700000000000003" x14ac:dyDescent="0.25">
      <c r="A333" s="81" t="s">
        <v>15</v>
      </c>
      <c r="B333" s="80" t="s">
        <v>62</v>
      </c>
      <c r="C333" s="80" t="s">
        <v>558</v>
      </c>
      <c r="D333" s="80" t="s">
        <v>16</v>
      </c>
      <c r="E333" s="82">
        <f>E334</f>
        <v>179475.78999999998</v>
      </c>
    </row>
    <row r="334" spans="1:5" s="170" customFormat="1" ht="36.700000000000003" x14ac:dyDescent="0.25">
      <c r="A334" s="81" t="s">
        <v>17</v>
      </c>
      <c r="B334" s="80" t="s">
        <v>62</v>
      </c>
      <c r="C334" s="80" t="s">
        <v>558</v>
      </c>
      <c r="D334" s="80" t="s">
        <v>18</v>
      </c>
      <c r="E334" s="82">
        <f>'прил 11 '!F318</f>
        <v>179475.78999999998</v>
      </c>
    </row>
    <row r="335" spans="1:5" s="170" customFormat="1" ht="36.700000000000003" x14ac:dyDescent="0.25">
      <c r="A335" s="81" t="s">
        <v>680</v>
      </c>
      <c r="B335" s="80" t="s">
        <v>62</v>
      </c>
      <c r="C335" s="80" t="s">
        <v>679</v>
      </c>
      <c r="D335" s="80" t="s">
        <v>6</v>
      </c>
      <c r="E335" s="82">
        <f>E336</f>
        <v>0</v>
      </c>
    </row>
    <row r="336" spans="1:5" s="170" customFormat="1" ht="36.700000000000003" x14ac:dyDescent="0.25">
      <c r="A336" s="81" t="s">
        <v>15</v>
      </c>
      <c r="B336" s="80" t="s">
        <v>62</v>
      </c>
      <c r="C336" s="80" t="s">
        <v>679</v>
      </c>
      <c r="D336" s="80" t="s">
        <v>16</v>
      </c>
      <c r="E336" s="82">
        <f>E337</f>
        <v>0</v>
      </c>
    </row>
    <row r="337" spans="1:7" s="170" customFormat="1" ht="36.700000000000003" customHeight="1" x14ac:dyDescent="0.25">
      <c r="A337" s="81" t="s">
        <v>17</v>
      </c>
      <c r="B337" s="80" t="s">
        <v>62</v>
      </c>
      <c r="C337" s="80" t="s">
        <v>679</v>
      </c>
      <c r="D337" s="80" t="s">
        <v>18</v>
      </c>
      <c r="E337" s="82">
        <f>'прил 11 '!F321</f>
        <v>0</v>
      </c>
    </row>
    <row r="338" spans="1:7" s="170" customFormat="1" ht="36.700000000000003" x14ac:dyDescent="0.25">
      <c r="A338" s="81" t="s">
        <v>682</v>
      </c>
      <c r="B338" s="80" t="s">
        <v>62</v>
      </c>
      <c r="C338" s="80" t="s">
        <v>765</v>
      </c>
      <c r="D338" s="80" t="s">
        <v>6</v>
      </c>
      <c r="E338" s="82">
        <f>E339</f>
        <v>0</v>
      </c>
    </row>
    <row r="339" spans="1:7" s="170" customFormat="1" ht="36.700000000000003" x14ac:dyDescent="0.25">
      <c r="A339" s="81" t="s">
        <v>15</v>
      </c>
      <c r="B339" s="80" t="s">
        <v>62</v>
      </c>
      <c r="C339" s="80" t="s">
        <v>765</v>
      </c>
      <c r="D339" s="80" t="s">
        <v>16</v>
      </c>
      <c r="E339" s="82">
        <f>E340</f>
        <v>0</v>
      </c>
    </row>
    <row r="340" spans="1:7" s="170" customFormat="1" ht="36.700000000000003" x14ac:dyDescent="0.25">
      <c r="A340" s="81" t="s">
        <v>17</v>
      </c>
      <c r="B340" s="80" t="s">
        <v>62</v>
      </c>
      <c r="C340" s="80" t="s">
        <v>765</v>
      </c>
      <c r="D340" s="80" t="s">
        <v>18</v>
      </c>
      <c r="E340" s="643"/>
    </row>
    <row r="341" spans="1:7" s="170" customFormat="1" x14ac:dyDescent="0.25">
      <c r="A341" s="81" t="s">
        <v>292</v>
      </c>
      <c r="B341" s="80" t="s">
        <v>293</v>
      </c>
      <c r="C341" s="80" t="s">
        <v>126</v>
      </c>
      <c r="D341" s="80" t="s">
        <v>6</v>
      </c>
      <c r="E341" s="82">
        <f>E342</f>
        <v>3059819.92</v>
      </c>
    </row>
    <row r="342" spans="1:7" s="170" customFormat="1" ht="55.05" x14ac:dyDescent="0.25">
      <c r="A342" s="109" t="s">
        <v>843</v>
      </c>
      <c r="B342" s="110" t="s">
        <v>293</v>
      </c>
      <c r="C342" s="110" t="s">
        <v>134</v>
      </c>
      <c r="D342" s="110" t="s">
        <v>6</v>
      </c>
      <c r="E342" s="82">
        <f>E343</f>
        <v>3059819.92</v>
      </c>
    </row>
    <row r="343" spans="1:7" s="170" customFormat="1" ht="36.700000000000003" x14ac:dyDescent="0.25">
      <c r="A343" s="81" t="s">
        <v>844</v>
      </c>
      <c r="B343" s="80" t="s">
        <v>293</v>
      </c>
      <c r="C343" s="80" t="s">
        <v>350</v>
      </c>
      <c r="D343" s="80" t="s">
        <v>6</v>
      </c>
      <c r="E343" s="82">
        <f>E344+E347</f>
        <v>3059819.92</v>
      </c>
    </row>
    <row r="344" spans="1:7" s="170" customFormat="1" ht="40.75" customHeight="1" x14ac:dyDescent="0.25">
      <c r="A344" s="100" t="s">
        <v>1090</v>
      </c>
      <c r="B344" s="80" t="s">
        <v>293</v>
      </c>
      <c r="C344" s="80" t="s">
        <v>588</v>
      </c>
      <c r="D344" s="80" t="s">
        <v>6</v>
      </c>
      <c r="E344" s="82">
        <f>E345</f>
        <v>2759819.92</v>
      </c>
    </row>
    <row r="345" spans="1:7" s="170" customFormat="1" x14ac:dyDescent="0.25">
      <c r="A345" s="81" t="s">
        <v>19</v>
      </c>
      <c r="B345" s="80" t="s">
        <v>293</v>
      </c>
      <c r="C345" s="80" t="s">
        <v>588</v>
      </c>
      <c r="D345" s="80" t="s">
        <v>20</v>
      </c>
      <c r="E345" s="82">
        <f>E346</f>
        <v>2759819.92</v>
      </c>
    </row>
    <row r="346" spans="1:7" s="170" customFormat="1" ht="55.05" x14ac:dyDescent="0.25">
      <c r="A346" s="81" t="s">
        <v>47</v>
      </c>
      <c r="B346" s="80" t="s">
        <v>293</v>
      </c>
      <c r="C346" s="80" t="s">
        <v>588</v>
      </c>
      <c r="D346" s="80" t="s">
        <v>48</v>
      </c>
      <c r="E346" s="82">
        <f>'прил 11 '!F327</f>
        <v>2759819.92</v>
      </c>
    </row>
    <row r="347" spans="1:7" s="170" customFormat="1" ht="36.700000000000003" x14ac:dyDescent="0.25">
      <c r="A347" s="81" t="s">
        <v>306</v>
      </c>
      <c r="B347" s="80" t="s">
        <v>293</v>
      </c>
      <c r="C347" s="80" t="s">
        <v>357</v>
      </c>
      <c r="D347" s="80" t="s">
        <v>6</v>
      </c>
      <c r="E347" s="82">
        <f>E348</f>
        <v>300000</v>
      </c>
    </row>
    <row r="348" spans="1:7" s="170" customFormat="1" x14ac:dyDescent="0.25">
      <c r="A348" s="81" t="s">
        <v>19</v>
      </c>
      <c r="B348" s="80" t="s">
        <v>293</v>
      </c>
      <c r="C348" s="80" t="s">
        <v>357</v>
      </c>
      <c r="D348" s="80" t="s">
        <v>20</v>
      </c>
      <c r="E348" s="82">
        <f>E349</f>
        <v>300000</v>
      </c>
    </row>
    <row r="349" spans="1:7" s="170" customFormat="1" ht="39.25" customHeight="1" x14ac:dyDescent="0.25">
      <c r="A349" s="81" t="s">
        <v>47</v>
      </c>
      <c r="B349" s="80" t="s">
        <v>293</v>
      </c>
      <c r="C349" s="80" t="s">
        <v>357</v>
      </c>
      <c r="D349" s="80" t="s">
        <v>48</v>
      </c>
      <c r="E349" s="82">
        <f>'прил 11 '!F330</f>
        <v>300000</v>
      </c>
    </row>
    <row r="350" spans="1:7" s="170" customFormat="1" x14ac:dyDescent="0.25">
      <c r="A350" s="81" t="s">
        <v>64</v>
      </c>
      <c r="B350" s="105" t="s">
        <v>65</v>
      </c>
      <c r="C350" s="105" t="s">
        <v>126</v>
      </c>
      <c r="D350" s="105" t="s">
        <v>6</v>
      </c>
      <c r="E350" s="128">
        <f>E351</f>
        <v>515000</v>
      </c>
      <c r="G350" s="169">
        <f>E350/'прил 11 '!F715*100</f>
        <v>5.2755901510009105E-2</v>
      </c>
    </row>
    <row r="351" spans="1:7" outlineLevel="1" x14ac:dyDescent="0.25">
      <c r="A351" s="81" t="s">
        <v>66</v>
      </c>
      <c r="B351" s="80" t="s">
        <v>67</v>
      </c>
      <c r="C351" s="80" t="s">
        <v>126</v>
      </c>
      <c r="D351" s="80" t="s">
        <v>6</v>
      </c>
      <c r="E351" s="82">
        <f>E352+E361</f>
        <v>515000</v>
      </c>
    </row>
    <row r="352" spans="1:7" ht="36.700000000000003" outlineLevel="2" x14ac:dyDescent="0.25">
      <c r="A352" s="109" t="s">
        <v>857</v>
      </c>
      <c r="B352" s="110" t="s">
        <v>67</v>
      </c>
      <c r="C352" s="110" t="s">
        <v>135</v>
      </c>
      <c r="D352" s="110" t="s">
        <v>6</v>
      </c>
      <c r="E352" s="82">
        <f>E353+E357</f>
        <v>470000</v>
      </c>
    </row>
    <row r="353" spans="1:7" ht="59.95" customHeight="1" outlineLevel="2" x14ac:dyDescent="0.25">
      <c r="A353" s="81" t="s">
        <v>842</v>
      </c>
      <c r="B353" s="80" t="s">
        <v>67</v>
      </c>
      <c r="C353" s="80" t="s">
        <v>392</v>
      </c>
      <c r="D353" s="80" t="s">
        <v>6</v>
      </c>
      <c r="E353" s="82">
        <f>E354</f>
        <v>440000</v>
      </c>
    </row>
    <row r="354" spans="1:7" ht="20.25" customHeight="1" outlineLevel="4" x14ac:dyDescent="0.25">
      <c r="A354" s="81" t="s">
        <v>244</v>
      </c>
      <c r="B354" s="80" t="s">
        <v>67</v>
      </c>
      <c r="C354" s="80" t="s">
        <v>361</v>
      </c>
      <c r="D354" s="80" t="s">
        <v>6</v>
      </c>
      <c r="E354" s="82">
        <f>E355</f>
        <v>440000</v>
      </c>
    </row>
    <row r="355" spans="1:7" ht="16.5" customHeight="1" outlineLevel="5" x14ac:dyDescent="0.25">
      <c r="A355" s="81" t="s">
        <v>15</v>
      </c>
      <c r="B355" s="80" t="s">
        <v>67</v>
      </c>
      <c r="C355" s="80" t="s">
        <v>361</v>
      </c>
      <c r="D355" s="80" t="s">
        <v>16</v>
      </c>
      <c r="E355" s="82">
        <f>E356</f>
        <v>440000</v>
      </c>
    </row>
    <row r="356" spans="1:7" ht="19.55" customHeight="1" outlineLevel="6" x14ac:dyDescent="0.25">
      <c r="A356" s="81" t="s">
        <v>17</v>
      </c>
      <c r="B356" s="80" t="s">
        <v>67</v>
      </c>
      <c r="C356" s="80" t="s">
        <v>361</v>
      </c>
      <c r="D356" s="80" t="s">
        <v>18</v>
      </c>
      <c r="E356" s="82">
        <f>'прил 11 '!F337</f>
        <v>440000</v>
      </c>
    </row>
    <row r="357" spans="1:7" ht="21.75" customHeight="1" outlineLevel="4" x14ac:dyDescent="0.25">
      <c r="A357" s="81" t="s">
        <v>362</v>
      </c>
      <c r="B357" s="80" t="s">
        <v>67</v>
      </c>
      <c r="C357" s="80" t="s">
        <v>246</v>
      </c>
      <c r="D357" s="80" t="s">
        <v>6</v>
      </c>
      <c r="E357" s="82">
        <f>E358</f>
        <v>30000</v>
      </c>
    </row>
    <row r="358" spans="1:7" outlineLevel="5" x14ac:dyDescent="0.25">
      <c r="A358" s="81" t="s">
        <v>68</v>
      </c>
      <c r="B358" s="80" t="s">
        <v>67</v>
      </c>
      <c r="C358" s="80" t="s">
        <v>245</v>
      </c>
      <c r="D358" s="80" t="s">
        <v>6</v>
      </c>
      <c r="E358" s="82">
        <f>E359</f>
        <v>30000</v>
      </c>
    </row>
    <row r="359" spans="1:7" ht="16.5" customHeight="1" outlineLevel="6" x14ac:dyDescent="0.25">
      <c r="A359" s="81" t="s">
        <v>15</v>
      </c>
      <c r="B359" s="80" t="s">
        <v>67</v>
      </c>
      <c r="C359" s="80" t="s">
        <v>245</v>
      </c>
      <c r="D359" s="80" t="s">
        <v>16</v>
      </c>
      <c r="E359" s="82">
        <f>E360</f>
        <v>30000</v>
      </c>
    </row>
    <row r="360" spans="1:7" ht="21.25" customHeight="1" outlineLevel="6" x14ac:dyDescent="0.25">
      <c r="A360" s="81" t="s">
        <v>17</v>
      </c>
      <c r="B360" s="80" t="s">
        <v>67</v>
      </c>
      <c r="C360" s="80" t="s">
        <v>245</v>
      </c>
      <c r="D360" s="80" t="s">
        <v>18</v>
      </c>
      <c r="E360" s="82">
        <f>'прил 11 '!F341</f>
        <v>30000</v>
      </c>
    </row>
    <row r="361" spans="1:7" ht="73.400000000000006" outlineLevel="6" x14ac:dyDescent="0.25">
      <c r="A361" s="109" t="s">
        <v>858</v>
      </c>
      <c r="B361" s="110" t="s">
        <v>67</v>
      </c>
      <c r="C361" s="110" t="s">
        <v>363</v>
      </c>
      <c r="D361" s="110" t="s">
        <v>6</v>
      </c>
      <c r="E361" s="82">
        <f>E362</f>
        <v>45000</v>
      </c>
    </row>
    <row r="362" spans="1:7" ht="17.5" customHeight="1" outlineLevel="6" x14ac:dyDescent="0.25">
      <c r="A362" s="81" t="s">
        <v>364</v>
      </c>
      <c r="B362" s="80" t="s">
        <v>67</v>
      </c>
      <c r="C362" s="80" t="s">
        <v>365</v>
      </c>
      <c r="D362" s="80" t="s">
        <v>6</v>
      </c>
      <c r="E362" s="82">
        <f>E363</f>
        <v>45000</v>
      </c>
    </row>
    <row r="363" spans="1:7" outlineLevel="6" x14ac:dyDescent="0.25">
      <c r="A363" s="81" t="s">
        <v>366</v>
      </c>
      <c r="B363" s="80" t="s">
        <v>67</v>
      </c>
      <c r="C363" s="80" t="s">
        <v>367</v>
      </c>
      <c r="D363" s="80" t="s">
        <v>6</v>
      </c>
      <c r="E363" s="82">
        <f>E364</f>
        <v>45000</v>
      </c>
    </row>
    <row r="364" spans="1:7" ht="18" customHeight="1" outlineLevel="6" x14ac:dyDescent="0.25">
      <c r="A364" s="81" t="s">
        <v>15</v>
      </c>
      <c r="B364" s="80" t="s">
        <v>67</v>
      </c>
      <c r="C364" s="80" t="s">
        <v>367</v>
      </c>
      <c r="D364" s="80" t="s">
        <v>16</v>
      </c>
      <c r="E364" s="82">
        <f>E365</f>
        <v>45000</v>
      </c>
    </row>
    <row r="365" spans="1:7" ht="21.75" customHeight="1" outlineLevel="6" x14ac:dyDescent="0.25">
      <c r="A365" s="81" t="s">
        <v>17</v>
      </c>
      <c r="B365" s="80" t="s">
        <v>67</v>
      </c>
      <c r="C365" s="80" t="s">
        <v>367</v>
      </c>
      <c r="D365" s="80" t="s">
        <v>18</v>
      </c>
      <c r="E365" s="82">
        <f>'прил 11 '!F346</f>
        <v>45000</v>
      </c>
    </row>
    <row r="366" spans="1:7" s="170" customFormat="1" x14ac:dyDescent="0.25">
      <c r="A366" s="81" t="s">
        <v>69</v>
      </c>
      <c r="B366" s="105" t="s">
        <v>70</v>
      </c>
      <c r="C366" s="105" t="s">
        <v>126</v>
      </c>
      <c r="D366" s="105" t="s">
        <v>6</v>
      </c>
      <c r="E366" s="128">
        <f>E367+E406+E452+E492+E511</f>
        <v>619546629.56000006</v>
      </c>
      <c r="G366" s="169">
        <f>E366/'прил 11 '!F715*100</f>
        <v>63.465516446457201</v>
      </c>
    </row>
    <row r="367" spans="1:7" outlineLevel="1" x14ac:dyDescent="0.25">
      <c r="A367" s="81" t="s">
        <v>110</v>
      </c>
      <c r="B367" s="80" t="s">
        <v>111</v>
      </c>
      <c r="C367" s="80" t="s">
        <v>126</v>
      </c>
      <c r="D367" s="80" t="s">
        <v>6</v>
      </c>
      <c r="E367" s="82">
        <f>E368</f>
        <v>138855396.20000002</v>
      </c>
    </row>
    <row r="368" spans="1:7" ht="36.700000000000003" outlineLevel="2" x14ac:dyDescent="0.25">
      <c r="A368" s="109" t="s">
        <v>825</v>
      </c>
      <c r="B368" s="110" t="s">
        <v>111</v>
      </c>
      <c r="C368" s="110" t="s">
        <v>138</v>
      </c>
      <c r="D368" s="110" t="s">
        <v>6</v>
      </c>
      <c r="E368" s="82">
        <f>E369</f>
        <v>138855396.20000002</v>
      </c>
    </row>
    <row r="369" spans="1:5" ht="36.700000000000003" outlineLevel="3" x14ac:dyDescent="0.25">
      <c r="A369" s="81" t="s">
        <v>834</v>
      </c>
      <c r="B369" s="80" t="s">
        <v>111</v>
      </c>
      <c r="C369" s="80" t="s">
        <v>139</v>
      </c>
      <c r="D369" s="80" t="s">
        <v>6</v>
      </c>
      <c r="E369" s="82">
        <f>E370+E377+E402</f>
        <v>138855396.20000002</v>
      </c>
    </row>
    <row r="370" spans="1:5" ht="36.700000000000003" outlineLevel="4" x14ac:dyDescent="0.25">
      <c r="A370" s="113" t="s">
        <v>202</v>
      </c>
      <c r="B370" s="80" t="s">
        <v>111</v>
      </c>
      <c r="C370" s="80" t="s">
        <v>219</v>
      </c>
      <c r="D370" s="80" t="s">
        <v>6</v>
      </c>
      <c r="E370" s="82">
        <f>E371+E374</f>
        <v>138408929.30000001</v>
      </c>
    </row>
    <row r="371" spans="1:5" ht="38.25" customHeight="1" outlineLevel="5" x14ac:dyDescent="0.25">
      <c r="A371" s="81" t="s">
        <v>113</v>
      </c>
      <c r="B371" s="80" t="s">
        <v>111</v>
      </c>
      <c r="C371" s="80" t="s">
        <v>144</v>
      </c>
      <c r="D371" s="80" t="s">
        <v>6</v>
      </c>
      <c r="E371" s="82">
        <f>E372</f>
        <v>48919685.299999997</v>
      </c>
    </row>
    <row r="372" spans="1:5" ht="36.700000000000003" outlineLevel="6" x14ac:dyDescent="0.25">
      <c r="A372" s="81" t="s">
        <v>37</v>
      </c>
      <c r="B372" s="80" t="s">
        <v>111</v>
      </c>
      <c r="C372" s="80" t="s">
        <v>144</v>
      </c>
      <c r="D372" s="80" t="s">
        <v>38</v>
      </c>
      <c r="E372" s="82">
        <f>E373</f>
        <v>48919685.299999997</v>
      </c>
    </row>
    <row r="373" spans="1:5" outlineLevel="4" x14ac:dyDescent="0.25">
      <c r="A373" s="81" t="s">
        <v>74</v>
      </c>
      <c r="B373" s="80" t="s">
        <v>111</v>
      </c>
      <c r="C373" s="80" t="s">
        <v>144</v>
      </c>
      <c r="D373" s="80" t="s">
        <v>75</v>
      </c>
      <c r="E373" s="82">
        <f>'прил 11 '!F516</f>
        <v>48919685.299999997</v>
      </c>
    </row>
    <row r="374" spans="1:5" ht="95.95" customHeight="1" outlineLevel="5" x14ac:dyDescent="0.25">
      <c r="A374" s="113" t="s">
        <v>397</v>
      </c>
      <c r="B374" s="80" t="s">
        <v>111</v>
      </c>
      <c r="C374" s="80" t="s">
        <v>145</v>
      </c>
      <c r="D374" s="80" t="s">
        <v>6</v>
      </c>
      <c r="E374" s="82">
        <f>E375</f>
        <v>89489244</v>
      </c>
    </row>
    <row r="375" spans="1:5" ht="36.700000000000003" outlineLevel="6" x14ac:dyDescent="0.25">
      <c r="A375" s="81" t="s">
        <v>37</v>
      </c>
      <c r="B375" s="80" t="s">
        <v>111</v>
      </c>
      <c r="C375" s="80" t="s">
        <v>145</v>
      </c>
      <c r="D375" s="80" t="s">
        <v>38</v>
      </c>
      <c r="E375" s="82">
        <f>E376</f>
        <v>89489244</v>
      </c>
    </row>
    <row r="376" spans="1:5" outlineLevel="3" x14ac:dyDescent="0.25">
      <c r="A376" s="81" t="s">
        <v>74</v>
      </c>
      <c r="B376" s="80" t="s">
        <v>111</v>
      </c>
      <c r="C376" s="80" t="s">
        <v>145</v>
      </c>
      <c r="D376" s="80" t="s">
        <v>75</v>
      </c>
      <c r="E376" s="82">
        <f>'прил 11 '!F519</f>
        <v>89489244</v>
      </c>
    </row>
    <row r="377" spans="1:5" ht="40.75" customHeight="1" outlineLevel="3" x14ac:dyDescent="0.25">
      <c r="A377" s="113" t="s">
        <v>203</v>
      </c>
      <c r="B377" s="80" t="s">
        <v>111</v>
      </c>
      <c r="C377" s="80" t="s">
        <v>221</v>
      </c>
      <c r="D377" s="80" t="s">
        <v>6</v>
      </c>
      <c r="E377" s="82">
        <f>E396+E378+E384+E387+E393+E381+E399+E390</f>
        <v>446466.9</v>
      </c>
    </row>
    <row r="378" spans="1:5" ht="20.25" customHeight="1" outlineLevel="6" x14ac:dyDescent="0.25">
      <c r="A378" s="81" t="s">
        <v>282</v>
      </c>
      <c r="B378" s="80" t="s">
        <v>111</v>
      </c>
      <c r="C378" s="80" t="s">
        <v>283</v>
      </c>
      <c r="D378" s="80" t="s">
        <v>6</v>
      </c>
      <c r="E378" s="82">
        <f>E379</f>
        <v>100000</v>
      </c>
    </row>
    <row r="379" spans="1:5" ht="36.700000000000003" outlineLevel="6" x14ac:dyDescent="0.25">
      <c r="A379" s="81" t="s">
        <v>37</v>
      </c>
      <c r="B379" s="80" t="s">
        <v>111</v>
      </c>
      <c r="C379" s="80" t="s">
        <v>283</v>
      </c>
      <c r="D379" s="80" t="s">
        <v>38</v>
      </c>
      <c r="E379" s="82">
        <f>E380</f>
        <v>100000</v>
      </c>
    </row>
    <row r="380" spans="1:5" outlineLevel="6" x14ac:dyDescent="0.25">
      <c r="A380" s="81" t="s">
        <v>74</v>
      </c>
      <c r="B380" s="80" t="s">
        <v>111</v>
      </c>
      <c r="C380" s="80" t="s">
        <v>283</v>
      </c>
      <c r="D380" s="80" t="s">
        <v>75</v>
      </c>
      <c r="E380" s="82">
        <f>'прил 11 '!F523</f>
        <v>100000</v>
      </c>
    </row>
    <row r="381" spans="1:5" outlineLevel="6" x14ac:dyDescent="0.25">
      <c r="A381" s="81" t="s">
        <v>268</v>
      </c>
      <c r="B381" s="80" t="s">
        <v>111</v>
      </c>
      <c r="C381" s="80" t="s">
        <v>284</v>
      </c>
      <c r="D381" s="80" t="s">
        <v>6</v>
      </c>
      <c r="E381" s="82">
        <f>E382</f>
        <v>158000</v>
      </c>
    </row>
    <row r="382" spans="1:5" ht="36.700000000000003" outlineLevel="6" x14ac:dyDescent="0.25">
      <c r="A382" s="81" t="s">
        <v>37</v>
      </c>
      <c r="B382" s="80" t="s">
        <v>111</v>
      </c>
      <c r="C382" s="80" t="s">
        <v>284</v>
      </c>
      <c r="D382" s="80" t="s">
        <v>38</v>
      </c>
      <c r="E382" s="82">
        <f>E383</f>
        <v>158000</v>
      </c>
    </row>
    <row r="383" spans="1:5" outlineLevel="6" x14ac:dyDescent="0.25">
      <c r="A383" s="81" t="s">
        <v>74</v>
      </c>
      <c r="B383" s="80" t="s">
        <v>111</v>
      </c>
      <c r="C383" s="80" t="s">
        <v>284</v>
      </c>
      <c r="D383" s="80" t="s">
        <v>75</v>
      </c>
      <c r="E383" s="82">
        <f>'прил 11 '!F526</f>
        <v>158000</v>
      </c>
    </row>
    <row r="384" spans="1:5" outlineLevel="6" x14ac:dyDescent="0.25">
      <c r="A384" s="81" t="s">
        <v>311</v>
      </c>
      <c r="B384" s="80" t="s">
        <v>111</v>
      </c>
      <c r="C384" s="80" t="s">
        <v>534</v>
      </c>
      <c r="D384" s="80" t="s">
        <v>6</v>
      </c>
      <c r="E384" s="82">
        <f>E385</f>
        <v>0</v>
      </c>
    </row>
    <row r="385" spans="1:5" ht="36.700000000000003" outlineLevel="6" x14ac:dyDescent="0.25">
      <c r="A385" s="81" t="s">
        <v>37</v>
      </c>
      <c r="B385" s="80" t="s">
        <v>111</v>
      </c>
      <c r="C385" s="80" t="s">
        <v>534</v>
      </c>
      <c r="D385" s="80" t="s">
        <v>38</v>
      </c>
      <c r="E385" s="82">
        <f>E386</f>
        <v>0</v>
      </c>
    </row>
    <row r="386" spans="1:5" outlineLevel="6" x14ac:dyDescent="0.25">
      <c r="A386" s="81" t="s">
        <v>74</v>
      </c>
      <c r="B386" s="80" t="s">
        <v>111</v>
      </c>
      <c r="C386" s="80" t="s">
        <v>534</v>
      </c>
      <c r="D386" s="80" t="s">
        <v>75</v>
      </c>
      <c r="E386" s="82">
        <f>'прил 11 '!F529</f>
        <v>0</v>
      </c>
    </row>
    <row r="387" spans="1:5" ht="36.700000000000003" outlineLevel="6" x14ac:dyDescent="0.25">
      <c r="A387" s="113" t="s">
        <v>458</v>
      </c>
      <c r="B387" s="80" t="s">
        <v>111</v>
      </c>
      <c r="C387" s="80" t="s">
        <v>459</v>
      </c>
      <c r="D387" s="80" t="s">
        <v>6</v>
      </c>
      <c r="E387" s="82">
        <f>E388</f>
        <v>0</v>
      </c>
    </row>
    <row r="388" spans="1:5" ht="36.700000000000003" outlineLevel="6" x14ac:dyDescent="0.25">
      <c r="A388" s="81" t="s">
        <v>37</v>
      </c>
      <c r="B388" s="80" t="s">
        <v>111</v>
      </c>
      <c r="C388" s="80" t="s">
        <v>459</v>
      </c>
      <c r="D388" s="80" t="s">
        <v>38</v>
      </c>
      <c r="E388" s="82">
        <f>E389</f>
        <v>0</v>
      </c>
    </row>
    <row r="389" spans="1:5" ht="18" customHeight="1" outlineLevel="6" x14ac:dyDescent="0.25">
      <c r="A389" s="81" t="s">
        <v>74</v>
      </c>
      <c r="B389" s="80" t="s">
        <v>111</v>
      </c>
      <c r="C389" s="80" t="s">
        <v>459</v>
      </c>
      <c r="D389" s="80" t="s">
        <v>75</v>
      </c>
      <c r="E389" s="82">
        <f>'прил 11 '!F532</f>
        <v>0</v>
      </c>
    </row>
    <row r="390" spans="1:5" ht="41.45" customHeight="1" outlineLevel="6" x14ac:dyDescent="0.25">
      <c r="A390" s="25" t="s">
        <v>938</v>
      </c>
      <c r="B390" s="80" t="s">
        <v>111</v>
      </c>
      <c r="C390" s="80" t="s">
        <v>726</v>
      </c>
      <c r="D390" s="80" t="s">
        <v>6</v>
      </c>
      <c r="E390" s="82">
        <f>E391</f>
        <v>0</v>
      </c>
    </row>
    <row r="391" spans="1:5" ht="36.700000000000003" outlineLevel="6" x14ac:dyDescent="0.25">
      <c r="A391" s="81" t="s">
        <v>37</v>
      </c>
      <c r="B391" s="80" t="s">
        <v>111</v>
      </c>
      <c r="C391" s="80" t="s">
        <v>726</v>
      </c>
      <c r="D391" s="80" t="s">
        <v>38</v>
      </c>
      <c r="E391" s="82">
        <f>E392</f>
        <v>0</v>
      </c>
    </row>
    <row r="392" spans="1:5" ht="27.7" customHeight="1" outlineLevel="6" x14ac:dyDescent="0.25">
      <c r="A392" s="81" t="s">
        <v>74</v>
      </c>
      <c r="B392" s="80" t="s">
        <v>111</v>
      </c>
      <c r="C392" s="80" t="s">
        <v>726</v>
      </c>
      <c r="D392" s="80" t="s">
        <v>75</v>
      </c>
      <c r="E392" s="82">
        <f>'прил 11 '!F535</f>
        <v>0</v>
      </c>
    </row>
    <row r="393" spans="1:5" ht="73.400000000000006" outlineLevel="6" x14ac:dyDescent="0.25">
      <c r="A393" s="100" t="s">
        <v>589</v>
      </c>
      <c r="B393" s="80" t="s">
        <v>111</v>
      </c>
      <c r="C393" s="80" t="s">
        <v>590</v>
      </c>
      <c r="D393" s="80" t="s">
        <v>6</v>
      </c>
      <c r="E393" s="82">
        <f>E394</f>
        <v>0</v>
      </c>
    </row>
    <row r="394" spans="1:5" ht="36.700000000000003" outlineLevel="6" x14ac:dyDescent="0.25">
      <c r="A394" s="81" t="s">
        <v>37</v>
      </c>
      <c r="B394" s="80" t="s">
        <v>111</v>
      </c>
      <c r="C394" s="80" t="s">
        <v>590</v>
      </c>
      <c r="D394" s="80" t="s">
        <v>38</v>
      </c>
      <c r="E394" s="82">
        <f>E395</f>
        <v>0</v>
      </c>
    </row>
    <row r="395" spans="1:5" ht="18" customHeight="1" outlineLevel="6" x14ac:dyDescent="0.25">
      <c r="A395" s="81" t="s">
        <v>74</v>
      </c>
      <c r="B395" s="80" t="s">
        <v>111</v>
      </c>
      <c r="C395" s="80" t="s">
        <v>590</v>
      </c>
      <c r="D395" s="80" t="s">
        <v>75</v>
      </c>
      <c r="E395" s="82">
        <v>0</v>
      </c>
    </row>
    <row r="396" spans="1:5" ht="58.75" customHeight="1" outlineLevel="3" x14ac:dyDescent="0.25">
      <c r="A396" s="100" t="s">
        <v>296</v>
      </c>
      <c r="B396" s="80" t="s">
        <v>111</v>
      </c>
      <c r="C396" s="80" t="s">
        <v>297</v>
      </c>
      <c r="D396" s="80" t="s">
        <v>6</v>
      </c>
      <c r="E396" s="82">
        <f>E397</f>
        <v>0</v>
      </c>
    </row>
    <row r="397" spans="1:5" ht="36.700000000000003" outlineLevel="3" x14ac:dyDescent="0.25">
      <c r="A397" s="81" t="s">
        <v>264</v>
      </c>
      <c r="B397" s="80" t="s">
        <v>111</v>
      </c>
      <c r="C397" s="80" t="s">
        <v>297</v>
      </c>
      <c r="D397" s="80" t="s">
        <v>265</v>
      </c>
      <c r="E397" s="82">
        <f>E398</f>
        <v>0</v>
      </c>
    </row>
    <row r="398" spans="1:5" outlineLevel="3" x14ac:dyDescent="0.25">
      <c r="A398" s="81" t="s">
        <v>266</v>
      </c>
      <c r="B398" s="80" t="s">
        <v>111</v>
      </c>
      <c r="C398" s="80" t="s">
        <v>297</v>
      </c>
      <c r="D398" s="80" t="s">
        <v>267</v>
      </c>
      <c r="E398" s="82">
        <v>0</v>
      </c>
    </row>
    <row r="399" spans="1:5" ht="55.05" outlineLevel="3" x14ac:dyDescent="0.25">
      <c r="A399" s="81" t="s">
        <v>443</v>
      </c>
      <c r="B399" s="80" t="s">
        <v>111</v>
      </c>
      <c r="C399" s="80" t="s">
        <v>444</v>
      </c>
      <c r="D399" s="80" t="s">
        <v>6</v>
      </c>
      <c r="E399" s="82">
        <f>E400</f>
        <v>188466.9</v>
      </c>
    </row>
    <row r="400" spans="1:5" ht="36.700000000000003" outlineLevel="3" x14ac:dyDescent="0.25">
      <c r="A400" s="81" t="s">
        <v>37</v>
      </c>
      <c r="B400" s="80" t="s">
        <v>111</v>
      </c>
      <c r="C400" s="80" t="s">
        <v>444</v>
      </c>
      <c r="D400" s="80" t="s">
        <v>38</v>
      </c>
      <c r="E400" s="82">
        <f>E401</f>
        <v>188466.9</v>
      </c>
    </row>
    <row r="401" spans="1:5" ht="18" customHeight="1" outlineLevel="3" x14ac:dyDescent="0.25">
      <c r="A401" s="81" t="s">
        <v>74</v>
      </c>
      <c r="B401" s="80" t="s">
        <v>111</v>
      </c>
      <c r="C401" s="80" t="s">
        <v>444</v>
      </c>
      <c r="D401" s="80" t="s">
        <v>75</v>
      </c>
      <c r="E401" s="82">
        <f>'прил 11 '!F541</f>
        <v>188466.9</v>
      </c>
    </row>
    <row r="402" spans="1:5" ht="55.05" outlineLevel="3" x14ac:dyDescent="0.25">
      <c r="A402" s="114" t="s">
        <v>591</v>
      </c>
      <c r="B402" s="80" t="s">
        <v>111</v>
      </c>
      <c r="C402" s="80" t="s">
        <v>592</v>
      </c>
      <c r="D402" s="80" t="s">
        <v>6</v>
      </c>
      <c r="E402" s="82">
        <f>E403</f>
        <v>0</v>
      </c>
    </row>
    <row r="403" spans="1:5" ht="91.7" outlineLevel="3" x14ac:dyDescent="0.25">
      <c r="A403" s="113" t="s">
        <v>562</v>
      </c>
      <c r="B403" s="80" t="s">
        <v>111</v>
      </c>
      <c r="C403" s="80" t="s">
        <v>675</v>
      </c>
      <c r="D403" s="80" t="s">
        <v>6</v>
      </c>
      <c r="E403" s="82">
        <f>E404</f>
        <v>0</v>
      </c>
    </row>
    <row r="404" spans="1:5" ht="36.700000000000003" outlineLevel="3" x14ac:dyDescent="0.25">
      <c r="A404" s="81" t="s">
        <v>264</v>
      </c>
      <c r="B404" s="80" t="s">
        <v>111</v>
      </c>
      <c r="C404" s="80" t="s">
        <v>675</v>
      </c>
      <c r="D404" s="80" t="s">
        <v>265</v>
      </c>
      <c r="E404" s="82">
        <f>E405</f>
        <v>0</v>
      </c>
    </row>
    <row r="405" spans="1:5" outlineLevel="3" x14ac:dyDescent="0.25">
      <c r="A405" s="81" t="s">
        <v>266</v>
      </c>
      <c r="B405" s="80" t="s">
        <v>111</v>
      </c>
      <c r="C405" s="80" t="s">
        <v>675</v>
      </c>
      <c r="D405" s="80" t="s">
        <v>267</v>
      </c>
      <c r="E405" s="82">
        <v>0</v>
      </c>
    </row>
    <row r="406" spans="1:5" ht="24.8" customHeight="1" outlineLevel="1" x14ac:dyDescent="0.25">
      <c r="A406" s="81" t="s">
        <v>71</v>
      </c>
      <c r="B406" s="80" t="s">
        <v>72</v>
      </c>
      <c r="C406" s="80" t="s">
        <v>126</v>
      </c>
      <c r="D406" s="80" t="s">
        <v>6</v>
      </c>
      <c r="E406" s="82">
        <f>E407</f>
        <v>403407265.78000003</v>
      </c>
    </row>
    <row r="407" spans="1:5" ht="36.700000000000003" outlineLevel="2" x14ac:dyDescent="0.25">
      <c r="A407" s="109" t="s">
        <v>825</v>
      </c>
      <c r="B407" s="110" t="s">
        <v>72</v>
      </c>
      <c r="C407" s="110" t="s">
        <v>138</v>
      </c>
      <c r="D407" s="110" t="s">
        <v>6</v>
      </c>
      <c r="E407" s="82">
        <f>E408</f>
        <v>403407265.78000003</v>
      </c>
    </row>
    <row r="408" spans="1:5" ht="36.700000000000003" outlineLevel="3" x14ac:dyDescent="0.25">
      <c r="A408" s="81" t="s">
        <v>831</v>
      </c>
      <c r="B408" s="80" t="s">
        <v>72</v>
      </c>
      <c r="C408" s="80" t="s">
        <v>146</v>
      </c>
      <c r="D408" s="80" t="s">
        <v>6</v>
      </c>
      <c r="E408" s="82">
        <f>E409+E422+E444+E448</f>
        <v>403407265.78000003</v>
      </c>
    </row>
    <row r="409" spans="1:5" ht="36.700000000000003" outlineLevel="4" x14ac:dyDescent="0.25">
      <c r="A409" s="113" t="s">
        <v>205</v>
      </c>
      <c r="B409" s="80" t="s">
        <v>72</v>
      </c>
      <c r="C409" s="80" t="s">
        <v>222</v>
      </c>
      <c r="D409" s="80" t="s">
        <v>6</v>
      </c>
      <c r="E409" s="82">
        <f>E410+E413+E416+E419</f>
        <v>392101366.04000002</v>
      </c>
    </row>
    <row r="410" spans="1:5" ht="55.05" outlineLevel="4" x14ac:dyDescent="0.25">
      <c r="A410" s="25" t="s">
        <v>593</v>
      </c>
      <c r="B410" s="80" t="s">
        <v>72</v>
      </c>
      <c r="C410" s="80" t="s">
        <v>594</v>
      </c>
      <c r="D410" s="80" t="s">
        <v>6</v>
      </c>
      <c r="E410" s="82">
        <f>E411</f>
        <v>21060000</v>
      </c>
    </row>
    <row r="411" spans="1:5" ht="36.700000000000003" outlineLevel="4" x14ac:dyDescent="0.25">
      <c r="A411" s="81" t="s">
        <v>37</v>
      </c>
      <c r="B411" s="80" t="s">
        <v>72</v>
      </c>
      <c r="C411" s="80" t="s">
        <v>594</v>
      </c>
      <c r="D411" s="80" t="s">
        <v>38</v>
      </c>
      <c r="E411" s="82">
        <f>E412</f>
        <v>21060000</v>
      </c>
    </row>
    <row r="412" spans="1:5" outlineLevel="4" x14ac:dyDescent="0.25">
      <c r="A412" s="81" t="s">
        <v>74</v>
      </c>
      <c r="B412" s="80" t="s">
        <v>72</v>
      </c>
      <c r="C412" s="80" t="s">
        <v>594</v>
      </c>
      <c r="D412" s="80" t="s">
        <v>75</v>
      </c>
      <c r="E412" s="82">
        <f>'прил 11 '!F552</f>
        <v>21060000</v>
      </c>
    </row>
    <row r="413" spans="1:5" ht="40.75" customHeight="1" outlineLevel="5" x14ac:dyDescent="0.25">
      <c r="A413" s="81" t="s">
        <v>114</v>
      </c>
      <c r="B413" s="80" t="s">
        <v>72</v>
      </c>
      <c r="C413" s="80" t="s">
        <v>147</v>
      </c>
      <c r="D413" s="80" t="s">
        <v>6</v>
      </c>
      <c r="E413" s="82">
        <f>E414</f>
        <v>101256758.04000001</v>
      </c>
    </row>
    <row r="414" spans="1:5" ht="36.700000000000003" outlineLevel="6" x14ac:dyDescent="0.25">
      <c r="A414" s="81" t="s">
        <v>37</v>
      </c>
      <c r="B414" s="80" t="s">
        <v>72</v>
      </c>
      <c r="C414" s="80" t="s">
        <v>147</v>
      </c>
      <c r="D414" s="80" t="s">
        <v>38</v>
      </c>
      <c r="E414" s="82">
        <f>E415</f>
        <v>101256758.04000001</v>
      </c>
    </row>
    <row r="415" spans="1:5" outlineLevel="4" x14ac:dyDescent="0.25">
      <c r="A415" s="81" t="s">
        <v>74</v>
      </c>
      <c r="B415" s="80" t="s">
        <v>72</v>
      </c>
      <c r="C415" s="80" t="s">
        <v>147</v>
      </c>
      <c r="D415" s="80" t="s">
        <v>75</v>
      </c>
      <c r="E415" s="82">
        <f>'прил 11 '!F555</f>
        <v>101256758.04000001</v>
      </c>
    </row>
    <row r="416" spans="1:5" ht="75.75" customHeight="1" outlineLevel="5" x14ac:dyDescent="0.25">
      <c r="A416" s="113" t="s">
        <v>400</v>
      </c>
      <c r="B416" s="80" t="s">
        <v>72</v>
      </c>
      <c r="C416" s="80" t="s">
        <v>148</v>
      </c>
      <c r="D416" s="80" t="s">
        <v>6</v>
      </c>
      <c r="E416" s="82">
        <f>E417</f>
        <v>256548408</v>
      </c>
    </row>
    <row r="417" spans="1:5" ht="36.700000000000003" outlineLevel="6" x14ac:dyDescent="0.25">
      <c r="A417" s="81" t="s">
        <v>37</v>
      </c>
      <c r="B417" s="80" t="s">
        <v>72</v>
      </c>
      <c r="C417" s="80" t="s">
        <v>148</v>
      </c>
      <c r="D417" s="80" t="s">
        <v>38</v>
      </c>
      <c r="E417" s="82">
        <f>E418</f>
        <v>256548408</v>
      </c>
    </row>
    <row r="418" spans="1:5" outlineLevel="6" x14ac:dyDescent="0.25">
      <c r="A418" s="81" t="s">
        <v>74</v>
      </c>
      <c r="B418" s="80" t="s">
        <v>72</v>
      </c>
      <c r="C418" s="80" t="s">
        <v>148</v>
      </c>
      <c r="D418" s="80" t="s">
        <v>75</v>
      </c>
      <c r="E418" s="82">
        <f>'прил 11 '!F558</f>
        <v>256548408</v>
      </c>
    </row>
    <row r="419" spans="1:5" ht="110.05" outlineLevel="6" x14ac:dyDescent="0.25">
      <c r="A419" s="25" t="s">
        <v>470</v>
      </c>
      <c r="B419" s="80" t="s">
        <v>72</v>
      </c>
      <c r="C419" s="80" t="s">
        <v>922</v>
      </c>
      <c r="D419" s="80" t="s">
        <v>6</v>
      </c>
      <c r="E419" s="82">
        <f>E420</f>
        <v>13236200</v>
      </c>
    </row>
    <row r="420" spans="1:5" ht="36.700000000000003" outlineLevel="6" x14ac:dyDescent="0.25">
      <c r="A420" s="81" t="s">
        <v>37</v>
      </c>
      <c r="B420" s="80" t="s">
        <v>72</v>
      </c>
      <c r="C420" s="80" t="s">
        <v>922</v>
      </c>
      <c r="D420" s="80" t="s">
        <v>38</v>
      </c>
      <c r="E420" s="82">
        <f>E421</f>
        <v>13236200</v>
      </c>
    </row>
    <row r="421" spans="1:5" outlineLevel="6" x14ac:dyDescent="0.25">
      <c r="A421" s="81" t="s">
        <v>74</v>
      </c>
      <c r="B421" s="80" t="s">
        <v>72</v>
      </c>
      <c r="C421" s="80" t="s">
        <v>922</v>
      </c>
      <c r="D421" s="80" t="s">
        <v>75</v>
      </c>
      <c r="E421" s="82">
        <f>'прил 11 '!F561</f>
        <v>13236200</v>
      </c>
    </row>
    <row r="422" spans="1:5" ht="42.45" customHeight="1" outlineLevel="6" x14ac:dyDescent="0.25">
      <c r="A422" s="113" t="s">
        <v>206</v>
      </c>
      <c r="B422" s="80" t="s">
        <v>72</v>
      </c>
      <c r="C422" s="80" t="s">
        <v>220</v>
      </c>
      <c r="D422" s="80" t="s">
        <v>6</v>
      </c>
      <c r="E422" s="82">
        <f>E423+E426+E432+E435+E429+E438+E441</f>
        <v>1214979.52</v>
      </c>
    </row>
    <row r="423" spans="1:5" outlineLevel="6" x14ac:dyDescent="0.25">
      <c r="A423" s="81" t="s">
        <v>268</v>
      </c>
      <c r="B423" s="80" t="s">
        <v>72</v>
      </c>
      <c r="C423" s="80" t="s">
        <v>269</v>
      </c>
      <c r="D423" s="80" t="s">
        <v>6</v>
      </c>
      <c r="E423" s="82">
        <f>E424</f>
        <v>221200</v>
      </c>
    </row>
    <row r="424" spans="1:5" ht="36.700000000000003" outlineLevel="6" x14ac:dyDescent="0.25">
      <c r="A424" s="81" t="s">
        <v>37</v>
      </c>
      <c r="B424" s="80" t="s">
        <v>72</v>
      </c>
      <c r="C424" s="80" t="s">
        <v>269</v>
      </c>
      <c r="D424" s="80" t="s">
        <v>38</v>
      </c>
      <c r="E424" s="82">
        <f>E425</f>
        <v>221200</v>
      </c>
    </row>
    <row r="425" spans="1:5" outlineLevel="6" x14ac:dyDescent="0.25">
      <c r="A425" s="81" t="s">
        <v>74</v>
      </c>
      <c r="B425" s="80" t="s">
        <v>72</v>
      </c>
      <c r="C425" s="80" t="s">
        <v>269</v>
      </c>
      <c r="D425" s="80" t="s">
        <v>75</v>
      </c>
      <c r="E425" s="82">
        <f>'прил 11 '!F565</f>
        <v>221200</v>
      </c>
    </row>
    <row r="426" spans="1:5" outlineLevel="6" x14ac:dyDescent="0.25">
      <c r="A426" s="134" t="s">
        <v>311</v>
      </c>
      <c r="B426" s="80" t="s">
        <v>72</v>
      </c>
      <c r="C426" s="80" t="s">
        <v>312</v>
      </c>
      <c r="D426" s="80" t="s">
        <v>6</v>
      </c>
      <c r="E426" s="82">
        <f>E427</f>
        <v>0</v>
      </c>
    </row>
    <row r="427" spans="1:5" ht="36.700000000000003" outlineLevel="6" x14ac:dyDescent="0.25">
      <c r="A427" s="81" t="s">
        <v>37</v>
      </c>
      <c r="B427" s="80" t="s">
        <v>72</v>
      </c>
      <c r="C427" s="80" t="s">
        <v>312</v>
      </c>
      <c r="D427" s="80" t="s">
        <v>38</v>
      </c>
      <c r="E427" s="82">
        <f>E428</f>
        <v>0</v>
      </c>
    </row>
    <row r="428" spans="1:5" outlineLevel="6" x14ac:dyDescent="0.25">
      <c r="A428" s="81" t="s">
        <v>74</v>
      </c>
      <c r="B428" s="80" t="s">
        <v>72</v>
      </c>
      <c r="C428" s="80" t="s">
        <v>312</v>
      </c>
      <c r="D428" s="80" t="s">
        <v>75</v>
      </c>
      <c r="E428" s="82">
        <f>'прил 11 '!F568</f>
        <v>0</v>
      </c>
    </row>
    <row r="429" spans="1:5" ht="36.700000000000003" outlineLevel="6" x14ac:dyDescent="0.25">
      <c r="A429" s="113" t="s">
        <v>458</v>
      </c>
      <c r="B429" s="80" t="s">
        <v>72</v>
      </c>
      <c r="C429" s="80" t="s">
        <v>720</v>
      </c>
      <c r="D429" s="80" t="s">
        <v>6</v>
      </c>
      <c r="E429" s="82">
        <f>E430</f>
        <v>0</v>
      </c>
    </row>
    <row r="430" spans="1:5" ht="36.700000000000003" outlineLevel="6" x14ac:dyDescent="0.25">
      <c r="A430" s="81" t="s">
        <v>37</v>
      </c>
      <c r="B430" s="80" t="s">
        <v>72</v>
      </c>
      <c r="C430" s="80" t="s">
        <v>720</v>
      </c>
      <c r="D430" s="80" t="s">
        <v>38</v>
      </c>
      <c r="E430" s="82">
        <f>E431</f>
        <v>0</v>
      </c>
    </row>
    <row r="431" spans="1:5" outlineLevel="6" x14ac:dyDescent="0.25">
      <c r="A431" s="81" t="s">
        <v>74</v>
      </c>
      <c r="B431" s="80" t="s">
        <v>72</v>
      </c>
      <c r="C431" s="80" t="s">
        <v>720</v>
      </c>
      <c r="D431" s="80" t="s">
        <v>75</v>
      </c>
      <c r="E431" s="82">
        <f>'прил 11 '!F571</f>
        <v>0</v>
      </c>
    </row>
    <row r="432" spans="1:5" ht="55.05" outlineLevel="6" x14ac:dyDescent="0.25">
      <c r="A432" s="25" t="s">
        <v>595</v>
      </c>
      <c r="B432" s="80" t="s">
        <v>72</v>
      </c>
      <c r="C432" s="80" t="s">
        <v>596</v>
      </c>
      <c r="D432" s="80" t="s">
        <v>6</v>
      </c>
      <c r="E432" s="82">
        <f>E433</f>
        <v>0</v>
      </c>
    </row>
    <row r="433" spans="1:5" ht="36.700000000000003" outlineLevel="6" x14ac:dyDescent="0.25">
      <c r="A433" s="81" t="s">
        <v>37</v>
      </c>
      <c r="B433" s="80" t="s">
        <v>72</v>
      </c>
      <c r="C433" s="80" t="s">
        <v>596</v>
      </c>
      <c r="D433" s="80" t="s">
        <v>38</v>
      </c>
      <c r="E433" s="82">
        <f>E434</f>
        <v>0</v>
      </c>
    </row>
    <row r="434" spans="1:5" outlineLevel="6" x14ac:dyDescent="0.25">
      <c r="A434" s="81" t="s">
        <v>74</v>
      </c>
      <c r="B434" s="80" t="s">
        <v>72</v>
      </c>
      <c r="C434" s="80" t="s">
        <v>596</v>
      </c>
      <c r="D434" s="80" t="s">
        <v>75</v>
      </c>
      <c r="E434" s="82">
        <f>'прил 11 '!F574</f>
        <v>0</v>
      </c>
    </row>
    <row r="435" spans="1:5" ht="20.25" customHeight="1" outlineLevel="6" x14ac:dyDescent="0.25">
      <c r="A435" s="81" t="s">
        <v>445</v>
      </c>
      <c r="B435" s="80" t="s">
        <v>72</v>
      </c>
      <c r="C435" s="80" t="s">
        <v>446</v>
      </c>
      <c r="D435" s="80" t="s">
        <v>6</v>
      </c>
      <c r="E435" s="82">
        <f>E436</f>
        <v>993779.52</v>
      </c>
    </row>
    <row r="436" spans="1:5" ht="39.25" customHeight="1" outlineLevel="6" x14ac:dyDescent="0.25">
      <c r="A436" s="81" t="s">
        <v>37</v>
      </c>
      <c r="B436" s="80" t="s">
        <v>72</v>
      </c>
      <c r="C436" s="80" t="s">
        <v>446</v>
      </c>
      <c r="D436" s="80" t="s">
        <v>38</v>
      </c>
      <c r="E436" s="82">
        <f>E437</f>
        <v>993779.52</v>
      </c>
    </row>
    <row r="437" spans="1:5" outlineLevel="6" x14ac:dyDescent="0.25">
      <c r="A437" s="81" t="s">
        <v>74</v>
      </c>
      <c r="B437" s="80" t="s">
        <v>72</v>
      </c>
      <c r="C437" s="80" t="s">
        <v>446</v>
      </c>
      <c r="D437" s="80" t="s">
        <v>75</v>
      </c>
      <c r="E437" s="82">
        <f>'прил 11 '!F577</f>
        <v>993779.52</v>
      </c>
    </row>
    <row r="438" spans="1:5" ht="36.700000000000003" outlineLevel="6" x14ac:dyDescent="0.25">
      <c r="A438" s="81" t="s">
        <v>923</v>
      </c>
      <c r="B438" s="80" t="s">
        <v>72</v>
      </c>
      <c r="C438" s="80" t="s">
        <v>924</v>
      </c>
      <c r="D438" s="80" t="s">
        <v>6</v>
      </c>
      <c r="E438" s="82">
        <f>E439</f>
        <v>0</v>
      </c>
    </row>
    <row r="439" spans="1:5" ht="36.700000000000003" outlineLevel="6" x14ac:dyDescent="0.25">
      <c r="A439" s="81" t="s">
        <v>37</v>
      </c>
      <c r="B439" s="80" t="s">
        <v>72</v>
      </c>
      <c r="C439" s="80" t="s">
        <v>924</v>
      </c>
      <c r="D439" s="80" t="s">
        <v>38</v>
      </c>
      <c r="E439" s="82">
        <f>E440</f>
        <v>0</v>
      </c>
    </row>
    <row r="440" spans="1:5" ht="19.05" outlineLevel="6" thickBot="1" x14ac:dyDescent="0.3">
      <c r="A440" s="81" t="s">
        <v>74</v>
      </c>
      <c r="B440" s="80" t="s">
        <v>72</v>
      </c>
      <c r="C440" s="80" t="s">
        <v>924</v>
      </c>
      <c r="D440" s="80" t="s">
        <v>75</v>
      </c>
      <c r="E440" s="82">
        <f>'прил 11 '!F580</f>
        <v>0</v>
      </c>
    </row>
    <row r="441" spans="1:5" ht="55.7" outlineLevel="6" thickBot="1" x14ac:dyDescent="0.3">
      <c r="A441" s="280" t="s">
        <v>938</v>
      </c>
      <c r="B441" s="80" t="s">
        <v>72</v>
      </c>
      <c r="C441" s="80" t="s">
        <v>939</v>
      </c>
      <c r="D441" s="80" t="s">
        <v>6</v>
      </c>
      <c r="E441" s="82">
        <f>E442</f>
        <v>0</v>
      </c>
    </row>
    <row r="442" spans="1:5" ht="36.700000000000003" outlineLevel="6" x14ac:dyDescent="0.25">
      <c r="A442" s="81" t="s">
        <v>37</v>
      </c>
      <c r="B442" s="80" t="s">
        <v>72</v>
      </c>
      <c r="C442" s="80" t="s">
        <v>939</v>
      </c>
      <c r="D442" s="80" t="s">
        <v>38</v>
      </c>
      <c r="E442" s="82">
        <f>E443</f>
        <v>0</v>
      </c>
    </row>
    <row r="443" spans="1:5" outlineLevel="6" x14ac:dyDescent="0.25">
      <c r="A443" s="81" t="s">
        <v>74</v>
      </c>
      <c r="B443" s="80" t="s">
        <v>72</v>
      </c>
      <c r="C443" s="80" t="s">
        <v>939</v>
      </c>
      <c r="D443" s="80" t="s">
        <v>75</v>
      </c>
      <c r="E443" s="82">
        <f>'прил 11 '!F591</f>
        <v>0</v>
      </c>
    </row>
    <row r="444" spans="1:5" ht="36.700000000000003" outlineLevel="6" x14ac:dyDescent="0.25">
      <c r="A444" s="113" t="s">
        <v>275</v>
      </c>
      <c r="B444" s="80" t="s">
        <v>72</v>
      </c>
      <c r="C444" s="80" t="s">
        <v>223</v>
      </c>
      <c r="D444" s="80" t="s">
        <v>6</v>
      </c>
      <c r="E444" s="82">
        <f>E445</f>
        <v>7109400</v>
      </c>
    </row>
    <row r="445" spans="1:5" ht="91.7" outlineLevel="6" x14ac:dyDescent="0.25">
      <c r="A445" s="135" t="s">
        <v>658</v>
      </c>
      <c r="B445" s="80" t="s">
        <v>72</v>
      </c>
      <c r="C445" s="80" t="s">
        <v>659</v>
      </c>
      <c r="D445" s="80" t="s">
        <v>6</v>
      </c>
      <c r="E445" s="82">
        <f>E446</f>
        <v>7109400</v>
      </c>
    </row>
    <row r="446" spans="1:5" ht="36.700000000000003" outlineLevel="6" x14ac:dyDescent="0.25">
      <c r="A446" s="81" t="s">
        <v>37</v>
      </c>
      <c r="B446" s="80" t="s">
        <v>72</v>
      </c>
      <c r="C446" s="80" t="s">
        <v>659</v>
      </c>
      <c r="D446" s="80" t="s">
        <v>38</v>
      </c>
      <c r="E446" s="82">
        <f>E447</f>
        <v>7109400</v>
      </c>
    </row>
    <row r="447" spans="1:5" ht="18.7" customHeight="1" outlineLevel="6" x14ac:dyDescent="0.25">
      <c r="A447" s="81" t="s">
        <v>74</v>
      </c>
      <c r="B447" s="80" t="s">
        <v>72</v>
      </c>
      <c r="C447" s="80" t="s">
        <v>659</v>
      </c>
      <c r="D447" s="80" t="s">
        <v>75</v>
      </c>
      <c r="E447" s="82">
        <f>'прил 11 '!F584</f>
        <v>7109400</v>
      </c>
    </row>
    <row r="448" spans="1:5" outlineLevel="6" x14ac:dyDescent="0.25">
      <c r="A448" s="25" t="s">
        <v>1049</v>
      </c>
      <c r="B448" s="80" t="s">
        <v>72</v>
      </c>
      <c r="C448" s="80" t="s">
        <v>313</v>
      </c>
      <c r="D448" s="80" t="s">
        <v>6</v>
      </c>
      <c r="E448" s="82">
        <f>E449</f>
        <v>2981520.22</v>
      </c>
    </row>
    <row r="449" spans="1:5" ht="59.8" customHeight="1" outlineLevel="6" x14ac:dyDescent="0.25">
      <c r="A449" s="81" t="s">
        <v>1050</v>
      </c>
      <c r="B449" s="80" t="s">
        <v>72</v>
      </c>
      <c r="C449" s="80" t="s">
        <v>968</v>
      </c>
      <c r="D449" s="80" t="s">
        <v>6</v>
      </c>
      <c r="E449" s="82">
        <f>E450</f>
        <v>2981520.22</v>
      </c>
    </row>
    <row r="450" spans="1:5" ht="36.700000000000003" outlineLevel="6" x14ac:dyDescent="0.25">
      <c r="A450" s="81" t="s">
        <v>37</v>
      </c>
      <c r="B450" s="80" t="s">
        <v>72</v>
      </c>
      <c r="C450" s="80" t="s">
        <v>968</v>
      </c>
      <c r="D450" s="80" t="s">
        <v>38</v>
      </c>
      <c r="E450" s="82">
        <f>E451</f>
        <v>2981520.22</v>
      </c>
    </row>
    <row r="451" spans="1:5" outlineLevel="6" x14ac:dyDescent="0.25">
      <c r="A451" s="81" t="s">
        <v>74</v>
      </c>
      <c r="B451" s="80" t="s">
        <v>72</v>
      </c>
      <c r="C451" s="80" t="s">
        <v>968</v>
      </c>
      <c r="D451" s="80" t="s">
        <v>75</v>
      </c>
      <c r="E451" s="82">
        <f>'прил 11 '!F588</f>
        <v>2981520.22</v>
      </c>
    </row>
    <row r="452" spans="1:5" outlineLevel="6" x14ac:dyDescent="0.25">
      <c r="A452" s="81" t="s">
        <v>257</v>
      </c>
      <c r="B452" s="80" t="s">
        <v>256</v>
      </c>
      <c r="C452" s="80" t="s">
        <v>126</v>
      </c>
      <c r="D452" s="80" t="s">
        <v>6</v>
      </c>
      <c r="E452" s="82">
        <f>E453+E476</f>
        <v>50923283.329999998</v>
      </c>
    </row>
    <row r="453" spans="1:5" ht="36.700000000000003" outlineLevel="6" x14ac:dyDescent="0.25">
      <c r="A453" s="109" t="s">
        <v>825</v>
      </c>
      <c r="B453" s="110" t="s">
        <v>256</v>
      </c>
      <c r="C453" s="110" t="s">
        <v>138</v>
      </c>
      <c r="D453" s="110" t="s">
        <v>6</v>
      </c>
      <c r="E453" s="82">
        <f>E454</f>
        <v>26493367.960000001</v>
      </c>
    </row>
    <row r="454" spans="1:5" ht="36.700000000000003" outlineLevel="3" x14ac:dyDescent="0.25">
      <c r="A454" s="81" t="s">
        <v>832</v>
      </c>
      <c r="B454" s="80" t="s">
        <v>256</v>
      </c>
      <c r="C454" s="80" t="s">
        <v>149</v>
      </c>
      <c r="D454" s="80" t="s">
        <v>6</v>
      </c>
      <c r="E454" s="82">
        <f>E455+E459+E466+E473</f>
        <v>26493367.960000001</v>
      </c>
    </row>
    <row r="455" spans="1:5" ht="36.700000000000003" outlineLevel="4" x14ac:dyDescent="0.25">
      <c r="A455" s="116" t="s">
        <v>207</v>
      </c>
      <c r="B455" s="80" t="s">
        <v>256</v>
      </c>
      <c r="C455" s="80" t="s">
        <v>224</v>
      </c>
      <c r="D455" s="80" t="s">
        <v>6</v>
      </c>
      <c r="E455" s="82">
        <f>E456</f>
        <v>24725577.960000001</v>
      </c>
    </row>
    <row r="456" spans="1:5" ht="55.05" outlineLevel="5" x14ac:dyDescent="0.25">
      <c r="A456" s="81" t="s">
        <v>115</v>
      </c>
      <c r="B456" s="80" t="s">
        <v>256</v>
      </c>
      <c r="C456" s="80" t="s">
        <v>151</v>
      </c>
      <c r="D456" s="80" t="s">
        <v>6</v>
      </c>
      <c r="E456" s="82">
        <f>E457</f>
        <v>24725577.960000001</v>
      </c>
    </row>
    <row r="457" spans="1:5" ht="36.700000000000003" outlineLevel="6" x14ac:dyDescent="0.25">
      <c r="A457" s="81" t="s">
        <v>37</v>
      </c>
      <c r="B457" s="80" t="s">
        <v>256</v>
      </c>
      <c r="C457" s="80" t="s">
        <v>151</v>
      </c>
      <c r="D457" s="80" t="s">
        <v>38</v>
      </c>
      <c r="E457" s="82">
        <f>E458</f>
        <v>24725577.960000001</v>
      </c>
    </row>
    <row r="458" spans="1:5" outlineLevel="6" x14ac:dyDescent="0.25">
      <c r="A458" s="81" t="s">
        <v>74</v>
      </c>
      <c r="B458" s="80" t="s">
        <v>256</v>
      </c>
      <c r="C458" s="80" t="s">
        <v>151</v>
      </c>
      <c r="D458" s="80" t="s">
        <v>75</v>
      </c>
      <c r="E458" s="82">
        <f>'прил 11 '!F598</f>
        <v>24725577.960000001</v>
      </c>
    </row>
    <row r="459" spans="1:5" ht="36.700000000000003" outlineLevel="5" x14ac:dyDescent="0.25">
      <c r="A459" s="113" t="s">
        <v>402</v>
      </c>
      <c r="B459" s="80" t="s">
        <v>256</v>
      </c>
      <c r="C459" s="80" t="s">
        <v>225</v>
      </c>
      <c r="D459" s="80" t="s">
        <v>6</v>
      </c>
      <c r="E459" s="82">
        <f>E460+E463+E470</f>
        <v>31600</v>
      </c>
    </row>
    <row r="460" spans="1:5" outlineLevel="6" x14ac:dyDescent="0.25">
      <c r="A460" s="81" t="s">
        <v>268</v>
      </c>
      <c r="B460" s="80" t="s">
        <v>256</v>
      </c>
      <c r="C460" s="80" t="s">
        <v>288</v>
      </c>
      <c r="D460" s="80" t="s">
        <v>6</v>
      </c>
      <c r="E460" s="82">
        <f>E461</f>
        <v>31600</v>
      </c>
    </row>
    <row r="461" spans="1:5" ht="36.700000000000003" outlineLevel="6" x14ac:dyDescent="0.25">
      <c r="A461" s="81" t="s">
        <v>37</v>
      </c>
      <c r="B461" s="80" t="s">
        <v>256</v>
      </c>
      <c r="C461" s="80" t="s">
        <v>288</v>
      </c>
      <c r="D461" s="80" t="s">
        <v>38</v>
      </c>
      <c r="E461" s="82">
        <f>E462</f>
        <v>31600</v>
      </c>
    </row>
    <row r="462" spans="1:5" outlineLevel="6" x14ac:dyDescent="0.25">
      <c r="A462" s="81" t="s">
        <v>74</v>
      </c>
      <c r="B462" s="80" t="s">
        <v>256</v>
      </c>
      <c r="C462" s="80" t="s">
        <v>288</v>
      </c>
      <c r="D462" s="80" t="s">
        <v>75</v>
      </c>
      <c r="E462" s="82">
        <f>'прил 11 '!F602</f>
        <v>31600</v>
      </c>
    </row>
    <row r="463" spans="1:5" outlineLevel="6" x14ac:dyDescent="0.25">
      <c r="A463" s="81" t="s">
        <v>112</v>
      </c>
      <c r="B463" s="80" t="s">
        <v>256</v>
      </c>
      <c r="C463" s="80" t="s">
        <v>150</v>
      </c>
      <c r="D463" s="80" t="s">
        <v>6</v>
      </c>
      <c r="E463" s="82">
        <f>E464</f>
        <v>0</v>
      </c>
    </row>
    <row r="464" spans="1:5" ht="36.700000000000003" outlineLevel="6" x14ac:dyDescent="0.25">
      <c r="A464" s="81" t="s">
        <v>37</v>
      </c>
      <c r="B464" s="80" t="s">
        <v>256</v>
      </c>
      <c r="C464" s="80" t="s">
        <v>150</v>
      </c>
      <c r="D464" s="80" t="s">
        <v>38</v>
      </c>
      <c r="E464" s="82">
        <f>E465</f>
        <v>0</v>
      </c>
    </row>
    <row r="465" spans="1:5" ht="18" customHeight="1" outlineLevel="6" x14ac:dyDescent="0.25">
      <c r="A465" s="81" t="s">
        <v>74</v>
      </c>
      <c r="B465" s="80" t="s">
        <v>256</v>
      </c>
      <c r="C465" s="80" t="s">
        <v>150</v>
      </c>
      <c r="D465" s="80" t="s">
        <v>75</v>
      </c>
      <c r="E465" s="82">
        <f>'прил 11 '!F608</f>
        <v>0</v>
      </c>
    </row>
    <row r="466" spans="1:5" outlineLevel="6" x14ac:dyDescent="0.25">
      <c r="A466" s="81" t="s">
        <v>378</v>
      </c>
      <c r="B466" s="80" t="s">
        <v>256</v>
      </c>
      <c r="C466" s="80" t="s">
        <v>304</v>
      </c>
      <c r="D466" s="80" t="s">
        <v>6</v>
      </c>
      <c r="E466" s="82">
        <f>E467</f>
        <v>0</v>
      </c>
    </row>
    <row r="467" spans="1:5" ht="36.700000000000003" outlineLevel="6" x14ac:dyDescent="0.25">
      <c r="A467" s="81" t="s">
        <v>602</v>
      </c>
      <c r="B467" s="80" t="s">
        <v>256</v>
      </c>
      <c r="C467" s="80" t="s">
        <v>603</v>
      </c>
      <c r="D467" s="80" t="s">
        <v>6</v>
      </c>
      <c r="E467" s="82">
        <f>E468</f>
        <v>0</v>
      </c>
    </row>
    <row r="468" spans="1:5" ht="36.700000000000003" outlineLevel="6" x14ac:dyDescent="0.25">
      <c r="A468" s="81" t="s">
        <v>37</v>
      </c>
      <c r="B468" s="80" t="s">
        <v>256</v>
      </c>
      <c r="C468" s="80" t="s">
        <v>603</v>
      </c>
      <c r="D468" s="80" t="s">
        <v>38</v>
      </c>
      <c r="E468" s="82">
        <f>E469</f>
        <v>0</v>
      </c>
    </row>
    <row r="469" spans="1:5" outlineLevel="6" x14ac:dyDescent="0.25">
      <c r="A469" s="81" t="s">
        <v>74</v>
      </c>
      <c r="B469" s="80" t="s">
        <v>256</v>
      </c>
      <c r="C469" s="80" t="s">
        <v>603</v>
      </c>
      <c r="D469" s="80" t="s">
        <v>75</v>
      </c>
      <c r="E469" s="82">
        <v>0</v>
      </c>
    </row>
    <row r="470" spans="1:5" outlineLevel="6" x14ac:dyDescent="0.25">
      <c r="A470" s="134" t="s">
        <v>311</v>
      </c>
      <c r="B470" s="80" t="s">
        <v>256</v>
      </c>
      <c r="C470" s="80" t="s">
        <v>735</v>
      </c>
      <c r="D470" s="80" t="s">
        <v>6</v>
      </c>
      <c r="E470" s="82">
        <f>E471</f>
        <v>0</v>
      </c>
    </row>
    <row r="471" spans="1:5" ht="23.3" customHeight="1" outlineLevel="6" x14ac:dyDescent="0.25">
      <c r="A471" s="81" t="s">
        <v>37</v>
      </c>
      <c r="B471" s="80" t="s">
        <v>256</v>
      </c>
      <c r="C471" s="80" t="s">
        <v>735</v>
      </c>
      <c r="D471" s="80" t="s">
        <v>38</v>
      </c>
      <c r="E471" s="82">
        <f>E472</f>
        <v>0</v>
      </c>
    </row>
    <row r="472" spans="1:5" ht="18" customHeight="1" outlineLevel="6" x14ac:dyDescent="0.25">
      <c r="A472" s="81" t="s">
        <v>74</v>
      </c>
      <c r="B472" s="80" t="s">
        <v>256</v>
      </c>
      <c r="C472" s="80" t="s">
        <v>735</v>
      </c>
      <c r="D472" s="80" t="s">
        <v>75</v>
      </c>
      <c r="E472" s="82">
        <f>'прил 11 '!F605</f>
        <v>0</v>
      </c>
    </row>
    <row r="473" spans="1:5" ht="36.700000000000003" outlineLevel="6" x14ac:dyDescent="0.25">
      <c r="A473" s="81" t="s">
        <v>754</v>
      </c>
      <c r="B473" s="80" t="s">
        <v>256</v>
      </c>
      <c r="C473" s="80" t="s">
        <v>755</v>
      </c>
      <c r="D473" s="80" t="s">
        <v>6</v>
      </c>
      <c r="E473" s="82">
        <f>E474</f>
        <v>1736190</v>
      </c>
    </row>
    <row r="474" spans="1:5" ht="45" customHeight="1" outlineLevel="6" x14ac:dyDescent="0.25">
      <c r="A474" s="81" t="s">
        <v>37</v>
      </c>
      <c r="B474" s="80" t="s">
        <v>256</v>
      </c>
      <c r="C474" s="80" t="s">
        <v>756</v>
      </c>
      <c r="D474" s="80" t="s">
        <v>38</v>
      </c>
      <c r="E474" s="82">
        <f>E475</f>
        <v>1736190</v>
      </c>
    </row>
    <row r="475" spans="1:5" ht="32.950000000000003" customHeight="1" outlineLevel="6" x14ac:dyDescent="0.25">
      <c r="A475" s="81" t="s">
        <v>74</v>
      </c>
      <c r="B475" s="80" t="s">
        <v>256</v>
      </c>
      <c r="C475" s="80" t="s">
        <v>756</v>
      </c>
      <c r="D475" s="80" t="s">
        <v>75</v>
      </c>
      <c r="E475" s="82">
        <f>'прил 11 '!F611</f>
        <v>1736190</v>
      </c>
    </row>
    <row r="476" spans="1:5" ht="36.700000000000003" outlineLevel="6" x14ac:dyDescent="0.25">
      <c r="A476" s="109" t="s">
        <v>859</v>
      </c>
      <c r="B476" s="80" t="s">
        <v>256</v>
      </c>
      <c r="C476" s="80" t="s">
        <v>136</v>
      </c>
      <c r="D476" s="80" t="s">
        <v>6</v>
      </c>
      <c r="E476" s="82">
        <f>E477+E484+E488</f>
        <v>24429915.369999997</v>
      </c>
    </row>
    <row r="477" spans="1:5" ht="45" customHeight="1" outlineLevel="6" x14ac:dyDescent="0.25">
      <c r="A477" s="81" t="s">
        <v>368</v>
      </c>
      <c r="B477" s="80" t="s">
        <v>256</v>
      </c>
      <c r="C477" s="80" t="s">
        <v>228</v>
      </c>
      <c r="D477" s="80" t="s">
        <v>6</v>
      </c>
      <c r="E477" s="82">
        <f>E478+E481</f>
        <v>19827021.469999999</v>
      </c>
    </row>
    <row r="478" spans="1:5" ht="41.3" customHeight="1" outlineLevel="6" x14ac:dyDescent="0.25">
      <c r="A478" s="81" t="s">
        <v>73</v>
      </c>
      <c r="B478" s="80" t="s">
        <v>256</v>
      </c>
      <c r="C478" s="80" t="s">
        <v>137</v>
      </c>
      <c r="D478" s="80" t="s">
        <v>6</v>
      </c>
      <c r="E478" s="82">
        <f>E479</f>
        <v>19827021.469999999</v>
      </c>
    </row>
    <row r="479" spans="1:5" ht="36.700000000000003" outlineLevel="6" x14ac:dyDescent="0.25">
      <c r="A479" s="81" t="s">
        <v>37</v>
      </c>
      <c r="B479" s="80" t="s">
        <v>256</v>
      </c>
      <c r="C479" s="80" t="s">
        <v>137</v>
      </c>
      <c r="D479" s="80" t="s">
        <v>38</v>
      </c>
      <c r="E479" s="82">
        <f>E480</f>
        <v>19827021.469999999</v>
      </c>
    </row>
    <row r="480" spans="1:5" ht="18" customHeight="1" outlineLevel="6" x14ac:dyDescent="0.25">
      <c r="A480" s="81" t="s">
        <v>74</v>
      </c>
      <c r="B480" s="80" t="s">
        <v>256</v>
      </c>
      <c r="C480" s="80" t="s">
        <v>137</v>
      </c>
      <c r="D480" s="80" t="s">
        <v>75</v>
      </c>
      <c r="E480" s="82">
        <f>'прил 11 '!F353</f>
        <v>19827021.469999999</v>
      </c>
    </row>
    <row r="481" spans="1:5" ht="34.65" customHeight="1" outlineLevel="6" x14ac:dyDescent="0.3">
      <c r="A481" s="272" t="s">
        <v>937</v>
      </c>
      <c r="B481" s="80" t="s">
        <v>256</v>
      </c>
      <c r="C481" s="80" t="s">
        <v>1056</v>
      </c>
      <c r="D481" s="80" t="s">
        <v>6</v>
      </c>
      <c r="E481" s="82">
        <f>E482</f>
        <v>0</v>
      </c>
    </row>
    <row r="482" spans="1:5" ht="40.75" customHeight="1" outlineLevel="6" x14ac:dyDescent="0.25">
      <c r="A482" s="81" t="s">
        <v>37</v>
      </c>
      <c r="B482" s="80" t="s">
        <v>256</v>
      </c>
      <c r="C482" s="80" t="s">
        <v>1056</v>
      </c>
      <c r="D482" s="80" t="s">
        <v>38</v>
      </c>
      <c r="E482" s="82">
        <f>E483</f>
        <v>0</v>
      </c>
    </row>
    <row r="483" spans="1:5" ht="18" customHeight="1" outlineLevel="6" x14ac:dyDescent="0.25">
      <c r="A483" s="81" t="s">
        <v>74</v>
      </c>
      <c r="B483" s="80" t="s">
        <v>256</v>
      </c>
      <c r="C483" s="80" t="s">
        <v>1056</v>
      </c>
      <c r="D483" s="80" t="s">
        <v>75</v>
      </c>
      <c r="E483" s="82">
        <v>0</v>
      </c>
    </row>
    <row r="484" spans="1:5" ht="21.25" customHeight="1" outlineLevel="6" x14ac:dyDescent="0.25">
      <c r="A484" s="81" t="s">
        <v>211</v>
      </c>
      <c r="B484" s="80" t="s">
        <v>256</v>
      </c>
      <c r="C484" s="80" t="s">
        <v>228</v>
      </c>
      <c r="D484" s="80" t="s">
        <v>6</v>
      </c>
      <c r="E484" s="82">
        <f>E485</f>
        <v>99113</v>
      </c>
    </row>
    <row r="485" spans="1:5" ht="73.400000000000006" outlineLevel="6" x14ac:dyDescent="0.25">
      <c r="A485" s="81" t="s">
        <v>520</v>
      </c>
      <c r="B485" s="80" t="s">
        <v>256</v>
      </c>
      <c r="C485" s="80" t="s">
        <v>711</v>
      </c>
      <c r="D485" s="83" t="s">
        <v>6</v>
      </c>
      <c r="E485" s="82">
        <f>E486</f>
        <v>99113</v>
      </c>
    </row>
    <row r="486" spans="1:5" ht="36.700000000000003" outlineLevel="6" x14ac:dyDescent="0.25">
      <c r="A486" s="81" t="s">
        <v>37</v>
      </c>
      <c r="B486" s="80" t="s">
        <v>256</v>
      </c>
      <c r="C486" s="80" t="s">
        <v>711</v>
      </c>
      <c r="D486" s="83" t="s">
        <v>38</v>
      </c>
      <c r="E486" s="82">
        <f>E487</f>
        <v>99113</v>
      </c>
    </row>
    <row r="487" spans="1:5" outlineLevel="6" x14ac:dyDescent="0.25">
      <c r="A487" s="81" t="s">
        <v>74</v>
      </c>
      <c r="B487" s="80" t="s">
        <v>256</v>
      </c>
      <c r="C487" s="80" t="s">
        <v>711</v>
      </c>
      <c r="D487" s="83" t="s">
        <v>75</v>
      </c>
      <c r="E487" s="82">
        <f>'прил 11 '!F356</f>
        <v>99113</v>
      </c>
    </row>
    <row r="488" spans="1:5" outlineLevel="6" x14ac:dyDescent="0.25">
      <c r="A488" s="121" t="s">
        <v>1057</v>
      </c>
      <c r="B488" s="110" t="s">
        <v>256</v>
      </c>
      <c r="C488" s="110" t="s">
        <v>598</v>
      </c>
      <c r="D488" s="110" t="s">
        <v>6</v>
      </c>
      <c r="E488" s="82">
        <f>E489</f>
        <v>4503780.8999999994</v>
      </c>
    </row>
    <row r="489" spans="1:5" ht="59.8" customHeight="1" outlineLevel="6" x14ac:dyDescent="0.3">
      <c r="A489" s="438" t="s">
        <v>984</v>
      </c>
      <c r="B489" s="80" t="s">
        <v>256</v>
      </c>
      <c r="C489" s="595" t="s">
        <v>599</v>
      </c>
      <c r="D489" s="80" t="s">
        <v>6</v>
      </c>
      <c r="E489" s="82">
        <f>E490</f>
        <v>4503780.8999999994</v>
      </c>
    </row>
    <row r="490" spans="1:5" ht="34" outlineLevel="6" x14ac:dyDescent="0.3">
      <c r="A490" s="438" t="s">
        <v>37</v>
      </c>
      <c r="B490" s="80" t="s">
        <v>256</v>
      </c>
      <c r="C490" s="595" t="s">
        <v>599</v>
      </c>
      <c r="D490" s="80" t="s">
        <v>38</v>
      </c>
      <c r="E490" s="82">
        <f>E491</f>
        <v>4503780.8999999994</v>
      </c>
    </row>
    <row r="491" spans="1:5" outlineLevel="6" x14ac:dyDescent="0.3">
      <c r="A491" s="438" t="s">
        <v>74</v>
      </c>
      <c r="B491" s="80" t="s">
        <v>256</v>
      </c>
      <c r="C491" s="595" t="s">
        <v>599</v>
      </c>
      <c r="D491" s="80" t="s">
        <v>75</v>
      </c>
      <c r="E491" s="82">
        <f>'прил 11 '!F360</f>
        <v>4503780.8999999994</v>
      </c>
    </row>
    <row r="492" spans="1:5" outlineLevel="1" x14ac:dyDescent="0.25">
      <c r="A492" s="81" t="s">
        <v>76</v>
      </c>
      <c r="B492" s="80" t="s">
        <v>77</v>
      </c>
      <c r="C492" s="80" t="s">
        <v>126</v>
      </c>
      <c r="D492" s="80" t="s">
        <v>6</v>
      </c>
      <c r="E492" s="82">
        <f>E493</f>
        <v>2803119.25</v>
      </c>
    </row>
    <row r="493" spans="1:5" s="192" customFormat="1" ht="36.700000000000003" outlineLevel="2" x14ac:dyDescent="0.25">
      <c r="A493" s="109" t="s">
        <v>825</v>
      </c>
      <c r="B493" s="110" t="s">
        <v>77</v>
      </c>
      <c r="C493" s="110" t="s">
        <v>138</v>
      </c>
      <c r="D493" s="110" t="s">
        <v>6</v>
      </c>
      <c r="E493" s="85">
        <f>E494+E507</f>
        <v>2803119.25</v>
      </c>
    </row>
    <row r="494" spans="1:5" ht="36.700000000000003" outlineLevel="3" x14ac:dyDescent="0.25">
      <c r="A494" s="81" t="s">
        <v>833</v>
      </c>
      <c r="B494" s="80" t="s">
        <v>77</v>
      </c>
      <c r="C494" s="80" t="s">
        <v>146</v>
      </c>
      <c r="D494" s="80" t="s">
        <v>6</v>
      </c>
      <c r="E494" s="82">
        <f>E495+E499</f>
        <v>2678119.25</v>
      </c>
    </row>
    <row r="495" spans="1:5" ht="43.5" customHeight="1" outlineLevel="3" x14ac:dyDescent="0.25">
      <c r="A495" s="113" t="s">
        <v>206</v>
      </c>
      <c r="B495" s="80" t="s">
        <v>77</v>
      </c>
      <c r="C495" s="80" t="s">
        <v>220</v>
      </c>
      <c r="D495" s="80" t="s">
        <v>6</v>
      </c>
      <c r="E495" s="82">
        <f>E496</f>
        <v>70000</v>
      </c>
    </row>
    <row r="496" spans="1:5" outlineLevel="3" x14ac:dyDescent="0.25">
      <c r="A496" s="81" t="s">
        <v>424</v>
      </c>
      <c r="B496" s="80" t="s">
        <v>77</v>
      </c>
      <c r="C496" s="80" t="s">
        <v>235</v>
      </c>
      <c r="D496" s="80" t="s">
        <v>6</v>
      </c>
      <c r="E496" s="82">
        <f>E497</f>
        <v>70000</v>
      </c>
    </row>
    <row r="497" spans="1:5" ht="17.5" customHeight="1" outlineLevel="3" x14ac:dyDescent="0.25">
      <c r="A497" s="81" t="s">
        <v>15</v>
      </c>
      <c r="B497" s="80" t="s">
        <v>77</v>
      </c>
      <c r="C497" s="80" t="s">
        <v>235</v>
      </c>
      <c r="D497" s="80" t="s">
        <v>16</v>
      </c>
      <c r="E497" s="82">
        <f>E498</f>
        <v>70000</v>
      </c>
    </row>
    <row r="498" spans="1:5" ht="21.25" customHeight="1" outlineLevel="4" x14ac:dyDescent="0.25">
      <c r="A498" s="81" t="s">
        <v>17</v>
      </c>
      <c r="B498" s="80" t="s">
        <v>77</v>
      </c>
      <c r="C498" s="80" t="s">
        <v>235</v>
      </c>
      <c r="D498" s="80" t="s">
        <v>18</v>
      </c>
      <c r="E498" s="82">
        <f>'прил 11 '!F621</f>
        <v>70000</v>
      </c>
    </row>
    <row r="499" spans="1:5" ht="40.75" customHeight="1" outlineLevel="6" x14ac:dyDescent="0.25">
      <c r="A499" s="113" t="s">
        <v>275</v>
      </c>
      <c r="B499" s="80" t="s">
        <v>77</v>
      </c>
      <c r="C499" s="80" t="s">
        <v>223</v>
      </c>
      <c r="D499" s="80" t="s">
        <v>6</v>
      </c>
      <c r="E499" s="82">
        <f>E500</f>
        <v>2608119.25</v>
      </c>
    </row>
    <row r="500" spans="1:5" ht="73.400000000000006" outlineLevel="6" x14ac:dyDescent="0.25">
      <c r="A500" s="100" t="s">
        <v>403</v>
      </c>
      <c r="B500" s="80" t="s">
        <v>77</v>
      </c>
      <c r="C500" s="80" t="s">
        <v>152</v>
      </c>
      <c r="D500" s="80" t="s">
        <v>6</v>
      </c>
      <c r="E500" s="82">
        <f>E501+E503+E505</f>
        <v>2608119.25</v>
      </c>
    </row>
    <row r="501" spans="1:5" ht="36.700000000000003" outlineLevel="6" x14ac:dyDescent="0.25">
      <c r="A501" s="81" t="s">
        <v>15</v>
      </c>
      <c r="B501" s="80" t="s">
        <v>77</v>
      </c>
      <c r="C501" s="80" t="s">
        <v>152</v>
      </c>
      <c r="D501" s="80" t="s">
        <v>16</v>
      </c>
      <c r="E501" s="82">
        <f>E502</f>
        <v>2000</v>
      </c>
    </row>
    <row r="502" spans="1:5" ht="36.700000000000003" outlineLevel="6" x14ac:dyDescent="0.25">
      <c r="A502" s="81" t="s">
        <v>17</v>
      </c>
      <c r="B502" s="80" t="s">
        <v>77</v>
      </c>
      <c r="C502" s="80" t="s">
        <v>152</v>
      </c>
      <c r="D502" s="80" t="s">
        <v>18</v>
      </c>
      <c r="E502" s="82">
        <f>'прил 11 '!F625</f>
        <v>2000</v>
      </c>
    </row>
    <row r="503" spans="1:5" outlineLevel="5" x14ac:dyDescent="0.25">
      <c r="A503" s="81" t="s">
        <v>90</v>
      </c>
      <c r="B503" s="80" t="s">
        <v>77</v>
      </c>
      <c r="C503" s="80" t="s">
        <v>152</v>
      </c>
      <c r="D503" s="80" t="s">
        <v>91</v>
      </c>
      <c r="E503" s="82">
        <f>E504</f>
        <v>320000</v>
      </c>
    </row>
    <row r="504" spans="1:5" ht="18.7" customHeight="1" outlineLevel="6" x14ac:dyDescent="0.25">
      <c r="A504" s="81" t="s">
        <v>97</v>
      </c>
      <c r="B504" s="80" t="s">
        <v>77</v>
      </c>
      <c r="C504" s="80" t="s">
        <v>152</v>
      </c>
      <c r="D504" s="80" t="s">
        <v>98</v>
      </c>
      <c r="E504" s="82">
        <f>'прил 11 '!F627</f>
        <v>320000</v>
      </c>
    </row>
    <row r="505" spans="1:5" ht="36.700000000000003" outlineLevel="4" x14ac:dyDescent="0.25">
      <c r="A505" s="81" t="s">
        <v>37</v>
      </c>
      <c r="B505" s="80" t="s">
        <v>77</v>
      </c>
      <c r="C505" s="80" t="s">
        <v>152</v>
      </c>
      <c r="D505" s="80" t="s">
        <v>38</v>
      </c>
      <c r="E505" s="82">
        <f>E506</f>
        <v>2286119.25</v>
      </c>
    </row>
    <row r="506" spans="1:5" outlineLevel="5" x14ac:dyDescent="0.25">
      <c r="A506" s="81" t="s">
        <v>74</v>
      </c>
      <c r="B506" s="80" t="s">
        <v>77</v>
      </c>
      <c r="C506" s="80" t="s">
        <v>152</v>
      </c>
      <c r="D506" s="80" t="s">
        <v>75</v>
      </c>
      <c r="E506" s="82">
        <f>'прил 11 '!F629</f>
        <v>2286119.25</v>
      </c>
    </row>
    <row r="507" spans="1:5" outlineLevel="6" x14ac:dyDescent="0.25">
      <c r="A507" s="25" t="s">
        <v>238</v>
      </c>
      <c r="B507" s="80" t="s">
        <v>77</v>
      </c>
      <c r="C507" s="80" t="s">
        <v>237</v>
      </c>
      <c r="D507" s="80" t="s">
        <v>6</v>
      </c>
      <c r="E507" s="82">
        <f>E508</f>
        <v>125000</v>
      </c>
    </row>
    <row r="508" spans="1:5" outlineLevel="6" x14ac:dyDescent="0.25">
      <c r="A508" s="81" t="s">
        <v>78</v>
      </c>
      <c r="B508" s="80" t="s">
        <v>77</v>
      </c>
      <c r="C508" s="80" t="s">
        <v>153</v>
      </c>
      <c r="D508" s="80" t="s">
        <v>6</v>
      </c>
      <c r="E508" s="82">
        <f>E509</f>
        <v>125000</v>
      </c>
    </row>
    <row r="509" spans="1:5" ht="18" customHeight="1" outlineLevel="6" x14ac:dyDescent="0.25">
      <c r="A509" s="81" t="s">
        <v>15</v>
      </c>
      <c r="B509" s="80" t="s">
        <v>77</v>
      </c>
      <c r="C509" s="80" t="s">
        <v>153</v>
      </c>
      <c r="D509" s="80" t="s">
        <v>16</v>
      </c>
      <c r="E509" s="82">
        <f>E510</f>
        <v>125000</v>
      </c>
    </row>
    <row r="510" spans="1:5" ht="21.75" customHeight="1" outlineLevel="6" x14ac:dyDescent="0.25">
      <c r="A510" s="81" t="s">
        <v>17</v>
      </c>
      <c r="B510" s="80" t="s">
        <v>77</v>
      </c>
      <c r="C510" s="80" t="s">
        <v>153</v>
      </c>
      <c r="D510" s="80" t="s">
        <v>18</v>
      </c>
      <c r="E510" s="82">
        <f>'прил 11 '!F633</f>
        <v>125000</v>
      </c>
    </row>
    <row r="511" spans="1:5" outlineLevel="1" x14ac:dyDescent="0.25">
      <c r="A511" s="81" t="s">
        <v>116</v>
      </c>
      <c r="B511" s="80" t="s">
        <v>117</v>
      </c>
      <c r="C511" s="80" t="s">
        <v>126</v>
      </c>
      <c r="D511" s="80" t="s">
        <v>6</v>
      </c>
      <c r="E511" s="82">
        <f>E512</f>
        <v>23557565</v>
      </c>
    </row>
    <row r="512" spans="1:5" ht="36.700000000000003" outlineLevel="2" x14ac:dyDescent="0.25">
      <c r="A512" s="109" t="s">
        <v>827</v>
      </c>
      <c r="B512" s="110" t="s">
        <v>117</v>
      </c>
      <c r="C512" s="110" t="s">
        <v>138</v>
      </c>
      <c r="D512" s="110" t="s">
        <v>6</v>
      </c>
      <c r="E512" s="82">
        <f>E513</f>
        <v>23557565</v>
      </c>
    </row>
    <row r="513" spans="1:5" ht="36.700000000000003" outlineLevel="4" x14ac:dyDescent="0.25">
      <c r="A513" s="113" t="s">
        <v>209</v>
      </c>
      <c r="B513" s="80" t="s">
        <v>117</v>
      </c>
      <c r="C513" s="80" t="s">
        <v>226</v>
      </c>
      <c r="D513" s="80" t="s">
        <v>6</v>
      </c>
      <c r="E513" s="82">
        <f>E514+E521+E528</f>
        <v>23557565</v>
      </c>
    </row>
    <row r="514" spans="1:5" ht="39.75" customHeight="1" outlineLevel="5" x14ac:dyDescent="0.25">
      <c r="A514" s="81" t="s">
        <v>494</v>
      </c>
      <c r="B514" s="80" t="s">
        <v>117</v>
      </c>
      <c r="C514" s="80" t="s">
        <v>535</v>
      </c>
      <c r="D514" s="80" t="s">
        <v>6</v>
      </c>
      <c r="E514" s="82">
        <f>E515+E517+E519</f>
        <v>5400410</v>
      </c>
    </row>
    <row r="515" spans="1:5" ht="73.400000000000006" outlineLevel="6" x14ac:dyDescent="0.25">
      <c r="A515" s="81" t="s">
        <v>11</v>
      </c>
      <c r="B515" s="80" t="s">
        <v>117</v>
      </c>
      <c r="C515" s="80" t="s">
        <v>535</v>
      </c>
      <c r="D515" s="80" t="s">
        <v>12</v>
      </c>
      <c r="E515" s="82">
        <f>E516</f>
        <v>5300410</v>
      </c>
    </row>
    <row r="516" spans="1:5" ht="18" customHeight="1" outlineLevel="5" x14ac:dyDescent="0.25">
      <c r="A516" s="81" t="s">
        <v>13</v>
      </c>
      <c r="B516" s="80" t="s">
        <v>117</v>
      </c>
      <c r="C516" s="80" t="s">
        <v>535</v>
      </c>
      <c r="D516" s="80" t="s">
        <v>14</v>
      </c>
      <c r="E516" s="82">
        <f>'прил 11 '!F639</f>
        <v>5300410</v>
      </c>
    </row>
    <row r="517" spans="1:5" ht="18" customHeight="1" outlineLevel="6" x14ac:dyDescent="0.25">
      <c r="A517" s="81" t="s">
        <v>15</v>
      </c>
      <c r="B517" s="80" t="s">
        <v>117</v>
      </c>
      <c r="C517" s="80" t="s">
        <v>535</v>
      </c>
      <c r="D517" s="80" t="s">
        <v>16</v>
      </c>
      <c r="E517" s="82">
        <f>E518</f>
        <v>100000</v>
      </c>
    </row>
    <row r="518" spans="1:5" ht="18" customHeight="1" outlineLevel="6" x14ac:dyDescent="0.25">
      <c r="A518" s="81" t="s">
        <v>17</v>
      </c>
      <c r="B518" s="80" t="s">
        <v>117</v>
      </c>
      <c r="C518" s="80" t="s">
        <v>535</v>
      </c>
      <c r="D518" s="80" t="s">
        <v>18</v>
      </c>
      <c r="E518" s="82">
        <f>'прил 11 '!F641</f>
        <v>100000</v>
      </c>
    </row>
    <row r="519" spans="1:5" outlineLevel="6" x14ac:dyDescent="0.25">
      <c r="A519" s="81" t="s">
        <v>19</v>
      </c>
      <c r="B519" s="80" t="s">
        <v>117</v>
      </c>
      <c r="C519" s="80" t="s">
        <v>535</v>
      </c>
      <c r="D519" s="80" t="s">
        <v>20</v>
      </c>
      <c r="E519" s="82">
        <f>E520</f>
        <v>0</v>
      </c>
    </row>
    <row r="520" spans="1:5" outlineLevel="4" x14ac:dyDescent="0.25">
      <c r="A520" s="81" t="s">
        <v>21</v>
      </c>
      <c r="B520" s="80" t="s">
        <v>117</v>
      </c>
      <c r="C520" s="80" t="s">
        <v>535</v>
      </c>
      <c r="D520" s="80" t="s">
        <v>22</v>
      </c>
      <c r="E520" s="82">
        <f>'прил 11 '!F643</f>
        <v>0</v>
      </c>
    </row>
    <row r="521" spans="1:5" ht="36.700000000000003" outlineLevel="5" x14ac:dyDescent="0.25">
      <c r="A521" s="81" t="s">
        <v>33</v>
      </c>
      <c r="B521" s="80" t="s">
        <v>117</v>
      </c>
      <c r="C521" s="80" t="s">
        <v>154</v>
      </c>
      <c r="D521" s="80" t="s">
        <v>6</v>
      </c>
      <c r="E521" s="82">
        <f>E522+E524+E526</f>
        <v>15890920</v>
      </c>
    </row>
    <row r="522" spans="1:5" ht="73.400000000000006" outlineLevel="6" x14ac:dyDescent="0.25">
      <c r="A522" s="81" t="s">
        <v>11</v>
      </c>
      <c r="B522" s="80" t="s">
        <v>117</v>
      </c>
      <c r="C522" s="80" t="s">
        <v>154</v>
      </c>
      <c r="D522" s="80" t="s">
        <v>12</v>
      </c>
      <c r="E522" s="82">
        <f>E523</f>
        <v>12652855</v>
      </c>
    </row>
    <row r="523" spans="1:5" outlineLevel="5" x14ac:dyDescent="0.25">
      <c r="A523" s="81" t="s">
        <v>34</v>
      </c>
      <c r="B523" s="80" t="s">
        <v>117</v>
      </c>
      <c r="C523" s="80" t="s">
        <v>154</v>
      </c>
      <c r="D523" s="80" t="s">
        <v>35</v>
      </c>
      <c r="E523" s="82">
        <f>'прил 11 '!F646</f>
        <v>12652855</v>
      </c>
    </row>
    <row r="524" spans="1:5" ht="16.5" customHeight="1" outlineLevel="6" x14ac:dyDescent="0.25">
      <c r="A524" s="81" t="s">
        <v>15</v>
      </c>
      <c r="B524" s="80" t="s">
        <v>117</v>
      </c>
      <c r="C524" s="80" t="s">
        <v>154</v>
      </c>
      <c r="D524" s="80" t="s">
        <v>16</v>
      </c>
      <c r="E524" s="82">
        <f>E525</f>
        <v>3200000</v>
      </c>
    </row>
    <row r="525" spans="1:5" ht="20.25" customHeight="1" outlineLevel="6" x14ac:dyDescent="0.25">
      <c r="A525" s="81" t="s">
        <v>17</v>
      </c>
      <c r="B525" s="80" t="s">
        <v>117</v>
      </c>
      <c r="C525" s="80" t="s">
        <v>154</v>
      </c>
      <c r="D525" s="80" t="s">
        <v>18</v>
      </c>
      <c r="E525" s="82">
        <f>'прил 11 '!F648</f>
        <v>3200000</v>
      </c>
    </row>
    <row r="526" spans="1:5" outlineLevel="6" x14ac:dyDescent="0.25">
      <c r="A526" s="81" t="s">
        <v>19</v>
      </c>
      <c r="B526" s="80" t="s">
        <v>117</v>
      </c>
      <c r="C526" s="80" t="s">
        <v>154</v>
      </c>
      <c r="D526" s="80" t="s">
        <v>20</v>
      </c>
      <c r="E526" s="82">
        <f>E527</f>
        <v>38065</v>
      </c>
    </row>
    <row r="527" spans="1:5" outlineLevel="6" x14ac:dyDescent="0.25">
      <c r="A527" s="81" t="s">
        <v>21</v>
      </c>
      <c r="B527" s="80" t="s">
        <v>117</v>
      </c>
      <c r="C527" s="80" t="s">
        <v>154</v>
      </c>
      <c r="D527" s="80" t="s">
        <v>22</v>
      </c>
      <c r="E527" s="82">
        <f>'прил 11 '!F650</f>
        <v>38065</v>
      </c>
    </row>
    <row r="528" spans="1:5" ht="36.700000000000003" outlineLevel="6" x14ac:dyDescent="0.25">
      <c r="A528" s="25" t="s">
        <v>36</v>
      </c>
      <c r="B528" s="80" t="s">
        <v>117</v>
      </c>
      <c r="C528" s="80" t="s">
        <v>155</v>
      </c>
      <c r="D528" s="80" t="s">
        <v>6</v>
      </c>
      <c r="E528" s="82">
        <f>E529</f>
        <v>2266235</v>
      </c>
    </row>
    <row r="529" spans="1:7" ht="36.700000000000003" outlineLevel="6" x14ac:dyDescent="0.25">
      <c r="A529" s="81" t="s">
        <v>37</v>
      </c>
      <c r="B529" s="80" t="s">
        <v>117</v>
      </c>
      <c r="C529" s="80" t="s">
        <v>155</v>
      </c>
      <c r="D529" s="80" t="s">
        <v>38</v>
      </c>
      <c r="E529" s="82">
        <f>E530</f>
        <v>2266235</v>
      </c>
    </row>
    <row r="530" spans="1:7" outlineLevel="6" x14ac:dyDescent="0.25">
      <c r="A530" s="81" t="s">
        <v>39</v>
      </c>
      <c r="B530" s="80" t="s">
        <v>117</v>
      </c>
      <c r="C530" s="80" t="s">
        <v>155</v>
      </c>
      <c r="D530" s="80" t="s">
        <v>40</v>
      </c>
      <c r="E530" s="82">
        <f>'прил 11 '!F653</f>
        <v>2266235</v>
      </c>
    </row>
    <row r="531" spans="1:7" s="170" customFormat="1" x14ac:dyDescent="0.25">
      <c r="A531" s="81" t="s">
        <v>79</v>
      </c>
      <c r="B531" s="105" t="s">
        <v>80</v>
      </c>
      <c r="C531" s="105" t="s">
        <v>126</v>
      </c>
      <c r="D531" s="105" t="s">
        <v>6</v>
      </c>
      <c r="E531" s="128">
        <f>E532+E556</f>
        <v>43194170.600000001</v>
      </c>
      <c r="G531" s="169">
        <f>E531/'прил 11 '!F715*100</f>
        <v>4.424752252388604</v>
      </c>
    </row>
    <row r="532" spans="1:7" outlineLevel="1" x14ac:dyDescent="0.25">
      <c r="A532" s="81" t="s">
        <v>81</v>
      </c>
      <c r="B532" s="80" t="s">
        <v>82</v>
      </c>
      <c r="C532" s="80" t="s">
        <v>126</v>
      </c>
      <c r="D532" s="80" t="s">
        <v>6</v>
      </c>
      <c r="E532" s="82">
        <f>E533</f>
        <v>37521560.649999999</v>
      </c>
    </row>
    <row r="533" spans="1:7" ht="36.700000000000003" outlineLevel="2" x14ac:dyDescent="0.25">
      <c r="A533" s="109" t="s">
        <v>839</v>
      </c>
      <c r="B533" s="110" t="s">
        <v>82</v>
      </c>
      <c r="C533" s="110" t="s">
        <v>136</v>
      </c>
      <c r="D533" s="110" t="s">
        <v>6</v>
      </c>
      <c r="E533" s="82">
        <f>E534+E548+E538</f>
        <v>37521560.649999999</v>
      </c>
    </row>
    <row r="534" spans="1:7" ht="48.75" customHeight="1" outlineLevel="2" x14ac:dyDescent="0.25">
      <c r="A534" s="81" t="s">
        <v>370</v>
      </c>
      <c r="B534" s="80" t="s">
        <v>82</v>
      </c>
      <c r="C534" s="80" t="s">
        <v>227</v>
      </c>
      <c r="D534" s="80" t="s">
        <v>6</v>
      </c>
      <c r="E534" s="82">
        <f>E535+E542+E545</f>
        <v>10510329.949999999</v>
      </c>
    </row>
    <row r="535" spans="1:7" ht="36.700000000000003" outlineLevel="6" x14ac:dyDescent="0.25">
      <c r="A535" s="25" t="s">
        <v>84</v>
      </c>
      <c r="B535" s="80" t="s">
        <v>82</v>
      </c>
      <c r="C535" s="80" t="s">
        <v>141</v>
      </c>
      <c r="D535" s="80" t="s">
        <v>6</v>
      </c>
      <c r="E535" s="82">
        <f>E536</f>
        <v>10337128.92</v>
      </c>
    </row>
    <row r="536" spans="1:7" ht="36.700000000000003" outlineLevel="6" x14ac:dyDescent="0.25">
      <c r="A536" s="81" t="s">
        <v>37</v>
      </c>
      <c r="B536" s="80" t="s">
        <v>82</v>
      </c>
      <c r="C536" s="80" t="s">
        <v>141</v>
      </c>
      <c r="D536" s="80" t="s">
        <v>38</v>
      </c>
      <c r="E536" s="82">
        <f>E537</f>
        <v>10337128.92</v>
      </c>
    </row>
    <row r="537" spans="1:7" outlineLevel="6" x14ac:dyDescent="0.25">
      <c r="A537" s="81" t="s">
        <v>74</v>
      </c>
      <c r="B537" s="80" t="s">
        <v>82</v>
      </c>
      <c r="C537" s="80" t="s">
        <v>141</v>
      </c>
      <c r="D537" s="80" t="s">
        <v>75</v>
      </c>
      <c r="E537" s="82">
        <f>'прил 11 '!F370</f>
        <v>10337128.92</v>
      </c>
    </row>
    <row r="538" spans="1:7" ht="36.700000000000003" outlineLevel="6" x14ac:dyDescent="0.25">
      <c r="A538" s="81" t="s">
        <v>678</v>
      </c>
      <c r="B538" s="80" t="s">
        <v>82</v>
      </c>
      <c r="C538" s="80" t="s">
        <v>677</v>
      </c>
      <c r="D538" s="80" t="s">
        <v>6</v>
      </c>
      <c r="E538" s="82">
        <f>E539</f>
        <v>26264730.699999999</v>
      </c>
    </row>
    <row r="539" spans="1:7" ht="36.700000000000003" outlineLevel="6" x14ac:dyDescent="0.25">
      <c r="A539" s="25" t="s">
        <v>84</v>
      </c>
      <c r="B539" s="80" t="s">
        <v>82</v>
      </c>
      <c r="C539" s="80" t="s">
        <v>676</v>
      </c>
      <c r="D539" s="80" t="s">
        <v>6</v>
      </c>
      <c r="E539" s="82">
        <f>E540</f>
        <v>26264730.699999999</v>
      </c>
    </row>
    <row r="540" spans="1:7" ht="36.700000000000003" outlineLevel="6" x14ac:dyDescent="0.25">
      <c r="A540" s="81" t="s">
        <v>37</v>
      </c>
      <c r="B540" s="80" t="s">
        <v>82</v>
      </c>
      <c r="C540" s="80" t="s">
        <v>676</v>
      </c>
      <c r="D540" s="80" t="s">
        <v>38</v>
      </c>
      <c r="E540" s="82">
        <f>E541</f>
        <v>26264730.699999999</v>
      </c>
    </row>
    <row r="541" spans="1:7" ht="17.5" customHeight="1" outlineLevel="6" x14ac:dyDescent="0.25">
      <c r="A541" s="81" t="s">
        <v>74</v>
      </c>
      <c r="B541" s="80" t="s">
        <v>82</v>
      </c>
      <c r="C541" s="80" t="s">
        <v>676</v>
      </c>
      <c r="D541" s="80" t="s">
        <v>75</v>
      </c>
      <c r="E541" s="82">
        <f>'прил 11 '!F380</f>
        <v>26264730.699999999</v>
      </c>
    </row>
    <row r="542" spans="1:7" ht="48.25" customHeight="1" outlineLevel="6" x14ac:dyDescent="0.3">
      <c r="A542" s="100" t="s">
        <v>985</v>
      </c>
      <c r="B542" s="439" t="s">
        <v>82</v>
      </c>
      <c r="C542" s="539" t="s">
        <v>294</v>
      </c>
      <c r="D542" s="548" t="s">
        <v>6</v>
      </c>
      <c r="E542" s="82">
        <f>E543</f>
        <v>168005</v>
      </c>
    </row>
    <row r="543" spans="1:7" ht="36.700000000000003" outlineLevel="6" x14ac:dyDescent="0.3">
      <c r="A543" s="81" t="s">
        <v>37</v>
      </c>
      <c r="B543" s="439" t="s">
        <v>82</v>
      </c>
      <c r="C543" s="539" t="s">
        <v>294</v>
      </c>
      <c r="D543" s="548" t="s">
        <v>38</v>
      </c>
      <c r="E543" s="82">
        <f>E544</f>
        <v>168005</v>
      </c>
    </row>
    <row r="544" spans="1:7" outlineLevel="4" x14ac:dyDescent="0.3">
      <c r="A544" s="81" t="s">
        <v>74</v>
      </c>
      <c r="B544" s="439" t="s">
        <v>82</v>
      </c>
      <c r="C544" s="539" t="s">
        <v>294</v>
      </c>
      <c r="D544" s="548" t="s">
        <v>75</v>
      </c>
      <c r="E544" s="82">
        <f>'прил 11 '!F373</f>
        <v>168005</v>
      </c>
    </row>
    <row r="545" spans="1:5" ht="55.05" outlineLevel="4" x14ac:dyDescent="0.3">
      <c r="A545" s="81" t="s">
        <v>307</v>
      </c>
      <c r="B545" s="439" t="s">
        <v>82</v>
      </c>
      <c r="C545" s="539" t="s">
        <v>308</v>
      </c>
      <c r="D545" s="548" t="s">
        <v>6</v>
      </c>
      <c r="E545" s="82">
        <f>E546</f>
        <v>5196.03</v>
      </c>
    </row>
    <row r="546" spans="1:5" ht="36.700000000000003" outlineLevel="4" x14ac:dyDescent="0.3">
      <c r="A546" s="81" t="s">
        <v>37</v>
      </c>
      <c r="B546" s="439" t="s">
        <v>82</v>
      </c>
      <c r="C546" s="539" t="s">
        <v>308</v>
      </c>
      <c r="D546" s="548" t="s">
        <v>38</v>
      </c>
      <c r="E546" s="82">
        <f>E547</f>
        <v>5196.03</v>
      </c>
    </row>
    <row r="547" spans="1:5" outlineLevel="4" x14ac:dyDescent="0.3">
      <c r="A547" s="81" t="s">
        <v>74</v>
      </c>
      <c r="B547" s="439" t="s">
        <v>82</v>
      </c>
      <c r="C547" s="539" t="s">
        <v>308</v>
      </c>
      <c r="D547" s="548" t="s">
        <v>75</v>
      </c>
      <c r="E547" s="82">
        <f>'прил 11 '!F376</f>
        <v>5196.03</v>
      </c>
    </row>
    <row r="548" spans="1:5" ht="21.25" customHeight="1" outlineLevel="5" x14ac:dyDescent="0.25">
      <c r="A548" s="81" t="s">
        <v>211</v>
      </c>
      <c r="B548" s="80" t="s">
        <v>82</v>
      </c>
      <c r="C548" s="80" t="s">
        <v>229</v>
      </c>
      <c r="D548" s="80" t="s">
        <v>6</v>
      </c>
      <c r="E548" s="82">
        <f>E549+E553</f>
        <v>746500</v>
      </c>
    </row>
    <row r="549" spans="1:5" outlineLevel="6" x14ac:dyDescent="0.25">
      <c r="A549" s="81" t="s">
        <v>83</v>
      </c>
      <c r="B549" s="80" t="s">
        <v>82</v>
      </c>
      <c r="C549" s="80" t="s">
        <v>140</v>
      </c>
      <c r="D549" s="80" t="s">
        <v>6</v>
      </c>
      <c r="E549" s="82">
        <f>E550</f>
        <v>746500</v>
      </c>
    </row>
    <row r="550" spans="1:5" ht="36.700000000000003" outlineLevel="6" x14ac:dyDescent="0.25">
      <c r="A550" s="81" t="s">
        <v>37</v>
      </c>
      <c r="B550" s="80" t="s">
        <v>82</v>
      </c>
      <c r="C550" s="80" t="s">
        <v>140</v>
      </c>
      <c r="D550" s="80" t="s">
        <v>38</v>
      </c>
      <c r="E550" s="82">
        <f>E551+E552</f>
        <v>746500</v>
      </c>
    </row>
    <row r="551" spans="1:5" outlineLevel="6" x14ac:dyDescent="0.25">
      <c r="A551" s="81" t="s">
        <v>74</v>
      </c>
      <c r="B551" s="80" t="s">
        <v>82</v>
      </c>
      <c r="C551" s="80" t="s">
        <v>140</v>
      </c>
      <c r="D551" s="80" t="s">
        <v>75</v>
      </c>
      <c r="E551" s="82">
        <f>'прил 11 '!F384</f>
        <v>632500</v>
      </c>
    </row>
    <row r="552" spans="1:5" ht="36.700000000000003" outlineLevel="6" x14ac:dyDescent="0.25">
      <c r="A552" s="81" t="s">
        <v>371</v>
      </c>
      <c r="B552" s="80" t="s">
        <v>82</v>
      </c>
      <c r="C552" s="80" t="s">
        <v>140</v>
      </c>
      <c r="D552" s="80" t="s">
        <v>252</v>
      </c>
      <c r="E552" s="82">
        <f>'прил 11 '!F385</f>
        <v>114000</v>
      </c>
    </row>
    <row r="553" spans="1:5" ht="36.700000000000003" outlineLevel="6" x14ac:dyDescent="0.25">
      <c r="A553" s="81" t="s">
        <v>955</v>
      </c>
      <c r="B553" s="80" t="s">
        <v>82</v>
      </c>
      <c r="C553" s="80" t="s">
        <v>956</v>
      </c>
      <c r="D553" s="80" t="s">
        <v>6</v>
      </c>
      <c r="E553" s="82">
        <f>E554</f>
        <v>0</v>
      </c>
    </row>
    <row r="554" spans="1:5" ht="36.700000000000003" outlineLevel="6" x14ac:dyDescent="0.25">
      <c r="A554" s="81" t="s">
        <v>37</v>
      </c>
      <c r="B554" s="80" t="s">
        <v>82</v>
      </c>
      <c r="C554" s="80" t="s">
        <v>956</v>
      </c>
      <c r="D554" s="80" t="s">
        <v>38</v>
      </c>
      <c r="E554" s="82">
        <f>E555</f>
        <v>0</v>
      </c>
    </row>
    <row r="555" spans="1:5" outlineLevel="6" x14ac:dyDescent="0.25">
      <c r="A555" s="81" t="s">
        <v>74</v>
      </c>
      <c r="B555" s="80" t="s">
        <v>82</v>
      </c>
      <c r="C555" s="80" t="s">
        <v>956</v>
      </c>
      <c r="D555" s="80" t="s">
        <v>75</v>
      </c>
      <c r="E555" s="82">
        <f>'прил 11 '!F388</f>
        <v>0</v>
      </c>
    </row>
    <row r="556" spans="1:5" outlineLevel="6" x14ac:dyDescent="0.25">
      <c r="A556" s="81" t="s">
        <v>522</v>
      </c>
      <c r="B556" s="80" t="s">
        <v>523</v>
      </c>
      <c r="C556" s="80" t="s">
        <v>126</v>
      </c>
      <c r="D556" s="80" t="s">
        <v>6</v>
      </c>
      <c r="E556" s="82">
        <f>E557+E568</f>
        <v>5672609.9500000002</v>
      </c>
    </row>
    <row r="557" spans="1:5" ht="36.700000000000003" outlineLevel="6" x14ac:dyDescent="0.25">
      <c r="A557" s="109" t="s">
        <v>839</v>
      </c>
      <c r="B557" s="80" t="s">
        <v>523</v>
      </c>
      <c r="C557" s="80" t="s">
        <v>136</v>
      </c>
      <c r="D557" s="80" t="s">
        <v>6</v>
      </c>
      <c r="E557" s="82">
        <f>E558</f>
        <v>3405960.55</v>
      </c>
    </row>
    <row r="558" spans="1:5" ht="21.75" customHeight="1" outlineLevel="6" x14ac:dyDescent="0.25">
      <c r="A558" s="81" t="s">
        <v>211</v>
      </c>
      <c r="B558" s="80" t="s">
        <v>523</v>
      </c>
      <c r="C558" s="80" t="s">
        <v>229</v>
      </c>
      <c r="D558" s="80" t="s">
        <v>6</v>
      </c>
      <c r="E558" s="82">
        <f>E562+E565</f>
        <v>3405960.55</v>
      </c>
    </row>
    <row r="559" spans="1:5" ht="73.400000000000006" outlineLevel="6" x14ac:dyDescent="0.25">
      <c r="A559" s="81" t="s">
        <v>872</v>
      </c>
      <c r="B559" s="80" t="s">
        <v>523</v>
      </c>
      <c r="C559" s="80" t="s">
        <v>904</v>
      </c>
      <c r="D559" s="80" t="s">
        <v>6</v>
      </c>
      <c r="E559" s="82">
        <f>E560</f>
        <v>0</v>
      </c>
    </row>
    <row r="560" spans="1:5" ht="36.700000000000003" outlineLevel="6" x14ac:dyDescent="0.25">
      <c r="A560" s="81" t="s">
        <v>37</v>
      </c>
      <c r="B560" s="80" t="s">
        <v>523</v>
      </c>
      <c r="C560" s="80" t="s">
        <v>904</v>
      </c>
      <c r="D560" s="80" t="s">
        <v>38</v>
      </c>
      <c r="E560" s="82">
        <f>E561</f>
        <v>0</v>
      </c>
    </row>
    <row r="561" spans="1:7" outlineLevel="6" x14ac:dyDescent="0.25">
      <c r="A561" s="81" t="s">
        <v>74</v>
      </c>
      <c r="B561" s="80" t="s">
        <v>523</v>
      </c>
      <c r="C561" s="80" t="s">
        <v>904</v>
      </c>
      <c r="D561" s="80" t="s">
        <v>75</v>
      </c>
      <c r="E561" s="82">
        <f>'прил 11 '!F394</f>
        <v>0</v>
      </c>
    </row>
    <row r="562" spans="1:7" outlineLevel="6" x14ac:dyDescent="0.3">
      <c r="A562" s="644" t="s">
        <v>986</v>
      </c>
      <c r="B562" s="439" t="s">
        <v>523</v>
      </c>
      <c r="C562" s="539" t="s">
        <v>1014</v>
      </c>
      <c r="D562" s="539" t="s">
        <v>6</v>
      </c>
      <c r="E562" s="82">
        <f>E563</f>
        <v>3303781.73</v>
      </c>
    </row>
    <row r="563" spans="1:7" ht="36.700000000000003" outlineLevel="6" x14ac:dyDescent="0.3">
      <c r="A563" s="81" t="s">
        <v>37</v>
      </c>
      <c r="B563" s="439" t="s">
        <v>523</v>
      </c>
      <c r="C563" s="539" t="s">
        <v>1014</v>
      </c>
      <c r="D563" s="539" t="s">
        <v>38</v>
      </c>
      <c r="E563" s="82">
        <f>E564</f>
        <v>3303781.73</v>
      </c>
    </row>
    <row r="564" spans="1:7" outlineLevel="6" x14ac:dyDescent="0.3">
      <c r="A564" s="81" t="s">
        <v>74</v>
      </c>
      <c r="B564" s="439" t="s">
        <v>523</v>
      </c>
      <c r="C564" s="539" t="s">
        <v>1014</v>
      </c>
      <c r="D564" s="539" t="s">
        <v>75</v>
      </c>
      <c r="E564" s="82">
        <f>'прил 11 '!F397</f>
        <v>3303781.73</v>
      </c>
    </row>
    <row r="565" spans="1:7" ht="36.700000000000003" outlineLevel="6" x14ac:dyDescent="0.3">
      <c r="A565" s="81" t="s">
        <v>1015</v>
      </c>
      <c r="B565" s="439" t="s">
        <v>523</v>
      </c>
      <c r="C565" s="539" t="s">
        <v>1016</v>
      </c>
      <c r="D565" s="539" t="s">
        <v>6</v>
      </c>
      <c r="E565" s="82">
        <f>E566</f>
        <v>102178.82</v>
      </c>
    </row>
    <row r="566" spans="1:7" ht="36.700000000000003" outlineLevel="6" x14ac:dyDescent="0.3">
      <c r="A566" s="81" t="s">
        <v>37</v>
      </c>
      <c r="B566" s="439" t="s">
        <v>523</v>
      </c>
      <c r="C566" s="539" t="s">
        <v>1016</v>
      </c>
      <c r="D566" s="539" t="s">
        <v>38</v>
      </c>
      <c r="E566" s="82">
        <f>E567</f>
        <v>102178.82</v>
      </c>
    </row>
    <row r="567" spans="1:7" outlineLevel="6" x14ac:dyDescent="0.3">
      <c r="A567" s="81" t="s">
        <v>74</v>
      </c>
      <c r="B567" s="439" t="s">
        <v>523</v>
      </c>
      <c r="C567" s="539" t="s">
        <v>1016</v>
      </c>
      <c r="D567" s="539" t="s">
        <v>75</v>
      </c>
      <c r="E567" s="82">
        <f>'прил 11 '!F400</f>
        <v>102178.82</v>
      </c>
    </row>
    <row r="568" spans="1:7" ht="55.05" outlineLevel="6" x14ac:dyDescent="0.25">
      <c r="A568" s="109" t="s">
        <v>851</v>
      </c>
      <c r="B568" s="110" t="s">
        <v>523</v>
      </c>
      <c r="C568" s="110" t="s">
        <v>331</v>
      </c>
      <c r="D568" s="110" t="s">
        <v>6</v>
      </c>
      <c r="E568" s="82">
        <f>E569+E573</f>
        <v>2266649.4000000004</v>
      </c>
    </row>
    <row r="569" spans="1:7" ht="36.700000000000003" outlineLevel="6" x14ac:dyDescent="0.25">
      <c r="A569" s="81" t="s">
        <v>215</v>
      </c>
      <c r="B569" s="80" t="s">
        <v>523</v>
      </c>
      <c r="C569" s="80" t="s">
        <v>332</v>
      </c>
      <c r="D569" s="80" t="s">
        <v>6</v>
      </c>
      <c r="E569" s="82">
        <f>E570</f>
        <v>1174110.1200000001</v>
      </c>
    </row>
    <row r="570" spans="1:7" ht="36.700000000000003" outlineLevel="6" x14ac:dyDescent="0.25">
      <c r="A570" s="81" t="s">
        <v>910</v>
      </c>
      <c r="B570" s="80" t="s">
        <v>523</v>
      </c>
      <c r="C570" s="80" t="s">
        <v>908</v>
      </c>
      <c r="D570" s="80" t="s">
        <v>6</v>
      </c>
      <c r="E570" s="82">
        <f>E571</f>
        <v>1174110.1200000001</v>
      </c>
    </row>
    <row r="571" spans="1:7" ht="36.700000000000003" outlineLevel="6" x14ac:dyDescent="0.25">
      <c r="A571" s="81" t="s">
        <v>15</v>
      </c>
      <c r="B571" s="80" t="s">
        <v>523</v>
      </c>
      <c r="C571" s="80" t="s">
        <v>908</v>
      </c>
      <c r="D571" s="80" t="s">
        <v>16</v>
      </c>
      <c r="E571" s="82">
        <f>E572</f>
        <v>1174110.1200000001</v>
      </c>
    </row>
    <row r="572" spans="1:7" ht="36.700000000000003" outlineLevel="6" x14ac:dyDescent="0.25">
      <c r="A572" s="81" t="s">
        <v>17</v>
      </c>
      <c r="B572" s="80" t="s">
        <v>523</v>
      </c>
      <c r="C572" s="80" t="s">
        <v>908</v>
      </c>
      <c r="D572" s="80" t="s">
        <v>18</v>
      </c>
      <c r="E572" s="82">
        <f>'прил 11 '!F405</f>
        <v>1174110.1200000001</v>
      </c>
    </row>
    <row r="573" spans="1:7" ht="73.400000000000006" outlineLevel="6" x14ac:dyDescent="0.3">
      <c r="A573" s="81" t="s">
        <v>1021</v>
      </c>
      <c r="B573" s="439" t="s">
        <v>523</v>
      </c>
      <c r="C573" s="539" t="s">
        <v>1020</v>
      </c>
      <c r="D573" s="539" t="s">
        <v>6</v>
      </c>
      <c r="E573" s="82">
        <f>E574</f>
        <v>1092539.28</v>
      </c>
    </row>
    <row r="574" spans="1:7" ht="36.700000000000003" outlineLevel="6" x14ac:dyDescent="0.3">
      <c r="A574" s="81" t="s">
        <v>15</v>
      </c>
      <c r="B574" s="439" t="s">
        <v>523</v>
      </c>
      <c r="C574" s="539" t="s">
        <v>1020</v>
      </c>
      <c r="D574" s="539" t="s">
        <v>16</v>
      </c>
      <c r="E574" s="82">
        <f>E575</f>
        <v>1092539.28</v>
      </c>
    </row>
    <row r="575" spans="1:7" ht="36.700000000000003" outlineLevel="6" x14ac:dyDescent="0.3">
      <c r="A575" s="81" t="s">
        <v>17</v>
      </c>
      <c r="B575" s="439" t="s">
        <v>523</v>
      </c>
      <c r="C575" s="539" t="s">
        <v>1020</v>
      </c>
      <c r="D575" s="539" t="s">
        <v>18</v>
      </c>
      <c r="E575" s="82">
        <f>'прил 11 '!F408</f>
        <v>1092539.28</v>
      </c>
    </row>
    <row r="576" spans="1:7" s="170" customFormat="1" x14ac:dyDescent="0.25">
      <c r="A576" s="81" t="s">
        <v>85</v>
      </c>
      <c r="B576" s="105" t="s">
        <v>86</v>
      </c>
      <c r="C576" s="105" t="s">
        <v>126</v>
      </c>
      <c r="D576" s="105" t="s">
        <v>6</v>
      </c>
      <c r="E576" s="128">
        <f>E577+E602+E582</f>
        <v>96001620.790000007</v>
      </c>
      <c r="G576" s="169">
        <f>E576/'прил 11 '!F715*100</f>
        <v>9.8342758275698703</v>
      </c>
    </row>
    <row r="577" spans="1:5" outlineLevel="1" x14ac:dyDescent="0.25">
      <c r="A577" s="81" t="s">
        <v>87</v>
      </c>
      <c r="B577" s="80" t="s">
        <v>88</v>
      </c>
      <c r="C577" s="80" t="s">
        <v>126</v>
      </c>
      <c r="D577" s="80" t="s">
        <v>6</v>
      </c>
      <c r="E577" s="82">
        <f>E578</f>
        <v>5533145.6699999999</v>
      </c>
    </row>
    <row r="578" spans="1:5" outlineLevel="3" x14ac:dyDescent="0.25">
      <c r="A578" s="81" t="s">
        <v>198</v>
      </c>
      <c r="B578" s="80" t="s">
        <v>88</v>
      </c>
      <c r="C578" s="80" t="s">
        <v>127</v>
      </c>
      <c r="D578" s="80" t="s">
        <v>6</v>
      </c>
      <c r="E578" s="82">
        <f>E579</f>
        <v>5533145.6699999999</v>
      </c>
    </row>
    <row r="579" spans="1:5" outlineLevel="4" x14ac:dyDescent="0.25">
      <c r="A579" s="81" t="s">
        <v>89</v>
      </c>
      <c r="B579" s="80" t="s">
        <v>88</v>
      </c>
      <c r="C579" s="80" t="s">
        <v>142</v>
      </c>
      <c r="D579" s="80" t="s">
        <v>6</v>
      </c>
      <c r="E579" s="82">
        <f>E580</f>
        <v>5533145.6699999999</v>
      </c>
    </row>
    <row r="580" spans="1:5" outlineLevel="5" x14ac:dyDescent="0.25">
      <c r="A580" s="81" t="s">
        <v>90</v>
      </c>
      <c r="B580" s="80" t="s">
        <v>88</v>
      </c>
      <c r="C580" s="80" t="s">
        <v>142</v>
      </c>
      <c r="D580" s="80" t="s">
        <v>91</v>
      </c>
      <c r="E580" s="82">
        <f>E581</f>
        <v>5533145.6699999999</v>
      </c>
    </row>
    <row r="581" spans="1:5" outlineLevel="6" x14ac:dyDescent="0.25">
      <c r="A581" s="81" t="s">
        <v>92</v>
      </c>
      <c r="B581" s="80" t="s">
        <v>88</v>
      </c>
      <c r="C581" s="80" t="s">
        <v>142</v>
      </c>
      <c r="D581" s="80" t="s">
        <v>93</v>
      </c>
      <c r="E581" s="82">
        <f>'прил 11 '!F414</f>
        <v>5533145.6699999999</v>
      </c>
    </row>
    <row r="582" spans="1:5" outlineLevel="6" x14ac:dyDescent="0.25">
      <c r="A582" s="81" t="s">
        <v>94</v>
      </c>
      <c r="B582" s="80" t="s">
        <v>95</v>
      </c>
      <c r="C582" s="80" t="s">
        <v>126</v>
      </c>
      <c r="D582" s="80" t="s">
        <v>6</v>
      </c>
      <c r="E582" s="82">
        <f>E583+E588+E593+E598</f>
        <v>2669438.2599999998</v>
      </c>
    </row>
    <row r="583" spans="1:5" ht="36.700000000000003" outlineLevel="6" x14ac:dyDescent="0.25">
      <c r="A583" s="109" t="s">
        <v>825</v>
      </c>
      <c r="B583" s="110" t="s">
        <v>95</v>
      </c>
      <c r="C583" s="110" t="s">
        <v>138</v>
      </c>
      <c r="D583" s="110" t="s">
        <v>6</v>
      </c>
      <c r="E583" s="82">
        <f>E584</f>
        <v>1685000</v>
      </c>
    </row>
    <row r="584" spans="1:5" outlineLevel="6" x14ac:dyDescent="0.25">
      <c r="A584" s="113" t="s">
        <v>1062</v>
      </c>
      <c r="B584" s="80" t="s">
        <v>95</v>
      </c>
      <c r="C584" s="80" t="s">
        <v>736</v>
      </c>
      <c r="D584" s="80" t="s">
        <v>6</v>
      </c>
      <c r="E584" s="82">
        <f>E585</f>
        <v>1685000</v>
      </c>
    </row>
    <row r="585" spans="1:5" ht="57.75" customHeight="1" outlineLevel="6" x14ac:dyDescent="0.25">
      <c r="A585" s="100" t="s">
        <v>405</v>
      </c>
      <c r="B585" s="80" t="s">
        <v>95</v>
      </c>
      <c r="C585" s="80" t="s">
        <v>737</v>
      </c>
      <c r="D585" s="80" t="s">
        <v>6</v>
      </c>
      <c r="E585" s="82">
        <f>E586</f>
        <v>1685000</v>
      </c>
    </row>
    <row r="586" spans="1:5" outlineLevel="6" x14ac:dyDescent="0.25">
      <c r="A586" s="81" t="s">
        <v>90</v>
      </c>
      <c r="B586" s="80" t="s">
        <v>95</v>
      </c>
      <c r="C586" s="80" t="s">
        <v>737</v>
      </c>
      <c r="D586" s="80" t="s">
        <v>91</v>
      </c>
      <c r="E586" s="82">
        <f>E587</f>
        <v>1685000</v>
      </c>
    </row>
    <row r="587" spans="1:5" ht="21.25" customHeight="1" outlineLevel="6" x14ac:dyDescent="0.25">
      <c r="A587" s="81" t="s">
        <v>97</v>
      </c>
      <c r="B587" s="80" t="s">
        <v>95</v>
      </c>
      <c r="C587" s="80" t="s">
        <v>737</v>
      </c>
      <c r="D587" s="80" t="s">
        <v>98</v>
      </c>
      <c r="E587" s="82">
        <f>'прил 11 '!F660</f>
        <v>1685000</v>
      </c>
    </row>
    <row r="588" spans="1:5" ht="55.05" outlineLevel="6" x14ac:dyDescent="0.25">
      <c r="A588" s="109" t="s">
        <v>932</v>
      </c>
      <c r="B588" s="110" t="s">
        <v>95</v>
      </c>
      <c r="C588" s="110" t="s">
        <v>129</v>
      </c>
      <c r="D588" s="110" t="s">
        <v>6</v>
      </c>
      <c r="E588" s="82">
        <f>E589</f>
        <v>150000</v>
      </c>
    </row>
    <row r="589" spans="1:5" ht="36.700000000000003" outlineLevel="6" x14ac:dyDescent="0.25">
      <c r="A589" s="81" t="s">
        <v>372</v>
      </c>
      <c r="B589" s="80" t="s">
        <v>95</v>
      </c>
      <c r="C589" s="80" t="s">
        <v>413</v>
      </c>
      <c r="D589" s="80" t="s">
        <v>6</v>
      </c>
      <c r="E589" s="82">
        <f>E590</f>
        <v>150000</v>
      </c>
    </row>
    <row r="590" spans="1:5" ht="44.85" customHeight="1" outlineLevel="6" x14ac:dyDescent="0.25">
      <c r="A590" s="81" t="s">
        <v>99</v>
      </c>
      <c r="B590" s="80" t="s">
        <v>95</v>
      </c>
      <c r="C590" s="80" t="s">
        <v>416</v>
      </c>
      <c r="D590" s="80" t="s">
        <v>6</v>
      </c>
      <c r="E590" s="82">
        <f>E591</f>
        <v>150000</v>
      </c>
    </row>
    <row r="591" spans="1:5" outlineLevel="6" x14ac:dyDescent="0.25">
      <c r="A591" s="81" t="s">
        <v>90</v>
      </c>
      <c r="B591" s="80" t="s">
        <v>95</v>
      </c>
      <c r="C591" s="80" t="s">
        <v>416</v>
      </c>
      <c r="D591" s="80" t="s">
        <v>91</v>
      </c>
      <c r="E591" s="82">
        <f>E592</f>
        <v>150000</v>
      </c>
    </row>
    <row r="592" spans="1:5" ht="18" customHeight="1" outlineLevel="6" x14ac:dyDescent="0.25">
      <c r="A592" s="81" t="s">
        <v>97</v>
      </c>
      <c r="B592" s="80" t="s">
        <v>95</v>
      </c>
      <c r="C592" s="80" t="s">
        <v>416</v>
      </c>
      <c r="D592" s="80" t="s">
        <v>98</v>
      </c>
      <c r="E592" s="82">
        <f>'прил 11 '!F420</f>
        <v>150000</v>
      </c>
    </row>
    <row r="593" spans="1:5" ht="36.700000000000003" outlineLevel="6" x14ac:dyDescent="0.25">
      <c r="A593" s="109" t="s">
        <v>855</v>
      </c>
      <c r="B593" s="110" t="s">
        <v>95</v>
      </c>
      <c r="C593" s="110" t="s">
        <v>374</v>
      </c>
      <c r="D593" s="110" t="s">
        <v>6</v>
      </c>
      <c r="E593" s="82">
        <f>E594</f>
        <v>734438.26</v>
      </c>
    </row>
    <row r="594" spans="1:5" ht="36.700000000000003" outlineLevel="6" x14ac:dyDescent="0.25">
      <c r="A594" s="81" t="s">
        <v>394</v>
      </c>
      <c r="B594" s="80" t="s">
        <v>95</v>
      </c>
      <c r="C594" s="80" t="s">
        <v>375</v>
      </c>
      <c r="D594" s="80" t="s">
        <v>6</v>
      </c>
      <c r="E594" s="82">
        <f>E595</f>
        <v>734438.26</v>
      </c>
    </row>
    <row r="595" spans="1:5" ht="31.25" customHeight="1" outlineLevel="6" x14ac:dyDescent="0.25">
      <c r="A595" s="81" t="s">
        <v>987</v>
      </c>
      <c r="B595" s="80" t="s">
        <v>95</v>
      </c>
      <c r="C595" s="80" t="s">
        <v>376</v>
      </c>
      <c r="D595" s="80" t="s">
        <v>6</v>
      </c>
      <c r="E595" s="82">
        <f>E596</f>
        <v>734438.26</v>
      </c>
    </row>
    <row r="596" spans="1:5" outlineLevel="6" x14ac:dyDescent="0.25">
      <c r="A596" s="81" t="s">
        <v>90</v>
      </c>
      <c r="B596" s="80" t="s">
        <v>95</v>
      </c>
      <c r="C596" s="80" t="s">
        <v>376</v>
      </c>
      <c r="D596" s="80" t="s">
        <v>91</v>
      </c>
      <c r="E596" s="82">
        <f>E597</f>
        <v>734438.26</v>
      </c>
    </row>
    <row r="597" spans="1:5" ht="19.55" customHeight="1" outlineLevel="6" x14ac:dyDescent="0.25">
      <c r="A597" s="81" t="s">
        <v>97</v>
      </c>
      <c r="B597" s="80" t="s">
        <v>95</v>
      </c>
      <c r="C597" s="80" t="s">
        <v>376</v>
      </c>
      <c r="D597" s="80" t="s">
        <v>98</v>
      </c>
      <c r="E597" s="82">
        <f>'прил 11 '!F425</f>
        <v>734438.26</v>
      </c>
    </row>
    <row r="598" spans="1:5" ht="19.55" customHeight="1" outlineLevel="6" x14ac:dyDescent="0.25">
      <c r="A598" s="81" t="s">
        <v>132</v>
      </c>
      <c r="B598" s="80" t="s">
        <v>95</v>
      </c>
      <c r="C598" s="80" t="s">
        <v>127</v>
      </c>
      <c r="D598" s="80" t="s">
        <v>6</v>
      </c>
      <c r="E598" s="82">
        <f>E599</f>
        <v>100000</v>
      </c>
    </row>
    <row r="599" spans="1:5" ht="36.700000000000003" outlineLevel="6" x14ac:dyDescent="0.25">
      <c r="A599" s="81" t="s">
        <v>526</v>
      </c>
      <c r="B599" s="80" t="s">
        <v>95</v>
      </c>
      <c r="C599" s="80" t="s">
        <v>539</v>
      </c>
      <c r="D599" s="80" t="s">
        <v>6</v>
      </c>
      <c r="E599" s="82">
        <f>E600</f>
        <v>100000</v>
      </c>
    </row>
    <row r="600" spans="1:5" outlineLevel="6" x14ac:dyDescent="0.25">
      <c r="A600" s="81" t="s">
        <v>90</v>
      </c>
      <c r="B600" s="80" t="s">
        <v>95</v>
      </c>
      <c r="C600" s="80" t="s">
        <v>539</v>
      </c>
      <c r="D600" s="80" t="s">
        <v>91</v>
      </c>
      <c r="E600" s="82">
        <f>E601</f>
        <v>100000</v>
      </c>
    </row>
    <row r="601" spans="1:5" outlineLevel="6" x14ac:dyDescent="0.25">
      <c r="A601" s="81" t="s">
        <v>309</v>
      </c>
      <c r="B601" s="80" t="s">
        <v>95</v>
      </c>
      <c r="C601" s="80" t="s">
        <v>539</v>
      </c>
      <c r="D601" s="80" t="s">
        <v>310</v>
      </c>
      <c r="E601" s="82">
        <f>'прил 11 '!F429</f>
        <v>100000</v>
      </c>
    </row>
    <row r="602" spans="1:5" outlineLevel="1" x14ac:dyDescent="0.25">
      <c r="A602" s="81" t="s">
        <v>123</v>
      </c>
      <c r="B602" s="80" t="s">
        <v>124</v>
      </c>
      <c r="C602" s="80" t="s">
        <v>126</v>
      </c>
      <c r="D602" s="80" t="s">
        <v>6</v>
      </c>
      <c r="E602" s="82">
        <f>E603+E613</f>
        <v>87799036.859999999</v>
      </c>
    </row>
    <row r="603" spans="1:5" ht="36.700000000000003" outlineLevel="2" x14ac:dyDescent="0.25">
      <c r="A603" s="109" t="s">
        <v>827</v>
      </c>
      <c r="B603" s="110" t="s">
        <v>124</v>
      </c>
      <c r="C603" s="110" t="s">
        <v>138</v>
      </c>
      <c r="D603" s="110" t="s">
        <v>6</v>
      </c>
      <c r="E603" s="82">
        <f>E604</f>
        <v>3791354</v>
      </c>
    </row>
    <row r="604" spans="1:5" ht="36.700000000000003" outlineLevel="3" x14ac:dyDescent="0.25">
      <c r="A604" s="81" t="s">
        <v>834</v>
      </c>
      <c r="B604" s="80" t="s">
        <v>124</v>
      </c>
      <c r="C604" s="80" t="s">
        <v>139</v>
      </c>
      <c r="D604" s="80" t="s">
        <v>6</v>
      </c>
      <c r="E604" s="82">
        <f>E605</f>
        <v>3791354</v>
      </c>
    </row>
    <row r="605" spans="1:5" ht="29.25" customHeight="1" outlineLevel="4" x14ac:dyDescent="0.25">
      <c r="A605" s="113" t="s">
        <v>204</v>
      </c>
      <c r="B605" s="80" t="s">
        <v>124</v>
      </c>
      <c r="C605" s="80" t="s">
        <v>234</v>
      </c>
      <c r="D605" s="80" t="s">
        <v>6</v>
      </c>
      <c r="E605" s="82">
        <f>E606</f>
        <v>3791354</v>
      </c>
    </row>
    <row r="606" spans="1:5" ht="119.9" customHeight="1" outlineLevel="5" x14ac:dyDescent="0.25">
      <c r="A606" s="100" t="s">
        <v>657</v>
      </c>
      <c r="B606" s="80" t="s">
        <v>124</v>
      </c>
      <c r="C606" s="80" t="s">
        <v>156</v>
      </c>
      <c r="D606" s="80" t="s">
        <v>6</v>
      </c>
      <c r="E606" s="82">
        <f>E611+E607</f>
        <v>3791354</v>
      </c>
    </row>
    <row r="607" spans="1:5" ht="24.8" customHeight="1" outlineLevel="5" x14ac:dyDescent="0.25">
      <c r="A607" s="81" t="s">
        <v>15</v>
      </c>
      <c r="B607" s="80" t="s">
        <v>124</v>
      </c>
      <c r="C607" s="80" t="s">
        <v>156</v>
      </c>
      <c r="D607" s="80" t="s">
        <v>16</v>
      </c>
      <c r="E607" s="82">
        <f>E608</f>
        <v>30000</v>
      </c>
    </row>
    <row r="608" spans="1:5" ht="37.549999999999997" customHeight="1" outlineLevel="5" x14ac:dyDescent="0.25">
      <c r="A608" s="81" t="s">
        <v>17</v>
      </c>
      <c r="B608" s="80" t="s">
        <v>124</v>
      </c>
      <c r="C608" s="80" t="s">
        <v>156</v>
      </c>
      <c r="D608" s="80" t="s">
        <v>18</v>
      </c>
      <c r="E608" s="82">
        <f>'прил 11 '!F667</f>
        <v>30000</v>
      </c>
    </row>
    <row r="609" spans="1:5" ht="37.549999999999997" customHeight="1" outlineLevel="5" x14ac:dyDescent="0.25">
      <c r="A609" s="81" t="s">
        <v>15</v>
      </c>
      <c r="B609" s="80" t="s">
        <v>124</v>
      </c>
      <c r="C609" s="80" t="s">
        <v>156</v>
      </c>
      <c r="D609" s="80" t="s">
        <v>16</v>
      </c>
      <c r="E609" s="82">
        <f>E610</f>
        <v>0</v>
      </c>
    </row>
    <row r="610" spans="1:5" ht="37.549999999999997" customHeight="1" outlineLevel="5" x14ac:dyDescent="0.25">
      <c r="A610" s="81" t="s">
        <v>17</v>
      </c>
      <c r="B610" s="80" t="s">
        <v>124</v>
      </c>
      <c r="C610" s="80" t="s">
        <v>156</v>
      </c>
      <c r="D610" s="80" t="s">
        <v>18</v>
      </c>
      <c r="E610" s="82">
        <v>0</v>
      </c>
    </row>
    <row r="611" spans="1:5" outlineLevel="6" x14ac:dyDescent="0.25">
      <c r="A611" s="81" t="s">
        <v>90</v>
      </c>
      <c r="B611" s="80" t="s">
        <v>124</v>
      </c>
      <c r="C611" s="80" t="s">
        <v>156</v>
      </c>
      <c r="D611" s="80" t="s">
        <v>91</v>
      </c>
      <c r="E611" s="82">
        <f>E612</f>
        <v>3761354</v>
      </c>
    </row>
    <row r="612" spans="1:5" ht="17.5" customHeight="1" outlineLevel="6" x14ac:dyDescent="0.25">
      <c r="A612" s="81" t="s">
        <v>92</v>
      </c>
      <c r="B612" s="80" t="s">
        <v>124</v>
      </c>
      <c r="C612" s="80" t="s">
        <v>156</v>
      </c>
      <c r="D612" s="80" t="s">
        <v>93</v>
      </c>
      <c r="E612" s="82">
        <f>'прил 11 '!F669</f>
        <v>3761354</v>
      </c>
    </row>
    <row r="613" spans="1:5" ht="20.25" customHeight="1" outlineLevel="6" x14ac:dyDescent="0.25">
      <c r="A613" s="81" t="s">
        <v>132</v>
      </c>
      <c r="B613" s="80" t="s">
        <v>124</v>
      </c>
      <c r="C613" s="80" t="s">
        <v>127</v>
      </c>
      <c r="D613" s="80" t="s">
        <v>6</v>
      </c>
      <c r="E613" s="82">
        <f>E614</f>
        <v>84007682.859999999</v>
      </c>
    </row>
    <row r="614" spans="1:5" outlineLevel="6" x14ac:dyDescent="0.25">
      <c r="A614" s="81" t="s">
        <v>277</v>
      </c>
      <c r="B614" s="80" t="s">
        <v>124</v>
      </c>
      <c r="C614" s="80" t="s">
        <v>276</v>
      </c>
      <c r="D614" s="80" t="s">
        <v>6</v>
      </c>
      <c r="E614" s="82">
        <f>E624+E615+E621</f>
        <v>84007682.859999999</v>
      </c>
    </row>
    <row r="615" spans="1:5" ht="78.8" customHeight="1" outlineLevel="6" x14ac:dyDescent="0.25">
      <c r="A615" s="100" t="s">
        <v>431</v>
      </c>
      <c r="B615" s="80" t="s">
        <v>124</v>
      </c>
      <c r="C615" s="80" t="s">
        <v>432</v>
      </c>
      <c r="D615" s="80" t="s">
        <v>6</v>
      </c>
      <c r="E615" s="82">
        <f>E616+E618</f>
        <v>36028492.670000002</v>
      </c>
    </row>
    <row r="616" spans="1:5" ht="17.5" customHeight="1" outlineLevel="6" x14ac:dyDescent="0.25">
      <c r="A616" s="81" t="s">
        <v>15</v>
      </c>
      <c r="B616" s="80" t="s">
        <v>124</v>
      </c>
      <c r="C616" s="80" t="s">
        <v>432</v>
      </c>
      <c r="D616" s="80" t="s">
        <v>16</v>
      </c>
      <c r="E616" s="82">
        <f>E617</f>
        <v>130000</v>
      </c>
    </row>
    <row r="617" spans="1:5" ht="23.3" customHeight="1" outlineLevel="6" x14ac:dyDescent="0.25">
      <c r="A617" s="81" t="s">
        <v>17</v>
      </c>
      <c r="B617" s="80" t="s">
        <v>124</v>
      </c>
      <c r="C617" s="80" t="s">
        <v>432</v>
      </c>
      <c r="D617" s="80" t="s">
        <v>18</v>
      </c>
      <c r="E617" s="82">
        <f>'прил 11 '!F435</f>
        <v>130000</v>
      </c>
    </row>
    <row r="618" spans="1:5" outlineLevel="6" x14ac:dyDescent="0.25">
      <c r="A618" s="81" t="s">
        <v>90</v>
      </c>
      <c r="B618" s="80" t="s">
        <v>124</v>
      </c>
      <c r="C618" s="80" t="s">
        <v>432</v>
      </c>
      <c r="D618" s="80" t="s">
        <v>91</v>
      </c>
      <c r="E618" s="82">
        <f>E619+E620</f>
        <v>35898492.670000002</v>
      </c>
    </row>
    <row r="619" spans="1:5" outlineLevel="6" x14ac:dyDescent="0.25">
      <c r="A619" s="81" t="s">
        <v>92</v>
      </c>
      <c r="B619" s="80" t="s">
        <v>124</v>
      </c>
      <c r="C619" s="80" t="s">
        <v>432</v>
      </c>
      <c r="D619" s="80" t="s">
        <v>93</v>
      </c>
      <c r="E619" s="82">
        <f>'прил 11 '!F437</f>
        <v>33898492.670000002</v>
      </c>
    </row>
    <row r="620" spans="1:5" ht="18.7" customHeight="1" outlineLevel="6" x14ac:dyDescent="0.25">
      <c r="A620" s="81" t="s">
        <v>97</v>
      </c>
      <c r="B620" s="80" t="s">
        <v>124</v>
      </c>
      <c r="C620" s="80" t="s">
        <v>432</v>
      </c>
      <c r="D620" s="80" t="s">
        <v>98</v>
      </c>
      <c r="E620" s="82">
        <f>'прил 11 '!F438</f>
        <v>2000000</v>
      </c>
    </row>
    <row r="621" spans="1:5" ht="77.95" customHeight="1" outlineLevel="6" x14ac:dyDescent="0.25">
      <c r="A621" s="100" t="s">
        <v>760</v>
      </c>
      <c r="B621" s="80" t="s">
        <v>124</v>
      </c>
      <c r="C621" s="80" t="s">
        <v>792</v>
      </c>
      <c r="D621" s="80" t="s">
        <v>6</v>
      </c>
      <c r="E621" s="82">
        <f>E622</f>
        <v>21307950</v>
      </c>
    </row>
    <row r="622" spans="1:5" ht="39.25" customHeight="1" outlineLevel="6" x14ac:dyDescent="0.25">
      <c r="A622" s="81" t="s">
        <v>264</v>
      </c>
      <c r="B622" s="80" t="s">
        <v>124</v>
      </c>
      <c r="C622" s="80" t="s">
        <v>792</v>
      </c>
      <c r="D622" s="80" t="s">
        <v>265</v>
      </c>
      <c r="E622" s="82">
        <f>E623</f>
        <v>21307950</v>
      </c>
    </row>
    <row r="623" spans="1:5" ht="21.75" customHeight="1" outlineLevel="6" x14ac:dyDescent="0.25">
      <c r="A623" s="81" t="s">
        <v>266</v>
      </c>
      <c r="B623" s="80" t="s">
        <v>124</v>
      </c>
      <c r="C623" s="80" t="s">
        <v>792</v>
      </c>
      <c r="D623" s="80" t="s">
        <v>267</v>
      </c>
      <c r="E623" s="82">
        <f>'прил 11 '!F441</f>
        <v>21307950</v>
      </c>
    </row>
    <row r="624" spans="1:5" ht="94.75" customHeight="1" outlineLevel="6" x14ac:dyDescent="0.25">
      <c r="A624" s="100" t="s">
        <v>656</v>
      </c>
      <c r="B624" s="80" t="s">
        <v>124</v>
      </c>
      <c r="C624" s="80" t="s">
        <v>295</v>
      </c>
      <c r="D624" s="80" t="s">
        <v>6</v>
      </c>
      <c r="E624" s="82">
        <f>E625</f>
        <v>26671240.190000001</v>
      </c>
    </row>
    <row r="625" spans="1:7" ht="36.700000000000003" outlineLevel="6" x14ac:dyDescent="0.25">
      <c r="A625" s="81" t="s">
        <v>264</v>
      </c>
      <c r="B625" s="80" t="s">
        <v>124</v>
      </c>
      <c r="C625" s="80" t="s">
        <v>295</v>
      </c>
      <c r="D625" s="80" t="s">
        <v>265</v>
      </c>
      <c r="E625" s="82">
        <f>E626</f>
        <v>26671240.190000001</v>
      </c>
    </row>
    <row r="626" spans="1:7" outlineLevel="6" x14ac:dyDescent="0.25">
      <c r="A626" s="81" t="s">
        <v>266</v>
      </c>
      <c r="B626" s="80" t="s">
        <v>124</v>
      </c>
      <c r="C626" s="80" t="s">
        <v>295</v>
      </c>
      <c r="D626" s="80" t="s">
        <v>267</v>
      </c>
      <c r="E626" s="82">
        <f>'прил 11 '!F444</f>
        <v>26671240.190000001</v>
      </c>
    </row>
    <row r="627" spans="1:7" s="170" customFormat="1" x14ac:dyDescent="0.25">
      <c r="A627" s="81" t="s">
        <v>100</v>
      </c>
      <c r="B627" s="105" t="s">
        <v>101</v>
      </c>
      <c r="C627" s="105" t="s">
        <v>126</v>
      </c>
      <c r="D627" s="105" t="s">
        <v>6</v>
      </c>
      <c r="E627" s="128">
        <f>E628</f>
        <v>4222913.54</v>
      </c>
      <c r="G627" s="169">
        <f>E627/'прил 11 '!F715*100</f>
        <v>0.43258953553693957</v>
      </c>
    </row>
    <row r="628" spans="1:7" outlineLevel="1" x14ac:dyDescent="0.25">
      <c r="A628" s="81" t="s">
        <v>301</v>
      </c>
      <c r="B628" s="80" t="s">
        <v>300</v>
      </c>
      <c r="C628" s="80" t="s">
        <v>126</v>
      </c>
      <c r="D628" s="80" t="s">
        <v>6</v>
      </c>
      <c r="E628" s="82">
        <f>E629+E665</f>
        <v>4222913.54</v>
      </c>
    </row>
    <row r="629" spans="1:7" ht="45.7" customHeight="1" outlineLevel="2" x14ac:dyDescent="0.25">
      <c r="A629" s="109" t="s">
        <v>836</v>
      </c>
      <c r="B629" s="110" t="s">
        <v>300</v>
      </c>
      <c r="C629" s="110" t="s">
        <v>200</v>
      </c>
      <c r="D629" s="110" t="s">
        <v>6</v>
      </c>
      <c r="E629" s="82">
        <f>E630</f>
        <v>4172913.54</v>
      </c>
    </row>
    <row r="630" spans="1:7" ht="36.700000000000003" outlineLevel="6" x14ac:dyDescent="0.25">
      <c r="A630" s="81" t="s">
        <v>837</v>
      </c>
      <c r="B630" s="80" t="s">
        <v>300</v>
      </c>
      <c r="C630" s="80" t="s">
        <v>230</v>
      </c>
      <c r="D630" s="80" t="s">
        <v>6</v>
      </c>
      <c r="E630" s="82">
        <f>E631+E638+E641+E646+E649+E659+E662+E650</f>
        <v>4172913.54</v>
      </c>
      <c r="F630" s="164"/>
    </row>
    <row r="631" spans="1:7" outlineLevel="6" x14ac:dyDescent="0.25">
      <c r="A631" s="81" t="s">
        <v>102</v>
      </c>
      <c r="B631" s="80" t="s">
        <v>300</v>
      </c>
      <c r="C631" s="80" t="s">
        <v>201</v>
      </c>
      <c r="D631" s="80" t="s">
        <v>6</v>
      </c>
      <c r="E631" s="82">
        <f>E632+E634+E636</f>
        <v>661000</v>
      </c>
    </row>
    <row r="632" spans="1:7" ht="18.7" customHeight="1" outlineLevel="6" x14ac:dyDescent="0.25">
      <c r="A632" s="81" t="s">
        <v>15</v>
      </c>
      <c r="B632" s="80" t="s">
        <v>300</v>
      </c>
      <c r="C632" s="80" t="s">
        <v>201</v>
      </c>
      <c r="D632" s="80" t="s">
        <v>16</v>
      </c>
      <c r="E632" s="82">
        <f>E633</f>
        <v>631000</v>
      </c>
    </row>
    <row r="633" spans="1:7" ht="19.55" customHeight="1" outlineLevel="6" x14ac:dyDescent="0.25">
      <c r="A633" s="81" t="s">
        <v>17</v>
      </c>
      <c r="B633" s="80" t="s">
        <v>300</v>
      </c>
      <c r="C633" s="80" t="s">
        <v>201</v>
      </c>
      <c r="D633" s="80" t="s">
        <v>18</v>
      </c>
      <c r="E633" s="82">
        <f>'прил 11 '!F451</f>
        <v>631000</v>
      </c>
    </row>
    <row r="634" spans="1:7" ht="21.25" customHeight="1" outlineLevel="6" x14ac:dyDescent="0.25">
      <c r="A634" s="81" t="s">
        <v>271</v>
      </c>
      <c r="B634" s="80" t="s">
        <v>300</v>
      </c>
      <c r="C634" s="80" t="s">
        <v>201</v>
      </c>
      <c r="D634" s="80" t="s">
        <v>20</v>
      </c>
      <c r="E634" s="82">
        <f>E635</f>
        <v>30000</v>
      </c>
    </row>
    <row r="635" spans="1:7" ht="21.25" customHeight="1" outlineLevel="6" x14ac:dyDescent="0.25">
      <c r="A635" s="81" t="s">
        <v>272</v>
      </c>
      <c r="B635" s="80" t="s">
        <v>300</v>
      </c>
      <c r="C635" s="80" t="s">
        <v>201</v>
      </c>
      <c r="D635" s="80" t="s">
        <v>22</v>
      </c>
      <c r="E635" s="82">
        <f>'прил 11 '!F453</f>
        <v>30000</v>
      </c>
    </row>
    <row r="636" spans="1:7" ht="53.7" customHeight="1" outlineLevel="6" x14ac:dyDescent="0.25">
      <c r="A636" s="81" t="s">
        <v>37</v>
      </c>
      <c r="B636" s="80" t="s">
        <v>300</v>
      </c>
      <c r="C636" s="80" t="s">
        <v>201</v>
      </c>
      <c r="D636" s="80" t="s">
        <v>38</v>
      </c>
      <c r="E636" s="82">
        <f>E637</f>
        <v>0</v>
      </c>
    </row>
    <row r="637" spans="1:7" ht="21.25" customHeight="1" outlineLevel="6" x14ac:dyDescent="0.25">
      <c r="A637" s="81" t="s">
        <v>74</v>
      </c>
      <c r="B637" s="80" t="s">
        <v>300</v>
      </c>
      <c r="C637" s="80" t="s">
        <v>201</v>
      </c>
      <c r="D637" s="80" t="s">
        <v>75</v>
      </c>
      <c r="E637" s="82">
        <v>0</v>
      </c>
    </row>
    <row r="638" spans="1:7" ht="38.049999999999997" customHeight="1" outlineLevel="6" x14ac:dyDescent="0.3">
      <c r="A638" s="644" t="s">
        <v>989</v>
      </c>
      <c r="B638" s="80" t="s">
        <v>300</v>
      </c>
      <c r="C638" s="595" t="s">
        <v>1017</v>
      </c>
      <c r="D638" s="595" t="s">
        <v>6</v>
      </c>
      <c r="E638" s="82">
        <f>E639</f>
        <v>112589.47</v>
      </c>
    </row>
    <row r="639" spans="1:7" ht="21.25" customHeight="1" outlineLevel="6" x14ac:dyDescent="0.3">
      <c r="A639" s="81" t="s">
        <v>15</v>
      </c>
      <c r="B639" s="80" t="s">
        <v>300</v>
      </c>
      <c r="C639" s="595" t="s">
        <v>1017</v>
      </c>
      <c r="D639" s="595" t="s">
        <v>16</v>
      </c>
      <c r="E639" s="82">
        <f>E640</f>
        <v>112589.47</v>
      </c>
    </row>
    <row r="640" spans="1:7" ht="21.25" customHeight="1" outlineLevel="6" x14ac:dyDescent="0.3">
      <c r="A640" s="81" t="s">
        <v>17</v>
      </c>
      <c r="B640" s="80" t="s">
        <v>300</v>
      </c>
      <c r="C640" s="595" t="s">
        <v>1017</v>
      </c>
      <c r="D640" s="595" t="s">
        <v>18</v>
      </c>
      <c r="E640" s="82">
        <f>'прил 11 '!F456</f>
        <v>112589.47</v>
      </c>
    </row>
    <row r="641" spans="1:5" ht="42.45" customHeight="1" outlineLevel="6" x14ac:dyDescent="0.3">
      <c r="A641" s="81" t="s">
        <v>1018</v>
      </c>
      <c r="B641" s="80" t="s">
        <v>300</v>
      </c>
      <c r="C641" s="595" t="s">
        <v>1019</v>
      </c>
      <c r="D641" s="595" t="s">
        <v>6</v>
      </c>
      <c r="E641" s="82">
        <f>E642</f>
        <v>3482.15</v>
      </c>
    </row>
    <row r="642" spans="1:5" ht="21.25" customHeight="1" outlineLevel="6" x14ac:dyDescent="0.3">
      <c r="A642" s="81" t="s">
        <v>15</v>
      </c>
      <c r="B642" s="80" t="s">
        <v>300</v>
      </c>
      <c r="C642" s="595" t="s">
        <v>1019</v>
      </c>
      <c r="D642" s="595" t="s">
        <v>16</v>
      </c>
      <c r="E642" s="82">
        <f>E643</f>
        <v>3482.15</v>
      </c>
    </row>
    <row r="643" spans="1:5" ht="21.25" customHeight="1" outlineLevel="6" x14ac:dyDescent="0.3">
      <c r="A643" s="81" t="s">
        <v>17</v>
      </c>
      <c r="B643" s="80" t="s">
        <v>300</v>
      </c>
      <c r="C643" s="595" t="s">
        <v>1019</v>
      </c>
      <c r="D643" s="595" t="s">
        <v>18</v>
      </c>
      <c r="E643" s="82">
        <f>'прил 11 '!F459</f>
        <v>3482.15</v>
      </c>
    </row>
    <row r="644" spans="1:5" ht="41.95" customHeight="1" outlineLevel="6" x14ac:dyDescent="0.25">
      <c r="A644" s="81" t="s">
        <v>943</v>
      </c>
      <c r="B644" s="80" t="s">
        <v>300</v>
      </c>
      <c r="C644" s="80" t="s">
        <v>944</v>
      </c>
      <c r="D644" s="80" t="s">
        <v>6</v>
      </c>
      <c r="E644" s="82">
        <f>E645</f>
        <v>0</v>
      </c>
    </row>
    <row r="645" spans="1:5" ht="38.25" customHeight="1" outlineLevel="6" x14ac:dyDescent="0.25">
      <c r="A645" s="81" t="s">
        <v>15</v>
      </c>
      <c r="B645" s="80" t="s">
        <v>300</v>
      </c>
      <c r="C645" s="80" t="s">
        <v>944</v>
      </c>
      <c r="D645" s="80" t="s">
        <v>16</v>
      </c>
      <c r="E645" s="82">
        <f>E646</f>
        <v>0</v>
      </c>
    </row>
    <row r="646" spans="1:5" ht="21.25" customHeight="1" outlineLevel="6" x14ac:dyDescent="0.25">
      <c r="A646" s="81" t="s">
        <v>17</v>
      </c>
      <c r="B646" s="80" t="s">
        <v>300</v>
      </c>
      <c r="C646" s="80" t="s">
        <v>944</v>
      </c>
      <c r="D646" s="80" t="s">
        <v>18</v>
      </c>
      <c r="E646" s="82">
        <v>0</v>
      </c>
    </row>
    <row r="647" spans="1:5" ht="57.25" customHeight="1" outlineLevel="6" x14ac:dyDescent="0.25">
      <c r="A647" s="276" t="s">
        <v>945</v>
      </c>
      <c r="B647" s="80" t="s">
        <v>300</v>
      </c>
      <c r="C647" s="80" t="s">
        <v>946</v>
      </c>
      <c r="D647" s="80" t="s">
        <v>6</v>
      </c>
      <c r="E647" s="82">
        <f>E648</f>
        <v>0</v>
      </c>
    </row>
    <row r="648" spans="1:5" ht="37.549999999999997" customHeight="1" outlineLevel="6" x14ac:dyDescent="0.25">
      <c r="A648" s="81" t="s">
        <v>15</v>
      </c>
      <c r="B648" s="80" t="s">
        <v>300</v>
      </c>
      <c r="C648" s="80" t="s">
        <v>946</v>
      </c>
      <c r="D648" s="80" t="s">
        <v>16</v>
      </c>
      <c r="E648" s="82">
        <f>E649</f>
        <v>0</v>
      </c>
    </row>
    <row r="649" spans="1:5" ht="21.25" customHeight="1" outlineLevel="6" x14ac:dyDescent="0.25">
      <c r="A649" s="81" t="s">
        <v>17</v>
      </c>
      <c r="B649" s="80" t="s">
        <v>300</v>
      </c>
      <c r="C649" s="80" t="s">
        <v>946</v>
      </c>
      <c r="D649" s="80" t="s">
        <v>18</v>
      </c>
      <c r="E649" s="82">
        <v>0</v>
      </c>
    </row>
    <row r="650" spans="1:5" ht="24.8" customHeight="1" outlineLevel="2" collapsed="1" x14ac:dyDescent="0.25">
      <c r="A650" s="81" t="s">
        <v>281</v>
      </c>
      <c r="B650" s="80" t="s">
        <v>300</v>
      </c>
      <c r="C650" s="80" t="s">
        <v>1089</v>
      </c>
      <c r="D650" s="80" t="s">
        <v>6</v>
      </c>
      <c r="E650" s="82">
        <f>E651+E656</f>
        <v>1117341.92</v>
      </c>
    </row>
    <row r="651" spans="1:5" ht="25.5" customHeight="1" outlineLevel="2" x14ac:dyDescent="0.25">
      <c r="A651" s="81" t="s">
        <v>264</v>
      </c>
      <c r="B651" s="80" t="s">
        <v>300</v>
      </c>
      <c r="C651" s="80" t="s">
        <v>1089</v>
      </c>
      <c r="D651" s="80" t="s">
        <v>265</v>
      </c>
      <c r="E651" s="82">
        <f>E652</f>
        <v>1117341.92</v>
      </c>
    </row>
    <row r="652" spans="1:5" ht="25.5" customHeight="1" outlineLevel="4" x14ac:dyDescent="0.25">
      <c r="A652" s="81" t="s">
        <v>266</v>
      </c>
      <c r="B652" s="80" t="s">
        <v>300</v>
      </c>
      <c r="C652" s="80" t="s">
        <v>1089</v>
      </c>
      <c r="D652" s="80" t="s">
        <v>267</v>
      </c>
      <c r="E652" s="82">
        <f>'прил 11 '!F462</f>
        <v>1117341.92</v>
      </c>
    </row>
    <row r="653" spans="1:5" ht="27.7" customHeight="1" outlineLevel="4" x14ac:dyDescent="0.25">
      <c r="A653" s="81" t="s">
        <v>602</v>
      </c>
      <c r="B653" s="80" t="s">
        <v>300</v>
      </c>
      <c r="C653" s="80" t="s">
        <v>673</v>
      </c>
      <c r="D653" s="80" t="s">
        <v>6</v>
      </c>
      <c r="E653" s="82">
        <f>E654</f>
        <v>0</v>
      </c>
    </row>
    <row r="654" spans="1:5" ht="24.8" customHeight="1" outlineLevel="4" x14ac:dyDescent="0.25">
      <c r="A654" s="81" t="s">
        <v>37</v>
      </c>
      <c r="B654" s="80" t="s">
        <v>300</v>
      </c>
      <c r="C654" s="80" t="s">
        <v>673</v>
      </c>
      <c r="D654" s="80" t="s">
        <v>38</v>
      </c>
      <c r="E654" s="82">
        <f>E655</f>
        <v>0</v>
      </c>
    </row>
    <row r="655" spans="1:5" ht="27.7" customHeight="1" outlineLevel="4" x14ac:dyDescent="0.25">
      <c r="A655" s="81" t="s">
        <v>74</v>
      </c>
      <c r="B655" s="80" t="s">
        <v>300</v>
      </c>
      <c r="C655" s="80" t="s">
        <v>673</v>
      </c>
      <c r="D655" s="80" t="s">
        <v>75</v>
      </c>
      <c r="E655" s="82">
        <v>0</v>
      </c>
    </row>
    <row r="656" spans="1:5" ht="25.5" customHeight="1" outlineLevel="4" x14ac:dyDescent="0.25">
      <c r="A656" s="81" t="s">
        <v>281</v>
      </c>
      <c r="B656" s="80" t="s">
        <v>300</v>
      </c>
      <c r="C656" s="80" t="s">
        <v>302</v>
      </c>
      <c r="D656" s="83" t="s">
        <v>6</v>
      </c>
      <c r="E656" s="82">
        <f>E657</f>
        <v>0</v>
      </c>
    </row>
    <row r="657" spans="1:7" ht="27.7" customHeight="1" outlineLevel="4" x14ac:dyDescent="0.25">
      <c r="A657" s="81" t="s">
        <v>37</v>
      </c>
      <c r="B657" s="80" t="s">
        <v>300</v>
      </c>
      <c r="C657" s="80" t="s">
        <v>302</v>
      </c>
      <c r="D657" s="83" t="s">
        <v>38</v>
      </c>
      <c r="E657" s="82">
        <f>E658</f>
        <v>0</v>
      </c>
    </row>
    <row r="658" spans="1:7" ht="23.95" customHeight="1" outlineLevel="4" x14ac:dyDescent="0.25">
      <c r="A658" s="81" t="s">
        <v>74</v>
      </c>
      <c r="B658" s="80" t="s">
        <v>300</v>
      </c>
      <c r="C658" s="80" t="s">
        <v>302</v>
      </c>
      <c r="D658" s="83" t="s">
        <v>75</v>
      </c>
      <c r="E658" s="82">
        <f>'прил 11 '!F680</f>
        <v>0</v>
      </c>
    </row>
    <row r="659" spans="1:7" ht="44.85" customHeight="1" outlineLevel="4" x14ac:dyDescent="0.25">
      <c r="A659" s="81" t="s">
        <v>988</v>
      </c>
      <c r="B659" s="80" t="s">
        <v>300</v>
      </c>
      <c r="C659" s="80" t="s">
        <v>1029</v>
      </c>
      <c r="D659" s="83" t="s">
        <v>6</v>
      </c>
      <c r="E659" s="82">
        <f>E660</f>
        <v>2210145</v>
      </c>
    </row>
    <row r="660" spans="1:7" ht="36.700000000000003" outlineLevel="4" x14ac:dyDescent="0.25">
      <c r="A660" s="81" t="s">
        <v>15</v>
      </c>
      <c r="B660" s="80" t="s">
        <v>300</v>
      </c>
      <c r="C660" s="80" t="s">
        <v>1029</v>
      </c>
      <c r="D660" s="83" t="s">
        <v>16</v>
      </c>
      <c r="E660" s="82">
        <f>E661</f>
        <v>2210145</v>
      </c>
    </row>
    <row r="661" spans="1:7" ht="36.700000000000003" outlineLevel="4" x14ac:dyDescent="0.25">
      <c r="A661" s="81" t="s">
        <v>17</v>
      </c>
      <c r="B661" s="80" t="s">
        <v>300</v>
      </c>
      <c r="C661" s="80" t="s">
        <v>1029</v>
      </c>
      <c r="D661" s="83" t="s">
        <v>18</v>
      </c>
      <c r="E661" s="82">
        <f>'прил 11 '!F465</f>
        <v>2210145</v>
      </c>
    </row>
    <row r="662" spans="1:7" ht="55.05" outlineLevel="4" x14ac:dyDescent="0.25">
      <c r="A662" s="81" t="s">
        <v>911</v>
      </c>
      <c r="B662" s="80" t="s">
        <v>300</v>
      </c>
      <c r="C662" s="80" t="s">
        <v>1030</v>
      </c>
      <c r="D662" s="83" t="s">
        <v>6</v>
      </c>
      <c r="E662" s="82">
        <f>E663</f>
        <v>68355</v>
      </c>
    </row>
    <row r="663" spans="1:7" ht="36.700000000000003" outlineLevel="4" x14ac:dyDescent="0.25">
      <c r="A663" s="81" t="s">
        <v>15</v>
      </c>
      <c r="B663" s="80" t="s">
        <v>300</v>
      </c>
      <c r="C663" s="80" t="s">
        <v>1030</v>
      </c>
      <c r="D663" s="83" t="s">
        <v>16</v>
      </c>
      <c r="E663" s="82">
        <f>E664</f>
        <v>68355</v>
      </c>
    </row>
    <row r="664" spans="1:7" ht="36.700000000000003" outlineLevel="4" x14ac:dyDescent="0.25">
      <c r="A664" s="81" t="s">
        <v>17</v>
      </c>
      <c r="B664" s="80" t="s">
        <v>300</v>
      </c>
      <c r="C664" s="80" t="s">
        <v>1030</v>
      </c>
      <c r="D664" s="83" t="s">
        <v>18</v>
      </c>
      <c r="E664" s="82">
        <f>'прил 11 '!F468</f>
        <v>68355</v>
      </c>
    </row>
    <row r="665" spans="1:7" ht="44.5" customHeight="1" outlineLevel="6" x14ac:dyDescent="0.25">
      <c r="A665" s="109" t="s">
        <v>828</v>
      </c>
      <c r="B665" s="110" t="s">
        <v>300</v>
      </c>
      <c r="C665" s="110" t="s">
        <v>463</v>
      </c>
      <c r="D665" s="110" t="s">
        <v>6</v>
      </c>
      <c r="E665" s="82">
        <f>E666</f>
        <v>50000</v>
      </c>
    </row>
    <row r="666" spans="1:7" ht="34.5" customHeight="1" outlineLevel="6" x14ac:dyDescent="0.25">
      <c r="A666" s="81" t="s">
        <v>464</v>
      </c>
      <c r="B666" s="80" t="s">
        <v>300</v>
      </c>
      <c r="C666" s="80" t="s">
        <v>465</v>
      </c>
      <c r="D666" s="80" t="s">
        <v>6</v>
      </c>
      <c r="E666" s="82">
        <f>E667</f>
        <v>50000</v>
      </c>
    </row>
    <row r="667" spans="1:7" ht="36.700000000000003" outlineLevel="6" x14ac:dyDescent="0.25">
      <c r="A667" s="81" t="s">
        <v>466</v>
      </c>
      <c r="B667" s="80" t="s">
        <v>300</v>
      </c>
      <c r="C667" s="80" t="s">
        <v>467</v>
      </c>
      <c r="D667" s="80" t="s">
        <v>6</v>
      </c>
      <c r="E667" s="82">
        <f>E668</f>
        <v>50000</v>
      </c>
    </row>
    <row r="668" spans="1:7" ht="20.25" customHeight="1" outlineLevel="6" x14ac:dyDescent="0.25">
      <c r="A668" s="81" t="s">
        <v>15</v>
      </c>
      <c r="B668" s="80" t="s">
        <v>300</v>
      </c>
      <c r="C668" s="80" t="s">
        <v>467</v>
      </c>
      <c r="D668" s="80" t="s">
        <v>16</v>
      </c>
      <c r="E668" s="82">
        <f>E669</f>
        <v>50000</v>
      </c>
    </row>
    <row r="669" spans="1:7" ht="22.75" customHeight="1" outlineLevel="6" x14ac:dyDescent="0.25">
      <c r="A669" s="81" t="s">
        <v>17</v>
      </c>
      <c r="B669" s="80" t="s">
        <v>300</v>
      </c>
      <c r="C669" s="80" t="s">
        <v>467</v>
      </c>
      <c r="D669" s="80" t="s">
        <v>18</v>
      </c>
      <c r="E669" s="82">
        <f>'прил 11 '!F473</f>
        <v>50000</v>
      </c>
    </row>
    <row r="670" spans="1:7" s="170" customFormat="1" collapsed="1" x14ac:dyDescent="0.25">
      <c r="A670" s="81" t="s">
        <v>103</v>
      </c>
      <c r="B670" s="105" t="s">
        <v>104</v>
      </c>
      <c r="C670" s="105" t="s">
        <v>126</v>
      </c>
      <c r="D670" s="105" t="s">
        <v>6</v>
      </c>
      <c r="E670" s="128">
        <f t="shared" ref="E670:E675" si="1">E671</f>
        <v>3357000</v>
      </c>
      <c r="G670" s="169">
        <f>E670/'прил 11 '!F715*100</f>
        <v>0.34388652693029237</v>
      </c>
    </row>
    <row r="671" spans="1:7" outlineLevel="1" x14ac:dyDescent="0.25">
      <c r="A671" s="81" t="s">
        <v>105</v>
      </c>
      <c r="B671" s="80" t="s">
        <v>106</v>
      </c>
      <c r="C671" s="80" t="s">
        <v>126</v>
      </c>
      <c r="D671" s="80" t="s">
        <v>6</v>
      </c>
      <c r="E671" s="82">
        <f t="shared" si="1"/>
        <v>3357000</v>
      </c>
    </row>
    <row r="672" spans="1:7" ht="39.75" customHeight="1" outlineLevel="2" x14ac:dyDescent="0.25">
      <c r="A672" s="109" t="s">
        <v>829</v>
      </c>
      <c r="B672" s="110" t="s">
        <v>106</v>
      </c>
      <c r="C672" s="110" t="s">
        <v>317</v>
      </c>
      <c r="D672" s="110" t="s">
        <v>6</v>
      </c>
      <c r="E672" s="82">
        <f t="shared" si="1"/>
        <v>3357000</v>
      </c>
    </row>
    <row r="673" spans="1:5" ht="45.7" customHeight="1" outlineLevel="3" x14ac:dyDescent="0.25">
      <c r="A673" s="113" t="s">
        <v>327</v>
      </c>
      <c r="B673" s="80" t="s">
        <v>106</v>
      </c>
      <c r="C673" s="80" t="s">
        <v>318</v>
      </c>
      <c r="D673" s="80" t="s">
        <v>6</v>
      </c>
      <c r="E673" s="82">
        <f t="shared" si="1"/>
        <v>3357000</v>
      </c>
    </row>
    <row r="674" spans="1:5" ht="36.700000000000003" outlineLevel="4" x14ac:dyDescent="0.25">
      <c r="A674" s="81" t="s">
        <v>107</v>
      </c>
      <c r="B674" s="80" t="s">
        <v>106</v>
      </c>
      <c r="C674" s="80" t="s">
        <v>319</v>
      </c>
      <c r="D674" s="80" t="s">
        <v>6</v>
      </c>
      <c r="E674" s="82">
        <f t="shared" si="1"/>
        <v>3357000</v>
      </c>
    </row>
    <row r="675" spans="1:5" ht="36.700000000000003" outlineLevel="5" x14ac:dyDescent="0.25">
      <c r="A675" s="81" t="s">
        <v>37</v>
      </c>
      <c r="B675" s="80" t="s">
        <v>106</v>
      </c>
      <c r="C675" s="80" t="s">
        <v>319</v>
      </c>
      <c r="D675" s="80" t="s">
        <v>38</v>
      </c>
      <c r="E675" s="82">
        <f t="shared" si="1"/>
        <v>3357000</v>
      </c>
    </row>
    <row r="676" spans="1:5" outlineLevel="6" x14ac:dyDescent="0.25">
      <c r="A676" s="81" t="s">
        <v>39</v>
      </c>
      <c r="B676" s="80" t="s">
        <v>106</v>
      </c>
      <c r="C676" s="80" t="s">
        <v>319</v>
      </c>
      <c r="D676" s="80" t="s">
        <v>40</v>
      </c>
      <c r="E676" s="82">
        <f>'прил 11 '!F480</f>
        <v>3357000</v>
      </c>
    </row>
    <row r="677" spans="1:5" s="170" customFormat="1" x14ac:dyDescent="0.3">
      <c r="A677" s="682" t="s">
        <v>118</v>
      </c>
      <c r="B677" s="682"/>
      <c r="C677" s="682"/>
      <c r="D677" s="682"/>
      <c r="E677" s="193">
        <f>E12+E170+E180+E191+E236+E350+E366+E531+E576+E627+E670</f>
        <v>976194103.89999998</v>
      </c>
    </row>
    <row r="678" spans="1:5" s="170" customFormat="1" ht="15.65" x14ac:dyDescent="0.25"/>
    <row r="679" spans="1:5" s="170" customFormat="1" ht="15.65" x14ac:dyDescent="0.25"/>
    <row r="680" spans="1:5" s="170" customFormat="1" ht="15.65" x14ac:dyDescent="0.25"/>
    <row r="681" spans="1:5" s="170" customFormat="1" ht="15.65" x14ac:dyDescent="0.25"/>
    <row r="682" spans="1:5" s="170" customFormat="1" ht="15.65" x14ac:dyDescent="0.25"/>
    <row r="683" spans="1:5" s="170" customFormat="1" ht="15.65" x14ac:dyDescent="0.25"/>
    <row r="684" spans="1:5" s="170" customFormat="1" x14ac:dyDescent="0.3">
      <c r="A684" s="639"/>
      <c r="B684" s="639"/>
      <c r="C684" s="639"/>
      <c r="D684" s="639"/>
      <c r="E684" s="268"/>
    </row>
    <row r="685" spans="1:5" s="170" customFormat="1" x14ac:dyDescent="0.3">
      <c r="A685" s="639"/>
      <c r="B685" s="639"/>
      <c r="C685" s="639"/>
      <c r="D685" s="639"/>
      <c r="E685" s="268"/>
    </row>
    <row r="686" spans="1:5" s="170" customFormat="1" x14ac:dyDescent="0.3">
      <c r="A686" s="639"/>
      <c r="B686" s="639"/>
      <c r="C686" s="639"/>
      <c r="D686" s="639"/>
      <c r="E686" s="268"/>
    </row>
    <row r="687" spans="1:5" s="170" customFormat="1" x14ac:dyDescent="0.3">
      <c r="A687" s="639"/>
      <c r="B687" s="639"/>
      <c r="C687" s="639"/>
      <c r="D687" s="639"/>
      <c r="E687" s="268"/>
    </row>
    <row r="688" spans="1:5" x14ac:dyDescent="0.3">
      <c r="A688" s="103"/>
      <c r="B688" s="103"/>
      <c r="C688" s="103"/>
      <c r="D688" s="103"/>
      <c r="E688" s="194"/>
    </row>
    <row r="689" spans="1:8" x14ac:dyDescent="0.3">
      <c r="A689" s="195"/>
      <c r="B689" s="195"/>
      <c r="C689" s="195"/>
      <c r="D689" s="195"/>
      <c r="E689" s="196"/>
    </row>
    <row r="690" spans="1:8" x14ac:dyDescent="0.3">
      <c r="C690" s="197"/>
      <c r="E690" s="198"/>
    </row>
    <row r="691" spans="1:8" x14ac:dyDescent="0.3">
      <c r="B691" s="197" t="s">
        <v>8</v>
      </c>
      <c r="C691" s="198">
        <f>E368+E407+E453+E493+E512+E583+E603</f>
        <v>600593068.19000006</v>
      </c>
      <c r="E691" s="198"/>
    </row>
    <row r="692" spans="1:8" x14ac:dyDescent="0.3">
      <c r="B692" s="197" t="s">
        <v>26</v>
      </c>
      <c r="C692" s="198">
        <f>E476+E533+E557</f>
        <v>65357436.569999993</v>
      </c>
      <c r="E692" s="198"/>
      <c r="G692" s="197"/>
      <c r="H692" s="197"/>
    </row>
    <row r="693" spans="1:8" x14ac:dyDescent="0.3">
      <c r="B693" s="197" t="s">
        <v>42</v>
      </c>
      <c r="C693" s="198">
        <f>E352</f>
        <v>470000</v>
      </c>
      <c r="E693" s="198"/>
      <c r="G693" s="197"/>
      <c r="H693" s="197"/>
    </row>
    <row r="694" spans="1:8" x14ac:dyDescent="0.3">
      <c r="B694" s="197" t="s">
        <v>46</v>
      </c>
      <c r="C694" s="198">
        <f>E629</f>
        <v>4172913.54</v>
      </c>
      <c r="E694" s="198"/>
      <c r="G694" s="197"/>
      <c r="H694" s="197"/>
    </row>
    <row r="695" spans="1:8" x14ac:dyDescent="0.3">
      <c r="B695" s="197" t="s">
        <v>55</v>
      </c>
      <c r="C695" s="198">
        <f>E588+E206</f>
        <v>250000</v>
      </c>
      <c r="E695" s="198"/>
      <c r="G695" s="197"/>
      <c r="H695" s="197"/>
    </row>
    <row r="696" spans="1:8" x14ac:dyDescent="0.3">
      <c r="B696" s="197" t="s">
        <v>65</v>
      </c>
      <c r="C696" s="198">
        <f>E67</f>
        <v>24816664</v>
      </c>
      <c r="E696" s="198"/>
      <c r="G696" s="197"/>
      <c r="H696" s="197"/>
    </row>
    <row r="697" spans="1:8" x14ac:dyDescent="0.3">
      <c r="B697" s="197" t="s">
        <v>70</v>
      </c>
      <c r="C697" s="198">
        <f>E249+E287+E342</f>
        <v>36188514.200000003</v>
      </c>
      <c r="E697" s="198"/>
      <c r="G697" s="197"/>
      <c r="H697" s="197"/>
    </row>
    <row r="698" spans="1:8" x14ac:dyDescent="0.3">
      <c r="B698" s="197" t="s">
        <v>80</v>
      </c>
      <c r="C698" s="198">
        <f>E92</f>
        <v>50000</v>
      </c>
      <c r="E698" s="198"/>
      <c r="G698" s="197"/>
      <c r="H698" s="197"/>
    </row>
    <row r="699" spans="1:8" x14ac:dyDescent="0.3">
      <c r="B699" s="197" t="s">
        <v>807</v>
      </c>
      <c r="C699" s="198">
        <f>E222</f>
        <v>100000</v>
      </c>
      <c r="E699" s="198"/>
      <c r="G699" s="197"/>
      <c r="H699" s="197"/>
    </row>
    <row r="700" spans="1:8" x14ac:dyDescent="0.3">
      <c r="B700" s="197" t="s">
        <v>86</v>
      </c>
      <c r="C700" s="198">
        <f>E593</f>
        <v>734438.26</v>
      </c>
      <c r="E700" s="198"/>
      <c r="G700" s="197"/>
      <c r="H700" s="197"/>
    </row>
    <row r="701" spans="1:8" x14ac:dyDescent="0.3">
      <c r="B701" s="197" t="s">
        <v>101</v>
      </c>
      <c r="C701" s="198">
        <f>E672+E97</f>
        <v>5204368</v>
      </c>
      <c r="E701" s="198"/>
      <c r="G701" s="197"/>
      <c r="H701" s="197"/>
    </row>
    <row r="702" spans="1:8" x14ac:dyDescent="0.3">
      <c r="B702" s="199">
        <v>1200</v>
      </c>
      <c r="C702" s="198">
        <f>E210</f>
        <v>13057000</v>
      </c>
      <c r="E702" s="198"/>
      <c r="G702" s="197"/>
      <c r="H702" s="197"/>
    </row>
    <row r="703" spans="1:8" x14ac:dyDescent="0.3">
      <c r="B703" s="199">
        <v>1300</v>
      </c>
      <c r="C703" s="198">
        <f>E361</f>
        <v>45000</v>
      </c>
      <c r="E703" s="198"/>
      <c r="G703" s="197"/>
      <c r="H703" s="197"/>
    </row>
    <row r="704" spans="1:8" x14ac:dyDescent="0.3">
      <c r="B704" s="199">
        <v>1400</v>
      </c>
      <c r="C704" s="198">
        <f>E228+E232</f>
        <v>835000</v>
      </c>
      <c r="E704" s="198"/>
      <c r="G704" s="197"/>
      <c r="H704" s="197"/>
    </row>
    <row r="705" spans="2:8" x14ac:dyDescent="0.3">
      <c r="B705" s="199">
        <v>1500</v>
      </c>
      <c r="C705" s="198">
        <f>E105+E238</f>
        <v>5260000</v>
      </c>
      <c r="E705" s="198"/>
      <c r="G705" s="197"/>
      <c r="H705" s="197"/>
    </row>
    <row r="706" spans="2:8" x14ac:dyDescent="0.3">
      <c r="B706" s="199">
        <v>1700</v>
      </c>
      <c r="C706" s="198">
        <f>E665</f>
        <v>50000</v>
      </c>
      <c r="E706" s="198"/>
      <c r="G706" s="197"/>
      <c r="H706" s="197"/>
    </row>
    <row r="707" spans="2:8" x14ac:dyDescent="0.3">
      <c r="B707" s="199">
        <v>1800</v>
      </c>
      <c r="C707" s="198">
        <f>E301</f>
        <v>9214506.0600000005</v>
      </c>
      <c r="E707" s="198"/>
      <c r="G707" s="197"/>
      <c r="H707" s="197"/>
    </row>
    <row r="708" spans="2:8" x14ac:dyDescent="0.3">
      <c r="B708" s="199">
        <v>1900</v>
      </c>
      <c r="C708" s="198">
        <f>E318</f>
        <v>12953164.92</v>
      </c>
      <c r="E708" s="198"/>
    </row>
    <row r="709" spans="2:8" x14ac:dyDescent="0.3">
      <c r="B709" s="199">
        <v>9900</v>
      </c>
      <c r="C709" s="198">
        <f>E677-C710</f>
        <v>196842030.16000009</v>
      </c>
      <c r="E709" s="198"/>
    </row>
    <row r="710" spans="2:8" x14ac:dyDescent="0.3">
      <c r="C710" s="198">
        <f>SUBTOTAL(9,C691:C708)</f>
        <v>779352073.73999989</v>
      </c>
      <c r="E710" s="198"/>
    </row>
    <row r="711" spans="2:8" x14ac:dyDescent="0.3">
      <c r="C711" s="197"/>
      <c r="E711" s="198"/>
    </row>
    <row r="712" spans="2:8" x14ac:dyDescent="0.3">
      <c r="C712" s="197"/>
      <c r="E712" s="198"/>
    </row>
    <row r="713" spans="2:8" x14ac:dyDescent="0.3">
      <c r="C713" s="197"/>
      <c r="E713" s="198"/>
    </row>
    <row r="714" spans="2:8" x14ac:dyDescent="0.3">
      <c r="C714" s="197"/>
      <c r="E714" s="198"/>
    </row>
    <row r="715" spans="2:8" x14ac:dyDescent="0.3">
      <c r="C715" s="197"/>
      <c r="E715" s="198"/>
    </row>
    <row r="716" spans="2:8" x14ac:dyDescent="0.3">
      <c r="C716" s="197"/>
      <c r="E716" s="198"/>
    </row>
    <row r="717" spans="2:8" x14ac:dyDescent="0.3">
      <c r="C717" s="197"/>
      <c r="E717" s="198"/>
    </row>
    <row r="718" spans="2:8" x14ac:dyDescent="0.3">
      <c r="C718" s="197"/>
      <c r="E718" s="198"/>
    </row>
    <row r="719" spans="2:8" x14ac:dyDescent="0.3">
      <c r="C719" s="197"/>
      <c r="E719" s="198"/>
    </row>
    <row r="720" spans="2:8" x14ac:dyDescent="0.3">
      <c r="C720" s="197"/>
      <c r="E720" s="198"/>
    </row>
    <row r="721" spans="3:5" x14ac:dyDescent="0.3">
      <c r="C721" s="197"/>
      <c r="E721" s="198"/>
    </row>
    <row r="722" spans="3:5" x14ac:dyDescent="0.3">
      <c r="C722" s="197"/>
      <c r="E722" s="198"/>
    </row>
    <row r="723" spans="3:5" x14ac:dyDescent="0.3">
      <c r="C723" s="197"/>
      <c r="E723" s="198"/>
    </row>
    <row r="724" spans="3:5" x14ac:dyDescent="0.3">
      <c r="C724" s="197"/>
      <c r="E724" s="198"/>
    </row>
    <row r="725" spans="3:5" x14ac:dyDescent="0.3">
      <c r="C725" s="197"/>
      <c r="E725" s="198"/>
    </row>
    <row r="726" spans="3:5" x14ac:dyDescent="0.3">
      <c r="C726" s="197"/>
      <c r="E726" s="198"/>
    </row>
    <row r="727" spans="3:5" x14ac:dyDescent="0.3">
      <c r="C727" s="197"/>
      <c r="E727" s="198"/>
    </row>
    <row r="728" spans="3:5" x14ac:dyDescent="0.3">
      <c r="C728" s="197"/>
      <c r="E728" s="198"/>
    </row>
    <row r="729" spans="3:5" x14ac:dyDescent="0.3">
      <c r="C729" s="197"/>
      <c r="E729" s="198"/>
    </row>
    <row r="730" spans="3:5" x14ac:dyDescent="0.3">
      <c r="C730" s="197"/>
      <c r="E730" s="198"/>
    </row>
    <row r="731" spans="3:5" x14ac:dyDescent="0.3">
      <c r="C731" s="197"/>
      <c r="E731" s="198"/>
    </row>
    <row r="732" spans="3:5" x14ac:dyDescent="0.3">
      <c r="C732" s="197"/>
      <c r="E732" s="198"/>
    </row>
    <row r="733" spans="3:5" x14ac:dyDescent="0.3">
      <c r="C733" s="197"/>
      <c r="E733" s="198"/>
    </row>
    <row r="734" spans="3:5" x14ac:dyDescent="0.3">
      <c r="C734" s="197"/>
      <c r="E734" s="198"/>
    </row>
    <row r="735" spans="3:5" x14ac:dyDescent="0.3">
      <c r="C735" s="197"/>
      <c r="E735" s="198"/>
    </row>
    <row r="736" spans="3:5" x14ac:dyDescent="0.3">
      <c r="C736" s="197"/>
      <c r="E736" s="198"/>
    </row>
    <row r="737" spans="3:5" x14ac:dyDescent="0.3">
      <c r="C737" s="197"/>
      <c r="E737" s="198"/>
    </row>
    <row r="738" spans="3:5" x14ac:dyDescent="0.3">
      <c r="C738" s="197"/>
      <c r="E738" s="198"/>
    </row>
    <row r="739" spans="3:5" x14ac:dyDescent="0.3">
      <c r="C739" s="197"/>
      <c r="E739" s="198"/>
    </row>
    <row r="740" spans="3:5" x14ac:dyDescent="0.3">
      <c r="C740" s="197"/>
      <c r="E740" s="198"/>
    </row>
    <row r="741" spans="3:5" x14ac:dyDescent="0.3">
      <c r="C741" s="197"/>
      <c r="E741" s="198"/>
    </row>
    <row r="742" spans="3:5" x14ac:dyDescent="0.3">
      <c r="C742" s="197"/>
      <c r="E742" s="198"/>
    </row>
    <row r="743" spans="3:5" x14ac:dyDescent="0.3">
      <c r="C743" s="197"/>
      <c r="E743" s="198"/>
    </row>
    <row r="744" spans="3:5" x14ac:dyDescent="0.3">
      <c r="C744" s="197"/>
      <c r="E744" s="198"/>
    </row>
    <row r="745" spans="3:5" x14ac:dyDescent="0.3">
      <c r="C745" s="197"/>
      <c r="E745" s="198"/>
    </row>
    <row r="746" spans="3:5" x14ac:dyDescent="0.3">
      <c r="C746" s="197"/>
      <c r="E746" s="198"/>
    </row>
    <row r="747" spans="3:5" x14ac:dyDescent="0.3">
      <c r="C747" s="197"/>
      <c r="E747" s="198"/>
    </row>
    <row r="748" spans="3:5" x14ac:dyDescent="0.3">
      <c r="C748" s="197"/>
      <c r="E748" s="198"/>
    </row>
    <row r="749" spans="3:5" x14ac:dyDescent="0.3">
      <c r="C749" s="197"/>
      <c r="E749" s="198"/>
    </row>
    <row r="750" spans="3:5" x14ac:dyDescent="0.3">
      <c r="C750" s="197"/>
      <c r="E750" s="198"/>
    </row>
    <row r="751" spans="3:5" x14ac:dyDescent="0.3">
      <c r="C751" s="197"/>
      <c r="E751" s="198"/>
    </row>
    <row r="752" spans="3:5" x14ac:dyDescent="0.3">
      <c r="C752" s="197"/>
      <c r="E752" s="198"/>
    </row>
    <row r="753" spans="3:7" x14ac:dyDescent="0.3">
      <c r="C753" s="197"/>
      <c r="E753" s="198"/>
    </row>
    <row r="754" spans="3:7" x14ac:dyDescent="0.3">
      <c r="C754" s="197"/>
      <c r="E754" s="198"/>
    </row>
    <row r="755" spans="3:7" x14ac:dyDescent="0.3">
      <c r="C755" s="197"/>
      <c r="E755" s="198"/>
    </row>
    <row r="756" spans="3:7" x14ac:dyDescent="0.3">
      <c r="C756" s="197"/>
      <c r="E756" s="198"/>
    </row>
    <row r="757" spans="3:7" x14ac:dyDescent="0.3">
      <c r="C757" s="197"/>
      <c r="E757" s="198"/>
    </row>
    <row r="758" spans="3:7" x14ac:dyDescent="0.3">
      <c r="C758" s="197"/>
      <c r="E758" s="198"/>
      <c r="G758" s="164"/>
    </row>
    <row r="759" spans="3:7" x14ac:dyDescent="0.3">
      <c r="C759" s="197"/>
      <c r="E759" s="198"/>
    </row>
    <row r="760" spans="3:7" x14ac:dyDescent="0.3">
      <c r="C760" s="197"/>
      <c r="E760" s="198"/>
    </row>
    <row r="761" spans="3:7" x14ac:dyDescent="0.3">
      <c r="C761" s="197"/>
      <c r="E761" s="198"/>
    </row>
    <row r="762" spans="3:7" x14ac:dyDescent="0.3">
      <c r="C762" s="197"/>
    </row>
    <row r="763" spans="3:7" x14ac:dyDescent="0.3">
      <c r="C763" s="197"/>
    </row>
    <row r="764" spans="3:7" x14ac:dyDescent="0.3">
      <c r="C764" s="197"/>
    </row>
    <row r="765" spans="3:7" x14ac:dyDescent="0.3">
      <c r="C765" s="197"/>
    </row>
    <row r="766" spans="3:7" x14ac:dyDescent="0.3">
      <c r="C766" s="197"/>
    </row>
    <row r="767" spans="3:7" x14ac:dyDescent="0.3">
      <c r="C767" s="197"/>
    </row>
  </sheetData>
  <mergeCells count="6">
    <mergeCell ref="A5:E5"/>
    <mergeCell ref="A6:E6"/>
    <mergeCell ref="A677:D677"/>
    <mergeCell ref="A7:E7"/>
    <mergeCell ref="A8:E8"/>
    <mergeCell ref="A9:E9"/>
  </mergeCells>
  <pageMargins left="1.1811023622047245" right="0.39370078740157483" top="0.39370078740157483" bottom="0.39370078740157483" header="0.31496062992125984" footer="0.31496062992125984"/>
  <pageSetup paperSize="9" scale="64" fitToHeight="0" orientation="portrait" r:id="rId1"/>
  <rowBreaks count="1" manualBreakCount="1">
    <brk id="43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650"/>
  <sheetViews>
    <sheetView view="pageBreakPreview" topLeftCell="A494" zoomScaleNormal="100" zoomScaleSheetLayoutView="100" workbookViewId="0">
      <selection activeCell="A498" sqref="A498"/>
    </sheetView>
  </sheetViews>
  <sheetFormatPr defaultRowHeight="18.350000000000001" outlineLevelRow="6" x14ac:dyDescent="0.3"/>
  <cols>
    <col min="1" max="1" width="85.375" style="200" customWidth="1"/>
    <col min="2" max="2" width="6.875" style="189" customWidth="1"/>
    <col min="3" max="3" width="14.375" style="189" customWidth="1"/>
    <col min="4" max="4" width="6.375" style="189" customWidth="1"/>
    <col min="5" max="5" width="18.125" style="189" customWidth="1"/>
    <col min="6" max="6" width="18.125" style="167" customWidth="1"/>
    <col min="7" max="7" width="21" style="165" customWidth="1"/>
    <col min="8" max="8" width="19.375" style="165" customWidth="1"/>
    <col min="9" max="256" width="9.125" style="165"/>
    <col min="257" max="257" width="76.375" style="165" customWidth="1"/>
    <col min="258" max="258" width="7.625" style="165" customWidth="1"/>
    <col min="259" max="259" width="9.625" style="165" customWidth="1"/>
    <col min="260" max="260" width="7.625" style="165" customWidth="1"/>
    <col min="261" max="261" width="14.375" style="165" customWidth="1"/>
    <col min="262" max="512" width="9.125" style="165"/>
    <col min="513" max="513" width="76.375" style="165" customWidth="1"/>
    <col min="514" max="514" width="7.625" style="165" customWidth="1"/>
    <col min="515" max="515" width="9.625" style="165" customWidth="1"/>
    <col min="516" max="516" width="7.625" style="165" customWidth="1"/>
    <col min="517" max="517" width="14.375" style="165" customWidth="1"/>
    <col min="518" max="768" width="9.125" style="165"/>
    <col min="769" max="769" width="76.375" style="165" customWidth="1"/>
    <col min="770" max="770" width="7.625" style="165" customWidth="1"/>
    <col min="771" max="771" width="9.625" style="165" customWidth="1"/>
    <col min="772" max="772" width="7.625" style="165" customWidth="1"/>
    <col min="773" max="773" width="14.375" style="165" customWidth="1"/>
    <col min="774" max="1024" width="9.125" style="165"/>
    <col min="1025" max="1025" width="76.375" style="165" customWidth="1"/>
    <col min="1026" max="1026" width="7.625" style="165" customWidth="1"/>
    <col min="1027" max="1027" width="9.625" style="165" customWidth="1"/>
    <col min="1028" max="1028" width="7.625" style="165" customWidth="1"/>
    <col min="1029" max="1029" width="14.375" style="165" customWidth="1"/>
    <col min="1030" max="1280" width="9.125" style="165"/>
    <col min="1281" max="1281" width="76.375" style="165" customWidth="1"/>
    <col min="1282" max="1282" width="7.625" style="165" customWidth="1"/>
    <col min="1283" max="1283" width="9.625" style="165" customWidth="1"/>
    <col min="1284" max="1284" width="7.625" style="165" customWidth="1"/>
    <col min="1285" max="1285" width="14.375" style="165" customWidth="1"/>
    <col min="1286" max="1536" width="9.125" style="165"/>
    <col min="1537" max="1537" width="76.375" style="165" customWidth="1"/>
    <col min="1538" max="1538" width="7.625" style="165" customWidth="1"/>
    <col min="1539" max="1539" width="9.625" style="165" customWidth="1"/>
    <col min="1540" max="1540" width="7.625" style="165" customWidth="1"/>
    <col min="1541" max="1541" width="14.375" style="165" customWidth="1"/>
    <col min="1542" max="1792" width="9.125" style="165"/>
    <col min="1793" max="1793" width="76.375" style="165" customWidth="1"/>
    <col min="1794" max="1794" width="7.625" style="165" customWidth="1"/>
    <col min="1795" max="1795" width="9.625" style="165" customWidth="1"/>
    <col min="1796" max="1796" width="7.625" style="165" customWidth="1"/>
    <col min="1797" max="1797" width="14.375" style="165" customWidth="1"/>
    <col min="1798" max="2048" width="9.125" style="165"/>
    <col min="2049" max="2049" width="76.375" style="165" customWidth="1"/>
    <col min="2050" max="2050" width="7.625" style="165" customWidth="1"/>
    <col min="2051" max="2051" width="9.625" style="165" customWidth="1"/>
    <col min="2052" max="2052" width="7.625" style="165" customWidth="1"/>
    <col min="2053" max="2053" width="14.375" style="165" customWidth="1"/>
    <col min="2054" max="2304" width="9.125" style="165"/>
    <col min="2305" max="2305" width="76.375" style="165" customWidth="1"/>
    <col min="2306" max="2306" width="7.625" style="165" customWidth="1"/>
    <col min="2307" max="2307" width="9.625" style="165" customWidth="1"/>
    <col min="2308" max="2308" width="7.625" style="165" customWidth="1"/>
    <col min="2309" max="2309" width="14.375" style="165" customWidth="1"/>
    <col min="2310" max="2560" width="9.125" style="165"/>
    <col min="2561" max="2561" width="76.375" style="165" customWidth="1"/>
    <col min="2562" max="2562" width="7.625" style="165" customWidth="1"/>
    <col min="2563" max="2563" width="9.625" style="165" customWidth="1"/>
    <col min="2564" max="2564" width="7.625" style="165" customWidth="1"/>
    <col min="2565" max="2565" width="14.375" style="165" customWidth="1"/>
    <col min="2566" max="2816" width="9.125" style="165"/>
    <col min="2817" max="2817" width="76.375" style="165" customWidth="1"/>
    <col min="2818" max="2818" width="7.625" style="165" customWidth="1"/>
    <col min="2819" max="2819" width="9.625" style="165" customWidth="1"/>
    <col min="2820" max="2820" width="7.625" style="165" customWidth="1"/>
    <col min="2821" max="2821" width="14.375" style="165" customWidth="1"/>
    <col min="2822" max="3072" width="9.125" style="165"/>
    <col min="3073" max="3073" width="76.375" style="165" customWidth="1"/>
    <col min="3074" max="3074" width="7.625" style="165" customWidth="1"/>
    <col min="3075" max="3075" width="9.625" style="165" customWidth="1"/>
    <col min="3076" max="3076" width="7.625" style="165" customWidth="1"/>
    <col min="3077" max="3077" width="14.375" style="165" customWidth="1"/>
    <col min="3078" max="3328" width="9.125" style="165"/>
    <col min="3329" max="3329" width="76.375" style="165" customWidth="1"/>
    <col min="3330" max="3330" width="7.625" style="165" customWidth="1"/>
    <col min="3331" max="3331" width="9.625" style="165" customWidth="1"/>
    <col min="3332" max="3332" width="7.625" style="165" customWidth="1"/>
    <col min="3333" max="3333" width="14.375" style="165" customWidth="1"/>
    <col min="3334" max="3584" width="9.125" style="165"/>
    <col min="3585" max="3585" width="76.375" style="165" customWidth="1"/>
    <col min="3586" max="3586" width="7.625" style="165" customWidth="1"/>
    <col min="3587" max="3587" width="9.625" style="165" customWidth="1"/>
    <col min="3588" max="3588" width="7.625" style="165" customWidth="1"/>
    <col min="3589" max="3589" width="14.375" style="165" customWidth="1"/>
    <col min="3590" max="3840" width="9.125" style="165"/>
    <col min="3841" max="3841" width="76.375" style="165" customWidth="1"/>
    <col min="3842" max="3842" width="7.625" style="165" customWidth="1"/>
    <col min="3843" max="3843" width="9.625" style="165" customWidth="1"/>
    <col min="3844" max="3844" width="7.625" style="165" customWidth="1"/>
    <col min="3845" max="3845" width="14.375" style="165" customWidth="1"/>
    <col min="3846" max="4096" width="9.125" style="165"/>
    <col min="4097" max="4097" width="76.375" style="165" customWidth="1"/>
    <col min="4098" max="4098" width="7.625" style="165" customWidth="1"/>
    <col min="4099" max="4099" width="9.625" style="165" customWidth="1"/>
    <col min="4100" max="4100" width="7.625" style="165" customWidth="1"/>
    <col min="4101" max="4101" width="14.375" style="165" customWidth="1"/>
    <col min="4102" max="4352" width="9.125" style="165"/>
    <col min="4353" max="4353" width="76.375" style="165" customWidth="1"/>
    <col min="4354" max="4354" width="7.625" style="165" customWidth="1"/>
    <col min="4355" max="4355" width="9.625" style="165" customWidth="1"/>
    <col min="4356" max="4356" width="7.625" style="165" customWidth="1"/>
    <col min="4357" max="4357" width="14.375" style="165" customWidth="1"/>
    <col min="4358" max="4608" width="9.125" style="165"/>
    <col min="4609" max="4609" width="76.375" style="165" customWidth="1"/>
    <col min="4610" max="4610" width="7.625" style="165" customWidth="1"/>
    <col min="4611" max="4611" width="9.625" style="165" customWidth="1"/>
    <col min="4612" max="4612" width="7.625" style="165" customWidth="1"/>
    <col min="4613" max="4613" width="14.375" style="165" customWidth="1"/>
    <col min="4614" max="4864" width="9.125" style="165"/>
    <col min="4865" max="4865" width="76.375" style="165" customWidth="1"/>
    <col min="4866" max="4866" width="7.625" style="165" customWidth="1"/>
    <col min="4867" max="4867" width="9.625" style="165" customWidth="1"/>
    <col min="4868" max="4868" width="7.625" style="165" customWidth="1"/>
    <col min="4869" max="4869" width="14.375" style="165" customWidth="1"/>
    <col min="4870" max="5120" width="9.125" style="165"/>
    <col min="5121" max="5121" width="76.375" style="165" customWidth="1"/>
    <col min="5122" max="5122" width="7.625" style="165" customWidth="1"/>
    <col min="5123" max="5123" width="9.625" style="165" customWidth="1"/>
    <col min="5124" max="5124" width="7.625" style="165" customWidth="1"/>
    <col min="5125" max="5125" width="14.375" style="165" customWidth="1"/>
    <col min="5126" max="5376" width="9.125" style="165"/>
    <col min="5377" max="5377" width="76.375" style="165" customWidth="1"/>
    <col min="5378" max="5378" width="7.625" style="165" customWidth="1"/>
    <col min="5379" max="5379" width="9.625" style="165" customWidth="1"/>
    <col min="5380" max="5380" width="7.625" style="165" customWidth="1"/>
    <col min="5381" max="5381" width="14.375" style="165" customWidth="1"/>
    <col min="5382" max="5632" width="9.125" style="165"/>
    <col min="5633" max="5633" width="76.375" style="165" customWidth="1"/>
    <col min="5634" max="5634" width="7.625" style="165" customWidth="1"/>
    <col min="5635" max="5635" width="9.625" style="165" customWidth="1"/>
    <col min="5636" max="5636" width="7.625" style="165" customWidth="1"/>
    <col min="5637" max="5637" width="14.375" style="165" customWidth="1"/>
    <col min="5638" max="5888" width="9.125" style="165"/>
    <col min="5889" max="5889" width="76.375" style="165" customWidth="1"/>
    <col min="5890" max="5890" width="7.625" style="165" customWidth="1"/>
    <col min="5891" max="5891" width="9.625" style="165" customWidth="1"/>
    <col min="5892" max="5892" width="7.625" style="165" customWidth="1"/>
    <col min="5893" max="5893" width="14.375" style="165" customWidth="1"/>
    <col min="5894" max="6144" width="9.125" style="165"/>
    <col min="6145" max="6145" width="76.375" style="165" customWidth="1"/>
    <col min="6146" max="6146" width="7.625" style="165" customWidth="1"/>
    <col min="6147" max="6147" width="9.625" style="165" customWidth="1"/>
    <col min="6148" max="6148" width="7.625" style="165" customWidth="1"/>
    <col min="6149" max="6149" width="14.375" style="165" customWidth="1"/>
    <col min="6150" max="6400" width="9.125" style="165"/>
    <col min="6401" max="6401" width="76.375" style="165" customWidth="1"/>
    <col min="6402" max="6402" width="7.625" style="165" customWidth="1"/>
    <col min="6403" max="6403" width="9.625" style="165" customWidth="1"/>
    <col min="6404" max="6404" width="7.625" style="165" customWidth="1"/>
    <col min="6405" max="6405" width="14.375" style="165" customWidth="1"/>
    <col min="6406" max="6656" width="9.125" style="165"/>
    <col min="6657" max="6657" width="76.375" style="165" customWidth="1"/>
    <col min="6658" max="6658" width="7.625" style="165" customWidth="1"/>
    <col min="6659" max="6659" width="9.625" style="165" customWidth="1"/>
    <col min="6660" max="6660" width="7.625" style="165" customWidth="1"/>
    <col min="6661" max="6661" width="14.375" style="165" customWidth="1"/>
    <col min="6662" max="6912" width="9.125" style="165"/>
    <col min="6913" max="6913" width="76.375" style="165" customWidth="1"/>
    <col min="6914" max="6914" width="7.625" style="165" customWidth="1"/>
    <col min="6915" max="6915" width="9.625" style="165" customWidth="1"/>
    <col min="6916" max="6916" width="7.625" style="165" customWidth="1"/>
    <col min="6917" max="6917" width="14.375" style="165" customWidth="1"/>
    <col min="6918" max="7168" width="9.125" style="165"/>
    <col min="7169" max="7169" width="76.375" style="165" customWidth="1"/>
    <col min="7170" max="7170" width="7.625" style="165" customWidth="1"/>
    <col min="7171" max="7171" width="9.625" style="165" customWidth="1"/>
    <col min="7172" max="7172" width="7.625" style="165" customWidth="1"/>
    <col min="7173" max="7173" width="14.375" style="165" customWidth="1"/>
    <col min="7174" max="7424" width="9.125" style="165"/>
    <col min="7425" max="7425" width="76.375" style="165" customWidth="1"/>
    <col min="7426" max="7426" width="7.625" style="165" customWidth="1"/>
    <col min="7427" max="7427" width="9.625" style="165" customWidth="1"/>
    <col min="7428" max="7428" width="7.625" style="165" customWidth="1"/>
    <col min="7429" max="7429" width="14.375" style="165" customWidth="1"/>
    <col min="7430" max="7680" width="9.125" style="165"/>
    <col min="7681" max="7681" width="76.375" style="165" customWidth="1"/>
    <col min="7682" max="7682" width="7.625" style="165" customWidth="1"/>
    <col min="7683" max="7683" width="9.625" style="165" customWidth="1"/>
    <col min="7684" max="7684" width="7.625" style="165" customWidth="1"/>
    <col min="7685" max="7685" width="14.375" style="165" customWidth="1"/>
    <col min="7686" max="7936" width="9.125" style="165"/>
    <col min="7937" max="7937" width="76.375" style="165" customWidth="1"/>
    <col min="7938" max="7938" width="7.625" style="165" customWidth="1"/>
    <col min="7939" max="7939" width="9.625" style="165" customWidth="1"/>
    <col min="7940" max="7940" width="7.625" style="165" customWidth="1"/>
    <col min="7941" max="7941" width="14.375" style="165" customWidth="1"/>
    <col min="7942" max="8192" width="9.125" style="165"/>
    <col min="8193" max="8193" width="76.375" style="165" customWidth="1"/>
    <col min="8194" max="8194" width="7.625" style="165" customWidth="1"/>
    <col min="8195" max="8195" width="9.625" style="165" customWidth="1"/>
    <col min="8196" max="8196" width="7.625" style="165" customWidth="1"/>
    <col min="8197" max="8197" width="14.375" style="165" customWidth="1"/>
    <col min="8198" max="8448" width="9.125" style="165"/>
    <col min="8449" max="8449" width="76.375" style="165" customWidth="1"/>
    <col min="8450" max="8450" width="7.625" style="165" customWidth="1"/>
    <col min="8451" max="8451" width="9.625" style="165" customWidth="1"/>
    <col min="8452" max="8452" width="7.625" style="165" customWidth="1"/>
    <col min="8453" max="8453" width="14.375" style="165" customWidth="1"/>
    <col min="8454" max="8704" width="9.125" style="165"/>
    <col min="8705" max="8705" width="76.375" style="165" customWidth="1"/>
    <col min="8706" max="8706" width="7.625" style="165" customWidth="1"/>
    <col min="8707" max="8707" width="9.625" style="165" customWidth="1"/>
    <col min="8708" max="8708" width="7.625" style="165" customWidth="1"/>
    <col min="8709" max="8709" width="14.375" style="165" customWidth="1"/>
    <col min="8710" max="8960" width="9.125" style="165"/>
    <col min="8961" max="8961" width="76.375" style="165" customWidth="1"/>
    <col min="8962" max="8962" width="7.625" style="165" customWidth="1"/>
    <col min="8963" max="8963" width="9.625" style="165" customWidth="1"/>
    <col min="8964" max="8964" width="7.625" style="165" customWidth="1"/>
    <col min="8965" max="8965" width="14.375" style="165" customWidth="1"/>
    <col min="8966" max="9216" width="9.125" style="165"/>
    <col min="9217" max="9217" width="76.375" style="165" customWidth="1"/>
    <col min="9218" max="9218" width="7.625" style="165" customWidth="1"/>
    <col min="9219" max="9219" width="9.625" style="165" customWidth="1"/>
    <col min="9220" max="9220" width="7.625" style="165" customWidth="1"/>
    <col min="9221" max="9221" width="14.375" style="165" customWidth="1"/>
    <col min="9222" max="9472" width="9.125" style="165"/>
    <col min="9473" max="9473" width="76.375" style="165" customWidth="1"/>
    <col min="9474" max="9474" width="7.625" style="165" customWidth="1"/>
    <col min="9475" max="9475" width="9.625" style="165" customWidth="1"/>
    <col min="9476" max="9476" width="7.625" style="165" customWidth="1"/>
    <col min="9477" max="9477" width="14.375" style="165" customWidth="1"/>
    <col min="9478" max="9728" width="9.125" style="165"/>
    <col min="9729" max="9729" width="76.375" style="165" customWidth="1"/>
    <col min="9730" max="9730" width="7.625" style="165" customWidth="1"/>
    <col min="9731" max="9731" width="9.625" style="165" customWidth="1"/>
    <col min="9732" max="9732" width="7.625" style="165" customWidth="1"/>
    <col min="9733" max="9733" width="14.375" style="165" customWidth="1"/>
    <col min="9734" max="9984" width="9.125" style="165"/>
    <col min="9985" max="9985" width="76.375" style="165" customWidth="1"/>
    <col min="9986" max="9986" width="7.625" style="165" customWidth="1"/>
    <col min="9987" max="9987" width="9.625" style="165" customWidth="1"/>
    <col min="9988" max="9988" width="7.625" style="165" customWidth="1"/>
    <col min="9989" max="9989" width="14.375" style="165" customWidth="1"/>
    <col min="9990" max="10240" width="9.125" style="165"/>
    <col min="10241" max="10241" width="76.375" style="165" customWidth="1"/>
    <col min="10242" max="10242" width="7.625" style="165" customWidth="1"/>
    <col min="10243" max="10243" width="9.625" style="165" customWidth="1"/>
    <col min="10244" max="10244" width="7.625" style="165" customWidth="1"/>
    <col min="10245" max="10245" width="14.375" style="165" customWidth="1"/>
    <col min="10246" max="10496" width="9.125" style="165"/>
    <col min="10497" max="10497" width="76.375" style="165" customWidth="1"/>
    <col min="10498" max="10498" width="7.625" style="165" customWidth="1"/>
    <col min="10499" max="10499" width="9.625" style="165" customWidth="1"/>
    <col min="10500" max="10500" width="7.625" style="165" customWidth="1"/>
    <col min="10501" max="10501" width="14.375" style="165" customWidth="1"/>
    <col min="10502" max="10752" width="9.125" style="165"/>
    <col min="10753" max="10753" width="76.375" style="165" customWidth="1"/>
    <col min="10754" max="10754" width="7.625" style="165" customWidth="1"/>
    <col min="10755" max="10755" width="9.625" style="165" customWidth="1"/>
    <col min="10756" max="10756" width="7.625" style="165" customWidth="1"/>
    <col min="10757" max="10757" width="14.375" style="165" customWidth="1"/>
    <col min="10758" max="11008" width="9.125" style="165"/>
    <col min="11009" max="11009" width="76.375" style="165" customWidth="1"/>
    <col min="11010" max="11010" width="7.625" style="165" customWidth="1"/>
    <col min="11011" max="11011" width="9.625" style="165" customWidth="1"/>
    <col min="11012" max="11012" width="7.625" style="165" customWidth="1"/>
    <col min="11013" max="11013" width="14.375" style="165" customWidth="1"/>
    <col min="11014" max="11264" width="9.125" style="165"/>
    <col min="11265" max="11265" width="76.375" style="165" customWidth="1"/>
    <col min="11266" max="11266" width="7.625" style="165" customWidth="1"/>
    <col min="11267" max="11267" width="9.625" style="165" customWidth="1"/>
    <col min="11268" max="11268" width="7.625" style="165" customWidth="1"/>
    <col min="11269" max="11269" width="14.375" style="165" customWidth="1"/>
    <col min="11270" max="11520" width="9.125" style="165"/>
    <col min="11521" max="11521" width="76.375" style="165" customWidth="1"/>
    <col min="11522" max="11522" width="7.625" style="165" customWidth="1"/>
    <col min="11523" max="11523" width="9.625" style="165" customWidth="1"/>
    <col min="11524" max="11524" width="7.625" style="165" customWidth="1"/>
    <col min="11525" max="11525" width="14.375" style="165" customWidth="1"/>
    <col min="11526" max="11776" width="9.125" style="165"/>
    <col min="11777" max="11777" width="76.375" style="165" customWidth="1"/>
    <col min="11778" max="11778" width="7.625" style="165" customWidth="1"/>
    <col min="11779" max="11779" width="9.625" style="165" customWidth="1"/>
    <col min="11780" max="11780" width="7.625" style="165" customWidth="1"/>
    <col min="11781" max="11781" width="14.375" style="165" customWidth="1"/>
    <col min="11782" max="12032" width="9.125" style="165"/>
    <col min="12033" max="12033" width="76.375" style="165" customWidth="1"/>
    <col min="12034" max="12034" width="7.625" style="165" customWidth="1"/>
    <col min="12035" max="12035" width="9.625" style="165" customWidth="1"/>
    <col min="12036" max="12036" width="7.625" style="165" customWidth="1"/>
    <col min="12037" max="12037" width="14.375" style="165" customWidth="1"/>
    <col min="12038" max="12288" width="9.125" style="165"/>
    <col min="12289" max="12289" width="76.375" style="165" customWidth="1"/>
    <col min="12290" max="12290" width="7.625" style="165" customWidth="1"/>
    <col min="12291" max="12291" width="9.625" style="165" customWidth="1"/>
    <col min="12292" max="12292" width="7.625" style="165" customWidth="1"/>
    <col min="12293" max="12293" width="14.375" style="165" customWidth="1"/>
    <col min="12294" max="12544" width="9.125" style="165"/>
    <col min="12545" max="12545" width="76.375" style="165" customWidth="1"/>
    <col min="12546" max="12546" width="7.625" style="165" customWidth="1"/>
    <col min="12547" max="12547" width="9.625" style="165" customWidth="1"/>
    <col min="12548" max="12548" width="7.625" style="165" customWidth="1"/>
    <col min="12549" max="12549" width="14.375" style="165" customWidth="1"/>
    <col min="12550" max="12800" width="9.125" style="165"/>
    <col min="12801" max="12801" width="76.375" style="165" customWidth="1"/>
    <col min="12802" max="12802" width="7.625" style="165" customWidth="1"/>
    <col min="12803" max="12803" width="9.625" style="165" customWidth="1"/>
    <col min="12804" max="12804" width="7.625" style="165" customWidth="1"/>
    <col min="12805" max="12805" width="14.375" style="165" customWidth="1"/>
    <col min="12806" max="13056" width="9.125" style="165"/>
    <col min="13057" max="13057" width="76.375" style="165" customWidth="1"/>
    <col min="13058" max="13058" width="7.625" style="165" customWidth="1"/>
    <col min="13059" max="13059" width="9.625" style="165" customWidth="1"/>
    <col min="13060" max="13060" width="7.625" style="165" customWidth="1"/>
    <col min="13061" max="13061" width="14.375" style="165" customWidth="1"/>
    <col min="13062" max="13312" width="9.125" style="165"/>
    <col min="13313" max="13313" width="76.375" style="165" customWidth="1"/>
    <col min="13314" max="13314" width="7.625" style="165" customWidth="1"/>
    <col min="13315" max="13315" width="9.625" style="165" customWidth="1"/>
    <col min="13316" max="13316" width="7.625" style="165" customWidth="1"/>
    <col min="13317" max="13317" width="14.375" style="165" customWidth="1"/>
    <col min="13318" max="13568" width="9.125" style="165"/>
    <col min="13569" max="13569" width="76.375" style="165" customWidth="1"/>
    <col min="13570" max="13570" width="7.625" style="165" customWidth="1"/>
    <col min="13571" max="13571" width="9.625" style="165" customWidth="1"/>
    <col min="13572" max="13572" width="7.625" style="165" customWidth="1"/>
    <col min="13573" max="13573" width="14.375" style="165" customWidth="1"/>
    <col min="13574" max="13824" width="9.125" style="165"/>
    <col min="13825" max="13825" width="76.375" style="165" customWidth="1"/>
    <col min="13826" max="13826" width="7.625" style="165" customWidth="1"/>
    <col min="13827" max="13827" width="9.625" style="165" customWidth="1"/>
    <col min="13828" max="13828" width="7.625" style="165" customWidth="1"/>
    <col min="13829" max="13829" width="14.375" style="165" customWidth="1"/>
    <col min="13830" max="14080" width="9.125" style="165"/>
    <col min="14081" max="14081" width="76.375" style="165" customWidth="1"/>
    <col min="14082" max="14082" width="7.625" style="165" customWidth="1"/>
    <col min="14083" max="14083" width="9.625" style="165" customWidth="1"/>
    <col min="14084" max="14084" width="7.625" style="165" customWidth="1"/>
    <col min="14085" max="14085" width="14.375" style="165" customWidth="1"/>
    <col min="14086" max="14336" width="9.125" style="165"/>
    <col min="14337" max="14337" width="76.375" style="165" customWidth="1"/>
    <col min="14338" max="14338" width="7.625" style="165" customWidth="1"/>
    <col min="14339" max="14339" width="9.625" style="165" customWidth="1"/>
    <col min="14340" max="14340" width="7.625" style="165" customWidth="1"/>
    <col min="14341" max="14341" width="14.375" style="165" customWidth="1"/>
    <col min="14342" max="14592" width="9.125" style="165"/>
    <col min="14593" max="14593" width="76.375" style="165" customWidth="1"/>
    <col min="14594" max="14594" width="7.625" style="165" customWidth="1"/>
    <col min="14595" max="14595" width="9.625" style="165" customWidth="1"/>
    <col min="14596" max="14596" width="7.625" style="165" customWidth="1"/>
    <col min="14597" max="14597" width="14.375" style="165" customWidth="1"/>
    <col min="14598" max="14848" width="9.125" style="165"/>
    <col min="14849" max="14849" width="76.375" style="165" customWidth="1"/>
    <col min="14850" max="14850" width="7.625" style="165" customWidth="1"/>
    <col min="14851" max="14851" width="9.625" style="165" customWidth="1"/>
    <col min="14852" max="14852" width="7.625" style="165" customWidth="1"/>
    <col min="14853" max="14853" width="14.375" style="165" customWidth="1"/>
    <col min="14854" max="15104" width="9.125" style="165"/>
    <col min="15105" max="15105" width="76.375" style="165" customWidth="1"/>
    <col min="15106" max="15106" width="7.625" style="165" customWidth="1"/>
    <col min="15107" max="15107" width="9.625" style="165" customWidth="1"/>
    <col min="15108" max="15108" width="7.625" style="165" customWidth="1"/>
    <col min="15109" max="15109" width="14.375" style="165" customWidth="1"/>
    <col min="15110" max="15360" width="9.125" style="165"/>
    <col min="15361" max="15361" width="76.375" style="165" customWidth="1"/>
    <col min="15362" max="15362" width="7.625" style="165" customWidth="1"/>
    <col min="15363" max="15363" width="9.625" style="165" customWidth="1"/>
    <col min="15364" max="15364" width="7.625" style="165" customWidth="1"/>
    <col min="15365" max="15365" width="14.375" style="165" customWidth="1"/>
    <col min="15366" max="15616" width="9.125" style="165"/>
    <col min="15617" max="15617" width="76.375" style="165" customWidth="1"/>
    <col min="15618" max="15618" width="7.625" style="165" customWidth="1"/>
    <col min="15619" max="15619" width="9.625" style="165" customWidth="1"/>
    <col min="15620" max="15620" width="7.625" style="165" customWidth="1"/>
    <col min="15621" max="15621" width="14.375" style="165" customWidth="1"/>
    <col min="15622" max="15872" width="9.125" style="165"/>
    <col min="15873" max="15873" width="76.375" style="165" customWidth="1"/>
    <col min="15874" max="15874" width="7.625" style="165" customWidth="1"/>
    <col min="15875" max="15875" width="9.625" style="165" customWidth="1"/>
    <col min="15876" max="15876" width="7.625" style="165" customWidth="1"/>
    <col min="15877" max="15877" width="14.375" style="165" customWidth="1"/>
    <col min="15878" max="16128" width="9.125" style="165"/>
    <col min="16129" max="16129" width="76.375" style="165" customWidth="1"/>
    <col min="16130" max="16130" width="7.625" style="165" customWidth="1"/>
    <col min="16131" max="16131" width="9.625" style="165" customWidth="1"/>
    <col min="16132" max="16132" width="7.625" style="165" customWidth="1"/>
    <col min="16133" max="16133" width="14.375" style="165" customWidth="1"/>
    <col min="16134" max="16384" width="9.125" style="165"/>
  </cols>
  <sheetData>
    <row r="1" spans="1:8" x14ac:dyDescent="0.3">
      <c r="F1" s="278" t="s">
        <v>449</v>
      </c>
    </row>
    <row r="2" spans="1:8" x14ac:dyDescent="0.3">
      <c r="F2" s="278" t="s">
        <v>929</v>
      </c>
    </row>
    <row r="3" spans="1:8" x14ac:dyDescent="0.3">
      <c r="F3" s="278" t="s">
        <v>653</v>
      </c>
    </row>
    <row r="4" spans="1:8" x14ac:dyDescent="0.3">
      <c r="F4" s="278" t="s">
        <v>1064</v>
      </c>
    </row>
    <row r="5" spans="1:8" x14ac:dyDescent="0.3">
      <c r="A5" s="685" t="s">
        <v>196</v>
      </c>
      <c r="B5" s="685"/>
      <c r="C5" s="685"/>
      <c r="D5" s="685"/>
      <c r="E5" s="685"/>
      <c r="F5" s="685"/>
    </row>
    <row r="6" spans="1:8" x14ac:dyDescent="0.3">
      <c r="A6" s="677" t="s">
        <v>1065</v>
      </c>
      <c r="B6" s="677"/>
      <c r="C6" s="677"/>
      <c r="D6" s="677"/>
      <c r="E6" s="677"/>
      <c r="F6" s="677"/>
    </row>
    <row r="7" spans="1:8" ht="19.55" customHeight="1" x14ac:dyDescent="0.3">
      <c r="A7" s="677" t="s">
        <v>450</v>
      </c>
      <c r="B7" s="677"/>
      <c r="C7" s="677"/>
      <c r="D7" s="677"/>
      <c r="E7" s="677"/>
      <c r="F7" s="677"/>
    </row>
    <row r="8" spans="1:8" ht="19.55" customHeight="1" x14ac:dyDescent="0.3">
      <c r="A8" s="677" t="s">
        <v>451</v>
      </c>
      <c r="B8" s="677"/>
      <c r="C8" s="677"/>
      <c r="D8" s="677"/>
      <c r="E8" s="677"/>
      <c r="F8" s="677"/>
    </row>
    <row r="9" spans="1:8" x14ac:dyDescent="0.3">
      <c r="A9" s="677" t="s">
        <v>452</v>
      </c>
      <c r="B9" s="677"/>
      <c r="C9" s="677"/>
      <c r="D9" s="677"/>
      <c r="E9" s="677"/>
      <c r="F9" s="677"/>
    </row>
    <row r="10" spans="1:8" x14ac:dyDescent="0.3">
      <c r="A10" s="166"/>
      <c r="B10" s="190"/>
      <c r="C10" s="190"/>
      <c r="D10" s="190"/>
      <c r="F10" s="191" t="s">
        <v>408</v>
      </c>
    </row>
    <row r="11" spans="1:8" ht="36.700000000000003" x14ac:dyDescent="0.25">
      <c r="A11" s="168" t="s">
        <v>0</v>
      </c>
      <c r="B11" s="168" t="s">
        <v>2</v>
      </c>
      <c r="C11" s="168" t="s">
        <v>3</v>
      </c>
      <c r="D11" s="168" t="s">
        <v>4</v>
      </c>
      <c r="E11" s="168" t="s">
        <v>804</v>
      </c>
      <c r="F11" s="168" t="s">
        <v>1066</v>
      </c>
      <c r="G11" s="281"/>
    </row>
    <row r="12" spans="1:8" s="170" customFormat="1" x14ac:dyDescent="0.25">
      <c r="A12" s="109" t="s">
        <v>7</v>
      </c>
      <c r="B12" s="110" t="s">
        <v>8</v>
      </c>
      <c r="C12" s="110" t="s">
        <v>126</v>
      </c>
      <c r="D12" s="110" t="s">
        <v>6</v>
      </c>
      <c r="E12" s="85">
        <f>E13+E18+E40+E33+E46+E61</f>
        <v>118374855.31</v>
      </c>
      <c r="F12" s="85">
        <f>F13+F18+F40+F33+F46+F61</f>
        <v>110499317.53</v>
      </c>
      <c r="G12" s="169">
        <f>потребность!G688</f>
        <v>99324525.599999994</v>
      </c>
      <c r="H12" s="169">
        <f>'[1]прил 12'!G478</f>
        <v>72206241.75999999</v>
      </c>
    </row>
    <row r="13" spans="1:8" ht="38.25" customHeight="1" outlineLevel="1" x14ac:dyDescent="0.25">
      <c r="A13" s="81" t="s">
        <v>28</v>
      </c>
      <c r="B13" s="80" t="s">
        <v>29</v>
      </c>
      <c r="C13" s="80" t="s">
        <v>126</v>
      </c>
      <c r="D13" s="80" t="s">
        <v>6</v>
      </c>
      <c r="E13" s="82">
        <f t="shared" ref="E13:F16" si="0">E14</f>
        <v>2819261</v>
      </c>
      <c r="F13" s="82">
        <f t="shared" si="0"/>
        <v>2846110</v>
      </c>
      <c r="G13" s="281"/>
    </row>
    <row r="14" spans="1:8" outlineLevel="2" x14ac:dyDescent="0.25">
      <c r="A14" s="81" t="s">
        <v>198</v>
      </c>
      <c r="B14" s="80" t="s">
        <v>29</v>
      </c>
      <c r="C14" s="80" t="s">
        <v>127</v>
      </c>
      <c r="D14" s="80" t="s">
        <v>6</v>
      </c>
      <c r="E14" s="82">
        <f t="shared" si="0"/>
        <v>2819261</v>
      </c>
      <c r="F14" s="82">
        <f t="shared" si="0"/>
        <v>2846110</v>
      </c>
      <c r="G14" s="281"/>
    </row>
    <row r="15" spans="1:8" outlineLevel="4" x14ac:dyDescent="0.25">
      <c r="A15" s="81" t="s">
        <v>496</v>
      </c>
      <c r="B15" s="80" t="s">
        <v>29</v>
      </c>
      <c r="C15" s="80" t="s">
        <v>497</v>
      </c>
      <c r="D15" s="80" t="s">
        <v>6</v>
      </c>
      <c r="E15" s="82">
        <f t="shared" si="0"/>
        <v>2819261</v>
      </c>
      <c r="F15" s="82">
        <f t="shared" si="0"/>
        <v>2846110</v>
      </c>
      <c r="G15" s="281"/>
    </row>
    <row r="16" spans="1:8" ht="55.55" customHeight="1" outlineLevel="5" x14ac:dyDescent="0.25">
      <c r="A16" s="81" t="s">
        <v>11</v>
      </c>
      <c r="B16" s="80" t="s">
        <v>29</v>
      </c>
      <c r="C16" s="80" t="s">
        <v>497</v>
      </c>
      <c r="D16" s="80" t="s">
        <v>12</v>
      </c>
      <c r="E16" s="82">
        <f t="shared" si="0"/>
        <v>2819261</v>
      </c>
      <c r="F16" s="82">
        <f t="shared" si="0"/>
        <v>2846110</v>
      </c>
      <c r="G16" s="281"/>
    </row>
    <row r="17" spans="1:7" ht="19.55" customHeight="1" outlineLevel="6" x14ac:dyDescent="0.25">
      <c r="A17" s="81" t="s">
        <v>13</v>
      </c>
      <c r="B17" s="80" t="s">
        <v>29</v>
      </c>
      <c r="C17" s="80" t="s">
        <v>497</v>
      </c>
      <c r="D17" s="80" t="s">
        <v>14</v>
      </c>
      <c r="E17" s="82">
        <f>'прил 12 (2)'!F38</f>
        <v>2819261</v>
      </c>
      <c r="F17" s="82">
        <f>'прил 12 (2)'!G38</f>
        <v>2846110</v>
      </c>
      <c r="G17" s="281"/>
    </row>
    <row r="18" spans="1:7" ht="54.7" customHeight="1" outlineLevel="1" x14ac:dyDescent="0.25">
      <c r="A18" s="81" t="s">
        <v>108</v>
      </c>
      <c r="B18" s="80" t="s">
        <v>109</v>
      </c>
      <c r="C18" s="80" t="s">
        <v>126</v>
      </c>
      <c r="D18" s="80" t="s">
        <v>6</v>
      </c>
      <c r="E18" s="82">
        <f>E19</f>
        <v>5581195.9299999997</v>
      </c>
      <c r="F18" s="82">
        <f>F19</f>
        <v>5697043.7799999993</v>
      </c>
      <c r="G18" s="281"/>
    </row>
    <row r="19" spans="1:7" outlineLevel="3" x14ac:dyDescent="0.25">
      <c r="A19" s="81" t="s">
        <v>198</v>
      </c>
      <c r="B19" s="80" t="s">
        <v>109</v>
      </c>
      <c r="C19" s="80" t="s">
        <v>127</v>
      </c>
      <c r="D19" s="80" t="s">
        <v>6</v>
      </c>
      <c r="E19" s="82">
        <f>E20+E23+E30</f>
        <v>5581195.9299999997</v>
      </c>
      <c r="F19" s="82">
        <f>F20+F23+F30</f>
        <v>5697043.7799999993</v>
      </c>
      <c r="G19" s="281"/>
    </row>
    <row r="20" spans="1:7" ht="18.7" customHeight="1" outlineLevel="4" x14ac:dyDescent="0.25">
      <c r="A20" s="81" t="s">
        <v>528</v>
      </c>
      <c r="B20" s="80" t="s">
        <v>109</v>
      </c>
      <c r="C20" s="80" t="s">
        <v>529</v>
      </c>
      <c r="D20" s="80" t="s">
        <v>6</v>
      </c>
      <c r="E20" s="82">
        <f>E21</f>
        <v>2639493.27</v>
      </c>
      <c r="F20" s="82">
        <f>F21</f>
        <v>2745073.01</v>
      </c>
      <c r="G20" s="281"/>
    </row>
    <row r="21" spans="1:7" ht="56.25" customHeight="1" outlineLevel="5" x14ac:dyDescent="0.25">
      <c r="A21" s="81" t="s">
        <v>11</v>
      </c>
      <c r="B21" s="80" t="s">
        <v>109</v>
      </c>
      <c r="C21" s="80" t="s">
        <v>529</v>
      </c>
      <c r="D21" s="80" t="s">
        <v>12</v>
      </c>
      <c r="E21" s="82">
        <f>E22</f>
        <v>2639493.27</v>
      </c>
      <c r="F21" s="82">
        <f>F22</f>
        <v>2745073.01</v>
      </c>
      <c r="G21" s="281"/>
    </row>
    <row r="22" spans="1:7" ht="19.55" customHeight="1" outlineLevel="6" x14ac:dyDescent="0.25">
      <c r="A22" s="81" t="s">
        <v>13</v>
      </c>
      <c r="B22" s="80" t="s">
        <v>109</v>
      </c>
      <c r="C22" s="80" t="s">
        <v>529</v>
      </c>
      <c r="D22" s="80" t="s">
        <v>14</v>
      </c>
      <c r="E22" s="82">
        <f>'прил 12 (2)'!F481</f>
        <v>2639493.27</v>
      </c>
      <c r="F22" s="82">
        <f>'прил 12 (2)'!G481</f>
        <v>2745073.01</v>
      </c>
      <c r="G22" s="281"/>
    </row>
    <row r="23" spans="1:7" ht="39.75" customHeight="1" outlineLevel="4" x14ac:dyDescent="0.25">
      <c r="A23" s="81" t="s">
        <v>494</v>
      </c>
      <c r="B23" s="80" t="s">
        <v>109</v>
      </c>
      <c r="C23" s="80" t="s">
        <v>495</v>
      </c>
      <c r="D23" s="80" t="s">
        <v>6</v>
      </c>
      <c r="E23" s="82">
        <f>E24+E26+E28</f>
        <v>2761702.66</v>
      </c>
      <c r="F23" s="82">
        <f>F24+F26+F28</f>
        <v>2771970.77</v>
      </c>
      <c r="G23" s="281"/>
    </row>
    <row r="24" spans="1:7" ht="54.7" customHeight="1" outlineLevel="5" x14ac:dyDescent="0.25">
      <c r="A24" s="81" t="s">
        <v>11</v>
      </c>
      <c r="B24" s="80" t="s">
        <v>109</v>
      </c>
      <c r="C24" s="80" t="s">
        <v>495</v>
      </c>
      <c r="D24" s="80" t="s">
        <v>12</v>
      </c>
      <c r="E24" s="82">
        <f>E25</f>
        <v>2544862.66</v>
      </c>
      <c r="F24" s="82">
        <f>F25</f>
        <v>2546657.17</v>
      </c>
      <c r="G24" s="281"/>
    </row>
    <row r="25" spans="1:7" ht="17.5" customHeight="1" outlineLevel="6" x14ac:dyDescent="0.25">
      <c r="A25" s="81" t="s">
        <v>13</v>
      </c>
      <c r="B25" s="80" t="s">
        <v>109</v>
      </c>
      <c r="C25" s="80" t="s">
        <v>495</v>
      </c>
      <c r="D25" s="80" t="s">
        <v>14</v>
      </c>
      <c r="E25" s="82">
        <f>'прил 12 (2)'!F484</f>
        <v>2544862.66</v>
      </c>
      <c r="F25" s="82">
        <f>'прил 12 (2)'!G484</f>
        <v>2546657.17</v>
      </c>
      <c r="G25" s="281"/>
    </row>
    <row r="26" spans="1:7" ht="17.5" customHeight="1" outlineLevel="5" x14ac:dyDescent="0.25">
      <c r="A26" s="81" t="s">
        <v>15</v>
      </c>
      <c r="B26" s="80" t="s">
        <v>109</v>
      </c>
      <c r="C26" s="80" t="s">
        <v>495</v>
      </c>
      <c r="D26" s="80" t="s">
        <v>16</v>
      </c>
      <c r="E26" s="82">
        <f>E27</f>
        <v>211840</v>
      </c>
      <c r="F26" s="82">
        <f>F27</f>
        <v>220313.60000000001</v>
      </c>
      <c r="G26" s="281"/>
    </row>
    <row r="27" spans="1:7" ht="36.700000000000003" outlineLevel="6" x14ac:dyDescent="0.25">
      <c r="A27" s="81" t="s">
        <v>17</v>
      </c>
      <c r="B27" s="80" t="s">
        <v>109</v>
      </c>
      <c r="C27" s="80" t="s">
        <v>495</v>
      </c>
      <c r="D27" s="80" t="s">
        <v>18</v>
      </c>
      <c r="E27" s="82">
        <f>'прил 12 (2)'!F486</f>
        <v>211840</v>
      </c>
      <c r="F27" s="82">
        <f>'прил 12 (2)'!G486</f>
        <v>220313.60000000001</v>
      </c>
      <c r="G27" s="281"/>
    </row>
    <row r="28" spans="1:7" outlineLevel="5" x14ac:dyDescent="0.25">
      <c r="A28" s="81" t="s">
        <v>19</v>
      </c>
      <c r="B28" s="80" t="s">
        <v>109</v>
      </c>
      <c r="C28" s="80" t="s">
        <v>495</v>
      </c>
      <c r="D28" s="80" t="s">
        <v>20</v>
      </c>
      <c r="E28" s="82">
        <f>E29</f>
        <v>5000</v>
      </c>
      <c r="F28" s="82">
        <f>F29</f>
        <v>5000</v>
      </c>
      <c r="G28" s="281"/>
    </row>
    <row r="29" spans="1:7" outlineLevel="6" x14ac:dyDescent="0.25">
      <c r="A29" s="81" t="s">
        <v>21</v>
      </c>
      <c r="B29" s="80" t="s">
        <v>109</v>
      </c>
      <c r="C29" s="80" t="s">
        <v>495</v>
      </c>
      <c r="D29" s="80" t="s">
        <v>22</v>
      </c>
      <c r="E29" s="82">
        <f>'прил 12 (2)'!F488</f>
        <v>5000</v>
      </c>
      <c r="F29" s="82">
        <f>'прил 12 (2)'!G488</f>
        <v>5000</v>
      </c>
      <c r="G29" s="281"/>
    </row>
    <row r="30" spans="1:7" outlineLevel="4" x14ac:dyDescent="0.25">
      <c r="A30" s="81" t="s">
        <v>531</v>
      </c>
      <c r="B30" s="80" t="s">
        <v>109</v>
      </c>
      <c r="C30" s="80" t="s">
        <v>530</v>
      </c>
      <c r="D30" s="80" t="s">
        <v>6</v>
      </c>
      <c r="E30" s="82">
        <f>E31</f>
        <v>180000</v>
      </c>
      <c r="F30" s="82">
        <f>F31</f>
        <v>180000</v>
      </c>
      <c r="G30" s="281"/>
    </row>
    <row r="31" spans="1:7" ht="54.7" customHeight="1" outlineLevel="5" x14ac:dyDescent="0.25">
      <c r="A31" s="81" t="s">
        <v>11</v>
      </c>
      <c r="B31" s="80" t="s">
        <v>109</v>
      </c>
      <c r="C31" s="80" t="s">
        <v>530</v>
      </c>
      <c r="D31" s="80" t="s">
        <v>12</v>
      </c>
      <c r="E31" s="82">
        <f>E32</f>
        <v>180000</v>
      </c>
      <c r="F31" s="82">
        <f>F32</f>
        <v>180000</v>
      </c>
      <c r="G31" s="281"/>
    </row>
    <row r="32" spans="1:7" ht="17.5" customHeight="1" outlineLevel="6" x14ac:dyDescent="0.25">
      <c r="A32" s="81" t="s">
        <v>13</v>
      </c>
      <c r="B32" s="80" t="s">
        <v>109</v>
      </c>
      <c r="C32" s="80" t="s">
        <v>530</v>
      </c>
      <c r="D32" s="80" t="s">
        <v>14</v>
      </c>
      <c r="E32" s="82">
        <f>'прил 12 (2)'!F491</f>
        <v>180000</v>
      </c>
      <c r="F32" s="82">
        <f>'прил 12 (2)'!G491</f>
        <v>180000</v>
      </c>
      <c r="G32" s="281"/>
    </row>
    <row r="33" spans="1:7" ht="58.75" customHeight="1" outlineLevel="1" x14ac:dyDescent="0.25">
      <c r="A33" s="81" t="s">
        <v>30</v>
      </c>
      <c r="B33" s="80" t="s">
        <v>31</v>
      </c>
      <c r="C33" s="80" t="s">
        <v>126</v>
      </c>
      <c r="D33" s="80" t="s">
        <v>6</v>
      </c>
      <c r="E33" s="82">
        <f>E34</f>
        <v>24468530</v>
      </c>
      <c r="F33" s="82">
        <f>F34</f>
        <v>21717190</v>
      </c>
      <c r="G33" s="281"/>
    </row>
    <row r="34" spans="1:7" outlineLevel="3" x14ac:dyDescent="0.25">
      <c r="A34" s="81" t="s">
        <v>198</v>
      </c>
      <c r="B34" s="80" t="s">
        <v>31</v>
      </c>
      <c r="C34" s="80" t="s">
        <v>127</v>
      </c>
      <c r="D34" s="80" t="s">
        <v>6</v>
      </c>
      <c r="E34" s="82">
        <f>E35</f>
        <v>24468530</v>
      </c>
      <c r="F34" s="82">
        <f>F35</f>
        <v>21717190</v>
      </c>
      <c r="G34" s="281"/>
    </row>
    <row r="35" spans="1:7" ht="38.25" customHeight="1" outlineLevel="4" x14ac:dyDescent="0.25">
      <c r="A35" s="81" t="s">
        <v>494</v>
      </c>
      <c r="B35" s="80" t="s">
        <v>31</v>
      </c>
      <c r="C35" s="80" t="s">
        <v>495</v>
      </c>
      <c r="D35" s="80" t="s">
        <v>6</v>
      </c>
      <c r="E35" s="82">
        <f>E36+E38</f>
        <v>24468530</v>
      </c>
      <c r="F35" s="82">
        <f>F36+F38</f>
        <v>21717190</v>
      </c>
      <c r="G35" s="281"/>
    </row>
    <row r="36" spans="1:7" ht="54.7" customHeight="1" outlineLevel="5" x14ac:dyDescent="0.25">
      <c r="A36" s="81" t="s">
        <v>11</v>
      </c>
      <c r="B36" s="80" t="s">
        <v>31</v>
      </c>
      <c r="C36" s="80" t="s">
        <v>495</v>
      </c>
      <c r="D36" s="80" t="s">
        <v>12</v>
      </c>
      <c r="E36" s="82">
        <f>E37</f>
        <v>24366530</v>
      </c>
      <c r="F36" s="82">
        <f>F37</f>
        <v>21615190</v>
      </c>
      <c r="G36" s="281"/>
    </row>
    <row r="37" spans="1:7" ht="17.5" customHeight="1" outlineLevel="6" x14ac:dyDescent="0.25">
      <c r="A37" s="81" t="s">
        <v>13</v>
      </c>
      <c r="B37" s="80" t="s">
        <v>31</v>
      </c>
      <c r="C37" s="80" t="s">
        <v>495</v>
      </c>
      <c r="D37" s="80" t="s">
        <v>14</v>
      </c>
      <c r="E37" s="82">
        <f>'прил 12 (2)'!F43</f>
        <v>24366530</v>
      </c>
      <c r="F37" s="82">
        <f>'прил 12 (2)'!G43</f>
        <v>21615190</v>
      </c>
      <c r="G37" s="281"/>
    </row>
    <row r="38" spans="1:7" ht="17.5" customHeight="1" outlineLevel="5" x14ac:dyDescent="0.25">
      <c r="A38" s="81" t="s">
        <v>15</v>
      </c>
      <c r="B38" s="80" t="s">
        <v>31</v>
      </c>
      <c r="C38" s="80" t="s">
        <v>495</v>
      </c>
      <c r="D38" s="80" t="s">
        <v>16</v>
      </c>
      <c r="E38" s="82">
        <f>E39</f>
        <v>102000</v>
      </c>
      <c r="F38" s="82">
        <f>F39</f>
        <v>102000</v>
      </c>
      <c r="G38" s="281"/>
    </row>
    <row r="39" spans="1:7" ht="36.700000000000003" outlineLevel="6" x14ac:dyDescent="0.25">
      <c r="A39" s="81" t="s">
        <v>17</v>
      </c>
      <c r="B39" s="80" t="s">
        <v>31</v>
      </c>
      <c r="C39" s="80" t="s">
        <v>495</v>
      </c>
      <c r="D39" s="80" t="s">
        <v>18</v>
      </c>
      <c r="E39" s="82">
        <f>'прил 12 (2)'!F45</f>
        <v>102000</v>
      </c>
      <c r="F39" s="82">
        <f>'прил 12 (2)'!G45</f>
        <v>102000</v>
      </c>
      <c r="G39" s="281"/>
    </row>
    <row r="40" spans="1:7" outlineLevel="6" x14ac:dyDescent="0.25">
      <c r="A40" s="81" t="s">
        <v>260</v>
      </c>
      <c r="B40" s="80" t="s">
        <v>261</v>
      </c>
      <c r="C40" s="80" t="s">
        <v>126</v>
      </c>
      <c r="D40" s="80" t="s">
        <v>6</v>
      </c>
      <c r="E40" s="82">
        <f t="shared" ref="E40:F44" si="1">E41</f>
        <v>11023</v>
      </c>
      <c r="F40" s="82">
        <f t="shared" si="1"/>
        <v>11023</v>
      </c>
      <c r="G40" s="281"/>
    </row>
    <row r="41" spans="1:7" ht="18" customHeight="1" outlineLevel="6" x14ac:dyDescent="0.25">
      <c r="A41" s="81" t="s">
        <v>132</v>
      </c>
      <c r="B41" s="80" t="s">
        <v>261</v>
      </c>
      <c r="C41" s="80" t="s">
        <v>127</v>
      </c>
      <c r="D41" s="80" t="s">
        <v>6</v>
      </c>
      <c r="E41" s="82">
        <f t="shared" si="1"/>
        <v>11023</v>
      </c>
      <c r="F41" s="82">
        <f t="shared" si="1"/>
        <v>11023</v>
      </c>
      <c r="G41" s="281"/>
    </row>
    <row r="42" spans="1:7" outlineLevel="6" x14ac:dyDescent="0.25">
      <c r="A42" s="81" t="s">
        <v>277</v>
      </c>
      <c r="B42" s="80" t="s">
        <v>261</v>
      </c>
      <c r="C42" s="80" t="s">
        <v>276</v>
      </c>
      <c r="D42" s="80" t="s">
        <v>6</v>
      </c>
      <c r="E42" s="82">
        <f t="shared" si="1"/>
        <v>11023</v>
      </c>
      <c r="F42" s="82">
        <f t="shared" si="1"/>
        <v>11023</v>
      </c>
      <c r="G42" s="281"/>
    </row>
    <row r="43" spans="1:7" ht="73.55" customHeight="1" outlineLevel="6" x14ac:dyDescent="0.25">
      <c r="A43" s="81" t="s">
        <v>410</v>
      </c>
      <c r="B43" s="80" t="s">
        <v>261</v>
      </c>
      <c r="C43" s="80" t="s">
        <v>285</v>
      </c>
      <c r="D43" s="80" t="s">
        <v>6</v>
      </c>
      <c r="E43" s="82">
        <f t="shared" si="1"/>
        <v>11023</v>
      </c>
      <c r="F43" s="82">
        <f t="shared" si="1"/>
        <v>11023</v>
      </c>
      <c r="G43" s="281"/>
    </row>
    <row r="44" spans="1:7" ht="18" customHeight="1" outlineLevel="6" x14ac:dyDescent="0.25">
      <c r="A44" s="81" t="s">
        <v>15</v>
      </c>
      <c r="B44" s="80" t="s">
        <v>261</v>
      </c>
      <c r="C44" s="80" t="s">
        <v>285</v>
      </c>
      <c r="D44" s="80" t="s">
        <v>16</v>
      </c>
      <c r="E44" s="82">
        <f t="shared" si="1"/>
        <v>11023</v>
      </c>
      <c r="F44" s="82">
        <f t="shared" si="1"/>
        <v>11023</v>
      </c>
      <c r="G44" s="281"/>
    </row>
    <row r="45" spans="1:7" ht="36.700000000000003" outlineLevel="6" x14ac:dyDescent="0.25">
      <c r="A45" s="81" t="s">
        <v>17</v>
      </c>
      <c r="B45" s="80" t="s">
        <v>261</v>
      </c>
      <c r="C45" s="80" t="s">
        <v>285</v>
      </c>
      <c r="D45" s="80" t="s">
        <v>18</v>
      </c>
      <c r="E45" s="82">
        <f>'прил 12 (2)'!F51</f>
        <v>11023</v>
      </c>
      <c r="F45" s="82">
        <f>'прил 12 (2)'!G51</f>
        <v>11023</v>
      </c>
      <c r="G45" s="281"/>
    </row>
    <row r="46" spans="1:7" ht="39.25" customHeight="1" outlineLevel="1" x14ac:dyDescent="0.25">
      <c r="A46" s="81" t="s">
        <v>9</v>
      </c>
      <c r="B46" s="80" t="s">
        <v>10</v>
      </c>
      <c r="C46" s="80" t="s">
        <v>126</v>
      </c>
      <c r="D46" s="80" t="s">
        <v>6</v>
      </c>
      <c r="E46" s="82">
        <f>E47</f>
        <v>10513361.379999999</v>
      </c>
      <c r="F46" s="82">
        <f>F47</f>
        <v>10707857.75</v>
      </c>
      <c r="G46" s="281"/>
    </row>
    <row r="47" spans="1:7" outlineLevel="3" x14ac:dyDescent="0.25">
      <c r="A47" s="81" t="s">
        <v>198</v>
      </c>
      <c r="B47" s="80" t="s">
        <v>10</v>
      </c>
      <c r="C47" s="80" t="s">
        <v>127</v>
      </c>
      <c r="D47" s="80" t="s">
        <v>6</v>
      </c>
      <c r="E47" s="82">
        <f>E48+E55+E58</f>
        <v>10513361.379999999</v>
      </c>
      <c r="F47" s="82">
        <f>F48+F55+F58</f>
        <v>10707857.75</v>
      </c>
      <c r="G47" s="281"/>
    </row>
    <row r="48" spans="1:7" ht="39.25" customHeight="1" outlineLevel="4" x14ac:dyDescent="0.25">
      <c r="A48" s="81" t="s">
        <v>494</v>
      </c>
      <c r="B48" s="80" t="s">
        <v>10</v>
      </c>
      <c r="C48" s="80" t="s">
        <v>495</v>
      </c>
      <c r="D48" s="80" t="s">
        <v>6</v>
      </c>
      <c r="E48" s="82">
        <f>E49+E51+E53</f>
        <v>8207705.3799999999</v>
      </c>
      <c r="F48" s="82">
        <f>F49+F51+F53</f>
        <v>8335957.75</v>
      </c>
      <c r="G48" s="281"/>
    </row>
    <row r="49" spans="1:7" ht="55.55" customHeight="1" outlineLevel="5" x14ac:dyDescent="0.25">
      <c r="A49" s="81" t="s">
        <v>11</v>
      </c>
      <c r="B49" s="80" t="s">
        <v>10</v>
      </c>
      <c r="C49" s="80" t="s">
        <v>495</v>
      </c>
      <c r="D49" s="80" t="s">
        <v>12</v>
      </c>
      <c r="E49" s="82">
        <f>E50</f>
        <v>7816971.3799999999</v>
      </c>
      <c r="F49" s="82">
        <f>F50</f>
        <v>7929650.75</v>
      </c>
      <c r="G49" s="281"/>
    </row>
    <row r="50" spans="1:7" ht="18" customHeight="1" outlineLevel="6" x14ac:dyDescent="0.25">
      <c r="A50" s="81" t="s">
        <v>13</v>
      </c>
      <c r="B50" s="80" t="s">
        <v>10</v>
      </c>
      <c r="C50" s="80" t="s">
        <v>495</v>
      </c>
      <c r="D50" s="80" t="s">
        <v>14</v>
      </c>
      <c r="E50" s="82">
        <f>'прил 12 (2)'!F16+'прил 12 (2)'!F682</f>
        <v>7816971.3799999999</v>
      </c>
      <c r="F50" s="82">
        <f>'прил 12 (2)'!G16+'прил 12 (2)'!G682</f>
        <v>7929650.75</v>
      </c>
      <c r="G50" s="281"/>
    </row>
    <row r="51" spans="1:7" ht="18" customHeight="1" outlineLevel="5" x14ac:dyDescent="0.25">
      <c r="A51" s="81" t="s">
        <v>15</v>
      </c>
      <c r="B51" s="80" t="s">
        <v>10</v>
      </c>
      <c r="C51" s="80" t="s">
        <v>495</v>
      </c>
      <c r="D51" s="80" t="s">
        <v>16</v>
      </c>
      <c r="E51" s="82">
        <f>E52</f>
        <v>389234</v>
      </c>
      <c r="F51" s="82">
        <f>F52</f>
        <v>404807</v>
      </c>
      <c r="G51" s="281"/>
    </row>
    <row r="52" spans="1:7" ht="39.75" customHeight="1" outlineLevel="6" x14ac:dyDescent="0.25">
      <c r="A52" s="81" t="s">
        <v>17</v>
      </c>
      <c r="B52" s="80" t="s">
        <v>10</v>
      </c>
      <c r="C52" s="80" t="s">
        <v>495</v>
      </c>
      <c r="D52" s="80" t="s">
        <v>18</v>
      </c>
      <c r="E52" s="82">
        <f>'прил 12 (2)'!F18+'прил 12 (2)'!F684</f>
        <v>389234</v>
      </c>
      <c r="F52" s="82">
        <f>'прил 12 (2)'!G18+'прил 12 (2)'!G684</f>
        <v>404807</v>
      </c>
      <c r="G52" s="281"/>
    </row>
    <row r="53" spans="1:7" outlineLevel="5" x14ac:dyDescent="0.25">
      <c r="A53" s="81" t="s">
        <v>19</v>
      </c>
      <c r="B53" s="80" t="s">
        <v>10</v>
      </c>
      <c r="C53" s="80" t="s">
        <v>495</v>
      </c>
      <c r="D53" s="80" t="s">
        <v>20</v>
      </c>
      <c r="E53" s="82">
        <f>E54</f>
        <v>1500</v>
      </c>
      <c r="F53" s="82">
        <f>F54</f>
        <v>1500</v>
      </c>
      <c r="G53" s="281"/>
    </row>
    <row r="54" spans="1:7" outlineLevel="6" x14ac:dyDescent="0.25">
      <c r="A54" s="81" t="s">
        <v>21</v>
      </c>
      <c r="B54" s="80" t="s">
        <v>10</v>
      </c>
      <c r="C54" s="80" t="s">
        <v>495</v>
      </c>
      <c r="D54" s="80" t="s">
        <v>22</v>
      </c>
      <c r="E54" s="82">
        <f>'прил 12 (2)'!F20+'прил 12 (2)'!F686</f>
        <v>1500</v>
      </c>
      <c r="F54" s="82">
        <f>'прил 12 (2)'!G20+'прил 12 (2)'!G686</f>
        <v>1500</v>
      </c>
      <c r="G54" s="281"/>
    </row>
    <row r="55" spans="1:7" outlineLevel="4" x14ac:dyDescent="0.25">
      <c r="A55" s="81" t="s">
        <v>199</v>
      </c>
      <c r="B55" s="80" t="s">
        <v>10</v>
      </c>
      <c r="C55" s="80" t="s">
        <v>143</v>
      </c>
      <c r="D55" s="80" t="s">
        <v>6</v>
      </c>
      <c r="E55" s="82">
        <f>E56</f>
        <v>1439461</v>
      </c>
      <c r="F55" s="82">
        <f>F56</f>
        <v>1497040</v>
      </c>
      <c r="G55" s="281"/>
    </row>
    <row r="56" spans="1:7" ht="56.25" customHeight="1" outlineLevel="5" x14ac:dyDescent="0.25">
      <c r="A56" s="81" t="s">
        <v>11</v>
      </c>
      <c r="B56" s="80" t="s">
        <v>10</v>
      </c>
      <c r="C56" s="80" t="s">
        <v>143</v>
      </c>
      <c r="D56" s="80" t="s">
        <v>12</v>
      </c>
      <c r="E56" s="82">
        <f>E57</f>
        <v>1439461</v>
      </c>
      <c r="F56" s="82">
        <f>F57</f>
        <v>1497040</v>
      </c>
      <c r="G56" s="281"/>
    </row>
    <row r="57" spans="1:7" ht="17.5" customHeight="1" outlineLevel="6" x14ac:dyDescent="0.25">
      <c r="A57" s="81" t="s">
        <v>13</v>
      </c>
      <c r="B57" s="80" t="s">
        <v>10</v>
      </c>
      <c r="C57" s="80" t="s">
        <v>143</v>
      </c>
      <c r="D57" s="80" t="s">
        <v>14</v>
      </c>
      <c r="E57" s="82">
        <f>'прил 12 (2)'!F679</f>
        <v>1439461</v>
      </c>
      <c r="F57" s="82">
        <f>'прил 12 (2)'!G679</f>
        <v>1497040</v>
      </c>
      <c r="G57" s="281"/>
    </row>
    <row r="58" spans="1:7" ht="17.5" customHeight="1" outlineLevel="4" x14ac:dyDescent="0.25">
      <c r="A58" s="81" t="s">
        <v>498</v>
      </c>
      <c r="B58" s="80" t="s">
        <v>10</v>
      </c>
      <c r="C58" s="80" t="s">
        <v>537</v>
      </c>
      <c r="D58" s="80" t="s">
        <v>6</v>
      </c>
      <c r="E58" s="82">
        <f>E59</f>
        <v>866195</v>
      </c>
      <c r="F58" s="82">
        <f>F59</f>
        <v>874860</v>
      </c>
      <c r="G58" s="281"/>
    </row>
    <row r="59" spans="1:7" ht="55.55" customHeight="1" outlineLevel="5" x14ac:dyDescent="0.25">
      <c r="A59" s="81" t="s">
        <v>11</v>
      </c>
      <c r="B59" s="80" t="s">
        <v>10</v>
      </c>
      <c r="C59" s="80" t="s">
        <v>537</v>
      </c>
      <c r="D59" s="80" t="s">
        <v>12</v>
      </c>
      <c r="E59" s="82">
        <f>E60</f>
        <v>866195</v>
      </c>
      <c r="F59" s="82">
        <f>F60</f>
        <v>874860</v>
      </c>
      <c r="G59" s="281"/>
    </row>
    <row r="60" spans="1:7" ht="17.5" customHeight="1" outlineLevel="6" x14ac:dyDescent="0.25">
      <c r="A60" s="81" t="s">
        <v>13</v>
      </c>
      <c r="B60" s="80" t="s">
        <v>10</v>
      </c>
      <c r="C60" s="80" t="s">
        <v>537</v>
      </c>
      <c r="D60" s="80" t="s">
        <v>14</v>
      </c>
      <c r="E60" s="82">
        <f>'прил 12 (2)'!F56</f>
        <v>866195</v>
      </c>
      <c r="F60" s="82">
        <f>'прил 12 (2)'!G56</f>
        <v>874860</v>
      </c>
      <c r="G60" s="281"/>
    </row>
    <row r="61" spans="1:7" outlineLevel="6" x14ac:dyDescent="0.25">
      <c r="A61" s="81" t="s">
        <v>23</v>
      </c>
      <c r="B61" s="80" t="s">
        <v>24</v>
      </c>
      <c r="C61" s="80" t="s">
        <v>126</v>
      </c>
      <c r="D61" s="80" t="s">
        <v>6</v>
      </c>
      <c r="E61" s="82">
        <f>E62+E87+E92+E100+E112+E107</f>
        <v>74981484</v>
      </c>
      <c r="F61" s="82">
        <f>F62+F87+F92+F100+F112+F107</f>
        <v>69520093</v>
      </c>
      <c r="G61" s="281"/>
    </row>
    <row r="62" spans="1:7" ht="38.25" customHeight="1" outlineLevel="4" x14ac:dyDescent="0.25">
      <c r="A62" s="109" t="s">
        <v>853</v>
      </c>
      <c r="B62" s="110" t="s">
        <v>24</v>
      </c>
      <c r="C62" s="110" t="s">
        <v>128</v>
      </c>
      <c r="D62" s="110" t="s">
        <v>6</v>
      </c>
      <c r="E62" s="82">
        <f>E63+E70+E78</f>
        <v>25116707</v>
      </c>
      <c r="F62" s="82">
        <f>F63+F70+F78</f>
        <v>21501531</v>
      </c>
      <c r="G62" s="281"/>
    </row>
    <row r="63" spans="1:7" ht="39.75" customHeight="1" outlineLevel="5" x14ac:dyDescent="0.25">
      <c r="A63" s="81" t="s">
        <v>214</v>
      </c>
      <c r="B63" s="80" t="s">
        <v>24</v>
      </c>
      <c r="C63" s="80" t="s">
        <v>315</v>
      </c>
      <c r="D63" s="80" t="s">
        <v>6</v>
      </c>
      <c r="E63" s="82">
        <f>E64+E67</f>
        <v>953397</v>
      </c>
      <c r="F63" s="82">
        <f>F64+F67</f>
        <v>857721</v>
      </c>
      <c r="G63" s="281"/>
    </row>
    <row r="64" spans="1:7" outlineLevel="6" x14ac:dyDescent="0.25">
      <c r="A64" s="81" t="s">
        <v>321</v>
      </c>
      <c r="B64" s="80" t="s">
        <v>24</v>
      </c>
      <c r="C64" s="80" t="s">
        <v>316</v>
      </c>
      <c r="D64" s="80" t="s">
        <v>6</v>
      </c>
      <c r="E64" s="82">
        <f>E65</f>
        <v>853397</v>
      </c>
      <c r="F64" s="82">
        <f>F65</f>
        <v>757721</v>
      </c>
      <c r="G64" s="281"/>
    </row>
    <row r="65" spans="1:7" ht="18" customHeight="1" outlineLevel="4" x14ac:dyDescent="0.25">
      <c r="A65" s="81" t="s">
        <v>15</v>
      </c>
      <c r="B65" s="80" t="s">
        <v>24</v>
      </c>
      <c r="C65" s="80" t="s">
        <v>316</v>
      </c>
      <c r="D65" s="80" t="s">
        <v>16</v>
      </c>
      <c r="E65" s="82">
        <f>E66</f>
        <v>853397</v>
      </c>
      <c r="F65" s="82">
        <f>F66</f>
        <v>757721</v>
      </c>
      <c r="G65" s="281"/>
    </row>
    <row r="66" spans="1:7" ht="36.700000000000003" outlineLevel="5" x14ac:dyDescent="0.25">
      <c r="A66" s="81" t="s">
        <v>17</v>
      </c>
      <c r="B66" s="80" t="s">
        <v>24</v>
      </c>
      <c r="C66" s="80" t="s">
        <v>316</v>
      </c>
      <c r="D66" s="80" t="s">
        <v>18</v>
      </c>
      <c r="E66" s="82">
        <f>'прил 12 (2)'!F26+'прил 12 (2)'!F67+'прил 12 (2)'!F497+'прил 12 (2)'!F691</f>
        <v>853397</v>
      </c>
      <c r="F66" s="82">
        <f>'прил 12 (2)'!G26+'прил 12 (2)'!G67+'прил 12 (2)'!G497+'прил 12 (2)'!G691</f>
        <v>757721</v>
      </c>
      <c r="G66" s="281"/>
    </row>
    <row r="67" spans="1:7" outlineLevel="6" x14ac:dyDescent="0.25">
      <c r="A67" s="81" t="s">
        <v>322</v>
      </c>
      <c r="B67" s="80" t="s">
        <v>24</v>
      </c>
      <c r="C67" s="80" t="s">
        <v>323</v>
      </c>
      <c r="D67" s="80" t="s">
        <v>6</v>
      </c>
      <c r="E67" s="82">
        <f>E68</f>
        <v>100000</v>
      </c>
      <c r="F67" s="82">
        <f>F68</f>
        <v>100000</v>
      </c>
      <c r="G67" s="281"/>
    </row>
    <row r="68" spans="1:7" ht="18" customHeight="1" outlineLevel="5" x14ac:dyDescent="0.25">
      <c r="A68" s="81" t="s">
        <v>15</v>
      </c>
      <c r="B68" s="80" t="s">
        <v>24</v>
      </c>
      <c r="C68" s="80" t="s">
        <v>323</v>
      </c>
      <c r="D68" s="80" t="s">
        <v>16</v>
      </c>
      <c r="E68" s="82">
        <f>E69</f>
        <v>100000</v>
      </c>
      <c r="F68" s="82">
        <f>F69</f>
        <v>100000</v>
      </c>
      <c r="G68" s="281"/>
    </row>
    <row r="69" spans="1:7" ht="36.700000000000003" outlineLevel="6" x14ac:dyDescent="0.25">
      <c r="A69" s="81" t="s">
        <v>17</v>
      </c>
      <c r="B69" s="80" t="s">
        <v>24</v>
      </c>
      <c r="C69" s="80" t="s">
        <v>323</v>
      </c>
      <c r="D69" s="80" t="s">
        <v>18</v>
      </c>
      <c r="E69" s="82">
        <f>'прил 12 (2)'!F70</f>
        <v>100000</v>
      </c>
      <c r="F69" s="82">
        <f>'прил 12 (2)'!G70</f>
        <v>100000</v>
      </c>
      <c r="G69" s="281"/>
    </row>
    <row r="70" spans="1:7" ht="36.700000000000003" outlineLevel="4" x14ac:dyDescent="0.25">
      <c r="A70" s="81" t="s">
        <v>216</v>
      </c>
      <c r="B70" s="80" t="s">
        <v>24</v>
      </c>
      <c r="C70" s="80" t="s">
        <v>231</v>
      </c>
      <c r="D70" s="80" t="s">
        <v>6</v>
      </c>
      <c r="E70" s="82">
        <f>E71</f>
        <v>22712210</v>
      </c>
      <c r="F70" s="82">
        <f>F71</f>
        <v>19492710</v>
      </c>
      <c r="G70" s="281"/>
    </row>
    <row r="71" spans="1:7" ht="39.25" customHeight="1" outlineLevel="5" x14ac:dyDescent="0.25">
      <c r="A71" s="81" t="s">
        <v>33</v>
      </c>
      <c r="B71" s="80" t="s">
        <v>24</v>
      </c>
      <c r="C71" s="80" t="s">
        <v>130</v>
      </c>
      <c r="D71" s="80" t="s">
        <v>6</v>
      </c>
      <c r="E71" s="82">
        <f>E72+E74+E76</f>
        <v>22712210</v>
      </c>
      <c r="F71" s="82">
        <f>F72+F74+F76</f>
        <v>19492710</v>
      </c>
      <c r="G71" s="281"/>
    </row>
    <row r="72" spans="1:7" ht="55.55" customHeight="1" outlineLevel="6" x14ac:dyDescent="0.25">
      <c r="A72" s="81" t="s">
        <v>11</v>
      </c>
      <c r="B72" s="80" t="s">
        <v>24</v>
      </c>
      <c r="C72" s="80" t="s">
        <v>130</v>
      </c>
      <c r="D72" s="80" t="s">
        <v>12</v>
      </c>
      <c r="E72" s="82">
        <f>E73</f>
        <v>11824960</v>
      </c>
      <c r="F72" s="82">
        <f>F73</f>
        <v>9869965</v>
      </c>
      <c r="G72" s="281"/>
    </row>
    <row r="73" spans="1:7" outlineLevel="5" x14ac:dyDescent="0.25">
      <c r="A73" s="81" t="s">
        <v>34</v>
      </c>
      <c r="B73" s="80" t="s">
        <v>24</v>
      </c>
      <c r="C73" s="80" t="s">
        <v>130</v>
      </c>
      <c r="D73" s="80" t="s">
        <v>35</v>
      </c>
      <c r="E73" s="82">
        <f>'прил 12 (2)'!F74</f>
        <v>11824960</v>
      </c>
      <c r="F73" s="82">
        <f>'прил 12 (2)'!G74</f>
        <v>9869965</v>
      </c>
      <c r="G73" s="281"/>
    </row>
    <row r="74" spans="1:7" ht="18" customHeight="1" outlineLevel="6" x14ac:dyDescent="0.25">
      <c r="A74" s="81" t="s">
        <v>15</v>
      </c>
      <c r="B74" s="80" t="s">
        <v>24</v>
      </c>
      <c r="C74" s="80" t="s">
        <v>130</v>
      </c>
      <c r="D74" s="80" t="s">
        <v>16</v>
      </c>
      <c r="E74" s="82">
        <f>E75</f>
        <v>10088000</v>
      </c>
      <c r="F74" s="82">
        <f>F75</f>
        <v>8791520</v>
      </c>
      <c r="G74" s="281"/>
    </row>
    <row r="75" spans="1:7" ht="36.700000000000003" outlineLevel="5" x14ac:dyDescent="0.25">
      <c r="A75" s="81" t="s">
        <v>17</v>
      </c>
      <c r="B75" s="80" t="s">
        <v>24</v>
      </c>
      <c r="C75" s="80" t="s">
        <v>130</v>
      </c>
      <c r="D75" s="80" t="s">
        <v>18</v>
      </c>
      <c r="E75" s="82">
        <f>'прил 12 (2)'!F76</f>
        <v>10088000</v>
      </c>
      <c r="F75" s="82">
        <f>'прил 12 (2)'!G76</f>
        <v>8791520</v>
      </c>
      <c r="G75" s="281"/>
    </row>
    <row r="76" spans="1:7" outlineLevel="6" x14ac:dyDescent="0.25">
      <c r="A76" s="81" t="s">
        <v>19</v>
      </c>
      <c r="B76" s="80" t="s">
        <v>24</v>
      </c>
      <c r="C76" s="80" t="s">
        <v>130</v>
      </c>
      <c r="D76" s="80" t="s">
        <v>20</v>
      </c>
      <c r="E76" s="82">
        <f>E77</f>
        <v>799250</v>
      </c>
      <c r="F76" s="82">
        <f>F77</f>
        <v>831225</v>
      </c>
      <c r="G76" s="281"/>
    </row>
    <row r="77" spans="1:7" outlineLevel="2" x14ac:dyDescent="0.25">
      <c r="A77" s="81" t="s">
        <v>21</v>
      </c>
      <c r="B77" s="80" t="s">
        <v>24</v>
      </c>
      <c r="C77" s="80" t="s">
        <v>130</v>
      </c>
      <c r="D77" s="80" t="s">
        <v>22</v>
      </c>
      <c r="E77" s="82">
        <f>'прил 12 (2)'!F78</f>
        <v>799250</v>
      </c>
      <c r="F77" s="82">
        <f>'прил 12 (2)'!G78</f>
        <v>831225</v>
      </c>
      <c r="G77" s="281"/>
    </row>
    <row r="78" spans="1:7" outlineLevel="2" x14ac:dyDescent="0.25">
      <c r="A78" s="81" t="s">
        <v>748</v>
      </c>
      <c r="B78" s="80" t="s">
        <v>24</v>
      </c>
      <c r="C78" s="80" t="s">
        <v>692</v>
      </c>
      <c r="D78" s="80" t="s">
        <v>6</v>
      </c>
      <c r="E78" s="82">
        <f>E79+E82</f>
        <v>1451100</v>
      </c>
      <c r="F78" s="82">
        <f>F79+F82</f>
        <v>1151100</v>
      </c>
      <c r="G78" s="281"/>
    </row>
    <row r="79" spans="1:7" ht="36.700000000000003" hidden="1" outlineLevel="2" x14ac:dyDescent="0.25">
      <c r="A79" s="25" t="s">
        <v>717</v>
      </c>
      <c r="B79" s="80" t="s">
        <v>24</v>
      </c>
      <c r="C79" s="80" t="s">
        <v>691</v>
      </c>
      <c r="D79" s="80" t="s">
        <v>6</v>
      </c>
      <c r="E79" s="82">
        <f>E80</f>
        <v>0</v>
      </c>
      <c r="F79" s="82">
        <f>F80</f>
        <v>0</v>
      </c>
      <c r="G79" s="281"/>
    </row>
    <row r="80" spans="1:7" ht="36.700000000000003" hidden="1" outlineLevel="2" x14ac:dyDescent="0.25">
      <c r="A80" s="81" t="s">
        <v>15</v>
      </c>
      <c r="B80" s="80" t="s">
        <v>24</v>
      </c>
      <c r="C80" s="80" t="s">
        <v>691</v>
      </c>
      <c r="D80" s="80" t="s">
        <v>16</v>
      </c>
      <c r="E80" s="82">
        <f>E81</f>
        <v>0</v>
      </c>
      <c r="F80" s="82">
        <f>F81</f>
        <v>0</v>
      </c>
      <c r="G80" s="281"/>
    </row>
    <row r="81" spans="1:7" ht="36.700000000000003" hidden="1" outlineLevel="2" x14ac:dyDescent="0.25">
      <c r="A81" s="81" t="s">
        <v>17</v>
      </c>
      <c r="B81" s="80" t="s">
        <v>24</v>
      </c>
      <c r="C81" s="80" t="s">
        <v>691</v>
      </c>
      <c r="D81" s="80" t="s">
        <v>18</v>
      </c>
      <c r="E81" s="82">
        <v>0</v>
      </c>
      <c r="F81" s="82">
        <v>0</v>
      </c>
      <c r="G81" s="281"/>
    </row>
    <row r="82" spans="1:7" ht="36.700000000000003" outlineLevel="2" x14ac:dyDescent="0.25">
      <c r="A82" s="81" t="s">
        <v>690</v>
      </c>
      <c r="B82" s="80" t="s">
        <v>24</v>
      </c>
      <c r="C82" s="80" t="s">
        <v>689</v>
      </c>
      <c r="D82" s="80" t="s">
        <v>6</v>
      </c>
      <c r="E82" s="82">
        <f>E85+E83</f>
        <v>1451100</v>
      </c>
      <c r="F82" s="82">
        <f>F85+F83</f>
        <v>1151100</v>
      </c>
      <c r="G82" s="281"/>
    </row>
    <row r="83" spans="1:7" ht="73.400000000000006" outlineLevel="2" x14ac:dyDescent="0.25">
      <c r="A83" s="81" t="s">
        <v>11</v>
      </c>
      <c r="B83" s="80" t="s">
        <v>24</v>
      </c>
      <c r="C83" s="80" t="s">
        <v>689</v>
      </c>
      <c r="D83" s="80" t="s">
        <v>12</v>
      </c>
      <c r="E83" s="82">
        <f>E84</f>
        <v>116000</v>
      </c>
      <c r="F83" s="82">
        <f>F84</f>
        <v>116000</v>
      </c>
      <c r="G83" s="281"/>
    </row>
    <row r="84" spans="1:7" ht="36.700000000000003" outlineLevel="2" x14ac:dyDescent="0.25">
      <c r="A84" s="81" t="s">
        <v>13</v>
      </c>
      <c r="B84" s="80" t="s">
        <v>24</v>
      </c>
      <c r="C84" s="80" t="s">
        <v>689</v>
      </c>
      <c r="D84" s="80" t="s">
        <v>14</v>
      </c>
      <c r="E84" s="82">
        <f>'прил 12 (2)'!F85</f>
        <v>116000</v>
      </c>
      <c r="F84" s="82">
        <f>'прил 12 (2)'!G85</f>
        <v>116000</v>
      </c>
      <c r="G84" s="281"/>
    </row>
    <row r="85" spans="1:7" ht="36.700000000000003" outlineLevel="2" x14ac:dyDescent="0.25">
      <c r="A85" s="81" t="s">
        <v>15</v>
      </c>
      <c r="B85" s="80" t="s">
        <v>24</v>
      </c>
      <c r="C85" s="80" t="s">
        <v>689</v>
      </c>
      <c r="D85" s="80" t="s">
        <v>16</v>
      </c>
      <c r="E85" s="82">
        <f>E86</f>
        <v>1335100</v>
      </c>
      <c r="F85" s="82">
        <f>F86</f>
        <v>1035100</v>
      </c>
      <c r="G85" s="281"/>
    </row>
    <row r="86" spans="1:7" ht="36.700000000000003" outlineLevel="2" x14ac:dyDescent="0.25">
      <c r="A86" s="81" t="s">
        <v>17</v>
      </c>
      <c r="B86" s="80" t="s">
        <v>24</v>
      </c>
      <c r="C86" s="80" t="s">
        <v>689</v>
      </c>
      <c r="D86" s="80" t="s">
        <v>18</v>
      </c>
      <c r="E86" s="82">
        <f>'прил 12 (2)'!F87</f>
        <v>1335100</v>
      </c>
      <c r="F86" s="82">
        <f>'прил 12 (2)'!G87</f>
        <v>1035100</v>
      </c>
      <c r="G86" s="281"/>
    </row>
    <row r="87" spans="1:7" ht="36.700000000000003" outlineLevel="4" x14ac:dyDescent="0.25">
      <c r="A87" s="109" t="s">
        <v>852</v>
      </c>
      <c r="B87" s="110" t="s">
        <v>24</v>
      </c>
      <c r="C87" s="110" t="s">
        <v>131</v>
      </c>
      <c r="D87" s="110" t="s">
        <v>6</v>
      </c>
      <c r="E87" s="82">
        <f t="shared" ref="E87:F90" si="2">E88</f>
        <v>50000</v>
      </c>
      <c r="F87" s="82">
        <f t="shared" si="2"/>
        <v>50000</v>
      </c>
      <c r="G87" s="281"/>
    </row>
    <row r="88" spans="1:7" ht="21.25" customHeight="1" outlineLevel="5" x14ac:dyDescent="0.25">
      <c r="A88" s="81" t="s">
        <v>324</v>
      </c>
      <c r="B88" s="80" t="s">
        <v>24</v>
      </c>
      <c r="C88" s="80" t="s">
        <v>233</v>
      </c>
      <c r="D88" s="80" t="s">
        <v>6</v>
      </c>
      <c r="E88" s="82">
        <f t="shared" si="2"/>
        <v>50000</v>
      </c>
      <c r="F88" s="82">
        <f t="shared" si="2"/>
        <v>50000</v>
      </c>
      <c r="G88" s="281"/>
    </row>
    <row r="89" spans="1:7" ht="18" customHeight="1" outlineLevel="6" x14ac:dyDescent="0.25">
      <c r="A89" s="81" t="s">
        <v>325</v>
      </c>
      <c r="B89" s="80" t="s">
        <v>24</v>
      </c>
      <c r="C89" s="80" t="s">
        <v>326</v>
      </c>
      <c r="D89" s="80" t="s">
        <v>6</v>
      </c>
      <c r="E89" s="82">
        <f t="shared" si="2"/>
        <v>50000</v>
      </c>
      <c r="F89" s="82">
        <f t="shared" si="2"/>
        <v>50000</v>
      </c>
      <c r="G89" s="281"/>
    </row>
    <row r="90" spans="1:7" ht="18" customHeight="1" outlineLevel="6" x14ac:dyDescent="0.25">
      <c r="A90" s="81" t="s">
        <v>15</v>
      </c>
      <c r="B90" s="80" t="s">
        <v>24</v>
      </c>
      <c r="C90" s="80" t="s">
        <v>326</v>
      </c>
      <c r="D90" s="80" t="s">
        <v>16</v>
      </c>
      <c r="E90" s="82">
        <f t="shared" si="2"/>
        <v>50000</v>
      </c>
      <c r="F90" s="82">
        <f t="shared" si="2"/>
        <v>50000</v>
      </c>
      <c r="G90" s="281"/>
    </row>
    <row r="91" spans="1:7" ht="41.3" customHeight="1" outlineLevel="6" x14ac:dyDescent="0.25">
      <c r="A91" s="81" t="s">
        <v>17</v>
      </c>
      <c r="B91" s="80" t="s">
        <v>24</v>
      </c>
      <c r="C91" s="80" t="s">
        <v>326</v>
      </c>
      <c r="D91" s="80" t="s">
        <v>18</v>
      </c>
      <c r="E91" s="82">
        <f>'прил 12 (2)'!F92</f>
        <v>50000</v>
      </c>
      <c r="F91" s="82">
        <f>'прил 12 (2)'!G92</f>
        <v>50000</v>
      </c>
      <c r="G91" s="281"/>
    </row>
    <row r="92" spans="1:7" ht="38.25" customHeight="1" outlineLevel="6" x14ac:dyDescent="0.25">
      <c r="A92" s="109" t="s">
        <v>829</v>
      </c>
      <c r="B92" s="110" t="s">
        <v>24</v>
      </c>
      <c r="C92" s="110" t="s">
        <v>317</v>
      </c>
      <c r="D92" s="110" t="s">
        <v>6</v>
      </c>
      <c r="E92" s="82">
        <f>E93</f>
        <v>1725733</v>
      </c>
      <c r="F92" s="82">
        <f>F93</f>
        <v>1566675</v>
      </c>
      <c r="G92" s="281"/>
    </row>
    <row r="93" spans="1:7" ht="36.700000000000003" outlineLevel="6" x14ac:dyDescent="0.25">
      <c r="A93" s="113" t="s">
        <v>327</v>
      </c>
      <c r="B93" s="80" t="s">
        <v>24</v>
      </c>
      <c r="C93" s="80" t="s">
        <v>318</v>
      </c>
      <c r="D93" s="80" t="s">
        <v>6</v>
      </c>
      <c r="E93" s="82">
        <f>E94+E97</f>
        <v>1725733</v>
      </c>
      <c r="F93" s="82">
        <f>F94+F97</f>
        <v>1566675</v>
      </c>
      <c r="G93" s="281"/>
    </row>
    <row r="94" spans="1:7" ht="39.75" customHeight="1" outlineLevel="6" x14ac:dyDescent="0.25">
      <c r="A94" s="113" t="s">
        <v>328</v>
      </c>
      <c r="B94" s="80" t="s">
        <v>24</v>
      </c>
      <c r="C94" s="80" t="s">
        <v>329</v>
      </c>
      <c r="D94" s="80" t="s">
        <v>6</v>
      </c>
      <c r="E94" s="82">
        <f>E95</f>
        <v>1677968</v>
      </c>
      <c r="F94" s="82">
        <f>F95</f>
        <v>1517000</v>
      </c>
      <c r="G94" s="281"/>
    </row>
    <row r="95" spans="1:7" ht="21.75" customHeight="1" outlineLevel="6" x14ac:dyDescent="0.25">
      <c r="A95" s="81" t="s">
        <v>15</v>
      </c>
      <c r="B95" s="80" t="s">
        <v>24</v>
      </c>
      <c r="C95" s="80" t="s">
        <v>329</v>
      </c>
      <c r="D95" s="80" t="s">
        <v>16</v>
      </c>
      <c r="E95" s="82">
        <f>E96</f>
        <v>1677968</v>
      </c>
      <c r="F95" s="82">
        <f>F96</f>
        <v>1517000</v>
      </c>
      <c r="G95" s="281"/>
    </row>
    <row r="96" spans="1:7" ht="36.700000000000003" outlineLevel="6" x14ac:dyDescent="0.25">
      <c r="A96" s="81" t="s">
        <v>17</v>
      </c>
      <c r="B96" s="80" t="s">
        <v>24</v>
      </c>
      <c r="C96" s="80" t="s">
        <v>329</v>
      </c>
      <c r="D96" s="80" t="s">
        <v>18</v>
      </c>
      <c r="E96" s="82">
        <f>'прил 12 (2)'!F31+'прил 12 (2)'!F97+'прил 12 (2)'!F696</f>
        <v>1677968</v>
      </c>
      <c r="F96" s="82">
        <f>'прил 12 (2)'!G31+'прил 12 (2)'!G97+'прил 12 (2)'!G696</f>
        <v>1517000</v>
      </c>
      <c r="G96" s="281"/>
    </row>
    <row r="97" spans="1:7" ht="19.55" customHeight="1" outlineLevel="6" x14ac:dyDescent="0.25">
      <c r="A97" s="113" t="s">
        <v>330</v>
      </c>
      <c r="B97" s="80" t="s">
        <v>24</v>
      </c>
      <c r="C97" s="80" t="s">
        <v>319</v>
      </c>
      <c r="D97" s="80" t="s">
        <v>6</v>
      </c>
      <c r="E97" s="82">
        <f>E98</f>
        <v>47765</v>
      </c>
      <c r="F97" s="82">
        <f>F98</f>
        <v>49675</v>
      </c>
      <c r="G97" s="281"/>
    </row>
    <row r="98" spans="1:7" ht="17.5" customHeight="1" outlineLevel="6" x14ac:dyDescent="0.25">
      <c r="A98" s="81" t="s">
        <v>15</v>
      </c>
      <c r="B98" s="80" t="s">
        <v>24</v>
      </c>
      <c r="C98" s="80" t="s">
        <v>319</v>
      </c>
      <c r="D98" s="80" t="s">
        <v>16</v>
      </c>
      <c r="E98" s="82">
        <f>E99</f>
        <v>47765</v>
      </c>
      <c r="F98" s="82">
        <f>F99</f>
        <v>49675</v>
      </c>
      <c r="G98" s="281"/>
    </row>
    <row r="99" spans="1:7" ht="36.700000000000003" outlineLevel="6" x14ac:dyDescent="0.25">
      <c r="A99" s="81" t="s">
        <v>17</v>
      </c>
      <c r="B99" s="80" t="s">
        <v>24</v>
      </c>
      <c r="C99" s="80" t="s">
        <v>319</v>
      </c>
      <c r="D99" s="80" t="s">
        <v>18</v>
      </c>
      <c r="E99" s="82">
        <f>'прил 12 (2)'!F100</f>
        <v>47765</v>
      </c>
      <c r="F99" s="82">
        <f>'прил 12 (2)'!G100</f>
        <v>49675</v>
      </c>
      <c r="G99" s="281"/>
    </row>
    <row r="100" spans="1:7" ht="39.75" customHeight="1" outlineLevel="4" x14ac:dyDescent="0.25">
      <c r="A100" s="109" t="s">
        <v>851</v>
      </c>
      <c r="B100" s="110" t="s">
        <v>24</v>
      </c>
      <c r="C100" s="110" t="s">
        <v>331</v>
      </c>
      <c r="D100" s="110" t="s">
        <v>6</v>
      </c>
      <c r="E100" s="82">
        <f>E101</f>
        <v>1300000</v>
      </c>
      <c r="F100" s="82">
        <f>F101</f>
        <v>600000</v>
      </c>
      <c r="G100" s="281"/>
    </row>
    <row r="101" spans="1:7" ht="39.75" customHeight="1" outlineLevel="5" x14ac:dyDescent="0.25">
      <c r="A101" s="81" t="s">
        <v>215</v>
      </c>
      <c r="B101" s="80" t="s">
        <v>24</v>
      </c>
      <c r="C101" s="80" t="s">
        <v>332</v>
      </c>
      <c r="D101" s="80" t="s">
        <v>6</v>
      </c>
      <c r="E101" s="82">
        <f>E102</f>
        <v>1300000</v>
      </c>
      <c r="F101" s="82">
        <f>F102</f>
        <v>600000</v>
      </c>
      <c r="G101" s="281"/>
    </row>
    <row r="102" spans="1:7" ht="36" customHeight="1" outlineLevel="6" x14ac:dyDescent="0.25">
      <c r="A102" s="81" t="s">
        <v>32</v>
      </c>
      <c r="B102" s="80" t="s">
        <v>24</v>
      </c>
      <c r="C102" s="80" t="s">
        <v>333</v>
      </c>
      <c r="D102" s="80" t="s">
        <v>6</v>
      </c>
      <c r="E102" s="82">
        <f>E103+E105</f>
        <v>1300000</v>
      </c>
      <c r="F102" s="82">
        <f>F103+F105</f>
        <v>600000</v>
      </c>
      <c r="G102" s="281"/>
    </row>
    <row r="103" spans="1:7" ht="19.55" customHeight="1" outlineLevel="5" x14ac:dyDescent="0.25">
      <c r="A103" s="81" t="s">
        <v>15</v>
      </c>
      <c r="B103" s="80" t="s">
        <v>24</v>
      </c>
      <c r="C103" s="80" t="s">
        <v>333</v>
      </c>
      <c r="D103" s="80" t="s">
        <v>16</v>
      </c>
      <c r="E103" s="82">
        <f>E104</f>
        <v>1160000</v>
      </c>
      <c r="F103" s="82">
        <f>F104</f>
        <v>460000</v>
      </c>
      <c r="G103" s="281"/>
    </row>
    <row r="104" spans="1:7" ht="36.700000000000003" outlineLevel="6" x14ac:dyDescent="0.25">
      <c r="A104" s="81" t="s">
        <v>17</v>
      </c>
      <c r="B104" s="80" t="s">
        <v>24</v>
      </c>
      <c r="C104" s="80" t="s">
        <v>333</v>
      </c>
      <c r="D104" s="80" t="s">
        <v>18</v>
      </c>
      <c r="E104" s="82">
        <f>'прил 12 (2)'!F105</f>
        <v>1160000</v>
      </c>
      <c r="F104" s="82">
        <f>'прил 12 (2)'!G105</f>
        <v>460000</v>
      </c>
      <c r="G104" s="281"/>
    </row>
    <row r="105" spans="1:7" ht="19.55" customHeight="1" outlineLevel="4" x14ac:dyDescent="0.25">
      <c r="A105" s="81" t="s">
        <v>19</v>
      </c>
      <c r="B105" s="80" t="s">
        <v>24</v>
      </c>
      <c r="C105" s="80" t="s">
        <v>333</v>
      </c>
      <c r="D105" s="80" t="s">
        <v>20</v>
      </c>
      <c r="E105" s="82">
        <f>E106</f>
        <v>140000</v>
      </c>
      <c r="F105" s="82">
        <f>F106</f>
        <v>140000</v>
      </c>
      <c r="G105" s="281"/>
    </row>
    <row r="106" spans="1:7" ht="19.55" customHeight="1" outlineLevel="5" x14ac:dyDescent="0.25">
      <c r="A106" s="81" t="s">
        <v>21</v>
      </c>
      <c r="B106" s="80" t="s">
        <v>24</v>
      </c>
      <c r="C106" s="80" t="s">
        <v>333</v>
      </c>
      <c r="D106" s="80" t="s">
        <v>22</v>
      </c>
      <c r="E106" s="82">
        <f>'прил 12 (2)'!F107</f>
        <v>140000</v>
      </c>
      <c r="F106" s="82">
        <f>'прил 12 (2)'!G107</f>
        <v>140000</v>
      </c>
      <c r="G106" s="281"/>
    </row>
    <row r="107" spans="1:7" ht="19.55" customHeight="1" outlineLevel="5" x14ac:dyDescent="0.25">
      <c r="A107" s="109" t="s">
        <v>950</v>
      </c>
      <c r="B107" s="110" t="s">
        <v>24</v>
      </c>
      <c r="C107" s="110" t="s">
        <v>952</v>
      </c>
      <c r="D107" s="110" t="s">
        <v>6</v>
      </c>
      <c r="E107" s="82">
        <f t="shared" ref="E107:F110" si="3">E108</f>
        <v>30000</v>
      </c>
      <c r="F107" s="82">
        <f t="shared" si="3"/>
        <v>30000</v>
      </c>
      <c r="G107" s="281"/>
    </row>
    <row r="108" spans="1:7" ht="19.55" customHeight="1" outlineLevel="5" x14ac:dyDescent="0.25">
      <c r="A108" s="81" t="s">
        <v>951</v>
      </c>
      <c r="B108" s="80" t="s">
        <v>24</v>
      </c>
      <c r="C108" s="80" t="s">
        <v>953</v>
      </c>
      <c r="D108" s="80" t="s">
        <v>6</v>
      </c>
      <c r="E108" s="82">
        <f t="shared" si="3"/>
        <v>30000</v>
      </c>
      <c r="F108" s="82">
        <f t="shared" si="3"/>
        <v>30000</v>
      </c>
      <c r="G108" s="281"/>
    </row>
    <row r="109" spans="1:7" ht="19.55" customHeight="1" outlineLevel="5" x14ac:dyDescent="0.25">
      <c r="A109" s="81" t="s">
        <v>322</v>
      </c>
      <c r="B109" s="80" t="s">
        <v>24</v>
      </c>
      <c r="C109" s="80" t="s">
        <v>954</v>
      </c>
      <c r="D109" s="80" t="s">
        <v>6</v>
      </c>
      <c r="E109" s="82">
        <f t="shared" si="3"/>
        <v>30000</v>
      </c>
      <c r="F109" s="82">
        <f t="shared" si="3"/>
        <v>30000</v>
      </c>
      <c r="G109" s="281"/>
    </row>
    <row r="110" spans="1:7" ht="19.55" customHeight="1" outlineLevel="5" x14ac:dyDescent="0.25">
      <c r="A110" s="81" t="s">
        <v>15</v>
      </c>
      <c r="B110" s="80" t="s">
        <v>24</v>
      </c>
      <c r="C110" s="80" t="s">
        <v>954</v>
      </c>
      <c r="D110" s="80" t="s">
        <v>16</v>
      </c>
      <c r="E110" s="82">
        <f t="shared" si="3"/>
        <v>30000</v>
      </c>
      <c r="F110" s="82">
        <f t="shared" si="3"/>
        <v>30000</v>
      </c>
      <c r="G110" s="281"/>
    </row>
    <row r="111" spans="1:7" ht="19.55" customHeight="1" outlineLevel="5" x14ac:dyDescent="0.25">
      <c r="A111" s="81" t="s">
        <v>17</v>
      </c>
      <c r="B111" s="80" t="s">
        <v>24</v>
      </c>
      <c r="C111" s="80" t="s">
        <v>954</v>
      </c>
      <c r="D111" s="80" t="s">
        <v>18</v>
      </c>
      <c r="E111" s="82">
        <f>'прил 12 (2)'!F112</f>
        <v>30000</v>
      </c>
      <c r="F111" s="82">
        <f>'прил 12 (2)'!G112</f>
        <v>30000</v>
      </c>
      <c r="G111" s="281"/>
    </row>
    <row r="112" spans="1:7" outlineLevel="6" x14ac:dyDescent="0.25">
      <c r="A112" s="81" t="s">
        <v>198</v>
      </c>
      <c r="B112" s="80" t="s">
        <v>24</v>
      </c>
      <c r="C112" s="80" t="s">
        <v>127</v>
      </c>
      <c r="D112" s="80" t="s">
        <v>6</v>
      </c>
      <c r="E112" s="82">
        <f>E113+E122+E125+E128+E118</f>
        <v>46759044</v>
      </c>
      <c r="F112" s="82">
        <f>F113+F122+F125+F128+F118</f>
        <v>45771887</v>
      </c>
      <c r="G112" s="281"/>
    </row>
    <row r="113" spans="1:7" ht="39.25" customHeight="1" outlineLevel="5" x14ac:dyDescent="0.25">
      <c r="A113" s="81" t="s">
        <v>494</v>
      </c>
      <c r="B113" s="80" t="s">
        <v>24</v>
      </c>
      <c r="C113" s="80" t="s">
        <v>495</v>
      </c>
      <c r="D113" s="80" t="s">
        <v>6</v>
      </c>
      <c r="E113" s="82">
        <f>E114+E116</f>
        <v>38385000</v>
      </c>
      <c r="F113" s="82">
        <f>F114+F116</f>
        <v>37382120</v>
      </c>
      <c r="G113" s="281"/>
    </row>
    <row r="114" spans="1:7" ht="54.7" customHeight="1" outlineLevel="6" x14ac:dyDescent="0.25">
      <c r="A114" s="81" t="s">
        <v>11</v>
      </c>
      <c r="B114" s="80" t="s">
        <v>24</v>
      </c>
      <c r="C114" s="80" t="s">
        <v>495</v>
      </c>
      <c r="D114" s="80" t="s">
        <v>12</v>
      </c>
      <c r="E114" s="82">
        <f>E115</f>
        <v>38365000</v>
      </c>
      <c r="F114" s="82">
        <f>F115</f>
        <v>37362120</v>
      </c>
      <c r="G114" s="281"/>
    </row>
    <row r="115" spans="1:7" ht="18" customHeight="1" outlineLevel="4" x14ac:dyDescent="0.25">
      <c r="A115" s="81" t="s">
        <v>13</v>
      </c>
      <c r="B115" s="80" t="s">
        <v>24</v>
      </c>
      <c r="C115" s="80" t="s">
        <v>495</v>
      </c>
      <c r="D115" s="80" t="s">
        <v>14</v>
      </c>
      <c r="E115" s="82">
        <f>'прил 12 (2)'!F116</f>
        <v>38365000</v>
      </c>
      <c r="F115" s="82">
        <f>'прил 12 (2)'!G116</f>
        <v>37362120</v>
      </c>
      <c r="G115" s="281"/>
    </row>
    <row r="116" spans="1:7" ht="18" customHeight="1" outlineLevel="5" x14ac:dyDescent="0.25">
      <c r="A116" s="81" t="s">
        <v>15</v>
      </c>
      <c r="B116" s="80" t="s">
        <v>24</v>
      </c>
      <c r="C116" s="80" t="s">
        <v>495</v>
      </c>
      <c r="D116" s="80" t="s">
        <v>16</v>
      </c>
      <c r="E116" s="82">
        <f>E117</f>
        <v>20000</v>
      </c>
      <c r="F116" s="82">
        <f>F117</f>
        <v>20000</v>
      </c>
      <c r="G116" s="281"/>
    </row>
    <row r="117" spans="1:7" ht="36.700000000000003" outlineLevel="6" x14ac:dyDescent="0.25">
      <c r="A117" s="81" t="s">
        <v>17</v>
      </c>
      <c r="B117" s="80" t="s">
        <v>24</v>
      </c>
      <c r="C117" s="80" t="s">
        <v>495</v>
      </c>
      <c r="D117" s="80" t="s">
        <v>18</v>
      </c>
      <c r="E117" s="82">
        <f>'прил 12 (2)'!F118</f>
        <v>20000</v>
      </c>
      <c r="F117" s="82">
        <f>'прил 12 (2)'!G118</f>
        <v>20000</v>
      </c>
      <c r="G117" s="281"/>
    </row>
    <row r="118" spans="1:7" ht="36.700000000000003" hidden="1" outlineLevel="6" x14ac:dyDescent="0.25">
      <c r="A118" s="81" t="s">
        <v>688</v>
      </c>
      <c r="B118" s="80" t="s">
        <v>24</v>
      </c>
      <c r="C118" s="80" t="s">
        <v>686</v>
      </c>
      <c r="D118" s="80" t="s">
        <v>6</v>
      </c>
      <c r="E118" s="82">
        <f>E119</f>
        <v>0</v>
      </c>
      <c r="F118" s="82">
        <f>F119</f>
        <v>0</v>
      </c>
      <c r="G118" s="281"/>
    </row>
    <row r="119" spans="1:7" hidden="1" outlineLevel="6" x14ac:dyDescent="0.25">
      <c r="A119" s="81" t="s">
        <v>19</v>
      </c>
      <c r="B119" s="80" t="s">
        <v>24</v>
      </c>
      <c r="C119" s="80" t="s">
        <v>686</v>
      </c>
      <c r="D119" s="80" t="s">
        <v>20</v>
      </c>
      <c r="E119" s="82">
        <f>E120+E121</f>
        <v>0</v>
      </c>
      <c r="F119" s="82">
        <f>F120+F121</f>
        <v>0</v>
      </c>
      <c r="G119" s="281"/>
    </row>
    <row r="120" spans="1:7" ht="29.25" hidden="1" customHeight="1" outlineLevel="6" x14ac:dyDescent="0.25">
      <c r="A120" s="81" t="s">
        <v>715</v>
      </c>
      <c r="B120" s="80" t="s">
        <v>24</v>
      </c>
      <c r="C120" s="80" t="s">
        <v>686</v>
      </c>
      <c r="D120" s="118" t="s">
        <v>716</v>
      </c>
      <c r="E120" s="82">
        <v>0</v>
      </c>
      <c r="F120" s="82">
        <v>0</v>
      </c>
      <c r="G120" s="281"/>
    </row>
    <row r="121" spans="1:7" ht="23.95" hidden="1" customHeight="1" outlineLevel="6" x14ac:dyDescent="0.25">
      <c r="A121" s="81" t="s">
        <v>687</v>
      </c>
      <c r="B121" s="80" t="s">
        <v>24</v>
      </c>
      <c r="C121" s="80" t="s">
        <v>686</v>
      </c>
      <c r="D121" s="80" t="s">
        <v>22</v>
      </c>
      <c r="E121" s="82">
        <v>0</v>
      </c>
      <c r="F121" s="82">
        <v>0</v>
      </c>
      <c r="G121" s="281"/>
    </row>
    <row r="122" spans="1:7" ht="36.700000000000003" outlineLevel="6" x14ac:dyDescent="0.25">
      <c r="A122" s="81" t="s">
        <v>540</v>
      </c>
      <c r="B122" s="80" t="s">
        <v>24</v>
      </c>
      <c r="C122" s="80" t="s">
        <v>502</v>
      </c>
      <c r="D122" s="80" t="s">
        <v>6</v>
      </c>
      <c r="E122" s="82">
        <f>E123</f>
        <v>200000</v>
      </c>
      <c r="F122" s="82">
        <f>F123</f>
        <v>0</v>
      </c>
      <c r="G122" s="281"/>
    </row>
    <row r="123" spans="1:7" ht="18" customHeight="1" outlineLevel="6" x14ac:dyDescent="0.25">
      <c r="A123" s="81" t="s">
        <v>15</v>
      </c>
      <c r="B123" s="80" t="s">
        <v>24</v>
      </c>
      <c r="C123" s="80" t="s">
        <v>502</v>
      </c>
      <c r="D123" s="80" t="s">
        <v>16</v>
      </c>
      <c r="E123" s="82">
        <f>E124</f>
        <v>200000</v>
      </c>
      <c r="F123" s="82">
        <f>F124</f>
        <v>0</v>
      </c>
      <c r="G123" s="281"/>
    </row>
    <row r="124" spans="1:7" ht="38.25" customHeight="1" outlineLevel="4" x14ac:dyDescent="0.25">
      <c r="A124" s="81" t="s">
        <v>17</v>
      </c>
      <c r="B124" s="80" t="s">
        <v>24</v>
      </c>
      <c r="C124" s="80" t="s">
        <v>502</v>
      </c>
      <c r="D124" s="80" t="s">
        <v>18</v>
      </c>
      <c r="E124" s="82">
        <f>'прил 12 (2)'!F130</f>
        <v>200000</v>
      </c>
      <c r="F124" s="82">
        <f>'прил 12 (2)'!G130</f>
        <v>0</v>
      </c>
      <c r="G124" s="281"/>
    </row>
    <row r="125" spans="1:7" ht="18.7" customHeight="1" outlineLevel="5" x14ac:dyDescent="0.25">
      <c r="A125" s="81" t="s">
        <v>532</v>
      </c>
      <c r="B125" s="80" t="s">
        <v>24</v>
      </c>
      <c r="C125" s="80" t="s">
        <v>533</v>
      </c>
      <c r="D125" s="80" t="s">
        <v>6</v>
      </c>
      <c r="E125" s="82">
        <f>E126</f>
        <v>108160</v>
      </c>
      <c r="F125" s="82">
        <f>F126</f>
        <v>112480</v>
      </c>
      <c r="G125" s="281"/>
    </row>
    <row r="126" spans="1:7" ht="18.7" customHeight="1" outlineLevel="6" x14ac:dyDescent="0.25">
      <c r="A126" s="81" t="s">
        <v>15</v>
      </c>
      <c r="B126" s="80" t="s">
        <v>24</v>
      </c>
      <c r="C126" s="80" t="s">
        <v>533</v>
      </c>
      <c r="D126" s="80" t="s">
        <v>16</v>
      </c>
      <c r="E126" s="82">
        <f>E127</f>
        <v>108160</v>
      </c>
      <c r="F126" s="82">
        <f>F127</f>
        <v>112480</v>
      </c>
      <c r="G126" s="281"/>
    </row>
    <row r="127" spans="1:7" ht="36.700000000000003" outlineLevel="5" x14ac:dyDescent="0.25">
      <c r="A127" s="81" t="s">
        <v>17</v>
      </c>
      <c r="B127" s="80" t="s">
        <v>24</v>
      </c>
      <c r="C127" s="80" t="s">
        <v>533</v>
      </c>
      <c r="D127" s="80" t="s">
        <v>18</v>
      </c>
      <c r="E127" s="82">
        <f>'прил 12 (2)'!F501</f>
        <v>108160</v>
      </c>
      <c r="F127" s="82">
        <f>'прил 12 (2)'!G501</f>
        <v>112480</v>
      </c>
      <c r="G127" s="281"/>
    </row>
    <row r="128" spans="1:7" outlineLevel="6" x14ac:dyDescent="0.25">
      <c r="A128" s="81" t="s">
        <v>277</v>
      </c>
      <c r="B128" s="80" t="s">
        <v>24</v>
      </c>
      <c r="C128" s="80" t="s">
        <v>276</v>
      </c>
      <c r="D128" s="80" t="s">
        <v>6</v>
      </c>
      <c r="E128" s="82">
        <f>E152+E129+E137+E142+E147+E134</f>
        <v>8065884</v>
      </c>
      <c r="F128" s="82">
        <f>F152+F129+F137+F142+F147+F134</f>
        <v>8277287</v>
      </c>
      <c r="G128" s="281"/>
    </row>
    <row r="129" spans="1:7" ht="58.75" customHeight="1" outlineLevel="3" x14ac:dyDescent="0.25">
      <c r="A129" s="100" t="s">
        <v>411</v>
      </c>
      <c r="B129" s="80" t="s">
        <v>24</v>
      </c>
      <c r="C129" s="80" t="s">
        <v>278</v>
      </c>
      <c r="D129" s="80" t="s">
        <v>6</v>
      </c>
      <c r="E129" s="82">
        <f>E130+E132</f>
        <v>1490622</v>
      </c>
      <c r="F129" s="82">
        <f>F130+F132</f>
        <v>1490622</v>
      </c>
      <c r="G129" s="281"/>
    </row>
    <row r="130" spans="1:7" ht="55.55" customHeight="1" outlineLevel="4" x14ac:dyDescent="0.25">
      <c r="A130" s="81" t="s">
        <v>11</v>
      </c>
      <c r="B130" s="80" t="s">
        <v>24</v>
      </c>
      <c r="C130" s="80" t="s">
        <v>278</v>
      </c>
      <c r="D130" s="80" t="s">
        <v>12</v>
      </c>
      <c r="E130" s="82">
        <f>E131</f>
        <v>1475622</v>
      </c>
      <c r="F130" s="82">
        <f>F131</f>
        <v>1475622</v>
      </c>
      <c r="G130" s="281"/>
    </row>
    <row r="131" spans="1:7" ht="18" customHeight="1" outlineLevel="5" x14ac:dyDescent="0.25">
      <c r="A131" s="81" t="s">
        <v>13</v>
      </c>
      <c r="B131" s="80" t="s">
        <v>24</v>
      </c>
      <c r="C131" s="80" t="s">
        <v>278</v>
      </c>
      <c r="D131" s="80" t="s">
        <v>14</v>
      </c>
      <c r="E131" s="82">
        <f>'прил 12 (2)'!F134</f>
        <v>1475622</v>
      </c>
      <c r="F131" s="82">
        <f>'прил 12 (2)'!G134</f>
        <v>1475622</v>
      </c>
      <c r="G131" s="281"/>
    </row>
    <row r="132" spans="1:7" ht="18" customHeight="1" outlineLevel="6" x14ac:dyDescent="0.25">
      <c r="A132" s="81" t="s">
        <v>15</v>
      </c>
      <c r="B132" s="80" t="s">
        <v>24</v>
      </c>
      <c r="C132" s="80" t="s">
        <v>278</v>
      </c>
      <c r="D132" s="80" t="s">
        <v>16</v>
      </c>
      <c r="E132" s="82">
        <f>E133</f>
        <v>15000</v>
      </c>
      <c r="F132" s="82">
        <f>F133</f>
        <v>15000</v>
      </c>
      <c r="G132" s="281"/>
    </row>
    <row r="133" spans="1:7" s="170" customFormat="1" ht="36.700000000000003" x14ac:dyDescent="0.25">
      <c r="A133" s="81" t="s">
        <v>17</v>
      </c>
      <c r="B133" s="80" t="s">
        <v>24</v>
      </c>
      <c r="C133" s="80" t="s">
        <v>278</v>
      </c>
      <c r="D133" s="80" t="s">
        <v>18</v>
      </c>
      <c r="E133" s="82">
        <f>'прил 12 (2)'!F136</f>
        <v>15000</v>
      </c>
      <c r="F133" s="82">
        <f>'прил 12 (2)'!G136</f>
        <v>15000</v>
      </c>
      <c r="G133" s="281"/>
    </row>
    <row r="134" spans="1:7" s="170" customFormat="1" ht="73.400000000000006" x14ac:dyDescent="0.25">
      <c r="A134" s="81" t="s">
        <v>722</v>
      </c>
      <c r="B134" s="80" t="s">
        <v>24</v>
      </c>
      <c r="C134" s="80" t="s">
        <v>721</v>
      </c>
      <c r="D134" s="80" t="s">
        <v>6</v>
      </c>
      <c r="E134" s="82">
        <f>E135</f>
        <v>353579</v>
      </c>
      <c r="F134" s="82">
        <f>F135</f>
        <v>353579</v>
      </c>
      <c r="G134" s="281"/>
    </row>
    <row r="135" spans="1:7" s="170" customFormat="1" ht="73.400000000000006" x14ac:dyDescent="0.25">
      <c r="A135" s="81" t="s">
        <v>11</v>
      </c>
      <c r="B135" s="80" t="s">
        <v>24</v>
      </c>
      <c r="C135" s="80" t="s">
        <v>721</v>
      </c>
      <c r="D135" s="80" t="s">
        <v>12</v>
      </c>
      <c r="E135" s="82">
        <f>E136</f>
        <v>353579</v>
      </c>
      <c r="F135" s="82">
        <f>F136</f>
        <v>353579</v>
      </c>
      <c r="G135" s="281"/>
    </row>
    <row r="136" spans="1:7" s="170" customFormat="1" ht="36.700000000000003" x14ac:dyDescent="0.25">
      <c r="A136" s="81" t="s">
        <v>13</v>
      </c>
      <c r="B136" s="80" t="s">
        <v>24</v>
      </c>
      <c r="C136" s="80" t="s">
        <v>721</v>
      </c>
      <c r="D136" s="80" t="s">
        <v>14</v>
      </c>
      <c r="E136" s="82">
        <f>'прил 12 (2)'!F139</f>
        <v>353579</v>
      </c>
      <c r="F136" s="82">
        <f>'прил 12 (2)'!G139</f>
        <v>353579</v>
      </c>
      <c r="G136" s="281"/>
    </row>
    <row r="137" spans="1:7" ht="20.25" customHeight="1" outlineLevel="1" x14ac:dyDescent="0.25">
      <c r="A137" s="100" t="s">
        <v>573</v>
      </c>
      <c r="B137" s="80" t="s">
        <v>24</v>
      </c>
      <c r="C137" s="80" t="s">
        <v>580</v>
      </c>
      <c r="D137" s="80" t="s">
        <v>6</v>
      </c>
      <c r="E137" s="82">
        <f>E138+E140</f>
        <v>2391123</v>
      </c>
      <c r="F137" s="82">
        <f>F138+F140</f>
        <v>2486767</v>
      </c>
      <c r="G137" s="281"/>
    </row>
    <row r="138" spans="1:7" ht="54.7" customHeight="1" outlineLevel="3" x14ac:dyDescent="0.25">
      <c r="A138" s="81" t="s">
        <v>11</v>
      </c>
      <c r="B138" s="80" t="s">
        <v>24</v>
      </c>
      <c r="C138" s="80" t="s">
        <v>580</v>
      </c>
      <c r="D138" s="80" t="s">
        <v>12</v>
      </c>
      <c r="E138" s="82">
        <f>E139</f>
        <v>2376123</v>
      </c>
      <c r="F138" s="82">
        <f>F139</f>
        <v>2471767</v>
      </c>
      <c r="G138" s="281"/>
    </row>
    <row r="139" spans="1:7" ht="18" customHeight="1" outlineLevel="4" x14ac:dyDescent="0.25">
      <c r="A139" s="81" t="s">
        <v>13</v>
      </c>
      <c r="B139" s="80" t="s">
        <v>24</v>
      </c>
      <c r="C139" s="80" t="s">
        <v>580</v>
      </c>
      <c r="D139" s="80" t="s">
        <v>14</v>
      </c>
      <c r="E139" s="82">
        <f>'прил 12 (2)'!F142</f>
        <v>2376123</v>
      </c>
      <c r="F139" s="82">
        <f>'прил 12 (2)'!G142</f>
        <v>2471767</v>
      </c>
      <c r="G139" s="281"/>
    </row>
    <row r="140" spans="1:7" ht="18" customHeight="1" outlineLevel="5" x14ac:dyDescent="0.25">
      <c r="A140" s="81" t="s">
        <v>15</v>
      </c>
      <c r="B140" s="80" t="s">
        <v>24</v>
      </c>
      <c r="C140" s="80" t="s">
        <v>580</v>
      </c>
      <c r="D140" s="80" t="s">
        <v>16</v>
      </c>
      <c r="E140" s="82">
        <f>E141</f>
        <v>15000</v>
      </c>
      <c r="F140" s="82">
        <f>F141</f>
        <v>15000</v>
      </c>
      <c r="G140" s="281"/>
    </row>
    <row r="141" spans="1:7" ht="36.700000000000003" outlineLevel="6" x14ac:dyDescent="0.25">
      <c r="A141" s="81" t="s">
        <v>17</v>
      </c>
      <c r="B141" s="80" t="s">
        <v>24</v>
      </c>
      <c r="C141" s="80" t="s">
        <v>580</v>
      </c>
      <c r="D141" s="80" t="s">
        <v>18</v>
      </c>
      <c r="E141" s="82">
        <f>'прил 12 (2)'!F144</f>
        <v>15000</v>
      </c>
      <c r="F141" s="82">
        <f>'прил 12 (2)'!G144</f>
        <v>15000</v>
      </c>
      <c r="G141" s="281"/>
    </row>
    <row r="142" spans="1:7" s="170" customFormat="1" ht="58.75" customHeight="1" x14ac:dyDescent="0.25">
      <c r="A142" s="100" t="s">
        <v>382</v>
      </c>
      <c r="B142" s="80" t="s">
        <v>24</v>
      </c>
      <c r="C142" s="80" t="s">
        <v>279</v>
      </c>
      <c r="D142" s="80" t="s">
        <v>6</v>
      </c>
      <c r="E142" s="82">
        <f>E143+E145</f>
        <v>992018</v>
      </c>
      <c r="F142" s="82">
        <f>F143+F145</f>
        <v>1029099</v>
      </c>
      <c r="G142" s="281"/>
    </row>
    <row r="143" spans="1:7" s="170" customFormat="1" ht="55.55" customHeight="1" x14ac:dyDescent="0.25">
      <c r="A143" s="81" t="s">
        <v>11</v>
      </c>
      <c r="B143" s="80" t="s">
        <v>24</v>
      </c>
      <c r="C143" s="80" t="s">
        <v>279</v>
      </c>
      <c r="D143" s="80" t="s">
        <v>12</v>
      </c>
      <c r="E143" s="82">
        <f>E144</f>
        <v>947018</v>
      </c>
      <c r="F143" s="82">
        <f>F144</f>
        <v>984099</v>
      </c>
      <c r="G143" s="281"/>
    </row>
    <row r="144" spans="1:7" s="170" customFormat="1" ht="18" customHeight="1" x14ac:dyDescent="0.25">
      <c r="A144" s="81" t="s">
        <v>13</v>
      </c>
      <c r="B144" s="80" t="s">
        <v>24</v>
      </c>
      <c r="C144" s="80" t="s">
        <v>279</v>
      </c>
      <c r="D144" s="80" t="s">
        <v>14</v>
      </c>
      <c r="E144" s="82">
        <f>'прил 12 (2)'!F147</f>
        <v>947018</v>
      </c>
      <c r="F144" s="82">
        <f>'прил 12 (2)'!G147</f>
        <v>984099</v>
      </c>
      <c r="G144" s="281"/>
    </row>
    <row r="145" spans="1:7" s="170" customFormat="1" ht="18" customHeight="1" x14ac:dyDescent="0.25">
      <c r="A145" s="81" t="s">
        <v>15</v>
      </c>
      <c r="B145" s="80" t="s">
        <v>24</v>
      </c>
      <c r="C145" s="80" t="s">
        <v>279</v>
      </c>
      <c r="D145" s="80" t="s">
        <v>16</v>
      </c>
      <c r="E145" s="82">
        <f>E146</f>
        <v>45000</v>
      </c>
      <c r="F145" s="82">
        <f>F146</f>
        <v>45000</v>
      </c>
      <c r="G145" s="281"/>
    </row>
    <row r="146" spans="1:7" s="170" customFormat="1" ht="36.700000000000003" x14ac:dyDescent="0.25">
      <c r="A146" s="81" t="s">
        <v>17</v>
      </c>
      <c r="B146" s="80" t="s">
        <v>24</v>
      </c>
      <c r="C146" s="80" t="s">
        <v>279</v>
      </c>
      <c r="D146" s="80" t="s">
        <v>18</v>
      </c>
      <c r="E146" s="82">
        <f>'прил 12 (2)'!F149</f>
        <v>45000</v>
      </c>
      <c r="F146" s="82">
        <f>'прил 12 (2)'!G149</f>
        <v>45000</v>
      </c>
      <c r="G146" s="281"/>
    </row>
    <row r="147" spans="1:7" s="170" customFormat="1" ht="36.700000000000003" x14ac:dyDescent="0.25">
      <c r="A147" s="81" t="s">
        <v>406</v>
      </c>
      <c r="B147" s="80" t="s">
        <v>24</v>
      </c>
      <c r="C147" s="80" t="s">
        <v>407</v>
      </c>
      <c r="D147" s="80" t="s">
        <v>6</v>
      </c>
      <c r="E147" s="82">
        <f>E148+E150</f>
        <v>2124542</v>
      </c>
      <c r="F147" s="82">
        <f>F148+F150</f>
        <v>2203220</v>
      </c>
      <c r="G147" s="281"/>
    </row>
    <row r="148" spans="1:7" s="170" customFormat="1" ht="59.95" customHeight="1" x14ac:dyDescent="0.25">
      <c r="A148" s="81" t="s">
        <v>11</v>
      </c>
      <c r="B148" s="80" t="s">
        <v>24</v>
      </c>
      <c r="C148" s="80" t="s">
        <v>407</v>
      </c>
      <c r="D148" s="80" t="s">
        <v>12</v>
      </c>
      <c r="E148" s="82">
        <f>E149</f>
        <v>1966942</v>
      </c>
      <c r="F148" s="82">
        <f>F149</f>
        <v>2045620</v>
      </c>
      <c r="G148" s="281"/>
    </row>
    <row r="149" spans="1:7" s="170" customFormat="1" ht="20.25" customHeight="1" x14ac:dyDescent="0.25">
      <c r="A149" s="81" t="s">
        <v>13</v>
      </c>
      <c r="B149" s="80" t="s">
        <v>24</v>
      </c>
      <c r="C149" s="80" t="s">
        <v>407</v>
      </c>
      <c r="D149" s="80" t="s">
        <v>14</v>
      </c>
      <c r="E149" s="82">
        <f>'прил 12 (2)'!F152</f>
        <v>1966942</v>
      </c>
      <c r="F149" s="82">
        <f>'прил 12 (2)'!G152</f>
        <v>2045620</v>
      </c>
      <c r="G149" s="281"/>
    </row>
    <row r="150" spans="1:7" s="170" customFormat="1" ht="20.25" customHeight="1" x14ac:dyDescent="0.25">
      <c r="A150" s="81" t="s">
        <v>15</v>
      </c>
      <c r="B150" s="80" t="s">
        <v>24</v>
      </c>
      <c r="C150" s="80" t="s">
        <v>407</v>
      </c>
      <c r="D150" s="80" t="s">
        <v>16</v>
      </c>
      <c r="E150" s="82">
        <f>E151</f>
        <v>157600</v>
      </c>
      <c r="F150" s="82">
        <f>F151</f>
        <v>157600</v>
      </c>
      <c r="G150" s="281"/>
    </row>
    <row r="151" spans="1:7" s="170" customFormat="1" ht="36.700000000000003" x14ac:dyDescent="0.25">
      <c r="A151" s="81" t="s">
        <v>17</v>
      </c>
      <c r="B151" s="80" t="s">
        <v>24</v>
      </c>
      <c r="C151" s="80" t="s">
        <v>407</v>
      </c>
      <c r="D151" s="80" t="s">
        <v>18</v>
      </c>
      <c r="E151" s="82">
        <f>'прил 12 (2)'!F154</f>
        <v>157600</v>
      </c>
      <c r="F151" s="82">
        <f>'прил 12 (2)'!G154</f>
        <v>157600</v>
      </c>
      <c r="G151" s="281"/>
    </row>
    <row r="152" spans="1:7" s="170" customFormat="1" ht="74.25" customHeight="1" x14ac:dyDescent="0.25">
      <c r="A152" s="100" t="s">
        <v>660</v>
      </c>
      <c r="B152" s="80" t="s">
        <v>24</v>
      </c>
      <c r="C152" s="80" t="s">
        <v>295</v>
      </c>
      <c r="D152" s="80" t="s">
        <v>6</v>
      </c>
      <c r="E152" s="82">
        <f>E153+E155</f>
        <v>714000</v>
      </c>
      <c r="F152" s="82">
        <f>F153+F155</f>
        <v>714000</v>
      </c>
      <c r="G152" s="281"/>
    </row>
    <row r="153" spans="1:7" ht="55.55" customHeight="1" outlineLevel="1" x14ac:dyDescent="0.25">
      <c r="A153" s="81" t="s">
        <v>11</v>
      </c>
      <c r="B153" s="80" t="s">
        <v>24</v>
      </c>
      <c r="C153" s="80" t="s">
        <v>295</v>
      </c>
      <c r="D153" s="80" t="s">
        <v>12</v>
      </c>
      <c r="E153" s="82">
        <f>E154</f>
        <v>654000</v>
      </c>
      <c r="F153" s="82">
        <f>F154</f>
        <v>654000</v>
      </c>
      <c r="G153" s="281"/>
    </row>
    <row r="154" spans="1:7" ht="18" customHeight="1" outlineLevel="3" x14ac:dyDescent="0.25">
      <c r="A154" s="81" t="s">
        <v>13</v>
      </c>
      <c r="B154" s="80" t="s">
        <v>24</v>
      </c>
      <c r="C154" s="80" t="s">
        <v>295</v>
      </c>
      <c r="D154" s="80" t="s">
        <v>14</v>
      </c>
      <c r="E154" s="82">
        <f>'прил 12 (2)'!F157</f>
        <v>654000</v>
      </c>
      <c r="F154" s="82">
        <f>'прил 12 (2)'!G157</f>
        <v>654000</v>
      </c>
      <c r="G154" s="281"/>
    </row>
    <row r="155" spans="1:7" ht="36.700000000000003" outlineLevel="3" x14ac:dyDescent="0.25">
      <c r="A155" s="81" t="s">
        <v>15</v>
      </c>
      <c r="B155" s="80" t="s">
        <v>24</v>
      </c>
      <c r="C155" s="80" t="s">
        <v>295</v>
      </c>
      <c r="D155" s="80" t="s">
        <v>16</v>
      </c>
      <c r="E155" s="82">
        <f>E156</f>
        <v>60000</v>
      </c>
      <c r="F155" s="82">
        <f>F156</f>
        <v>60000</v>
      </c>
      <c r="G155" s="281"/>
    </row>
    <row r="156" spans="1:7" ht="36.700000000000003" outlineLevel="3" x14ac:dyDescent="0.25">
      <c r="A156" s="81" t="s">
        <v>17</v>
      </c>
      <c r="B156" s="80" t="s">
        <v>24</v>
      </c>
      <c r="C156" s="80" t="s">
        <v>295</v>
      </c>
      <c r="D156" s="80" t="s">
        <v>18</v>
      </c>
      <c r="E156" s="82">
        <f>'прил 12 (2)'!F159</f>
        <v>60000</v>
      </c>
      <c r="F156" s="82">
        <f>'прил 12 (2)'!G159</f>
        <v>60000</v>
      </c>
      <c r="G156" s="281"/>
    </row>
    <row r="157" spans="1:7" ht="18.7" customHeight="1" outlineLevel="3" x14ac:dyDescent="0.25">
      <c r="A157" s="109" t="s">
        <v>581</v>
      </c>
      <c r="B157" s="110" t="s">
        <v>26</v>
      </c>
      <c r="C157" s="110" t="s">
        <v>126</v>
      </c>
      <c r="D157" s="110" t="s">
        <v>6</v>
      </c>
      <c r="E157" s="85">
        <f t="shared" ref="E157:F162" si="4">E158</f>
        <v>2021840</v>
      </c>
      <c r="F157" s="85">
        <f t="shared" si="4"/>
        <v>2083920</v>
      </c>
      <c r="G157" s="282"/>
    </row>
    <row r="158" spans="1:7" ht="21.25" customHeight="1" outlineLevel="3" x14ac:dyDescent="0.25">
      <c r="A158" s="81" t="s">
        <v>582</v>
      </c>
      <c r="B158" s="80" t="s">
        <v>583</v>
      </c>
      <c r="C158" s="80" t="s">
        <v>126</v>
      </c>
      <c r="D158" s="80" t="s">
        <v>6</v>
      </c>
      <c r="E158" s="82">
        <f t="shared" si="4"/>
        <v>2021840</v>
      </c>
      <c r="F158" s="82">
        <f t="shared" si="4"/>
        <v>2083920</v>
      </c>
      <c r="G158" s="281"/>
    </row>
    <row r="159" spans="1:7" outlineLevel="3" x14ac:dyDescent="0.25">
      <c r="A159" s="81" t="s">
        <v>198</v>
      </c>
      <c r="B159" s="80" t="s">
        <v>583</v>
      </c>
      <c r="C159" s="80" t="s">
        <v>127</v>
      </c>
      <c r="D159" s="80" t="s">
        <v>6</v>
      </c>
      <c r="E159" s="82">
        <f t="shared" si="4"/>
        <v>2021840</v>
      </c>
      <c r="F159" s="82">
        <f t="shared" si="4"/>
        <v>2083920</v>
      </c>
      <c r="G159" s="281"/>
    </row>
    <row r="160" spans="1:7" outlineLevel="3" x14ac:dyDescent="0.25">
      <c r="A160" s="81" t="s">
        <v>277</v>
      </c>
      <c r="B160" s="80" t="s">
        <v>583</v>
      </c>
      <c r="C160" s="80" t="s">
        <v>276</v>
      </c>
      <c r="D160" s="80" t="s">
        <v>6</v>
      </c>
      <c r="E160" s="82">
        <f>E161+E164</f>
        <v>2021840</v>
      </c>
      <c r="F160" s="82">
        <f>F161+F164</f>
        <v>2083920</v>
      </c>
      <c r="G160" s="281"/>
    </row>
    <row r="161" spans="1:8" ht="36.700000000000003" outlineLevel="3" x14ac:dyDescent="0.25">
      <c r="A161" s="113" t="s">
        <v>584</v>
      </c>
      <c r="B161" s="80" t="s">
        <v>583</v>
      </c>
      <c r="C161" s="80" t="s">
        <v>585</v>
      </c>
      <c r="D161" s="80" t="s">
        <v>6</v>
      </c>
      <c r="E161" s="82">
        <f t="shared" si="4"/>
        <v>1741840</v>
      </c>
      <c r="F161" s="82">
        <f t="shared" si="4"/>
        <v>1803920</v>
      </c>
      <c r="G161" s="281"/>
    </row>
    <row r="162" spans="1:8" ht="73.400000000000006" outlineLevel="3" x14ac:dyDescent="0.25">
      <c r="A162" s="81" t="s">
        <v>11</v>
      </c>
      <c r="B162" s="80" t="s">
        <v>583</v>
      </c>
      <c r="C162" s="80" t="s">
        <v>585</v>
      </c>
      <c r="D162" s="80" t="s">
        <v>12</v>
      </c>
      <c r="E162" s="82">
        <f t="shared" si="4"/>
        <v>1741840</v>
      </c>
      <c r="F162" s="82">
        <f t="shared" si="4"/>
        <v>1803920</v>
      </c>
      <c r="G162" s="281"/>
    </row>
    <row r="163" spans="1:8" ht="36.700000000000003" outlineLevel="3" x14ac:dyDescent="0.25">
      <c r="A163" s="81" t="s">
        <v>13</v>
      </c>
      <c r="B163" s="80" t="s">
        <v>583</v>
      </c>
      <c r="C163" s="80" t="s">
        <v>585</v>
      </c>
      <c r="D163" s="80" t="s">
        <v>14</v>
      </c>
      <c r="E163" s="82">
        <f>'прил 12 (2)'!F166</f>
        <v>1741840</v>
      </c>
      <c r="F163" s="82">
        <f>'прил 12 (2)'!G166</f>
        <v>1803920</v>
      </c>
      <c r="G163" s="281"/>
    </row>
    <row r="164" spans="1:8" ht="36.700000000000003" outlineLevel="3" x14ac:dyDescent="0.25">
      <c r="A164" s="113" t="s">
        <v>723</v>
      </c>
      <c r="B164" s="80" t="s">
        <v>583</v>
      </c>
      <c r="C164" s="80" t="s">
        <v>728</v>
      </c>
      <c r="D164" s="80" t="s">
        <v>6</v>
      </c>
      <c r="E164" s="82">
        <f>E165</f>
        <v>280000</v>
      </c>
      <c r="F164" s="82">
        <f>F165</f>
        <v>280000</v>
      </c>
      <c r="G164" s="281"/>
    </row>
    <row r="165" spans="1:8" ht="73.400000000000006" outlineLevel="3" x14ac:dyDescent="0.25">
      <c r="A165" s="81" t="s">
        <v>11</v>
      </c>
      <c r="B165" s="80" t="s">
        <v>583</v>
      </c>
      <c r="C165" s="80" t="s">
        <v>728</v>
      </c>
      <c r="D165" s="80" t="s">
        <v>12</v>
      </c>
      <c r="E165" s="82">
        <f>E166</f>
        <v>280000</v>
      </c>
      <c r="F165" s="82">
        <f>F166</f>
        <v>280000</v>
      </c>
      <c r="G165" s="281"/>
    </row>
    <row r="166" spans="1:8" ht="36.700000000000003" outlineLevel="3" x14ac:dyDescent="0.25">
      <c r="A166" s="81" t="s">
        <v>13</v>
      </c>
      <c r="B166" s="80" t="s">
        <v>583</v>
      </c>
      <c r="C166" s="80" t="s">
        <v>728</v>
      </c>
      <c r="D166" s="80" t="s">
        <v>14</v>
      </c>
      <c r="E166" s="82">
        <f>'прил 12 (2)'!F169</f>
        <v>280000</v>
      </c>
      <c r="F166" s="82">
        <f>'прил 12 (2)'!G169</f>
        <v>280000</v>
      </c>
      <c r="G166" s="281"/>
    </row>
    <row r="167" spans="1:8" ht="37.549999999999997" customHeight="1" outlineLevel="1" x14ac:dyDescent="0.25">
      <c r="A167" s="109" t="s">
        <v>41</v>
      </c>
      <c r="B167" s="110" t="s">
        <v>42</v>
      </c>
      <c r="C167" s="110" t="s">
        <v>126</v>
      </c>
      <c r="D167" s="110" t="s">
        <v>6</v>
      </c>
      <c r="E167" s="85">
        <f>E168+E173</f>
        <v>805000</v>
      </c>
      <c r="F167" s="85">
        <f>F168+F173</f>
        <v>505000</v>
      </c>
      <c r="G167" s="283">
        <f>потребность!G690</f>
        <v>440000</v>
      </c>
      <c r="H167" s="283">
        <f>потребность!H690</f>
        <v>1805000</v>
      </c>
    </row>
    <row r="168" spans="1:8" ht="39.25" customHeight="1" outlineLevel="1" x14ac:dyDescent="0.25">
      <c r="A168" s="81" t="s">
        <v>43</v>
      </c>
      <c r="B168" s="80" t="s">
        <v>44</v>
      </c>
      <c r="C168" s="80" t="s">
        <v>126</v>
      </c>
      <c r="D168" s="80" t="s">
        <v>6</v>
      </c>
      <c r="E168" s="82">
        <f t="shared" ref="E168:F171" si="5">E169</f>
        <v>200000</v>
      </c>
      <c r="F168" s="82">
        <f t="shared" si="5"/>
        <v>100000</v>
      </c>
      <c r="G168" s="281"/>
    </row>
    <row r="169" spans="1:8" outlineLevel="1" x14ac:dyDescent="0.25">
      <c r="A169" s="81" t="s">
        <v>198</v>
      </c>
      <c r="B169" s="80" t="s">
        <v>44</v>
      </c>
      <c r="C169" s="80" t="s">
        <v>127</v>
      </c>
      <c r="D169" s="80" t="s">
        <v>6</v>
      </c>
      <c r="E169" s="82">
        <f t="shared" si="5"/>
        <v>200000</v>
      </c>
      <c r="F169" s="82">
        <f t="shared" si="5"/>
        <v>100000</v>
      </c>
      <c r="G169" s="281"/>
    </row>
    <row r="170" spans="1:8" ht="36.700000000000003" outlineLevel="1" x14ac:dyDescent="0.25">
      <c r="A170" s="81" t="s">
        <v>45</v>
      </c>
      <c r="B170" s="80" t="s">
        <v>44</v>
      </c>
      <c r="C170" s="80" t="s">
        <v>133</v>
      </c>
      <c r="D170" s="80" t="s">
        <v>6</v>
      </c>
      <c r="E170" s="82">
        <f t="shared" si="5"/>
        <v>200000</v>
      </c>
      <c r="F170" s="82">
        <f t="shared" si="5"/>
        <v>100000</v>
      </c>
      <c r="G170" s="281"/>
    </row>
    <row r="171" spans="1:8" ht="18" customHeight="1" outlineLevel="4" x14ac:dyDescent="0.25">
      <c r="A171" s="81" t="s">
        <v>15</v>
      </c>
      <c r="B171" s="80" t="s">
        <v>44</v>
      </c>
      <c r="C171" s="80" t="s">
        <v>133</v>
      </c>
      <c r="D171" s="80" t="s">
        <v>16</v>
      </c>
      <c r="E171" s="82">
        <f t="shared" si="5"/>
        <v>200000</v>
      </c>
      <c r="F171" s="82">
        <f t="shared" si="5"/>
        <v>100000</v>
      </c>
      <c r="G171" s="281"/>
    </row>
    <row r="172" spans="1:8" ht="36.700000000000003" outlineLevel="5" x14ac:dyDescent="0.25">
      <c r="A172" s="81" t="s">
        <v>17</v>
      </c>
      <c r="B172" s="80" t="s">
        <v>44</v>
      </c>
      <c r="C172" s="80" t="s">
        <v>133</v>
      </c>
      <c r="D172" s="80" t="s">
        <v>18</v>
      </c>
      <c r="E172" s="82">
        <f>'прил 12 (2)'!F175</f>
        <v>200000</v>
      </c>
      <c r="F172" s="82">
        <f>'прил 12 (2)'!G175</f>
        <v>100000</v>
      </c>
      <c r="G172" s="281"/>
    </row>
    <row r="173" spans="1:8" outlineLevel="5" x14ac:dyDescent="0.25">
      <c r="A173" s="81" t="s">
        <v>504</v>
      </c>
      <c r="B173" s="80" t="s">
        <v>505</v>
      </c>
      <c r="C173" s="80" t="s">
        <v>126</v>
      </c>
      <c r="D173" s="80" t="s">
        <v>6</v>
      </c>
      <c r="E173" s="82">
        <f t="shared" ref="E173:F176" si="6">E174</f>
        <v>605000</v>
      </c>
      <c r="F173" s="82">
        <f t="shared" si="6"/>
        <v>405000</v>
      </c>
      <c r="G173" s="281"/>
    </row>
    <row r="174" spans="1:8" ht="20.25" customHeight="1" outlineLevel="5" x14ac:dyDescent="0.25">
      <c r="A174" s="81" t="s">
        <v>132</v>
      </c>
      <c r="B174" s="80" t="s">
        <v>505</v>
      </c>
      <c r="C174" s="80" t="s">
        <v>127</v>
      </c>
      <c r="D174" s="80" t="s">
        <v>6</v>
      </c>
      <c r="E174" s="82">
        <f t="shared" si="6"/>
        <v>605000</v>
      </c>
      <c r="F174" s="82">
        <f t="shared" si="6"/>
        <v>405000</v>
      </c>
      <c r="G174" s="281"/>
    </row>
    <row r="175" spans="1:8" ht="36.700000000000003" outlineLevel="5" x14ac:dyDescent="0.25">
      <c r="A175" s="81" t="s">
        <v>506</v>
      </c>
      <c r="B175" s="80" t="s">
        <v>505</v>
      </c>
      <c r="C175" s="80" t="s">
        <v>685</v>
      </c>
      <c r="D175" s="80" t="s">
        <v>6</v>
      </c>
      <c r="E175" s="82">
        <f t="shared" si="6"/>
        <v>605000</v>
      </c>
      <c r="F175" s="82">
        <f t="shared" si="6"/>
        <v>405000</v>
      </c>
      <c r="G175" s="281"/>
    </row>
    <row r="176" spans="1:8" ht="36.700000000000003" outlineLevel="5" x14ac:dyDescent="0.25">
      <c r="A176" s="81" t="s">
        <v>15</v>
      </c>
      <c r="B176" s="80" t="s">
        <v>505</v>
      </c>
      <c r="C176" s="80" t="s">
        <v>685</v>
      </c>
      <c r="D176" s="80" t="s">
        <v>16</v>
      </c>
      <c r="E176" s="82">
        <f t="shared" si="6"/>
        <v>605000</v>
      </c>
      <c r="F176" s="82">
        <f t="shared" si="6"/>
        <v>405000</v>
      </c>
      <c r="G176" s="281"/>
    </row>
    <row r="177" spans="1:8" ht="36.700000000000003" outlineLevel="5" x14ac:dyDescent="0.25">
      <c r="A177" s="81" t="s">
        <v>17</v>
      </c>
      <c r="B177" s="80" t="s">
        <v>505</v>
      </c>
      <c r="C177" s="80" t="s">
        <v>685</v>
      </c>
      <c r="D177" s="80" t="s">
        <v>18</v>
      </c>
      <c r="E177" s="82">
        <f>'прил 12 (2)'!F180</f>
        <v>605000</v>
      </c>
      <c r="F177" s="82">
        <f>'прил 12 (2)'!G180</f>
        <v>405000</v>
      </c>
      <c r="G177" s="281"/>
    </row>
    <row r="178" spans="1:8" outlineLevel="6" x14ac:dyDescent="0.25">
      <c r="A178" s="109" t="s">
        <v>119</v>
      </c>
      <c r="B178" s="110" t="s">
        <v>46</v>
      </c>
      <c r="C178" s="110" t="s">
        <v>126</v>
      </c>
      <c r="D178" s="110" t="s">
        <v>6</v>
      </c>
      <c r="E178" s="85">
        <f>E179+E185+E196+E205</f>
        <v>15023514.17</v>
      </c>
      <c r="F178" s="85">
        <f>F179+F185+F196+F205</f>
        <v>14823514.17</v>
      </c>
      <c r="G178" s="283">
        <f>потребность!G691</f>
        <v>12961514.17</v>
      </c>
      <c r="H178" s="283">
        <f>потребность!H691</f>
        <v>16011114.17</v>
      </c>
    </row>
    <row r="179" spans="1:8" s="170" customFormat="1" x14ac:dyDescent="0.25">
      <c r="A179" s="81" t="s">
        <v>121</v>
      </c>
      <c r="B179" s="80" t="s">
        <v>122</v>
      </c>
      <c r="C179" s="80" t="s">
        <v>126</v>
      </c>
      <c r="D179" s="80" t="s">
        <v>6</v>
      </c>
      <c r="E179" s="82">
        <f t="shared" ref="E179:F183" si="7">E180</f>
        <v>324127.09000000003</v>
      </c>
      <c r="F179" s="82">
        <f t="shared" si="7"/>
        <v>324127.09000000003</v>
      </c>
      <c r="G179" s="283"/>
    </row>
    <row r="180" spans="1:8" s="170" customFormat="1" x14ac:dyDescent="0.25">
      <c r="A180" s="81" t="s">
        <v>198</v>
      </c>
      <c r="B180" s="80" t="s">
        <v>122</v>
      </c>
      <c r="C180" s="80" t="s">
        <v>127</v>
      </c>
      <c r="D180" s="80" t="s">
        <v>6</v>
      </c>
      <c r="E180" s="82">
        <f t="shared" si="7"/>
        <v>324127.09000000003</v>
      </c>
      <c r="F180" s="82">
        <f t="shared" si="7"/>
        <v>324127.09000000003</v>
      </c>
      <c r="G180" s="283"/>
    </row>
    <row r="181" spans="1:8" s="170" customFormat="1" ht="21.75" customHeight="1" x14ac:dyDescent="0.25">
      <c r="A181" s="81" t="s">
        <v>277</v>
      </c>
      <c r="B181" s="80" t="s">
        <v>122</v>
      </c>
      <c r="C181" s="80" t="s">
        <v>276</v>
      </c>
      <c r="D181" s="80" t="s">
        <v>6</v>
      </c>
      <c r="E181" s="82">
        <f t="shared" si="7"/>
        <v>324127.09000000003</v>
      </c>
      <c r="F181" s="82">
        <f t="shared" si="7"/>
        <v>324127.09000000003</v>
      </c>
      <c r="G181" s="283"/>
    </row>
    <row r="182" spans="1:8" s="170" customFormat="1" ht="75.75" customHeight="1" x14ac:dyDescent="0.25">
      <c r="A182" s="113" t="s">
        <v>383</v>
      </c>
      <c r="B182" s="80" t="s">
        <v>122</v>
      </c>
      <c r="C182" s="80" t="s">
        <v>286</v>
      </c>
      <c r="D182" s="80" t="s">
        <v>6</v>
      </c>
      <c r="E182" s="82">
        <f t="shared" si="7"/>
        <v>324127.09000000003</v>
      </c>
      <c r="F182" s="82">
        <f t="shared" si="7"/>
        <v>324127.09000000003</v>
      </c>
      <c r="G182" s="283"/>
    </row>
    <row r="183" spans="1:8" s="170" customFormat="1" ht="18.7" customHeight="1" x14ac:dyDescent="0.25">
      <c r="A183" s="81" t="s">
        <v>15</v>
      </c>
      <c r="B183" s="80" t="s">
        <v>122</v>
      </c>
      <c r="C183" s="80" t="s">
        <v>286</v>
      </c>
      <c r="D183" s="80" t="s">
        <v>16</v>
      </c>
      <c r="E183" s="82">
        <f t="shared" si="7"/>
        <v>324127.09000000003</v>
      </c>
      <c r="F183" s="82">
        <f t="shared" si="7"/>
        <v>324127.09000000003</v>
      </c>
      <c r="G183" s="283"/>
    </row>
    <row r="184" spans="1:8" s="170" customFormat="1" ht="36.700000000000003" x14ac:dyDescent="0.25">
      <c r="A184" s="81" t="s">
        <v>17</v>
      </c>
      <c r="B184" s="80" t="s">
        <v>122</v>
      </c>
      <c r="C184" s="80" t="s">
        <v>286</v>
      </c>
      <c r="D184" s="80" t="s">
        <v>18</v>
      </c>
      <c r="E184" s="82">
        <f>'прил 12 (2)'!F187</f>
        <v>324127.09000000003</v>
      </c>
      <c r="F184" s="82">
        <f>'прил 12 (2)'!G187</f>
        <v>324127.09000000003</v>
      </c>
      <c r="G184" s="283"/>
    </row>
    <row r="185" spans="1:8" s="170" customFormat="1" x14ac:dyDescent="0.25">
      <c r="A185" s="81" t="s">
        <v>290</v>
      </c>
      <c r="B185" s="80" t="s">
        <v>291</v>
      </c>
      <c r="C185" s="80" t="s">
        <v>126</v>
      </c>
      <c r="D185" s="80" t="s">
        <v>6</v>
      </c>
      <c r="E185" s="82">
        <f>E186+E191</f>
        <v>103387.08</v>
      </c>
      <c r="F185" s="82">
        <f>F186+F191</f>
        <v>103387.08</v>
      </c>
      <c r="G185" s="283"/>
    </row>
    <row r="186" spans="1:8" s="170" customFormat="1" ht="18" customHeight="1" x14ac:dyDescent="0.25">
      <c r="A186" s="81" t="s">
        <v>132</v>
      </c>
      <c r="B186" s="80" t="s">
        <v>291</v>
      </c>
      <c r="C186" s="80" t="s">
        <v>127</v>
      </c>
      <c r="D186" s="80" t="s">
        <v>6</v>
      </c>
      <c r="E186" s="82">
        <f t="shared" ref="E186:F189" si="8">E187</f>
        <v>3387.08</v>
      </c>
      <c r="F186" s="82">
        <f t="shared" si="8"/>
        <v>3387.08</v>
      </c>
      <c r="G186" s="283"/>
    </row>
    <row r="187" spans="1:8" s="170" customFormat="1" ht="21.25" customHeight="1" x14ac:dyDescent="0.25">
      <c r="A187" s="81" t="s">
        <v>277</v>
      </c>
      <c r="B187" s="80" t="s">
        <v>291</v>
      </c>
      <c r="C187" s="80" t="s">
        <v>276</v>
      </c>
      <c r="D187" s="80" t="s">
        <v>6</v>
      </c>
      <c r="E187" s="82">
        <f t="shared" si="8"/>
        <v>3387.08</v>
      </c>
      <c r="F187" s="82">
        <f t="shared" si="8"/>
        <v>3387.08</v>
      </c>
      <c r="G187" s="283"/>
    </row>
    <row r="188" spans="1:8" s="170" customFormat="1" ht="93.25" customHeight="1" x14ac:dyDescent="0.25">
      <c r="A188" s="100" t="s">
        <v>385</v>
      </c>
      <c r="B188" s="80" t="s">
        <v>291</v>
      </c>
      <c r="C188" s="80" t="s">
        <v>384</v>
      </c>
      <c r="D188" s="80" t="s">
        <v>6</v>
      </c>
      <c r="E188" s="82">
        <f t="shared" si="8"/>
        <v>3387.08</v>
      </c>
      <c r="F188" s="82">
        <f t="shared" si="8"/>
        <v>3387.08</v>
      </c>
      <c r="G188" s="283"/>
    </row>
    <row r="189" spans="1:8" s="170" customFormat="1" ht="18.7" customHeight="1" x14ac:dyDescent="0.25">
      <c r="A189" s="81" t="s">
        <v>15</v>
      </c>
      <c r="B189" s="80" t="s">
        <v>291</v>
      </c>
      <c r="C189" s="80" t="s">
        <v>384</v>
      </c>
      <c r="D189" s="80" t="s">
        <v>16</v>
      </c>
      <c r="E189" s="82">
        <f t="shared" si="8"/>
        <v>3387.08</v>
      </c>
      <c r="F189" s="82">
        <f t="shared" si="8"/>
        <v>3387.08</v>
      </c>
      <c r="G189" s="283"/>
    </row>
    <row r="190" spans="1:8" s="170" customFormat="1" ht="36.700000000000003" x14ac:dyDescent="0.25">
      <c r="A190" s="81" t="s">
        <v>17</v>
      </c>
      <c r="B190" s="80" t="s">
        <v>291</v>
      </c>
      <c r="C190" s="80" t="s">
        <v>384</v>
      </c>
      <c r="D190" s="80" t="s">
        <v>18</v>
      </c>
      <c r="E190" s="82">
        <f>'прил 12 (2)'!F193</f>
        <v>3387.08</v>
      </c>
      <c r="F190" s="82">
        <f>'прил 12 (2)'!G193</f>
        <v>3387.08</v>
      </c>
      <c r="G190" s="283"/>
    </row>
    <row r="191" spans="1:8" s="170" customFormat="1" ht="55.05" x14ac:dyDescent="0.25">
      <c r="A191" s="149" t="s">
        <v>821</v>
      </c>
      <c r="B191" s="80" t="s">
        <v>291</v>
      </c>
      <c r="C191" s="80" t="s">
        <v>320</v>
      </c>
      <c r="D191" s="83" t="s">
        <v>6</v>
      </c>
      <c r="E191" s="82">
        <f t="shared" ref="E191:F194" si="9">E192</f>
        <v>100000</v>
      </c>
      <c r="F191" s="82">
        <f t="shared" si="9"/>
        <v>100000</v>
      </c>
      <c r="G191" s="283"/>
    </row>
    <row r="192" spans="1:8" s="170" customFormat="1" ht="36.700000000000003" x14ac:dyDescent="0.25">
      <c r="A192" s="221" t="s">
        <v>808</v>
      </c>
      <c r="B192" s="80" t="s">
        <v>291</v>
      </c>
      <c r="C192" s="80" t="s">
        <v>809</v>
      </c>
      <c r="D192" s="83" t="s">
        <v>6</v>
      </c>
      <c r="E192" s="82">
        <f t="shared" si="9"/>
        <v>100000</v>
      </c>
      <c r="F192" s="82">
        <f t="shared" si="9"/>
        <v>100000</v>
      </c>
      <c r="G192" s="283"/>
    </row>
    <row r="193" spans="1:7" s="170" customFormat="1" ht="73.400000000000006" x14ac:dyDescent="0.25">
      <c r="A193" s="149" t="s">
        <v>811</v>
      </c>
      <c r="B193" s="80" t="s">
        <v>291</v>
      </c>
      <c r="C193" s="80" t="s">
        <v>810</v>
      </c>
      <c r="D193" s="83" t="s">
        <v>6</v>
      </c>
      <c r="E193" s="82">
        <f t="shared" si="9"/>
        <v>100000</v>
      </c>
      <c r="F193" s="82">
        <f t="shared" si="9"/>
        <v>100000</v>
      </c>
      <c r="G193" s="283"/>
    </row>
    <row r="194" spans="1:7" s="170" customFormat="1" ht="36.700000000000003" x14ac:dyDescent="0.25">
      <c r="A194" s="228" t="s">
        <v>772</v>
      </c>
      <c r="B194" s="80" t="s">
        <v>291</v>
      </c>
      <c r="C194" s="80" t="s">
        <v>810</v>
      </c>
      <c r="D194" s="83" t="s">
        <v>20</v>
      </c>
      <c r="E194" s="82">
        <f t="shared" si="9"/>
        <v>100000</v>
      </c>
      <c r="F194" s="82">
        <f t="shared" si="9"/>
        <v>100000</v>
      </c>
      <c r="G194" s="283"/>
    </row>
    <row r="195" spans="1:7" s="170" customFormat="1" ht="36.700000000000003" x14ac:dyDescent="0.25">
      <c r="A195" s="81" t="s">
        <v>47</v>
      </c>
      <c r="B195" s="80" t="s">
        <v>291</v>
      </c>
      <c r="C195" s="80" t="s">
        <v>810</v>
      </c>
      <c r="D195" s="83" t="s">
        <v>48</v>
      </c>
      <c r="E195" s="82">
        <f>'прил 12 (2)'!F198</f>
        <v>100000</v>
      </c>
      <c r="F195" s="82">
        <f>'прил 12 (2)'!G198</f>
        <v>100000</v>
      </c>
      <c r="G195" s="283"/>
    </row>
    <row r="196" spans="1:7" s="170" customFormat="1" x14ac:dyDescent="0.25">
      <c r="A196" s="81" t="s">
        <v>49</v>
      </c>
      <c r="B196" s="80" t="s">
        <v>50</v>
      </c>
      <c r="C196" s="80" t="s">
        <v>126</v>
      </c>
      <c r="D196" s="80" t="s">
        <v>6</v>
      </c>
      <c r="E196" s="82">
        <f>E197</f>
        <v>14066000</v>
      </c>
      <c r="F196" s="82">
        <f>F197</f>
        <v>14066000</v>
      </c>
      <c r="G196" s="281"/>
    </row>
    <row r="197" spans="1:7" s="170" customFormat="1" ht="57.75" customHeight="1" x14ac:dyDescent="0.25">
      <c r="A197" s="109" t="s">
        <v>850</v>
      </c>
      <c r="B197" s="110" t="s">
        <v>50</v>
      </c>
      <c r="C197" s="110" t="s">
        <v>335</v>
      </c>
      <c r="D197" s="110" t="s">
        <v>6</v>
      </c>
      <c r="E197" s="82">
        <f>E198</f>
        <v>14066000</v>
      </c>
      <c r="F197" s="82">
        <f>F198</f>
        <v>14066000</v>
      </c>
      <c r="G197" s="281"/>
    </row>
    <row r="198" spans="1:7" s="170" customFormat="1" ht="36.700000000000003" x14ac:dyDescent="0.25">
      <c r="A198" s="81" t="s">
        <v>336</v>
      </c>
      <c r="B198" s="80" t="s">
        <v>50</v>
      </c>
      <c r="C198" s="80" t="s">
        <v>337</v>
      </c>
      <c r="D198" s="80" t="s">
        <v>6</v>
      </c>
      <c r="E198" s="82">
        <f>E199+E202</f>
        <v>14066000</v>
      </c>
      <c r="F198" s="82">
        <f>F199+F202</f>
        <v>14066000</v>
      </c>
      <c r="G198" s="281"/>
    </row>
    <row r="199" spans="1:7" s="170" customFormat="1" ht="55.05" x14ac:dyDescent="0.25">
      <c r="A199" s="119" t="s">
        <v>338</v>
      </c>
      <c r="B199" s="80" t="s">
        <v>50</v>
      </c>
      <c r="C199" s="80" t="s">
        <v>339</v>
      </c>
      <c r="D199" s="80" t="s">
        <v>6</v>
      </c>
      <c r="E199" s="82">
        <f>E200</f>
        <v>14066000</v>
      </c>
      <c r="F199" s="82">
        <f>F200</f>
        <v>14066000</v>
      </c>
      <c r="G199" s="281"/>
    </row>
    <row r="200" spans="1:7" s="170" customFormat="1" ht="18" customHeight="1" x14ac:dyDescent="0.25">
      <c r="A200" s="81" t="s">
        <v>15</v>
      </c>
      <c r="B200" s="80" t="s">
        <v>50</v>
      </c>
      <c r="C200" s="80" t="s">
        <v>339</v>
      </c>
      <c r="D200" s="80" t="s">
        <v>16</v>
      </c>
      <c r="E200" s="82">
        <f>E201</f>
        <v>14066000</v>
      </c>
      <c r="F200" s="82">
        <f>F201</f>
        <v>14066000</v>
      </c>
      <c r="G200" s="281"/>
    </row>
    <row r="201" spans="1:7" s="170" customFormat="1" ht="36.700000000000003" x14ac:dyDescent="0.25">
      <c r="A201" s="81" t="s">
        <v>17</v>
      </c>
      <c r="B201" s="80" t="s">
        <v>50</v>
      </c>
      <c r="C201" s="80" t="s">
        <v>339</v>
      </c>
      <c r="D201" s="80" t="s">
        <v>18</v>
      </c>
      <c r="E201" s="82">
        <f>'прил 12 (2)'!F204</f>
        <v>14066000</v>
      </c>
      <c r="F201" s="82">
        <f>'прил 12 (2)'!G204</f>
        <v>14066000</v>
      </c>
      <c r="G201" s="281"/>
    </row>
    <row r="202" spans="1:7" s="170" customFormat="1" ht="39.25" hidden="1" customHeight="1" x14ac:dyDescent="0.25">
      <c r="A202" s="81" t="s">
        <v>280</v>
      </c>
      <c r="B202" s="80" t="s">
        <v>50</v>
      </c>
      <c r="C202" s="80" t="s">
        <v>409</v>
      </c>
      <c r="D202" s="80" t="s">
        <v>6</v>
      </c>
      <c r="E202" s="82">
        <f>E203</f>
        <v>0</v>
      </c>
      <c r="F202" s="82">
        <f>F203</f>
        <v>0</v>
      </c>
      <c r="G202" s="281"/>
    </row>
    <row r="203" spans="1:7" s="170" customFormat="1" ht="18" hidden="1" customHeight="1" x14ac:dyDescent="0.25">
      <c r="A203" s="81" t="s">
        <v>15</v>
      </c>
      <c r="B203" s="80" t="s">
        <v>50</v>
      </c>
      <c r="C203" s="80" t="s">
        <v>409</v>
      </c>
      <c r="D203" s="80" t="s">
        <v>16</v>
      </c>
      <c r="E203" s="82">
        <f>E204</f>
        <v>0</v>
      </c>
      <c r="F203" s="82">
        <f>F204</f>
        <v>0</v>
      </c>
      <c r="G203" s="281"/>
    </row>
    <row r="204" spans="1:7" s="170" customFormat="1" ht="39.25" hidden="1" customHeight="1" x14ac:dyDescent="0.25">
      <c r="A204" s="81" t="s">
        <v>17</v>
      </c>
      <c r="B204" s="80" t="s">
        <v>50</v>
      </c>
      <c r="C204" s="80" t="s">
        <v>409</v>
      </c>
      <c r="D204" s="80" t="s">
        <v>18</v>
      </c>
      <c r="E204" s="290"/>
      <c r="F204" s="290"/>
      <c r="G204" s="281"/>
    </row>
    <row r="205" spans="1:7" s="170" customFormat="1" x14ac:dyDescent="0.25">
      <c r="A205" s="81" t="s">
        <v>52</v>
      </c>
      <c r="B205" s="80" t="s">
        <v>53</v>
      </c>
      <c r="C205" s="80" t="s">
        <v>126</v>
      </c>
      <c r="D205" s="80" t="s">
        <v>6</v>
      </c>
      <c r="E205" s="82">
        <f>E211+E206</f>
        <v>530000</v>
      </c>
      <c r="F205" s="82">
        <f>F211+F206</f>
        <v>330000</v>
      </c>
      <c r="G205" s="281"/>
    </row>
    <row r="206" spans="1:7" s="170" customFormat="1" ht="55.05" x14ac:dyDescent="0.25">
      <c r="A206" s="109" t="s">
        <v>849</v>
      </c>
      <c r="B206" s="110" t="s">
        <v>53</v>
      </c>
      <c r="C206" s="110" t="s">
        <v>412</v>
      </c>
      <c r="D206" s="110" t="s">
        <v>6</v>
      </c>
      <c r="E206" s="82">
        <f t="shared" ref="E206:F209" si="10">E207</f>
        <v>100000</v>
      </c>
      <c r="F206" s="82">
        <f t="shared" si="10"/>
        <v>100000</v>
      </c>
      <c r="G206" s="281"/>
    </row>
    <row r="207" spans="1:7" s="170" customFormat="1" ht="36.700000000000003" x14ac:dyDescent="0.25">
      <c r="A207" s="81" t="s">
        <v>780</v>
      </c>
      <c r="B207" s="80" t="s">
        <v>53</v>
      </c>
      <c r="C207" s="80" t="s">
        <v>414</v>
      </c>
      <c r="D207" s="80" t="s">
        <v>6</v>
      </c>
      <c r="E207" s="82">
        <f t="shared" si="10"/>
        <v>100000</v>
      </c>
      <c r="F207" s="82">
        <f t="shared" si="10"/>
        <v>100000</v>
      </c>
      <c r="G207" s="281"/>
    </row>
    <row r="208" spans="1:7" s="170" customFormat="1" ht="73.400000000000006" x14ac:dyDescent="0.25">
      <c r="A208" s="81" t="s">
        <v>781</v>
      </c>
      <c r="B208" s="80" t="s">
        <v>53</v>
      </c>
      <c r="C208" s="80" t="s">
        <v>782</v>
      </c>
      <c r="D208" s="80" t="s">
        <v>6</v>
      </c>
      <c r="E208" s="82">
        <f t="shared" si="10"/>
        <v>100000</v>
      </c>
      <c r="F208" s="82">
        <f t="shared" si="10"/>
        <v>100000</v>
      </c>
      <c r="G208" s="281"/>
    </row>
    <row r="209" spans="1:8" s="170" customFormat="1" x14ac:dyDescent="0.25">
      <c r="A209" s="81" t="s">
        <v>19</v>
      </c>
      <c r="B209" s="80" t="s">
        <v>53</v>
      </c>
      <c r="C209" s="80" t="s">
        <v>782</v>
      </c>
      <c r="D209" s="80" t="s">
        <v>20</v>
      </c>
      <c r="E209" s="82">
        <f t="shared" si="10"/>
        <v>100000</v>
      </c>
      <c r="F209" s="82">
        <f t="shared" si="10"/>
        <v>100000</v>
      </c>
      <c r="G209" s="281"/>
    </row>
    <row r="210" spans="1:8" s="170" customFormat="1" ht="36.700000000000003" x14ac:dyDescent="0.25">
      <c r="A210" s="81" t="s">
        <v>47</v>
      </c>
      <c r="B210" s="80" t="s">
        <v>53</v>
      </c>
      <c r="C210" s="80" t="s">
        <v>782</v>
      </c>
      <c r="D210" s="80" t="s">
        <v>48</v>
      </c>
      <c r="E210" s="82">
        <f>'прил 12 (2)'!F216</f>
        <v>100000</v>
      </c>
      <c r="F210" s="82">
        <f>'прил 12 (2)'!G216</f>
        <v>100000</v>
      </c>
      <c r="G210" s="281"/>
    </row>
    <row r="211" spans="1:8" s="170" customFormat="1" ht="59.3" customHeight="1" x14ac:dyDescent="0.25">
      <c r="A211" s="109" t="s">
        <v>848</v>
      </c>
      <c r="B211" s="110" t="s">
        <v>53</v>
      </c>
      <c r="C211" s="110" t="s">
        <v>340</v>
      </c>
      <c r="D211" s="110" t="s">
        <v>6</v>
      </c>
      <c r="E211" s="82">
        <f>E212+E216</f>
        <v>430000</v>
      </c>
      <c r="F211" s="82">
        <f>F212+F216</f>
        <v>230000</v>
      </c>
      <c r="G211" s="281"/>
    </row>
    <row r="212" spans="1:8" s="170" customFormat="1" ht="34" customHeight="1" x14ac:dyDescent="0.25">
      <c r="A212" s="81" t="s">
        <v>386</v>
      </c>
      <c r="B212" s="80" t="s">
        <v>53</v>
      </c>
      <c r="C212" s="80" t="s">
        <v>341</v>
      </c>
      <c r="D212" s="80" t="s">
        <v>6</v>
      </c>
      <c r="E212" s="82">
        <f t="shared" ref="E212:F214" si="11">E213</f>
        <v>300000</v>
      </c>
      <c r="F212" s="82">
        <f t="shared" si="11"/>
        <v>100000</v>
      </c>
      <c r="G212" s="281"/>
    </row>
    <row r="213" spans="1:8" s="170" customFormat="1" x14ac:dyDescent="0.25">
      <c r="A213" s="81" t="s">
        <v>342</v>
      </c>
      <c r="B213" s="80" t="s">
        <v>53</v>
      </c>
      <c r="C213" s="80" t="s">
        <v>343</v>
      </c>
      <c r="D213" s="80" t="s">
        <v>6</v>
      </c>
      <c r="E213" s="82">
        <f t="shared" si="11"/>
        <v>300000</v>
      </c>
      <c r="F213" s="82">
        <f t="shared" si="11"/>
        <v>100000</v>
      </c>
      <c r="G213" s="281"/>
    </row>
    <row r="214" spans="1:8" s="170" customFormat="1" ht="18" customHeight="1" x14ac:dyDescent="0.25">
      <c r="A214" s="81" t="s">
        <v>15</v>
      </c>
      <c r="B214" s="80" t="s">
        <v>53</v>
      </c>
      <c r="C214" s="80" t="s">
        <v>343</v>
      </c>
      <c r="D214" s="80" t="s">
        <v>16</v>
      </c>
      <c r="E214" s="82">
        <f t="shared" si="11"/>
        <v>300000</v>
      </c>
      <c r="F214" s="82">
        <f t="shared" si="11"/>
        <v>100000</v>
      </c>
      <c r="G214" s="281"/>
    </row>
    <row r="215" spans="1:8" s="170" customFormat="1" ht="36.700000000000003" x14ac:dyDescent="0.25">
      <c r="A215" s="81" t="s">
        <v>17</v>
      </c>
      <c r="B215" s="80" t="s">
        <v>53</v>
      </c>
      <c r="C215" s="80" t="s">
        <v>343</v>
      </c>
      <c r="D215" s="80" t="s">
        <v>18</v>
      </c>
      <c r="E215" s="82">
        <f>'прил 12 (2)'!F221</f>
        <v>300000</v>
      </c>
      <c r="F215" s="82">
        <f>'прил 12 (2)'!G221</f>
        <v>100000</v>
      </c>
      <c r="G215" s="281"/>
    </row>
    <row r="216" spans="1:8" s="170" customFormat="1" ht="36.700000000000003" x14ac:dyDescent="0.25">
      <c r="A216" s="113" t="s">
        <v>388</v>
      </c>
      <c r="B216" s="80" t="s">
        <v>53</v>
      </c>
      <c r="C216" s="80" t="s">
        <v>387</v>
      </c>
      <c r="D216" s="80" t="s">
        <v>6</v>
      </c>
      <c r="E216" s="82">
        <f t="shared" ref="E216:F218" si="12">E217</f>
        <v>130000</v>
      </c>
      <c r="F216" s="82">
        <f t="shared" si="12"/>
        <v>130000</v>
      </c>
      <c r="G216" s="281"/>
    </row>
    <row r="217" spans="1:8" s="170" customFormat="1" x14ac:dyDescent="0.25">
      <c r="A217" s="81" t="s">
        <v>344</v>
      </c>
      <c r="B217" s="80" t="s">
        <v>53</v>
      </c>
      <c r="C217" s="80" t="s">
        <v>417</v>
      </c>
      <c r="D217" s="80" t="s">
        <v>6</v>
      </c>
      <c r="E217" s="82">
        <f t="shared" si="12"/>
        <v>130000</v>
      </c>
      <c r="F217" s="82">
        <f t="shared" si="12"/>
        <v>130000</v>
      </c>
      <c r="G217" s="281"/>
    </row>
    <row r="218" spans="1:8" s="170" customFormat="1" ht="18" customHeight="1" x14ac:dyDescent="0.25">
      <c r="A218" s="81" t="s">
        <v>15</v>
      </c>
      <c r="B218" s="80" t="s">
        <v>53</v>
      </c>
      <c r="C218" s="80" t="s">
        <v>417</v>
      </c>
      <c r="D218" s="80" t="s">
        <v>16</v>
      </c>
      <c r="E218" s="82">
        <f t="shared" si="12"/>
        <v>130000</v>
      </c>
      <c r="F218" s="82">
        <f t="shared" si="12"/>
        <v>130000</v>
      </c>
      <c r="G218" s="281"/>
    </row>
    <row r="219" spans="1:8" s="170" customFormat="1" ht="36.700000000000003" x14ac:dyDescent="0.25">
      <c r="A219" s="81" t="s">
        <v>17</v>
      </c>
      <c r="B219" s="80" t="s">
        <v>53</v>
      </c>
      <c r="C219" s="80" t="s">
        <v>417</v>
      </c>
      <c r="D219" s="80" t="s">
        <v>18</v>
      </c>
      <c r="E219" s="82">
        <f>'прил 12 (2)'!F225</f>
        <v>130000</v>
      </c>
      <c r="F219" s="82">
        <f>'прил 12 (2)'!G225</f>
        <v>130000</v>
      </c>
      <c r="G219" s="281"/>
    </row>
    <row r="220" spans="1:8" outlineLevel="1" x14ac:dyDescent="0.25">
      <c r="A220" s="109" t="s">
        <v>54</v>
      </c>
      <c r="B220" s="110" t="s">
        <v>55</v>
      </c>
      <c r="C220" s="110" t="s">
        <v>126</v>
      </c>
      <c r="D220" s="110" t="s">
        <v>6</v>
      </c>
      <c r="E220" s="85">
        <f>E221+E232+E254+E291</f>
        <v>30103668.439999998</v>
      </c>
      <c r="F220" s="85">
        <f>F221+F232+F254+F291</f>
        <v>23219668.439999998</v>
      </c>
      <c r="G220" s="283">
        <f>потребность!G692</f>
        <v>30324715.140000001</v>
      </c>
      <c r="H220" s="283">
        <f>потребность!H692</f>
        <v>47118494.18</v>
      </c>
    </row>
    <row r="221" spans="1:8" ht="19.55" customHeight="1" outlineLevel="2" x14ac:dyDescent="0.25">
      <c r="A221" s="81" t="s">
        <v>56</v>
      </c>
      <c r="B221" s="80" t="s">
        <v>57</v>
      </c>
      <c r="C221" s="80" t="s">
        <v>126</v>
      </c>
      <c r="D221" s="80" t="s">
        <v>6</v>
      </c>
      <c r="E221" s="82">
        <f>E222+E227</f>
        <v>1000000</v>
      </c>
      <c r="F221" s="82">
        <f>F222+F227</f>
        <v>500000</v>
      </c>
      <c r="G221" s="283"/>
    </row>
    <row r="222" spans="1:8" ht="38.25" customHeight="1" outlineLevel="2" x14ac:dyDescent="0.25">
      <c r="A222" s="109" t="s">
        <v>847</v>
      </c>
      <c r="B222" s="110" t="s">
        <v>57</v>
      </c>
      <c r="C222" s="110" t="s">
        <v>331</v>
      </c>
      <c r="D222" s="110" t="s">
        <v>6</v>
      </c>
      <c r="E222" s="82">
        <f t="shared" ref="E222:F225" si="13">E223</f>
        <v>1000000</v>
      </c>
      <c r="F222" s="82">
        <f t="shared" si="13"/>
        <v>500000</v>
      </c>
      <c r="G222" s="283"/>
    </row>
    <row r="223" spans="1:8" ht="36.700000000000003" outlineLevel="2" x14ac:dyDescent="0.25">
      <c r="A223" s="81" t="s">
        <v>345</v>
      </c>
      <c r="B223" s="80" t="s">
        <v>57</v>
      </c>
      <c r="C223" s="80" t="s">
        <v>332</v>
      </c>
      <c r="D223" s="80" t="s">
        <v>6</v>
      </c>
      <c r="E223" s="82">
        <f t="shared" si="13"/>
        <v>1000000</v>
      </c>
      <c r="F223" s="82">
        <f t="shared" si="13"/>
        <v>500000</v>
      </c>
      <c r="G223" s="283"/>
    </row>
    <row r="224" spans="1:8" ht="18.7" customHeight="1" outlineLevel="2" x14ac:dyDescent="0.25">
      <c r="A224" s="81" t="s">
        <v>346</v>
      </c>
      <c r="B224" s="80" t="s">
        <v>57</v>
      </c>
      <c r="C224" s="80" t="s">
        <v>347</v>
      </c>
      <c r="D224" s="80" t="s">
        <v>6</v>
      </c>
      <c r="E224" s="82">
        <f t="shared" si="13"/>
        <v>1000000</v>
      </c>
      <c r="F224" s="82">
        <f t="shared" si="13"/>
        <v>500000</v>
      </c>
      <c r="G224" s="283"/>
    </row>
    <row r="225" spans="1:7" ht="18" customHeight="1" outlineLevel="2" x14ac:dyDescent="0.25">
      <c r="A225" s="81" t="s">
        <v>15</v>
      </c>
      <c r="B225" s="80" t="s">
        <v>57</v>
      </c>
      <c r="C225" s="80" t="s">
        <v>347</v>
      </c>
      <c r="D225" s="80" t="s">
        <v>16</v>
      </c>
      <c r="E225" s="82">
        <f t="shared" si="13"/>
        <v>1000000</v>
      </c>
      <c r="F225" s="82">
        <f t="shared" si="13"/>
        <v>500000</v>
      </c>
      <c r="G225" s="283"/>
    </row>
    <row r="226" spans="1:7" ht="33.799999999999997" customHeight="1" outlineLevel="4" x14ac:dyDescent="0.25">
      <c r="A226" s="81" t="s">
        <v>17</v>
      </c>
      <c r="B226" s="80" t="s">
        <v>57</v>
      </c>
      <c r="C226" s="80" t="s">
        <v>347</v>
      </c>
      <c r="D226" s="80" t="s">
        <v>18</v>
      </c>
      <c r="E226" s="82">
        <f>'прил 12 (2)'!F232</f>
        <v>1000000</v>
      </c>
      <c r="F226" s="82">
        <f>'прил 12 (2)'!G232</f>
        <v>500000</v>
      </c>
      <c r="G226" s="283"/>
    </row>
    <row r="227" spans="1:7" ht="30.75" hidden="1" customHeight="1" outlineLevel="4" x14ac:dyDescent="0.25">
      <c r="A227" s="81" t="s">
        <v>132</v>
      </c>
      <c r="B227" s="80" t="s">
        <v>57</v>
      </c>
      <c r="C227" s="80" t="s">
        <v>127</v>
      </c>
      <c r="D227" s="80" t="s">
        <v>6</v>
      </c>
      <c r="E227" s="82">
        <f t="shared" ref="E227:F230" si="14">E228</f>
        <v>0</v>
      </c>
      <c r="F227" s="82">
        <f t="shared" si="14"/>
        <v>0</v>
      </c>
      <c r="G227" s="283"/>
    </row>
    <row r="228" spans="1:7" hidden="1" outlineLevel="4" x14ac:dyDescent="0.25">
      <c r="A228" s="81" t="s">
        <v>277</v>
      </c>
      <c r="B228" s="80" t="s">
        <v>57</v>
      </c>
      <c r="C228" s="80" t="s">
        <v>276</v>
      </c>
      <c r="D228" s="80" t="s">
        <v>6</v>
      </c>
      <c r="E228" s="82">
        <f t="shared" si="14"/>
        <v>0</v>
      </c>
      <c r="F228" s="82">
        <f t="shared" si="14"/>
        <v>0</v>
      </c>
      <c r="G228" s="283"/>
    </row>
    <row r="229" spans="1:7" ht="55.05" hidden="1" outlineLevel="4" x14ac:dyDescent="0.25">
      <c r="A229" s="100" t="s">
        <v>381</v>
      </c>
      <c r="B229" s="80" t="s">
        <v>57</v>
      </c>
      <c r="C229" s="80" t="s">
        <v>507</v>
      </c>
      <c r="D229" s="80" t="s">
        <v>6</v>
      </c>
      <c r="E229" s="82">
        <f t="shared" si="14"/>
        <v>0</v>
      </c>
      <c r="F229" s="82">
        <f t="shared" si="14"/>
        <v>0</v>
      </c>
      <c r="G229" s="283"/>
    </row>
    <row r="230" spans="1:7" ht="36.700000000000003" hidden="1" outlineLevel="4" x14ac:dyDescent="0.25">
      <c r="A230" s="81" t="s">
        <v>15</v>
      </c>
      <c r="B230" s="80" t="s">
        <v>57</v>
      </c>
      <c r="C230" s="80" t="s">
        <v>507</v>
      </c>
      <c r="D230" s="80" t="s">
        <v>16</v>
      </c>
      <c r="E230" s="82">
        <f t="shared" si="14"/>
        <v>0</v>
      </c>
      <c r="F230" s="82">
        <f t="shared" si="14"/>
        <v>0</v>
      </c>
      <c r="G230" s="283"/>
    </row>
    <row r="231" spans="1:7" ht="36.700000000000003" hidden="1" outlineLevel="4" x14ac:dyDescent="0.25">
      <c r="A231" s="81" t="s">
        <v>17</v>
      </c>
      <c r="B231" s="80" t="s">
        <v>57</v>
      </c>
      <c r="C231" s="80" t="s">
        <v>507</v>
      </c>
      <c r="D231" s="80" t="s">
        <v>18</v>
      </c>
      <c r="E231" s="82">
        <v>0</v>
      </c>
      <c r="F231" s="82">
        <v>0</v>
      </c>
      <c r="G231" s="283"/>
    </row>
    <row r="232" spans="1:7" outlineLevel="5" x14ac:dyDescent="0.25">
      <c r="A232" s="81" t="s">
        <v>58</v>
      </c>
      <c r="B232" s="80" t="s">
        <v>59</v>
      </c>
      <c r="C232" s="80" t="s">
        <v>126</v>
      </c>
      <c r="D232" s="80" t="s">
        <v>6</v>
      </c>
      <c r="E232" s="82">
        <f>E233</f>
        <v>4000000</v>
      </c>
      <c r="F232" s="82">
        <f>F233</f>
        <v>100000</v>
      </c>
      <c r="G232" s="283"/>
    </row>
    <row r="233" spans="1:7" ht="39.75" customHeight="1" outlineLevel="6" x14ac:dyDescent="0.25">
      <c r="A233" s="109" t="s">
        <v>845</v>
      </c>
      <c r="B233" s="110" t="s">
        <v>59</v>
      </c>
      <c r="C233" s="110" t="s">
        <v>134</v>
      </c>
      <c r="D233" s="110" t="s">
        <v>6</v>
      </c>
      <c r="E233" s="82">
        <f>E234</f>
        <v>4000000</v>
      </c>
      <c r="F233" s="82">
        <f>F234</f>
        <v>100000</v>
      </c>
      <c r="G233" s="283"/>
    </row>
    <row r="234" spans="1:7" ht="36.700000000000003" customHeight="1" outlineLevel="4" x14ac:dyDescent="0.25">
      <c r="A234" s="81" t="s">
        <v>846</v>
      </c>
      <c r="B234" s="80" t="s">
        <v>59</v>
      </c>
      <c r="C234" s="80" t="s">
        <v>350</v>
      </c>
      <c r="D234" s="80" t="s">
        <v>6</v>
      </c>
      <c r="E234" s="82">
        <f>E235+E242+E245+E251+E248</f>
        <v>4000000</v>
      </c>
      <c r="F234" s="82">
        <f>F235+F242+F245+F251+F248</f>
        <v>100000</v>
      </c>
      <c r="G234" s="283"/>
    </row>
    <row r="235" spans="1:7" ht="76.75" customHeight="1" outlineLevel="5" x14ac:dyDescent="0.25">
      <c r="A235" s="81" t="s">
        <v>60</v>
      </c>
      <c r="B235" s="80" t="s">
        <v>59</v>
      </c>
      <c r="C235" s="80" t="s">
        <v>351</v>
      </c>
      <c r="D235" s="80" t="s">
        <v>6</v>
      </c>
      <c r="E235" s="82">
        <f>E236+E238+E240</f>
        <v>500000</v>
      </c>
      <c r="F235" s="82">
        <f>F236+F238+F240</f>
        <v>100000</v>
      </c>
      <c r="G235" s="283"/>
    </row>
    <row r="236" spans="1:7" ht="18" customHeight="1" outlineLevel="6" x14ac:dyDescent="0.25">
      <c r="A236" s="81" t="s">
        <v>15</v>
      </c>
      <c r="B236" s="80" t="s">
        <v>59</v>
      </c>
      <c r="C236" s="80" t="s">
        <v>351</v>
      </c>
      <c r="D236" s="80" t="s">
        <v>16</v>
      </c>
      <c r="E236" s="82">
        <f>E237</f>
        <v>500000</v>
      </c>
      <c r="F236" s="82">
        <f>F237</f>
        <v>100000</v>
      </c>
      <c r="G236" s="283"/>
    </row>
    <row r="237" spans="1:7" s="170" customFormat="1" ht="35.5" customHeight="1" x14ac:dyDescent="0.25">
      <c r="A237" s="81" t="s">
        <v>17</v>
      </c>
      <c r="B237" s="80" t="s">
        <v>59</v>
      </c>
      <c r="C237" s="80" t="s">
        <v>351</v>
      </c>
      <c r="D237" s="80" t="s">
        <v>18</v>
      </c>
      <c r="E237" s="82">
        <f>'прил 12 (2)'!F243</f>
        <v>500000</v>
      </c>
      <c r="F237" s="82">
        <f>'прил 12 (2)'!G243</f>
        <v>100000</v>
      </c>
      <c r="G237" s="283"/>
    </row>
    <row r="238" spans="1:7" s="170" customFormat="1" ht="36.700000000000003" hidden="1" x14ac:dyDescent="0.25">
      <c r="A238" s="81" t="s">
        <v>264</v>
      </c>
      <c r="B238" s="80" t="s">
        <v>59</v>
      </c>
      <c r="C238" s="80" t="s">
        <v>351</v>
      </c>
      <c r="D238" s="80" t="s">
        <v>265</v>
      </c>
      <c r="E238" s="82">
        <f>E239</f>
        <v>0</v>
      </c>
      <c r="F238" s="82">
        <f>F239</f>
        <v>0</v>
      </c>
      <c r="G238" s="283"/>
    </row>
    <row r="239" spans="1:7" s="170" customFormat="1" hidden="1" x14ac:dyDescent="0.25">
      <c r="A239" s="81" t="s">
        <v>266</v>
      </c>
      <c r="B239" s="80" t="s">
        <v>59</v>
      </c>
      <c r="C239" s="80" t="s">
        <v>351</v>
      </c>
      <c r="D239" s="80" t="s">
        <v>267</v>
      </c>
      <c r="E239" s="82">
        <f>'прил 12'!F242</f>
        <v>0</v>
      </c>
      <c r="F239" s="82">
        <f>'прил 12'!G242</f>
        <v>0</v>
      </c>
      <c r="G239" s="283"/>
    </row>
    <row r="240" spans="1:7" s="170" customFormat="1" hidden="1" x14ac:dyDescent="0.25">
      <c r="A240" s="81" t="s">
        <v>19</v>
      </c>
      <c r="B240" s="80" t="s">
        <v>59</v>
      </c>
      <c r="C240" s="80" t="s">
        <v>351</v>
      </c>
      <c r="D240" s="80" t="s">
        <v>20</v>
      </c>
      <c r="E240" s="82">
        <f>E241</f>
        <v>0</v>
      </c>
      <c r="F240" s="82">
        <f>F241</f>
        <v>0</v>
      </c>
      <c r="G240" s="283"/>
    </row>
    <row r="241" spans="1:7" s="170" customFormat="1" ht="36.700000000000003" hidden="1" x14ac:dyDescent="0.25">
      <c r="A241" s="81" t="s">
        <v>47</v>
      </c>
      <c r="B241" s="80" t="s">
        <v>59</v>
      </c>
      <c r="C241" s="80" t="s">
        <v>351</v>
      </c>
      <c r="D241" s="80" t="s">
        <v>48</v>
      </c>
      <c r="E241" s="290"/>
      <c r="F241" s="290"/>
      <c r="G241" s="283"/>
    </row>
    <row r="242" spans="1:7" ht="39.75" customHeight="1" outlineLevel="1" x14ac:dyDescent="0.25">
      <c r="A242" s="81" t="s">
        <v>250</v>
      </c>
      <c r="B242" s="80" t="s">
        <v>59</v>
      </c>
      <c r="C242" s="80" t="s">
        <v>352</v>
      </c>
      <c r="D242" s="80" t="s">
        <v>6</v>
      </c>
      <c r="E242" s="82">
        <f>E243</f>
        <v>3500000</v>
      </c>
      <c r="F242" s="82">
        <f>F243</f>
        <v>0</v>
      </c>
      <c r="G242" s="283"/>
    </row>
    <row r="243" spans="1:7" ht="20.25" customHeight="1" outlineLevel="2" x14ac:dyDescent="0.25">
      <c r="A243" s="81" t="s">
        <v>19</v>
      </c>
      <c r="B243" s="80" t="s">
        <v>59</v>
      </c>
      <c r="C243" s="80" t="s">
        <v>352</v>
      </c>
      <c r="D243" s="80" t="s">
        <v>20</v>
      </c>
      <c r="E243" s="82">
        <f>E244</f>
        <v>3500000</v>
      </c>
      <c r="F243" s="82">
        <f>F244</f>
        <v>0</v>
      </c>
      <c r="G243" s="283"/>
    </row>
    <row r="244" spans="1:7" ht="39.25" customHeight="1" outlineLevel="3" x14ac:dyDescent="0.25">
      <c r="A244" s="81" t="s">
        <v>47</v>
      </c>
      <c r="B244" s="80" t="s">
        <v>59</v>
      </c>
      <c r="C244" s="80" t="s">
        <v>352</v>
      </c>
      <c r="D244" s="80" t="s">
        <v>48</v>
      </c>
      <c r="E244" s="82">
        <f>'прил 12 (2)'!F250</f>
        <v>3500000</v>
      </c>
      <c r="F244" s="82">
        <f>'прил 12 (2)'!G250</f>
        <v>0</v>
      </c>
      <c r="G244" s="283"/>
    </row>
    <row r="245" spans="1:7" ht="36" hidden="1" customHeight="1" outlineLevel="4" x14ac:dyDescent="0.25">
      <c r="A245" s="81" t="s">
        <v>262</v>
      </c>
      <c r="B245" s="80" t="s">
        <v>59</v>
      </c>
      <c r="C245" s="80" t="s">
        <v>353</v>
      </c>
      <c r="D245" s="80" t="s">
        <v>6</v>
      </c>
      <c r="E245" s="82">
        <f>E246</f>
        <v>0</v>
      </c>
      <c r="F245" s="82">
        <f>F246</f>
        <v>0</v>
      </c>
      <c r="G245" s="283"/>
    </row>
    <row r="246" spans="1:7" ht="17.5" hidden="1" customHeight="1" outlineLevel="5" x14ac:dyDescent="0.25">
      <c r="A246" s="81" t="s">
        <v>19</v>
      </c>
      <c r="B246" s="80" t="s">
        <v>59</v>
      </c>
      <c r="C246" s="80" t="s">
        <v>353</v>
      </c>
      <c r="D246" s="80" t="s">
        <v>20</v>
      </c>
      <c r="E246" s="82">
        <f>E247</f>
        <v>0</v>
      </c>
      <c r="F246" s="82">
        <f>F247</f>
        <v>0</v>
      </c>
      <c r="G246" s="283"/>
    </row>
    <row r="247" spans="1:7" ht="39.25" hidden="1" customHeight="1" outlineLevel="6" x14ac:dyDescent="0.25">
      <c r="A247" s="81" t="s">
        <v>47</v>
      </c>
      <c r="B247" s="80" t="s">
        <v>59</v>
      </c>
      <c r="C247" s="80" t="s">
        <v>353</v>
      </c>
      <c r="D247" s="80" t="s">
        <v>48</v>
      </c>
      <c r="E247" s="290"/>
      <c r="F247" s="82">
        <f>'прил 12'!G250</f>
        <v>0</v>
      </c>
      <c r="G247" s="283"/>
    </row>
    <row r="248" spans="1:7" ht="39.25" hidden="1" customHeight="1" outlineLevel="6" x14ac:dyDescent="0.25">
      <c r="A248" s="81" t="s">
        <v>299</v>
      </c>
      <c r="B248" s="80" t="s">
        <v>59</v>
      </c>
      <c r="C248" s="80" t="s">
        <v>390</v>
      </c>
      <c r="D248" s="80" t="s">
        <v>6</v>
      </c>
      <c r="E248" s="82">
        <f>E249</f>
        <v>0</v>
      </c>
      <c r="F248" s="82">
        <f>F249</f>
        <v>0</v>
      </c>
      <c r="G248" s="283"/>
    </row>
    <row r="249" spans="1:7" ht="39.25" hidden="1" customHeight="1" outlineLevel="6" x14ac:dyDescent="0.25">
      <c r="A249" s="81" t="s">
        <v>15</v>
      </c>
      <c r="B249" s="80" t="s">
        <v>59</v>
      </c>
      <c r="C249" s="80" t="s">
        <v>390</v>
      </c>
      <c r="D249" s="80" t="s">
        <v>16</v>
      </c>
      <c r="E249" s="82">
        <f>E250</f>
        <v>0</v>
      </c>
      <c r="F249" s="82">
        <f>F250</f>
        <v>0</v>
      </c>
      <c r="G249" s="283"/>
    </row>
    <row r="250" spans="1:7" ht="39.25" hidden="1" customHeight="1" outlineLevel="6" x14ac:dyDescent="0.25">
      <c r="A250" s="81" t="s">
        <v>17</v>
      </c>
      <c r="B250" s="80" t="s">
        <v>59</v>
      </c>
      <c r="C250" s="80" t="s">
        <v>390</v>
      </c>
      <c r="D250" s="80" t="s">
        <v>18</v>
      </c>
      <c r="E250" s="290"/>
      <c r="F250" s="82">
        <f>'прил 12'!G253</f>
        <v>0</v>
      </c>
      <c r="G250" s="283"/>
    </row>
    <row r="251" spans="1:7" ht="56.25" hidden="1" customHeight="1" outlineLevel="6" x14ac:dyDescent="0.25">
      <c r="A251" s="81" t="s">
        <v>263</v>
      </c>
      <c r="B251" s="80" t="s">
        <v>59</v>
      </c>
      <c r="C251" s="80" t="s">
        <v>391</v>
      </c>
      <c r="D251" s="80" t="s">
        <v>6</v>
      </c>
      <c r="E251" s="82">
        <f>E252</f>
        <v>0</v>
      </c>
      <c r="F251" s="82">
        <f>F252</f>
        <v>0</v>
      </c>
      <c r="G251" s="283"/>
    </row>
    <row r="252" spans="1:7" ht="21.25" hidden="1" customHeight="1" outlineLevel="6" x14ac:dyDescent="0.25">
      <c r="A252" s="81" t="s">
        <v>15</v>
      </c>
      <c r="B252" s="80" t="s">
        <v>59</v>
      </c>
      <c r="C252" s="80" t="s">
        <v>391</v>
      </c>
      <c r="D252" s="80" t="s">
        <v>16</v>
      </c>
      <c r="E252" s="82">
        <f>E253</f>
        <v>0</v>
      </c>
      <c r="F252" s="82">
        <f>F253</f>
        <v>0</v>
      </c>
      <c r="G252" s="283"/>
    </row>
    <row r="253" spans="1:7" ht="36.700000000000003" hidden="1" outlineLevel="6" x14ac:dyDescent="0.25">
      <c r="A253" s="81" t="s">
        <v>17</v>
      </c>
      <c r="B253" s="80" t="s">
        <v>59</v>
      </c>
      <c r="C253" s="80" t="s">
        <v>391</v>
      </c>
      <c r="D253" s="80" t="s">
        <v>18</v>
      </c>
      <c r="E253" s="290"/>
      <c r="F253" s="290"/>
      <c r="G253" s="283"/>
    </row>
    <row r="254" spans="1:7" outlineLevel="1" collapsed="1" x14ac:dyDescent="0.25">
      <c r="A254" s="81" t="s">
        <v>61</v>
      </c>
      <c r="B254" s="80" t="s">
        <v>62</v>
      </c>
      <c r="C254" s="80" t="s">
        <v>126</v>
      </c>
      <c r="D254" s="80" t="s">
        <v>6</v>
      </c>
      <c r="E254" s="82">
        <f>E255+E266+E277</f>
        <v>24803668.439999998</v>
      </c>
      <c r="F254" s="82">
        <f>F255+F266+F277</f>
        <v>22319668.439999998</v>
      </c>
      <c r="G254" s="283"/>
    </row>
    <row r="255" spans="1:7" ht="37.549999999999997" customHeight="1" outlineLevel="2" x14ac:dyDescent="0.25">
      <c r="A255" s="109" t="s">
        <v>845</v>
      </c>
      <c r="B255" s="110" t="s">
        <v>62</v>
      </c>
      <c r="C255" s="110" t="s">
        <v>134</v>
      </c>
      <c r="D255" s="110" t="s">
        <v>6</v>
      </c>
      <c r="E255" s="82">
        <f>E256</f>
        <v>900000</v>
      </c>
      <c r="F255" s="82">
        <f>F256</f>
        <v>200000</v>
      </c>
      <c r="G255" s="283"/>
    </row>
    <row r="256" spans="1:7" ht="19.55" customHeight="1" outlineLevel="3" x14ac:dyDescent="0.25">
      <c r="A256" s="81" t="s">
        <v>354</v>
      </c>
      <c r="B256" s="80" t="s">
        <v>62</v>
      </c>
      <c r="C256" s="80" t="s">
        <v>232</v>
      </c>
      <c r="D256" s="80" t="s">
        <v>6</v>
      </c>
      <c r="E256" s="82">
        <f>E257+E260+E263</f>
        <v>900000</v>
      </c>
      <c r="F256" s="82">
        <f>F257+F260+F263</f>
        <v>200000</v>
      </c>
      <c r="G256" s="283"/>
    </row>
    <row r="257" spans="1:7" ht="19.55" customHeight="1" outlineLevel="3" x14ac:dyDescent="0.25">
      <c r="A257" s="81" t="s">
        <v>360</v>
      </c>
      <c r="B257" s="80" t="s">
        <v>62</v>
      </c>
      <c r="C257" s="80" t="s">
        <v>461</v>
      </c>
      <c r="D257" s="80" t="s">
        <v>6</v>
      </c>
      <c r="E257" s="82">
        <f>E258</f>
        <v>400000</v>
      </c>
      <c r="F257" s="82">
        <f>F258</f>
        <v>0</v>
      </c>
      <c r="G257" s="283"/>
    </row>
    <row r="258" spans="1:7" ht="19.55" customHeight="1" outlineLevel="3" x14ac:dyDescent="0.25">
      <c r="A258" s="25" t="s">
        <v>15</v>
      </c>
      <c r="B258" s="80" t="s">
        <v>62</v>
      </c>
      <c r="C258" s="80" t="s">
        <v>461</v>
      </c>
      <c r="D258" s="80" t="s">
        <v>16</v>
      </c>
      <c r="E258" s="82">
        <f>E259</f>
        <v>400000</v>
      </c>
      <c r="F258" s="82">
        <f>F259</f>
        <v>0</v>
      </c>
      <c r="G258" s="283"/>
    </row>
    <row r="259" spans="1:7" ht="36.700000000000003" outlineLevel="3" x14ac:dyDescent="0.25">
      <c r="A259" s="25" t="s">
        <v>17</v>
      </c>
      <c r="B259" s="80" t="s">
        <v>62</v>
      </c>
      <c r="C259" s="80" t="s">
        <v>461</v>
      </c>
      <c r="D259" s="80" t="s">
        <v>18</v>
      </c>
      <c r="E259" s="82">
        <f>'прил 12 (2)'!F275</f>
        <v>400000</v>
      </c>
      <c r="F259" s="82">
        <f>'прил 12 (2)'!G275</f>
        <v>0</v>
      </c>
      <c r="G259" s="283"/>
    </row>
    <row r="260" spans="1:7" ht="18" customHeight="1" outlineLevel="4" x14ac:dyDescent="0.25">
      <c r="A260" s="81" t="s">
        <v>63</v>
      </c>
      <c r="B260" s="80" t="s">
        <v>62</v>
      </c>
      <c r="C260" s="80" t="s">
        <v>355</v>
      </c>
      <c r="D260" s="80" t="s">
        <v>6</v>
      </c>
      <c r="E260" s="82">
        <f>E261</f>
        <v>500000</v>
      </c>
      <c r="F260" s="82">
        <f>F261</f>
        <v>200000</v>
      </c>
      <c r="G260" s="283"/>
    </row>
    <row r="261" spans="1:7" ht="18" customHeight="1" outlineLevel="5" x14ac:dyDescent="0.25">
      <c r="A261" s="81" t="s">
        <v>15</v>
      </c>
      <c r="B261" s="80" t="s">
        <v>62</v>
      </c>
      <c r="C261" s="80" t="s">
        <v>355</v>
      </c>
      <c r="D261" s="80" t="s">
        <v>16</v>
      </c>
      <c r="E261" s="82">
        <f>E262</f>
        <v>500000</v>
      </c>
      <c r="F261" s="82">
        <f>F262</f>
        <v>200000</v>
      </c>
      <c r="G261" s="283"/>
    </row>
    <row r="262" spans="1:7" ht="36.700000000000003" outlineLevel="6" x14ac:dyDescent="0.25">
      <c r="A262" s="81" t="s">
        <v>17</v>
      </c>
      <c r="B262" s="80" t="s">
        <v>62</v>
      </c>
      <c r="C262" s="80" t="s">
        <v>355</v>
      </c>
      <c r="D262" s="80" t="s">
        <v>18</v>
      </c>
      <c r="E262" s="82">
        <f>'прил 12 (2)'!F284</f>
        <v>500000</v>
      </c>
      <c r="F262" s="82">
        <f>'прил 12 (2)'!G284</f>
        <v>200000</v>
      </c>
      <c r="G262" s="283"/>
    </row>
    <row r="263" spans="1:7" ht="36.700000000000003" hidden="1" outlineLevel="6" x14ac:dyDescent="0.25">
      <c r="A263" s="25" t="s">
        <v>767</v>
      </c>
      <c r="B263" s="80" t="s">
        <v>62</v>
      </c>
      <c r="C263" s="80" t="s">
        <v>947</v>
      </c>
      <c r="D263" s="83" t="s">
        <v>6</v>
      </c>
      <c r="E263" s="82">
        <f>E264</f>
        <v>0</v>
      </c>
      <c r="F263" s="82">
        <f>F264</f>
        <v>0</v>
      </c>
      <c r="G263" s="283"/>
    </row>
    <row r="264" spans="1:7" ht="36.700000000000003" hidden="1" outlineLevel="6" x14ac:dyDescent="0.25">
      <c r="A264" s="25" t="s">
        <v>15</v>
      </c>
      <c r="B264" s="80" t="s">
        <v>62</v>
      </c>
      <c r="C264" s="80" t="s">
        <v>947</v>
      </c>
      <c r="D264" s="83" t="s">
        <v>16</v>
      </c>
      <c r="E264" s="82">
        <f>E265</f>
        <v>0</v>
      </c>
      <c r="F264" s="82">
        <f>F265</f>
        <v>0</v>
      </c>
      <c r="G264" s="283"/>
    </row>
    <row r="265" spans="1:7" ht="36.700000000000003" hidden="1" outlineLevel="6" x14ac:dyDescent="0.25">
      <c r="A265" s="25" t="s">
        <v>17</v>
      </c>
      <c r="B265" s="80" t="s">
        <v>62</v>
      </c>
      <c r="C265" s="80" t="s">
        <v>947</v>
      </c>
      <c r="D265" s="83" t="s">
        <v>18</v>
      </c>
      <c r="E265" s="290"/>
      <c r="F265" s="82">
        <v>0</v>
      </c>
      <c r="G265" s="283"/>
    </row>
    <row r="266" spans="1:7" ht="36.700000000000003" outlineLevel="6" x14ac:dyDescent="0.25">
      <c r="A266" s="109" t="s">
        <v>508</v>
      </c>
      <c r="B266" s="110" t="s">
        <v>62</v>
      </c>
      <c r="C266" s="110" t="s">
        <v>509</v>
      </c>
      <c r="D266" s="110" t="s">
        <v>6</v>
      </c>
      <c r="E266" s="82">
        <f>E267</f>
        <v>2984900</v>
      </c>
      <c r="F266" s="82">
        <f>F267</f>
        <v>1200900</v>
      </c>
      <c r="G266" s="283"/>
    </row>
    <row r="267" spans="1:7" ht="20.25" customHeight="1" outlineLevel="6" x14ac:dyDescent="0.25">
      <c r="A267" s="81" t="s">
        <v>510</v>
      </c>
      <c r="B267" s="80" t="s">
        <v>62</v>
      </c>
      <c r="C267" s="80" t="s">
        <v>511</v>
      </c>
      <c r="D267" s="80" t="s">
        <v>6</v>
      </c>
      <c r="E267" s="82">
        <f>E268+E271+E274</f>
        <v>2984900</v>
      </c>
      <c r="F267" s="82">
        <f>F268+F271+F274</f>
        <v>1200900</v>
      </c>
      <c r="G267" s="283"/>
    </row>
    <row r="268" spans="1:7" ht="55.05" outlineLevel="6" x14ac:dyDescent="0.25">
      <c r="A268" s="81" t="s">
        <v>512</v>
      </c>
      <c r="B268" s="80" t="s">
        <v>62</v>
      </c>
      <c r="C268" s="80" t="s">
        <v>513</v>
      </c>
      <c r="D268" s="80" t="s">
        <v>6</v>
      </c>
      <c r="E268" s="82">
        <f>E269</f>
        <v>2159900</v>
      </c>
      <c r="F268" s="82">
        <f>F269</f>
        <v>1200900</v>
      </c>
      <c r="G268" s="283"/>
    </row>
    <row r="269" spans="1:7" ht="36.700000000000003" outlineLevel="6" x14ac:dyDescent="0.25">
      <c r="A269" s="81" t="s">
        <v>15</v>
      </c>
      <c r="B269" s="80" t="s">
        <v>62</v>
      </c>
      <c r="C269" s="80" t="s">
        <v>513</v>
      </c>
      <c r="D269" s="80" t="s">
        <v>16</v>
      </c>
      <c r="E269" s="82">
        <f>E270</f>
        <v>2159900</v>
      </c>
      <c r="F269" s="82">
        <f>F270</f>
        <v>1200900</v>
      </c>
      <c r="G269" s="283"/>
    </row>
    <row r="270" spans="1:7" ht="36.700000000000003" outlineLevel="6" x14ac:dyDescent="0.25">
      <c r="A270" s="81" t="s">
        <v>17</v>
      </c>
      <c r="B270" s="80" t="s">
        <v>62</v>
      </c>
      <c r="C270" s="80" t="s">
        <v>513</v>
      </c>
      <c r="D270" s="80" t="s">
        <v>18</v>
      </c>
      <c r="E270" s="82">
        <f>'прил 12 (2)'!F289</f>
        <v>2159900</v>
      </c>
      <c r="F270" s="82">
        <f>'прил 12 (2)'!G289</f>
        <v>1200900</v>
      </c>
      <c r="G270" s="283"/>
    </row>
    <row r="271" spans="1:7" ht="36.700000000000003" hidden="1" outlineLevel="6" x14ac:dyDescent="0.25">
      <c r="A271" s="81" t="s">
        <v>514</v>
      </c>
      <c r="B271" s="80" t="s">
        <v>62</v>
      </c>
      <c r="C271" s="80" t="s">
        <v>515</v>
      </c>
      <c r="D271" s="80" t="s">
        <v>6</v>
      </c>
      <c r="E271" s="82">
        <f>E272</f>
        <v>0</v>
      </c>
      <c r="F271" s="82">
        <f>F272</f>
        <v>0</v>
      </c>
      <c r="G271" s="283"/>
    </row>
    <row r="272" spans="1:7" ht="36.700000000000003" hidden="1" outlineLevel="6" x14ac:dyDescent="0.25">
      <c r="A272" s="81" t="s">
        <v>15</v>
      </c>
      <c r="B272" s="80" t="s">
        <v>62</v>
      </c>
      <c r="C272" s="80" t="s">
        <v>515</v>
      </c>
      <c r="D272" s="80" t="s">
        <v>16</v>
      </c>
      <c r="E272" s="82">
        <f>E273</f>
        <v>0</v>
      </c>
      <c r="F272" s="82">
        <f>F273</f>
        <v>0</v>
      </c>
      <c r="G272" s="283"/>
    </row>
    <row r="273" spans="1:7" ht="36.700000000000003" hidden="1" outlineLevel="6" x14ac:dyDescent="0.25">
      <c r="A273" s="81" t="s">
        <v>17</v>
      </c>
      <c r="B273" s="80" t="s">
        <v>62</v>
      </c>
      <c r="C273" s="80" t="s">
        <v>515</v>
      </c>
      <c r="D273" s="80" t="s">
        <v>18</v>
      </c>
      <c r="E273" s="82">
        <f>'прил 12 (2)'!F292</f>
        <v>0</v>
      </c>
      <c r="F273" s="82">
        <f>'прил 12 (2)'!G292</f>
        <v>0</v>
      </c>
      <c r="G273" s="283"/>
    </row>
    <row r="274" spans="1:7" outlineLevel="6" x14ac:dyDescent="0.25">
      <c r="A274" s="81" t="s">
        <v>516</v>
      </c>
      <c r="B274" s="80" t="s">
        <v>62</v>
      </c>
      <c r="C274" s="80" t="s">
        <v>517</v>
      </c>
      <c r="D274" s="80" t="s">
        <v>6</v>
      </c>
      <c r="E274" s="82">
        <f>E275</f>
        <v>825000</v>
      </c>
      <c r="F274" s="82">
        <f>F275</f>
        <v>0</v>
      </c>
      <c r="G274" s="283"/>
    </row>
    <row r="275" spans="1:7" ht="36.700000000000003" outlineLevel="6" x14ac:dyDescent="0.25">
      <c r="A275" s="81" t="s">
        <v>15</v>
      </c>
      <c r="B275" s="80" t="s">
        <v>62</v>
      </c>
      <c r="C275" s="80" t="s">
        <v>517</v>
      </c>
      <c r="D275" s="80" t="s">
        <v>16</v>
      </c>
      <c r="E275" s="82">
        <f>E276</f>
        <v>825000</v>
      </c>
      <c r="F275" s="82">
        <f>F276</f>
        <v>0</v>
      </c>
      <c r="G275" s="283"/>
    </row>
    <row r="276" spans="1:7" ht="36.700000000000003" outlineLevel="6" x14ac:dyDescent="0.25">
      <c r="A276" s="81" t="s">
        <v>17</v>
      </c>
      <c r="B276" s="80" t="s">
        <v>62</v>
      </c>
      <c r="C276" s="80" t="s">
        <v>517</v>
      </c>
      <c r="D276" s="80" t="s">
        <v>18</v>
      </c>
      <c r="E276" s="82">
        <f>'прил 12 (2)'!F295</f>
        <v>825000</v>
      </c>
      <c r="F276" s="82">
        <f>'прил 12 (2)'!G295</f>
        <v>0</v>
      </c>
      <c r="G276" s="283"/>
    </row>
    <row r="277" spans="1:7" ht="55.05" outlineLevel="6" x14ac:dyDescent="0.25">
      <c r="A277" s="109" t="s">
        <v>518</v>
      </c>
      <c r="B277" s="110" t="s">
        <v>62</v>
      </c>
      <c r="C277" s="110" t="s">
        <v>519</v>
      </c>
      <c r="D277" s="110" t="s">
        <v>6</v>
      </c>
      <c r="E277" s="82">
        <f>E278+E283</f>
        <v>20918768.439999998</v>
      </c>
      <c r="F277" s="82">
        <f>F278+F283</f>
        <v>20918768.439999998</v>
      </c>
      <c r="G277" s="283"/>
    </row>
    <row r="278" spans="1:7" ht="38.25" customHeight="1" outlineLevel="6" x14ac:dyDescent="0.25">
      <c r="A278" s="109" t="s">
        <v>550</v>
      </c>
      <c r="B278" s="110" t="s">
        <v>62</v>
      </c>
      <c r="C278" s="110" t="s">
        <v>551</v>
      </c>
      <c r="D278" s="110" t="s">
        <v>6</v>
      </c>
      <c r="E278" s="82">
        <f t="shared" ref="E278:F281" si="15">E279</f>
        <v>7604276.3499999996</v>
      </c>
      <c r="F278" s="82">
        <f t="shared" si="15"/>
        <v>7604276.3499999996</v>
      </c>
      <c r="G278" s="283"/>
    </row>
    <row r="279" spans="1:7" outlineLevel="6" x14ac:dyDescent="0.25">
      <c r="A279" s="81" t="s">
        <v>1128</v>
      </c>
      <c r="B279" s="80" t="s">
        <v>62</v>
      </c>
      <c r="C279" s="80" t="s">
        <v>552</v>
      </c>
      <c r="D279" s="80" t="s">
        <v>6</v>
      </c>
      <c r="E279" s="82">
        <f t="shared" si="15"/>
        <v>7604276.3499999996</v>
      </c>
      <c r="F279" s="82">
        <f t="shared" si="15"/>
        <v>7604276.3499999996</v>
      </c>
      <c r="G279" s="283"/>
    </row>
    <row r="280" spans="1:7" outlineLevel="6" x14ac:dyDescent="0.25">
      <c r="A280" s="81" t="s">
        <v>548</v>
      </c>
      <c r="B280" s="80" t="s">
        <v>62</v>
      </c>
      <c r="C280" s="80" t="s">
        <v>553</v>
      </c>
      <c r="D280" s="80" t="s">
        <v>6</v>
      </c>
      <c r="E280" s="82">
        <f t="shared" si="15"/>
        <v>7604276.3499999996</v>
      </c>
      <c r="F280" s="82">
        <f t="shared" si="15"/>
        <v>7604276.3499999996</v>
      </c>
      <c r="G280" s="283"/>
    </row>
    <row r="281" spans="1:7" ht="36.700000000000003" outlineLevel="6" x14ac:dyDescent="0.25">
      <c r="A281" s="81" t="s">
        <v>15</v>
      </c>
      <c r="B281" s="80" t="s">
        <v>62</v>
      </c>
      <c r="C281" s="80" t="s">
        <v>553</v>
      </c>
      <c r="D281" s="80" t="s">
        <v>16</v>
      </c>
      <c r="E281" s="82">
        <f t="shared" si="15"/>
        <v>7604276.3499999996</v>
      </c>
      <c r="F281" s="82">
        <f t="shared" si="15"/>
        <v>7604276.3499999996</v>
      </c>
      <c r="G281" s="283"/>
    </row>
    <row r="282" spans="1:7" ht="36.700000000000003" outlineLevel="6" x14ac:dyDescent="0.25">
      <c r="A282" s="81" t="s">
        <v>17</v>
      </c>
      <c r="B282" s="80" t="s">
        <v>62</v>
      </c>
      <c r="C282" s="80" t="s">
        <v>553</v>
      </c>
      <c r="D282" s="80" t="s">
        <v>18</v>
      </c>
      <c r="E282" s="82">
        <f>'прил 12 (2)'!F301</f>
        <v>7604276.3499999996</v>
      </c>
      <c r="F282" s="82">
        <f>'прил 12 (2)'!G301</f>
        <v>7604276.3499999996</v>
      </c>
      <c r="G282" s="283"/>
    </row>
    <row r="283" spans="1:7" ht="36.700000000000003" outlineLevel="6" x14ac:dyDescent="0.25">
      <c r="A283" s="121" t="s">
        <v>554</v>
      </c>
      <c r="B283" s="80" t="s">
        <v>62</v>
      </c>
      <c r="C283" s="110" t="s">
        <v>556</v>
      </c>
      <c r="D283" s="110" t="s">
        <v>6</v>
      </c>
      <c r="E283" s="82">
        <f>E284</f>
        <v>13314492.09</v>
      </c>
      <c r="F283" s="82">
        <f>F284</f>
        <v>13314492.09</v>
      </c>
      <c r="G283" s="283"/>
    </row>
    <row r="284" spans="1:7" ht="36.700000000000003" outlineLevel="6" x14ac:dyDescent="0.25">
      <c r="A284" s="121" t="s">
        <v>555</v>
      </c>
      <c r="B284" s="80" t="s">
        <v>62</v>
      </c>
      <c r="C284" s="110" t="s">
        <v>557</v>
      </c>
      <c r="D284" s="110" t="s">
        <v>6</v>
      </c>
      <c r="E284" s="82">
        <f>E285+E288</f>
        <v>13314492.09</v>
      </c>
      <c r="F284" s="82">
        <f>F285+F288</f>
        <v>13314492.09</v>
      </c>
      <c r="G284" s="283"/>
    </row>
    <row r="285" spans="1:7" ht="36.700000000000003" outlineLevel="6" x14ac:dyDescent="0.25">
      <c r="A285" s="25" t="s">
        <v>1125</v>
      </c>
      <c r="B285" s="80" t="s">
        <v>62</v>
      </c>
      <c r="C285" s="80" t="s">
        <v>587</v>
      </c>
      <c r="D285" s="80" t="s">
        <v>6</v>
      </c>
      <c r="E285" s="82">
        <f>E286</f>
        <v>12915057.33</v>
      </c>
      <c r="F285" s="82">
        <f>F286</f>
        <v>12915057.33</v>
      </c>
      <c r="G285" s="283"/>
    </row>
    <row r="286" spans="1:7" ht="36.700000000000003" outlineLevel="6" x14ac:dyDescent="0.25">
      <c r="A286" s="81" t="s">
        <v>15</v>
      </c>
      <c r="B286" s="80" t="s">
        <v>62</v>
      </c>
      <c r="C286" s="80" t="s">
        <v>587</v>
      </c>
      <c r="D286" s="80" t="s">
        <v>16</v>
      </c>
      <c r="E286" s="82">
        <f>E287</f>
        <v>12915057.33</v>
      </c>
      <c r="F286" s="82">
        <f>F287</f>
        <v>12915057.33</v>
      </c>
      <c r="G286" s="283"/>
    </row>
    <row r="287" spans="1:7" ht="36.700000000000003" outlineLevel="6" x14ac:dyDescent="0.25">
      <c r="A287" s="81" t="s">
        <v>17</v>
      </c>
      <c r="B287" s="80" t="s">
        <v>62</v>
      </c>
      <c r="C287" s="80" t="s">
        <v>587</v>
      </c>
      <c r="D287" s="80" t="s">
        <v>18</v>
      </c>
      <c r="E287" s="82">
        <f>'прил 12 (2)'!F309</f>
        <v>12915057.33</v>
      </c>
      <c r="F287" s="82">
        <f>'прил 12 (2)'!G309</f>
        <v>12915057.33</v>
      </c>
      <c r="G287" s="283"/>
    </row>
    <row r="288" spans="1:7" ht="55.05" outlineLevel="6" x14ac:dyDescent="0.25">
      <c r="A288" s="25" t="s">
        <v>559</v>
      </c>
      <c r="B288" s="80" t="s">
        <v>62</v>
      </c>
      <c r="C288" s="80" t="s">
        <v>558</v>
      </c>
      <c r="D288" s="80" t="s">
        <v>6</v>
      </c>
      <c r="E288" s="82">
        <f>E289</f>
        <v>399434.76</v>
      </c>
      <c r="F288" s="82">
        <f>F289</f>
        <v>399434.76</v>
      </c>
      <c r="G288" s="283"/>
    </row>
    <row r="289" spans="1:8" ht="36.700000000000003" outlineLevel="6" x14ac:dyDescent="0.25">
      <c r="A289" s="81" t="s">
        <v>15</v>
      </c>
      <c r="B289" s="80" t="s">
        <v>62</v>
      </c>
      <c r="C289" s="80" t="s">
        <v>558</v>
      </c>
      <c r="D289" s="80" t="s">
        <v>16</v>
      </c>
      <c r="E289" s="82">
        <f>E290</f>
        <v>399434.76</v>
      </c>
      <c r="F289" s="82">
        <f>F290</f>
        <v>399434.76</v>
      </c>
      <c r="G289" s="283"/>
    </row>
    <row r="290" spans="1:8" ht="36.700000000000003" outlineLevel="6" x14ac:dyDescent="0.25">
      <c r="A290" s="81" t="s">
        <v>17</v>
      </c>
      <c r="B290" s="80" t="s">
        <v>62</v>
      </c>
      <c r="C290" s="80" t="s">
        <v>558</v>
      </c>
      <c r="D290" s="80" t="s">
        <v>18</v>
      </c>
      <c r="E290" s="82">
        <f>'прил 12 (2)'!F312</f>
        <v>399434.76</v>
      </c>
      <c r="F290" s="82">
        <f>'прил 12 (2)'!G312</f>
        <v>399434.76</v>
      </c>
      <c r="G290" s="283"/>
    </row>
    <row r="291" spans="1:8" ht="20.25" customHeight="1" outlineLevel="4" x14ac:dyDescent="0.25">
      <c r="A291" s="81" t="s">
        <v>292</v>
      </c>
      <c r="B291" s="80" t="s">
        <v>293</v>
      </c>
      <c r="C291" s="80" t="s">
        <v>126</v>
      </c>
      <c r="D291" s="80" t="s">
        <v>6</v>
      </c>
      <c r="E291" s="82">
        <f t="shared" ref="E291:F295" si="16">E292</f>
        <v>300000</v>
      </c>
      <c r="F291" s="82">
        <f t="shared" si="16"/>
        <v>300000</v>
      </c>
      <c r="G291" s="283"/>
    </row>
    <row r="292" spans="1:8" ht="38.25" customHeight="1" outlineLevel="5" x14ac:dyDescent="0.25">
      <c r="A292" s="109" t="s">
        <v>843</v>
      </c>
      <c r="B292" s="110" t="s">
        <v>293</v>
      </c>
      <c r="C292" s="110" t="s">
        <v>134</v>
      </c>
      <c r="D292" s="110" t="s">
        <v>6</v>
      </c>
      <c r="E292" s="82">
        <f t="shared" si="16"/>
        <v>300000</v>
      </c>
      <c r="F292" s="82">
        <f t="shared" si="16"/>
        <v>300000</v>
      </c>
      <c r="G292" s="283"/>
    </row>
    <row r="293" spans="1:8" ht="39.25" customHeight="1" outlineLevel="6" x14ac:dyDescent="0.25">
      <c r="A293" s="81" t="s">
        <v>844</v>
      </c>
      <c r="B293" s="80" t="s">
        <v>293</v>
      </c>
      <c r="C293" s="80" t="s">
        <v>350</v>
      </c>
      <c r="D293" s="80" t="s">
        <v>6</v>
      </c>
      <c r="E293" s="82">
        <f t="shared" si="16"/>
        <v>300000</v>
      </c>
      <c r="F293" s="82">
        <f t="shared" si="16"/>
        <v>300000</v>
      </c>
      <c r="G293" s="283"/>
    </row>
    <row r="294" spans="1:8" ht="44.85" customHeight="1" outlineLevel="6" x14ac:dyDescent="0.25">
      <c r="A294" s="81" t="s">
        <v>306</v>
      </c>
      <c r="B294" s="80" t="s">
        <v>293</v>
      </c>
      <c r="C294" s="80" t="s">
        <v>357</v>
      </c>
      <c r="D294" s="80" t="s">
        <v>6</v>
      </c>
      <c r="E294" s="82">
        <f t="shared" si="16"/>
        <v>300000</v>
      </c>
      <c r="F294" s="82">
        <f t="shared" si="16"/>
        <v>300000</v>
      </c>
      <c r="G294" s="283"/>
      <c r="H294" s="165" t="s">
        <v>51</v>
      </c>
    </row>
    <row r="295" spans="1:8" outlineLevel="6" x14ac:dyDescent="0.25">
      <c r="A295" s="81" t="s">
        <v>19</v>
      </c>
      <c r="B295" s="80" t="s">
        <v>293</v>
      </c>
      <c r="C295" s="80" t="s">
        <v>357</v>
      </c>
      <c r="D295" s="80" t="s">
        <v>20</v>
      </c>
      <c r="E295" s="82">
        <f t="shared" si="16"/>
        <v>300000</v>
      </c>
      <c r="F295" s="82">
        <f t="shared" si="16"/>
        <v>300000</v>
      </c>
      <c r="G295" s="283"/>
    </row>
    <row r="296" spans="1:8" ht="39.25" customHeight="1" outlineLevel="6" x14ac:dyDescent="0.25">
      <c r="A296" s="81" t="s">
        <v>47</v>
      </c>
      <c r="B296" s="80" t="s">
        <v>293</v>
      </c>
      <c r="C296" s="80" t="s">
        <v>357</v>
      </c>
      <c r="D296" s="80" t="s">
        <v>48</v>
      </c>
      <c r="E296" s="82">
        <f>'прил 12 (2)'!F327</f>
        <v>300000</v>
      </c>
      <c r="F296" s="82">
        <f>'прил 12 (2)'!G327</f>
        <v>300000</v>
      </c>
      <c r="G296" s="283"/>
    </row>
    <row r="297" spans="1:8" outlineLevel="6" x14ac:dyDescent="0.25">
      <c r="A297" s="109" t="s">
        <v>64</v>
      </c>
      <c r="B297" s="110" t="s">
        <v>65</v>
      </c>
      <c r="C297" s="110" t="s">
        <v>126</v>
      </c>
      <c r="D297" s="110" t="s">
        <v>6</v>
      </c>
      <c r="E297" s="85">
        <f>E298</f>
        <v>515000</v>
      </c>
      <c r="F297" s="85">
        <f>F298</f>
        <v>515000</v>
      </c>
      <c r="G297" s="283">
        <f>потребность!G693</f>
        <v>515000</v>
      </c>
      <c r="H297" s="283">
        <f>потребность!H693</f>
        <v>515000</v>
      </c>
    </row>
    <row r="298" spans="1:8" ht="18" customHeight="1" outlineLevel="6" x14ac:dyDescent="0.25">
      <c r="A298" s="81" t="s">
        <v>66</v>
      </c>
      <c r="B298" s="80" t="s">
        <v>67</v>
      </c>
      <c r="C298" s="80" t="s">
        <v>126</v>
      </c>
      <c r="D298" s="80" t="s">
        <v>6</v>
      </c>
      <c r="E298" s="82">
        <f>E299+E308</f>
        <v>515000</v>
      </c>
      <c r="F298" s="82">
        <f>F299+F308</f>
        <v>515000</v>
      </c>
      <c r="G298" s="281"/>
    </row>
    <row r="299" spans="1:8" ht="36.700000000000003" outlineLevel="3" x14ac:dyDescent="0.25">
      <c r="A299" s="109" t="s">
        <v>841</v>
      </c>
      <c r="B299" s="110" t="s">
        <v>67</v>
      </c>
      <c r="C299" s="110" t="s">
        <v>135</v>
      </c>
      <c r="D299" s="110" t="s">
        <v>6</v>
      </c>
      <c r="E299" s="82">
        <f>E300+E304</f>
        <v>470000</v>
      </c>
      <c r="F299" s="82">
        <f>F300+F304</f>
        <v>470000</v>
      </c>
      <c r="G299" s="281"/>
    </row>
    <row r="300" spans="1:8" ht="38.25" customHeight="1" outlineLevel="4" x14ac:dyDescent="0.25">
      <c r="A300" s="81" t="s">
        <v>359</v>
      </c>
      <c r="B300" s="80" t="s">
        <v>67</v>
      </c>
      <c r="C300" s="80" t="s">
        <v>392</v>
      </c>
      <c r="D300" s="80" t="s">
        <v>6</v>
      </c>
      <c r="E300" s="82">
        <f t="shared" ref="E300:F302" si="17">E301</f>
        <v>440000</v>
      </c>
      <c r="F300" s="82">
        <f t="shared" si="17"/>
        <v>440000</v>
      </c>
      <c r="G300" s="281"/>
    </row>
    <row r="301" spans="1:8" ht="19.55" customHeight="1" outlineLevel="6" x14ac:dyDescent="0.25">
      <c r="A301" s="81" t="s">
        <v>244</v>
      </c>
      <c r="B301" s="80" t="s">
        <v>67</v>
      </c>
      <c r="C301" s="80" t="s">
        <v>361</v>
      </c>
      <c r="D301" s="80" t="s">
        <v>6</v>
      </c>
      <c r="E301" s="82">
        <f t="shared" si="17"/>
        <v>440000</v>
      </c>
      <c r="F301" s="82">
        <f t="shared" si="17"/>
        <v>440000</v>
      </c>
      <c r="G301" s="281"/>
    </row>
    <row r="302" spans="1:8" ht="18" customHeight="1" outlineLevel="6" x14ac:dyDescent="0.25">
      <c r="A302" s="81" t="s">
        <v>15</v>
      </c>
      <c r="B302" s="80" t="s">
        <v>67</v>
      </c>
      <c r="C302" s="80" t="s">
        <v>361</v>
      </c>
      <c r="D302" s="80" t="s">
        <v>16</v>
      </c>
      <c r="E302" s="82">
        <f t="shared" si="17"/>
        <v>440000</v>
      </c>
      <c r="F302" s="82">
        <f t="shared" si="17"/>
        <v>440000</v>
      </c>
      <c r="G302" s="281"/>
    </row>
    <row r="303" spans="1:8" ht="23.3" customHeight="1" outlineLevel="6" x14ac:dyDescent="0.25">
      <c r="A303" s="81" t="s">
        <v>17</v>
      </c>
      <c r="B303" s="80" t="s">
        <v>67</v>
      </c>
      <c r="C303" s="80" t="s">
        <v>361</v>
      </c>
      <c r="D303" s="80" t="s">
        <v>18</v>
      </c>
      <c r="E303" s="82">
        <f>'прил 12 (2)'!F334</f>
        <v>440000</v>
      </c>
      <c r="F303" s="82">
        <f>'прил 12 (2)'!G334</f>
        <v>440000</v>
      </c>
      <c r="G303" s="281"/>
    </row>
    <row r="304" spans="1:8" ht="19.55" customHeight="1" outlineLevel="6" x14ac:dyDescent="0.25">
      <c r="A304" s="81" t="s">
        <v>362</v>
      </c>
      <c r="B304" s="80" t="s">
        <v>67</v>
      </c>
      <c r="C304" s="80" t="s">
        <v>246</v>
      </c>
      <c r="D304" s="80" t="s">
        <v>6</v>
      </c>
      <c r="E304" s="82">
        <f t="shared" ref="E304:F306" si="18">E305</f>
        <v>30000</v>
      </c>
      <c r="F304" s="82">
        <f t="shared" si="18"/>
        <v>30000</v>
      </c>
      <c r="G304" s="281"/>
    </row>
    <row r="305" spans="1:8" outlineLevel="6" x14ac:dyDescent="0.25">
      <c r="A305" s="81" t="s">
        <v>68</v>
      </c>
      <c r="B305" s="80" t="s">
        <v>67</v>
      </c>
      <c r="C305" s="80" t="s">
        <v>245</v>
      </c>
      <c r="D305" s="80" t="s">
        <v>6</v>
      </c>
      <c r="E305" s="82">
        <f t="shared" si="18"/>
        <v>30000</v>
      </c>
      <c r="F305" s="82">
        <f t="shared" si="18"/>
        <v>30000</v>
      </c>
      <c r="G305" s="281"/>
    </row>
    <row r="306" spans="1:8" ht="18.7" customHeight="1" outlineLevel="4" x14ac:dyDescent="0.25">
      <c r="A306" s="81" t="s">
        <v>15</v>
      </c>
      <c r="B306" s="80" t="s">
        <v>67</v>
      </c>
      <c r="C306" s="80" t="s">
        <v>245</v>
      </c>
      <c r="D306" s="80" t="s">
        <v>16</v>
      </c>
      <c r="E306" s="82">
        <f t="shared" si="18"/>
        <v>30000</v>
      </c>
      <c r="F306" s="82">
        <f t="shared" si="18"/>
        <v>30000</v>
      </c>
      <c r="G306" s="281"/>
    </row>
    <row r="307" spans="1:8" ht="36.700000000000003" outlineLevel="5" x14ac:dyDescent="0.25">
      <c r="A307" s="81" t="s">
        <v>17</v>
      </c>
      <c r="B307" s="80" t="s">
        <v>67</v>
      </c>
      <c r="C307" s="80" t="s">
        <v>245</v>
      </c>
      <c r="D307" s="80" t="s">
        <v>18</v>
      </c>
      <c r="E307" s="82">
        <f>'прил 12 (2)'!F338</f>
        <v>30000</v>
      </c>
      <c r="F307" s="82">
        <f>'прил 12 (2)'!G338</f>
        <v>30000</v>
      </c>
      <c r="G307" s="281"/>
    </row>
    <row r="308" spans="1:8" ht="75.25" customHeight="1" outlineLevel="6" x14ac:dyDescent="0.25">
      <c r="A308" s="109" t="s">
        <v>858</v>
      </c>
      <c r="B308" s="110" t="s">
        <v>67</v>
      </c>
      <c r="C308" s="110" t="s">
        <v>363</v>
      </c>
      <c r="D308" s="110" t="s">
        <v>6</v>
      </c>
      <c r="E308" s="82">
        <f t="shared" ref="E308:F311" si="19">E309</f>
        <v>45000</v>
      </c>
      <c r="F308" s="82">
        <f t="shared" si="19"/>
        <v>45000</v>
      </c>
      <c r="G308" s="281"/>
    </row>
    <row r="309" spans="1:8" ht="27" customHeight="1" outlineLevel="2" x14ac:dyDescent="0.25">
      <c r="A309" s="81" t="s">
        <v>364</v>
      </c>
      <c r="B309" s="80" t="s">
        <v>67</v>
      </c>
      <c r="C309" s="80" t="s">
        <v>365</v>
      </c>
      <c r="D309" s="80" t="s">
        <v>6</v>
      </c>
      <c r="E309" s="82">
        <f t="shared" si="19"/>
        <v>45000</v>
      </c>
      <c r="F309" s="82">
        <f t="shared" si="19"/>
        <v>45000</v>
      </c>
      <c r="G309" s="281"/>
    </row>
    <row r="310" spans="1:8" outlineLevel="4" x14ac:dyDescent="0.25">
      <c r="A310" s="81" t="s">
        <v>366</v>
      </c>
      <c r="B310" s="80" t="s">
        <v>67</v>
      </c>
      <c r="C310" s="80" t="s">
        <v>367</v>
      </c>
      <c r="D310" s="80" t="s">
        <v>6</v>
      </c>
      <c r="E310" s="82">
        <f t="shared" si="19"/>
        <v>45000</v>
      </c>
      <c r="F310" s="82">
        <f t="shared" si="19"/>
        <v>45000</v>
      </c>
      <c r="G310" s="281"/>
    </row>
    <row r="311" spans="1:8" ht="18" customHeight="1" outlineLevel="5" x14ac:dyDescent="0.25">
      <c r="A311" s="81" t="s">
        <v>15</v>
      </c>
      <c r="B311" s="80" t="s">
        <v>67</v>
      </c>
      <c r="C311" s="80" t="s">
        <v>367</v>
      </c>
      <c r="D311" s="80" t="s">
        <v>16</v>
      </c>
      <c r="E311" s="82">
        <f t="shared" si="19"/>
        <v>45000</v>
      </c>
      <c r="F311" s="82">
        <f t="shared" si="19"/>
        <v>45000</v>
      </c>
      <c r="G311" s="281"/>
    </row>
    <row r="312" spans="1:8" ht="36.700000000000003" outlineLevel="6" x14ac:dyDescent="0.25">
      <c r="A312" s="81" t="s">
        <v>17</v>
      </c>
      <c r="B312" s="80" t="s">
        <v>67</v>
      </c>
      <c r="C312" s="80" t="s">
        <v>367</v>
      </c>
      <c r="D312" s="80" t="s">
        <v>18</v>
      </c>
      <c r="E312" s="82">
        <f>'прил 12 (2)'!F343</f>
        <v>45000</v>
      </c>
      <c r="F312" s="82">
        <f>'прил 12 (2)'!G343</f>
        <v>45000</v>
      </c>
      <c r="G312" s="281"/>
    </row>
    <row r="313" spans="1:8" outlineLevel="1" x14ac:dyDescent="0.25">
      <c r="A313" s="109" t="s">
        <v>69</v>
      </c>
      <c r="B313" s="110" t="s">
        <v>70</v>
      </c>
      <c r="C313" s="110" t="s">
        <v>126</v>
      </c>
      <c r="D313" s="110" t="s">
        <v>6</v>
      </c>
      <c r="E313" s="85">
        <f>E314+E340+E377+E407+E426</f>
        <v>639869358.52999997</v>
      </c>
      <c r="F313" s="85">
        <f>F314+F340+F377+F407+F426</f>
        <v>652099112.16999996</v>
      </c>
      <c r="G313" s="283">
        <f>потребность!G694</f>
        <v>512100956.51000005</v>
      </c>
      <c r="H313" s="283">
        <f>потребность!H694</f>
        <v>612665896.35000002</v>
      </c>
    </row>
    <row r="314" spans="1:8" ht="17.5" customHeight="1" outlineLevel="2" x14ac:dyDescent="0.25">
      <c r="A314" s="81" t="s">
        <v>110</v>
      </c>
      <c r="B314" s="80" t="s">
        <v>111</v>
      </c>
      <c r="C314" s="80" t="s">
        <v>126</v>
      </c>
      <c r="D314" s="80" t="s">
        <v>6</v>
      </c>
      <c r="E314" s="82">
        <f>E315</f>
        <v>145001741.30000001</v>
      </c>
      <c r="F314" s="82">
        <f>F315</f>
        <v>148253770.30000001</v>
      </c>
      <c r="G314" s="281">
        <f>E313-G313</f>
        <v>127768402.01999992</v>
      </c>
    </row>
    <row r="315" spans="1:8" ht="39.75" customHeight="1" outlineLevel="3" x14ac:dyDescent="0.25">
      <c r="A315" s="109" t="s">
        <v>825</v>
      </c>
      <c r="B315" s="110" t="s">
        <v>111</v>
      </c>
      <c r="C315" s="110" t="s">
        <v>138</v>
      </c>
      <c r="D315" s="110" t="s">
        <v>6</v>
      </c>
      <c r="E315" s="82">
        <f>E316</f>
        <v>145001741.30000001</v>
      </c>
      <c r="F315" s="82">
        <f>F316</f>
        <v>148253770.30000001</v>
      </c>
      <c r="G315" s="281"/>
    </row>
    <row r="316" spans="1:8" ht="36.700000000000003" outlineLevel="3" x14ac:dyDescent="0.25">
      <c r="A316" s="81" t="s">
        <v>834</v>
      </c>
      <c r="B316" s="80" t="s">
        <v>111</v>
      </c>
      <c r="C316" s="80" t="s">
        <v>139</v>
      </c>
      <c r="D316" s="80" t="s">
        <v>6</v>
      </c>
      <c r="E316" s="82">
        <f>E317+E324</f>
        <v>145001741.30000001</v>
      </c>
      <c r="F316" s="82">
        <f>F317+F324</f>
        <v>148253770.30000001</v>
      </c>
      <c r="G316" s="281"/>
    </row>
    <row r="317" spans="1:8" ht="36.700000000000003" outlineLevel="3" x14ac:dyDescent="0.25">
      <c r="A317" s="113" t="s">
        <v>202</v>
      </c>
      <c r="B317" s="80" t="s">
        <v>111</v>
      </c>
      <c r="C317" s="80" t="s">
        <v>219</v>
      </c>
      <c r="D317" s="80" t="s">
        <v>6</v>
      </c>
      <c r="E317" s="82">
        <f>E318+E321</f>
        <v>144743741.30000001</v>
      </c>
      <c r="F317" s="82">
        <f>F318+F321</f>
        <v>147995770.30000001</v>
      </c>
      <c r="G317" s="281"/>
    </row>
    <row r="318" spans="1:8" ht="38.25" customHeight="1" outlineLevel="3" x14ac:dyDescent="0.25">
      <c r="A318" s="81" t="s">
        <v>113</v>
      </c>
      <c r="B318" s="80" t="s">
        <v>111</v>
      </c>
      <c r="C318" s="80" t="s">
        <v>144</v>
      </c>
      <c r="D318" s="80" t="s">
        <v>6</v>
      </c>
      <c r="E318" s="82">
        <f>E319</f>
        <v>49165001.299999997</v>
      </c>
      <c r="F318" s="82">
        <f>F319</f>
        <v>46664655.299999997</v>
      </c>
      <c r="G318" s="281"/>
    </row>
    <row r="319" spans="1:8" ht="39.25" customHeight="1" outlineLevel="4" x14ac:dyDescent="0.25">
      <c r="A319" s="81" t="s">
        <v>37</v>
      </c>
      <c r="B319" s="80" t="s">
        <v>111</v>
      </c>
      <c r="C319" s="80" t="s">
        <v>144</v>
      </c>
      <c r="D319" s="80" t="s">
        <v>38</v>
      </c>
      <c r="E319" s="82">
        <f>E320</f>
        <v>49165001.299999997</v>
      </c>
      <c r="F319" s="82">
        <f>F320</f>
        <v>46664655.299999997</v>
      </c>
      <c r="G319" s="281"/>
    </row>
    <row r="320" spans="1:8" outlineLevel="6" x14ac:dyDescent="0.25">
      <c r="A320" s="81" t="s">
        <v>74</v>
      </c>
      <c r="B320" s="80" t="s">
        <v>111</v>
      </c>
      <c r="C320" s="80" t="s">
        <v>144</v>
      </c>
      <c r="D320" s="80" t="s">
        <v>75</v>
      </c>
      <c r="E320" s="82">
        <f>'прил 12 (2)'!F510</f>
        <v>49165001.299999997</v>
      </c>
      <c r="F320" s="82">
        <f>'прил 12 (2)'!G510</f>
        <v>46664655.299999997</v>
      </c>
      <c r="G320" s="281"/>
    </row>
    <row r="321" spans="1:9" ht="77.3" customHeight="1" outlineLevel="6" x14ac:dyDescent="0.25">
      <c r="A321" s="113" t="s">
        <v>397</v>
      </c>
      <c r="B321" s="80" t="s">
        <v>111</v>
      </c>
      <c r="C321" s="80" t="s">
        <v>145</v>
      </c>
      <c r="D321" s="80" t="s">
        <v>6</v>
      </c>
      <c r="E321" s="82">
        <f>E322</f>
        <v>95578740</v>
      </c>
      <c r="F321" s="82">
        <f>F322</f>
        <v>101331115</v>
      </c>
      <c r="G321" s="281"/>
    </row>
    <row r="322" spans="1:9" ht="36.700000000000003" outlineLevel="5" x14ac:dyDescent="0.25">
      <c r="A322" s="81" t="s">
        <v>37</v>
      </c>
      <c r="B322" s="80" t="s">
        <v>111</v>
      </c>
      <c r="C322" s="80" t="s">
        <v>145</v>
      </c>
      <c r="D322" s="80" t="s">
        <v>38</v>
      </c>
      <c r="E322" s="82">
        <f>E323</f>
        <v>95578740</v>
      </c>
      <c r="F322" s="82">
        <f>F323</f>
        <v>101331115</v>
      </c>
      <c r="G322" s="281"/>
    </row>
    <row r="323" spans="1:9" outlineLevel="6" x14ac:dyDescent="0.25">
      <c r="A323" s="81" t="s">
        <v>74</v>
      </c>
      <c r="B323" s="80" t="s">
        <v>111</v>
      </c>
      <c r="C323" s="80" t="s">
        <v>145</v>
      </c>
      <c r="D323" s="80" t="s">
        <v>75</v>
      </c>
      <c r="E323" s="82">
        <f>'прил 12 (2)'!F513</f>
        <v>95578740</v>
      </c>
      <c r="F323" s="82">
        <f>'прил 12 (2)'!G513</f>
        <v>101331115</v>
      </c>
      <c r="G323" s="281"/>
    </row>
    <row r="324" spans="1:9" ht="36.700000000000003" outlineLevel="4" x14ac:dyDescent="0.25">
      <c r="A324" s="113" t="s">
        <v>203</v>
      </c>
      <c r="B324" s="80" t="s">
        <v>111</v>
      </c>
      <c r="C324" s="80" t="s">
        <v>221</v>
      </c>
      <c r="D324" s="80" t="s">
        <v>6</v>
      </c>
      <c r="E324" s="82">
        <f>E337+E325+E328+E331+E334</f>
        <v>258000</v>
      </c>
      <c r="F324" s="82">
        <f>F337+F325+F328+F331+F334</f>
        <v>258000</v>
      </c>
      <c r="G324" s="281"/>
    </row>
    <row r="325" spans="1:9" ht="36.700000000000003" outlineLevel="6" x14ac:dyDescent="0.25">
      <c r="A325" s="81" t="s">
        <v>282</v>
      </c>
      <c r="B325" s="80" t="s">
        <v>111</v>
      </c>
      <c r="C325" s="80" t="s">
        <v>283</v>
      </c>
      <c r="D325" s="80" t="s">
        <v>6</v>
      </c>
      <c r="E325" s="82">
        <f>E326</f>
        <v>100000</v>
      </c>
      <c r="F325" s="82">
        <f>F326</f>
        <v>100000</v>
      </c>
      <c r="G325" s="281"/>
    </row>
    <row r="326" spans="1:9" ht="36.700000000000003" outlineLevel="5" x14ac:dyDescent="0.25">
      <c r="A326" s="81" t="s">
        <v>37</v>
      </c>
      <c r="B326" s="80" t="s">
        <v>111</v>
      </c>
      <c r="C326" s="80" t="s">
        <v>283</v>
      </c>
      <c r="D326" s="80" t="s">
        <v>38</v>
      </c>
      <c r="E326" s="82">
        <f>E327</f>
        <v>100000</v>
      </c>
      <c r="F326" s="82">
        <f>F327</f>
        <v>100000</v>
      </c>
      <c r="G326" s="281"/>
    </row>
    <row r="327" spans="1:9" outlineLevel="6" x14ac:dyDescent="0.25">
      <c r="A327" s="81" t="s">
        <v>74</v>
      </c>
      <c r="B327" s="80" t="s">
        <v>111</v>
      </c>
      <c r="C327" s="80" t="s">
        <v>283</v>
      </c>
      <c r="D327" s="80" t="s">
        <v>75</v>
      </c>
      <c r="E327" s="82">
        <f>'прил 12 (2)'!F517</f>
        <v>100000</v>
      </c>
      <c r="F327" s="82">
        <f>'прил 12 (2)'!G517</f>
        <v>100000</v>
      </c>
      <c r="G327" s="281"/>
    </row>
    <row r="328" spans="1:9" outlineLevel="4" x14ac:dyDescent="0.25">
      <c r="A328" s="81" t="s">
        <v>268</v>
      </c>
      <c r="B328" s="80" t="s">
        <v>111</v>
      </c>
      <c r="C328" s="80" t="s">
        <v>284</v>
      </c>
      <c r="D328" s="80" t="s">
        <v>6</v>
      </c>
      <c r="E328" s="82">
        <f>E329</f>
        <v>158000</v>
      </c>
      <c r="F328" s="82">
        <f>F329</f>
        <v>158000</v>
      </c>
      <c r="G328" s="281"/>
      <c r="I328" s="165" t="s">
        <v>51</v>
      </c>
    </row>
    <row r="329" spans="1:9" ht="40.75" customHeight="1" outlineLevel="5" x14ac:dyDescent="0.25">
      <c r="A329" s="81" t="s">
        <v>37</v>
      </c>
      <c r="B329" s="80" t="s">
        <v>111</v>
      </c>
      <c r="C329" s="80" t="s">
        <v>284</v>
      </c>
      <c r="D329" s="80" t="s">
        <v>38</v>
      </c>
      <c r="E329" s="82">
        <f>E330</f>
        <v>158000</v>
      </c>
      <c r="F329" s="82">
        <f>F330</f>
        <v>158000</v>
      </c>
      <c r="G329" s="281"/>
    </row>
    <row r="330" spans="1:9" outlineLevel="6" x14ac:dyDescent="0.25">
      <c r="A330" s="81" t="s">
        <v>74</v>
      </c>
      <c r="B330" s="80" t="s">
        <v>111</v>
      </c>
      <c r="C330" s="80" t="s">
        <v>284</v>
      </c>
      <c r="D330" s="80" t="s">
        <v>75</v>
      </c>
      <c r="E330" s="82">
        <f>'прил 12 (2)'!F520</f>
        <v>158000</v>
      </c>
      <c r="F330" s="82">
        <f>'прил 12 (2)'!G520</f>
        <v>158000</v>
      </c>
      <c r="G330" s="281"/>
    </row>
    <row r="331" spans="1:9" hidden="1" outlineLevel="6" x14ac:dyDescent="0.25">
      <c r="A331" s="81" t="s">
        <v>311</v>
      </c>
      <c r="B331" s="80" t="s">
        <v>111</v>
      </c>
      <c r="C331" s="80" t="s">
        <v>534</v>
      </c>
      <c r="D331" s="80" t="s">
        <v>6</v>
      </c>
      <c r="E331" s="82">
        <f>E332</f>
        <v>0</v>
      </c>
      <c r="F331" s="82">
        <f>F332</f>
        <v>0</v>
      </c>
      <c r="G331" s="281"/>
    </row>
    <row r="332" spans="1:9" ht="36.700000000000003" hidden="1" outlineLevel="6" x14ac:dyDescent="0.25">
      <c r="A332" s="81" t="s">
        <v>37</v>
      </c>
      <c r="B332" s="80" t="s">
        <v>111</v>
      </c>
      <c r="C332" s="80" t="s">
        <v>534</v>
      </c>
      <c r="D332" s="80" t="s">
        <v>38</v>
      </c>
      <c r="E332" s="82">
        <f>E333</f>
        <v>0</v>
      </c>
      <c r="F332" s="82">
        <f>F333</f>
        <v>0</v>
      </c>
      <c r="G332" s="281"/>
    </row>
    <row r="333" spans="1:9" hidden="1" outlineLevel="6" x14ac:dyDescent="0.25">
      <c r="A333" s="81" t="s">
        <v>74</v>
      </c>
      <c r="B333" s="80" t="s">
        <v>111</v>
      </c>
      <c r="C333" s="80" t="s">
        <v>534</v>
      </c>
      <c r="D333" s="80" t="s">
        <v>75</v>
      </c>
      <c r="E333" s="82">
        <f>'прил 12 (2)'!F523</f>
        <v>0</v>
      </c>
      <c r="F333" s="82">
        <f>'прил 12 (2)'!G523</f>
        <v>0</v>
      </c>
      <c r="G333" s="281"/>
    </row>
    <row r="334" spans="1:9" ht="34.5" hidden="1" customHeight="1" outlineLevel="6" x14ac:dyDescent="0.25">
      <c r="A334" s="113" t="s">
        <v>458</v>
      </c>
      <c r="B334" s="80" t="s">
        <v>111</v>
      </c>
      <c r="C334" s="80" t="s">
        <v>459</v>
      </c>
      <c r="D334" s="80" t="s">
        <v>6</v>
      </c>
      <c r="E334" s="82">
        <f>E335</f>
        <v>0</v>
      </c>
      <c r="F334" s="82">
        <f>F335</f>
        <v>0</v>
      </c>
      <c r="G334" s="281"/>
    </row>
    <row r="335" spans="1:9" ht="36.700000000000003" hidden="1" outlineLevel="6" x14ac:dyDescent="0.25">
      <c r="A335" s="81" t="s">
        <v>37</v>
      </c>
      <c r="B335" s="80" t="s">
        <v>111</v>
      </c>
      <c r="C335" s="80" t="s">
        <v>459</v>
      </c>
      <c r="D335" s="80" t="s">
        <v>38</v>
      </c>
      <c r="E335" s="82">
        <f>E336</f>
        <v>0</v>
      </c>
      <c r="F335" s="82">
        <f>F336</f>
        <v>0</v>
      </c>
      <c r="G335" s="281"/>
    </row>
    <row r="336" spans="1:9" ht="17.5" hidden="1" customHeight="1" outlineLevel="6" x14ac:dyDescent="0.25">
      <c r="A336" s="81" t="s">
        <v>74</v>
      </c>
      <c r="B336" s="80" t="s">
        <v>111</v>
      </c>
      <c r="C336" s="80" t="s">
        <v>459</v>
      </c>
      <c r="D336" s="80" t="s">
        <v>75</v>
      </c>
      <c r="E336" s="82">
        <v>0</v>
      </c>
      <c r="F336" s="82">
        <v>0</v>
      </c>
      <c r="G336" s="281"/>
    </row>
    <row r="337" spans="1:7" ht="52.3" hidden="1" customHeight="1" outlineLevel="2" x14ac:dyDescent="0.25">
      <c r="A337" s="81" t="s">
        <v>443</v>
      </c>
      <c r="B337" s="80" t="s">
        <v>111</v>
      </c>
      <c r="C337" s="80" t="s">
        <v>444</v>
      </c>
      <c r="D337" s="80" t="s">
        <v>6</v>
      </c>
      <c r="E337" s="82">
        <f>E338</f>
        <v>0</v>
      </c>
      <c r="F337" s="82">
        <f>F338</f>
        <v>0</v>
      </c>
      <c r="G337" s="281"/>
    </row>
    <row r="338" spans="1:7" ht="36.700000000000003" hidden="1" outlineLevel="4" x14ac:dyDescent="0.25">
      <c r="A338" s="81" t="s">
        <v>37</v>
      </c>
      <c r="B338" s="80" t="s">
        <v>111</v>
      </c>
      <c r="C338" s="80" t="s">
        <v>444</v>
      </c>
      <c r="D338" s="80" t="s">
        <v>38</v>
      </c>
      <c r="E338" s="82">
        <f>E339</f>
        <v>0</v>
      </c>
      <c r="F338" s="82">
        <f>F339</f>
        <v>0</v>
      </c>
      <c r="G338" s="281"/>
    </row>
    <row r="339" spans="1:7" ht="21.25" hidden="1" customHeight="1" outlineLevel="5" x14ac:dyDescent="0.25">
      <c r="A339" s="81" t="s">
        <v>74</v>
      </c>
      <c r="B339" s="80" t="s">
        <v>111</v>
      </c>
      <c r="C339" s="80" t="s">
        <v>444</v>
      </c>
      <c r="D339" s="80" t="s">
        <v>75</v>
      </c>
      <c r="E339" s="82">
        <v>0</v>
      </c>
      <c r="F339" s="82">
        <v>0</v>
      </c>
      <c r="G339" s="281"/>
    </row>
    <row r="340" spans="1:7" outlineLevel="5" x14ac:dyDescent="0.25">
      <c r="A340" s="81" t="s">
        <v>71</v>
      </c>
      <c r="B340" s="80" t="s">
        <v>72</v>
      </c>
      <c r="C340" s="80" t="s">
        <v>126</v>
      </c>
      <c r="D340" s="80" t="s">
        <v>6</v>
      </c>
      <c r="E340" s="82">
        <f>E341</f>
        <v>423183693.80000001</v>
      </c>
      <c r="F340" s="82">
        <f>F341</f>
        <v>437482827.72999996</v>
      </c>
      <c r="G340" s="281"/>
    </row>
    <row r="341" spans="1:7" ht="36.700000000000003" outlineLevel="6" x14ac:dyDescent="0.25">
      <c r="A341" s="109" t="s">
        <v>825</v>
      </c>
      <c r="B341" s="110" t="s">
        <v>72</v>
      </c>
      <c r="C341" s="110" t="s">
        <v>138</v>
      </c>
      <c r="D341" s="110" t="s">
        <v>6</v>
      </c>
      <c r="E341" s="82">
        <f>E342</f>
        <v>423183693.80000001</v>
      </c>
      <c r="F341" s="82">
        <f>F342</f>
        <v>437482827.72999996</v>
      </c>
      <c r="G341" s="281"/>
    </row>
    <row r="342" spans="1:7" ht="36.700000000000003" outlineLevel="5" x14ac:dyDescent="0.25">
      <c r="A342" s="81" t="s">
        <v>831</v>
      </c>
      <c r="B342" s="80" t="s">
        <v>72</v>
      </c>
      <c r="C342" s="80" t="s">
        <v>146</v>
      </c>
      <c r="D342" s="80" t="s">
        <v>6</v>
      </c>
      <c r="E342" s="82">
        <f>E343+E356+E369+E373</f>
        <v>423183693.80000001</v>
      </c>
      <c r="F342" s="82">
        <f>F343+F356+F369+F373</f>
        <v>437482827.72999996</v>
      </c>
      <c r="G342" s="281"/>
    </row>
    <row r="343" spans="1:7" ht="39.75" customHeight="1" outlineLevel="6" x14ac:dyDescent="0.25">
      <c r="A343" s="113" t="s">
        <v>205</v>
      </c>
      <c r="B343" s="80" t="s">
        <v>72</v>
      </c>
      <c r="C343" s="80" t="s">
        <v>222</v>
      </c>
      <c r="D343" s="80" t="s">
        <v>6</v>
      </c>
      <c r="E343" s="82">
        <f>E344+E347+E350+E353</f>
        <v>412894862.13999999</v>
      </c>
      <c r="F343" s="82">
        <f>F344+F347+F350+F353</f>
        <v>427190904.13999999</v>
      </c>
      <c r="G343" s="281"/>
    </row>
    <row r="344" spans="1:7" ht="39.75" customHeight="1" outlineLevel="6" x14ac:dyDescent="0.25">
      <c r="A344" s="25" t="s">
        <v>593</v>
      </c>
      <c r="B344" s="80" t="s">
        <v>72</v>
      </c>
      <c r="C344" s="80" t="s">
        <v>594</v>
      </c>
      <c r="D344" s="80" t="s">
        <v>6</v>
      </c>
      <c r="E344" s="82">
        <f>E345</f>
        <v>23400000</v>
      </c>
      <c r="F344" s="82">
        <f>F345</f>
        <v>23400000</v>
      </c>
      <c r="G344" s="281"/>
    </row>
    <row r="345" spans="1:7" ht="39.75" customHeight="1" outlineLevel="6" x14ac:dyDescent="0.25">
      <c r="A345" s="81" t="s">
        <v>37</v>
      </c>
      <c r="B345" s="80" t="s">
        <v>72</v>
      </c>
      <c r="C345" s="80" t="s">
        <v>594</v>
      </c>
      <c r="D345" s="80" t="s">
        <v>38</v>
      </c>
      <c r="E345" s="82">
        <f>E346</f>
        <v>23400000</v>
      </c>
      <c r="F345" s="82">
        <f>F346</f>
        <v>23400000</v>
      </c>
      <c r="G345" s="281"/>
    </row>
    <row r="346" spans="1:7" ht="22.75" customHeight="1" outlineLevel="6" x14ac:dyDescent="0.25">
      <c r="A346" s="81" t="s">
        <v>74</v>
      </c>
      <c r="B346" s="80" t="s">
        <v>72</v>
      </c>
      <c r="C346" s="80" t="s">
        <v>594</v>
      </c>
      <c r="D346" s="80" t="s">
        <v>75</v>
      </c>
      <c r="E346" s="82">
        <f>'прил 12 (2)'!F546</f>
        <v>23400000</v>
      </c>
      <c r="F346" s="82">
        <f>'прил 12 (2)'!G546</f>
        <v>23400000</v>
      </c>
      <c r="G346" s="281"/>
    </row>
    <row r="347" spans="1:7" ht="38.25" customHeight="1" outlineLevel="6" x14ac:dyDescent="0.25">
      <c r="A347" s="81" t="s">
        <v>114</v>
      </c>
      <c r="B347" s="80" t="s">
        <v>72</v>
      </c>
      <c r="C347" s="80" t="s">
        <v>147</v>
      </c>
      <c r="D347" s="80" t="s">
        <v>6</v>
      </c>
      <c r="E347" s="82">
        <f>E348</f>
        <v>101659299.14</v>
      </c>
      <c r="F347" s="82">
        <f>F348</f>
        <v>98659299.140000001</v>
      </c>
      <c r="G347" s="281"/>
    </row>
    <row r="348" spans="1:7" ht="36.700000000000003" outlineLevel="6" x14ac:dyDescent="0.25">
      <c r="A348" s="81" t="s">
        <v>37</v>
      </c>
      <c r="B348" s="80" t="s">
        <v>72</v>
      </c>
      <c r="C348" s="80" t="s">
        <v>147</v>
      </c>
      <c r="D348" s="80" t="s">
        <v>38</v>
      </c>
      <c r="E348" s="82">
        <f>E349</f>
        <v>101659299.14</v>
      </c>
      <c r="F348" s="82">
        <f>F349</f>
        <v>98659299.140000001</v>
      </c>
      <c r="G348" s="281"/>
    </row>
    <row r="349" spans="1:7" outlineLevel="6" x14ac:dyDescent="0.25">
      <c r="A349" s="81" t="s">
        <v>74</v>
      </c>
      <c r="B349" s="80" t="s">
        <v>72</v>
      </c>
      <c r="C349" s="80" t="s">
        <v>147</v>
      </c>
      <c r="D349" s="80" t="s">
        <v>75</v>
      </c>
      <c r="E349" s="82">
        <f>'прил 12 (2)'!F549</f>
        <v>101659299.14</v>
      </c>
      <c r="F349" s="82">
        <f>'прил 12 (2)'!G549</f>
        <v>98659299.140000001</v>
      </c>
      <c r="G349" s="281"/>
    </row>
    <row r="350" spans="1:7" s="170" customFormat="1" ht="93.75" customHeight="1" x14ac:dyDescent="0.25">
      <c r="A350" s="113" t="s">
        <v>400</v>
      </c>
      <c r="B350" s="80" t="s">
        <v>72</v>
      </c>
      <c r="C350" s="80" t="s">
        <v>148</v>
      </c>
      <c r="D350" s="80" t="s">
        <v>6</v>
      </c>
      <c r="E350" s="82">
        <f>E351</f>
        <v>274599363</v>
      </c>
      <c r="F350" s="82">
        <f>F351</f>
        <v>291895405</v>
      </c>
      <c r="G350" s="281"/>
    </row>
    <row r="351" spans="1:7" ht="36.700000000000003" outlineLevel="1" x14ac:dyDescent="0.25">
      <c r="A351" s="81" t="s">
        <v>37</v>
      </c>
      <c r="B351" s="80" t="s">
        <v>72</v>
      </c>
      <c r="C351" s="80" t="s">
        <v>148</v>
      </c>
      <c r="D351" s="80" t="s">
        <v>38</v>
      </c>
      <c r="E351" s="82">
        <f>E352</f>
        <v>274599363</v>
      </c>
      <c r="F351" s="82">
        <f>F352</f>
        <v>291895405</v>
      </c>
      <c r="G351" s="281"/>
    </row>
    <row r="352" spans="1:7" ht="19.55" customHeight="1" outlineLevel="2" x14ac:dyDescent="0.25">
      <c r="A352" s="81" t="s">
        <v>74</v>
      </c>
      <c r="B352" s="80" t="s">
        <v>72</v>
      </c>
      <c r="C352" s="80" t="s">
        <v>148</v>
      </c>
      <c r="D352" s="80" t="s">
        <v>75</v>
      </c>
      <c r="E352" s="82">
        <f>'прил 12 (2)'!F552</f>
        <v>274599363</v>
      </c>
      <c r="F352" s="82">
        <f>'прил 12 (2)'!G552</f>
        <v>291895405</v>
      </c>
      <c r="G352" s="281"/>
    </row>
    <row r="353" spans="1:7" ht="110.05" outlineLevel="2" x14ac:dyDescent="0.25">
      <c r="A353" s="25" t="s">
        <v>470</v>
      </c>
      <c r="B353" s="80" t="s">
        <v>72</v>
      </c>
      <c r="C353" s="80" t="s">
        <v>922</v>
      </c>
      <c r="D353" s="80" t="s">
        <v>6</v>
      </c>
      <c r="E353" s="82">
        <f>E354</f>
        <v>13236200</v>
      </c>
      <c r="F353" s="82">
        <f>F354</f>
        <v>13236200</v>
      </c>
      <c r="G353" s="281"/>
    </row>
    <row r="354" spans="1:7" ht="36.700000000000003" outlineLevel="2" x14ac:dyDescent="0.25">
      <c r="A354" s="81" t="s">
        <v>37</v>
      </c>
      <c r="B354" s="80" t="s">
        <v>72</v>
      </c>
      <c r="C354" s="80" t="s">
        <v>922</v>
      </c>
      <c r="D354" s="80" t="s">
        <v>38</v>
      </c>
      <c r="E354" s="82">
        <f>E355</f>
        <v>13236200</v>
      </c>
      <c r="F354" s="82">
        <f>F355</f>
        <v>13236200</v>
      </c>
      <c r="G354" s="281"/>
    </row>
    <row r="355" spans="1:7" outlineLevel="2" x14ac:dyDescent="0.25">
      <c r="A355" s="81" t="s">
        <v>74</v>
      </c>
      <c r="B355" s="80" t="s">
        <v>72</v>
      </c>
      <c r="C355" s="80" t="s">
        <v>922</v>
      </c>
      <c r="D355" s="80" t="s">
        <v>75</v>
      </c>
      <c r="E355" s="82">
        <f>'прил 12 (2)'!F555</f>
        <v>13236200</v>
      </c>
      <c r="F355" s="82">
        <f>'прил 12 (2)'!G555</f>
        <v>13236200</v>
      </c>
      <c r="G355" s="281"/>
    </row>
    <row r="356" spans="1:7" ht="41.3" customHeight="1" outlineLevel="6" x14ac:dyDescent="0.25">
      <c r="A356" s="113" t="s">
        <v>206</v>
      </c>
      <c r="B356" s="80" t="s">
        <v>72</v>
      </c>
      <c r="C356" s="80" t="s">
        <v>220</v>
      </c>
      <c r="D356" s="80" t="s">
        <v>6</v>
      </c>
      <c r="E356" s="82">
        <f>E366+E357+E360+E363</f>
        <v>221200</v>
      </c>
      <c r="F356" s="82">
        <f>F366+F357+F360+F363</f>
        <v>221200</v>
      </c>
      <c r="G356" s="281"/>
    </row>
    <row r="357" spans="1:7" outlineLevel="6" x14ac:dyDescent="0.25">
      <c r="A357" s="81" t="s">
        <v>268</v>
      </c>
      <c r="B357" s="80" t="s">
        <v>72</v>
      </c>
      <c r="C357" s="80" t="s">
        <v>269</v>
      </c>
      <c r="D357" s="80" t="s">
        <v>6</v>
      </c>
      <c r="E357" s="82">
        <f>E358</f>
        <v>221200</v>
      </c>
      <c r="F357" s="82">
        <f>F358</f>
        <v>221200</v>
      </c>
      <c r="G357" s="281"/>
    </row>
    <row r="358" spans="1:7" ht="36.700000000000003" outlineLevel="6" x14ac:dyDescent="0.25">
      <c r="A358" s="81" t="s">
        <v>37</v>
      </c>
      <c r="B358" s="80" t="s">
        <v>72</v>
      </c>
      <c r="C358" s="80" t="s">
        <v>269</v>
      </c>
      <c r="D358" s="80" t="s">
        <v>38</v>
      </c>
      <c r="E358" s="82">
        <f>E359</f>
        <v>221200</v>
      </c>
      <c r="F358" s="82">
        <f>F359</f>
        <v>221200</v>
      </c>
      <c r="G358" s="281"/>
    </row>
    <row r="359" spans="1:7" outlineLevel="4" x14ac:dyDescent="0.25">
      <c r="A359" s="81" t="s">
        <v>74</v>
      </c>
      <c r="B359" s="80" t="s">
        <v>72</v>
      </c>
      <c r="C359" s="80" t="s">
        <v>269</v>
      </c>
      <c r="D359" s="80" t="s">
        <v>75</v>
      </c>
      <c r="E359" s="82">
        <f>'прил 12 (2)'!F559</f>
        <v>221200</v>
      </c>
      <c r="F359" s="82">
        <f>'прил 12 (2)'!G559</f>
        <v>221200</v>
      </c>
      <c r="G359" s="281"/>
    </row>
    <row r="360" spans="1:7" hidden="1" outlineLevel="5" x14ac:dyDescent="0.25">
      <c r="A360" s="134" t="s">
        <v>311</v>
      </c>
      <c r="B360" s="80" t="s">
        <v>72</v>
      </c>
      <c r="C360" s="80" t="s">
        <v>312</v>
      </c>
      <c r="D360" s="80" t="s">
        <v>6</v>
      </c>
      <c r="E360" s="82">
        <f>E361</f>
        <v>0</v>
      </c>
      <c r="F360" s="82">
        <f>F361</f>
        <v>0</v>
      </c>
      <c r="G360" s="281"/>
    </row>
    <row r="361" spans="1:7" ht="36.700000000000003" hidden="1" outlineLevel="6" x14ac:dyDescent="0.25">
      <c r="A361" s="81" t="s">
        <v>37</v>
      </c>
      <c r="B361" s="80" t="s">
        <v>72</v>
      </c>
      <c r="C361" s="80" t="s">
        <v>312</v>
      </c>
      <c r="D361" s="80" t="s">
        <v>38</v>
      </c>
      <c r="E361" s="82">
        <f>E362</f>
        <v>0</v>
      </c>
      <c r="F361" s="82">
        <f>F362</f>
        <v>0</v>
      </c>
      <c r="G361" s="281"/>
    </row>
    <row r="362" spans="1:7" ht="19.55" hidden="1" customHeight="1" outlineLevel="6" x14ac:dyDescent="0.25">
      <c r="A362" s="81" t="s">
        <v>74</v>
      </c>
      <c r="B362" s="80" t="s">
        <v>72</v>
      </c>
      <c r="C362" s="80" t="s">
        <v>312</v>
      </c>
      <c r="D362" s="80" t="s">
        <v>75</v>
      </c>
      <c r="E362" s="82">
        <v>0</v>
      </c>
      <c r="F362" s="82">
        <v>0</v>
      </c>
      <c r="G362" s="281"/>
    </row>
    <row r="363" spans="1:7" ht="18" hidden="1" customHeight="1" outlineLevel="6" x14ac:dyDescent="0.25">
      <c r="A363" s="113" t="s">
        <v>458</v>
      </c>
      <c r="B363" s="80" t="s">
        <v>72</v>
      </c>
      <c r="C363" s="80" t="s">
        <v>720</v>
      </c>
      <c r="D363" s="80" t="s">
        <v>6</v>
      </c>
      <c r="E363" s="82">
        <f>E364</f>
        <v>0</v>
      </c>
      <c r="F363" s="82">
        <f>F364</f>
        <v>0</v>
      </c>
      <c r="G363" s="281"/>
    </row>
    <row r="364" spans="1:7" ht="19.55" hidden="1" customHeight="1" outlineLevel="6" x14ac:dyDescent="0.25">
      <c r="A364" s="81" t="s">
        <v>37</v>
      </c>
      <c r="B364" s="80" t="s">
        <v>72</v>
      </c>
      <c r="C364" s="80" t="s">
        <v>720</v>
      </c>
      <c r="D364" s="80" t="s">
        <v>38</v>
      </c>
      <c r="E364" s="82">
        <f>E365</f>
        <v>0</v>
      </c>
      <c r="F364" s="82">
        <f>F365</f>
        <v>0</v>
      </c>
      <c r="G364" s="281"/>
    </row>
    <row r="365" spans="1:7" ht="18.7" hidden="1" customHeight="1" outlineLevel="6" x14ac:dyDescent="0.25">
      <c r="A365" s="81" t="s">
        <v>74</v>
      </c>
      <c r="B365" s="80" t="s">
        <v>72</v>
      </c>
      <c r="C365" s="80" t="s">
        <v>720</v>
      </c>
      <c r="D365" s="80" t="s">
        <v>75</v>
      </c>
      <c r="E365" s="82">
        <v>0</v>
      </c>
      <c r="F365" s="82">
        <v>0</v>
      </c>
      <c r="G365" s="281"/>
    </row>
    <row r="366" spans="1:7" ht="49.75" hidden="1" customHeight="1" outlineLevel="6" x14ac:dyDescent="0.25">
      <c r="A366" s="81" t="s">
        <v>445</v>
      </c>
      <c r="B366" s="80" t="s">
        <v>72</v>
      </c>
      <c r="C366" s="80" t="s">
        <v>446</v>
      </c>
      <c r="D366" s="80" t="s">
        <v>6</v>
      </c>
      <c r="E366" s="82">
        <f>E367</f>
        <v>0</v>
      </c>
      <c r="F366" s="82">
        <f>F367</f>
        <v>0</v>
      </c>
      <c r="G366" s="281"/>
    </row>
    <row r="367" spans="1:7" ht="41.3" hidden="1" customHeight="1" outlineLevel="6" x14ac:dyDescent="0.25">
      <c r="A367" s="81" t="s">
        <v>37</v>
      </c>
      <c r="B367" s="80" t="s">
        <v>72</v>
      </c>
      <c r="C367" s="80" t="s">
        <v>446</v>
      </c>
      <c r="D367" s="80" t="s">
        <v>38</v>
      </c>
      <c r="E367" s="82">
        <f>E368</f>
        <v>0</v>
      </c>
      <c r="F367" s="82">
        <f>F368</f>
        <v>0</v>
      </c>
      <c r="G367" s="281"/>
    </row>
    <row r="368" spans="1:7" ht="19.55" hidden="1" customHeight="1" outlineLevel="6" x14ac:dyDescent="0.25">
      <c r="A368" s="81" t="s">
        <v>74</v>
      </c>
      <c r="B368" s="80" t="s">
        <v>72</v>
      </c>
      <c r="C368" s="80" t="s">
        <v>446</v>
      </c>
      <c r="D368" s="80" t="s">
        <v>75</v>
      </c>
      <c r="E368" s="82">
        <v>0</v>
      </c>
      <c r="F368" s="82">
        <f>'прил 12'!G571</f>
        <v>0</v>
      </c>
      <c r="G368" s="281"/>
    </row>
    <row r="369" spans="1:7" ht="36.700000000000003" outlineLevel="6" x14ac:dyDescent="0.25">
      <c r="A369" s="113" t="s">
        <v>275</v>
      </c>
      <c r="B369" s="80" t="s">
        <v>72</v>
      </c>
      <c r="C369" s="80" t="s">
        <v>223</v>
      </c>
      <c r="D369" s="80" t="s">
        <v>6</v>
      </c>
      <c r="E369" s="82">
        <f t="shared" ref="E369:F371" si="20">E370</f>
        <v>7109400</v>
      </c>
      <c r="F369" s="82">
        <f t="shared" si="20"/>
        <v>7109400</v>
      </c>
      <c r="G369" s="281"/>
    </row>
    <row r="370" spans="1:7" ht="77.95" customHeight="1" outlineLevel="6" x14ac:dyDescent="0.25">
      <c r="A370" s="25" t="s">
        <v>658</v>
      </c>
      <c r="B370" s="80" t="s">
        <v>72</v>
      </c>
      <c r="C370" s="80" t="s">
        <v>659</v>
      </c>
      <c r="D370" s="80" t="s">
        <v>6</v>
      </c>
      <c r="E370" s="82">
        <f t="shared" si="20"/>
        <v>7109400</v>
      </c>
      <c r="F370" s="82">
        <f t="shared" si="20"/>
        <v>7109400</v>
      </c>
      <c r="G370" s="281"/>
    </row>
    <row r="371" spans="1:7" ht="36.700000000000003" outlineLevel="6" x14ac:dyDescent="0.25">
      <c r="A371" s="81" t="s">
        <v>37</v>
      </c>
      <c r="B371" s="80" t="s">
        <v>72</v>
      </c>
      <c r="C371" s="80" t="s">
        <v>659</v>
      </c>
      <c r="D371" s="80" t="s">
        <v>38</v>
      </c>
      <c r="E371" s="82">
        <f t="shared" si="20"/>
        <v>7109400</v>
      </c>
      <c r="F371" s="82">
        <f t="shared" si="20"/>
        <v>7109400</v>
      </c>
      <c r="G371" s="281"/>
    </row>
    <row r="372" spans="1:7" outlineLevel="6" x14ac:dyDescent="0.25">
      <c r="A372" s="81" t="s">
        <v>74</v>
      </c>
      <c r="B372" s="80" t="s">
        <v>72</v>
      </c>
      <c r="C372" s="80" t="s">
        <v>659</v>
      </c>
      <c r="D372" s="80" t="s">
        <v>75</v>
      </c>
      <c r="E372" s="82">
        <f>'прил 12 (2)'!F575</f>
        <v>7109400</v>
      </c>
      <c r="F372" s="82">
        <f>'прил 12 (2)'!G575</f>
        <v>7109400</v>
      </c>
      <c r="G372" s="281"/>
    </row>
    <row r="373" spans="1:7" outlineLevel="6" x14ac:dyDescent="0.25">
      <c r="A373" s="25" t="s">
        <v>1049</v>
      </c>
      <c r="B373" s="80" t="s">
        <v>72</v>
      </c>
      <c r="C373" s="80" t="s">
        <v>313</v>
      </c>
      <c r="D373" s="80" t="s">
        <v>6</v>
      </c>
      <c r="E373" s="82">
        <f t="shared" ref="E373:F375" si="21">E374</f>
        <v>2958231.66</v>
      </c>
      <c r="F373" s="82">
        <f t="shared" si="21"/>
        <v>2961323.59</v>
      </c>
      <c r="G373" s="281"/>
    </row>
    <row r="374" spans="1:7" ht="36.700000000000003" outlineLevel="6" x14ac:dyDescent="0.25">
      <c r="A374" s="81" t="s">
        <v>469</v>
      </c>
      <c r="B374" s="80" t="s">
        <v>72</v>
      </c>
      <c r="C374" s="80" t="s">
        <v>968</v>
      </c>
      <c r="D374" s="80" t="s">
        <v>6</v>
      </c>
      <c r="E374" s="82">
        <f t="shared" si="21"/>
        <v>2958231.66</v>
      </c>
      <c r="F374" s="82">
        <f t="shared" si="21"/>
        <v>2961323.59</v>
      </c>
      <c r="G374" s="281"/>
    </row>
    <row r="375" spans="1:7" ht="36.700000000000003" outlineLevel="6" x14ac:dyDescent="0.25">
      <c r="A375" s="81" t="s">
        <v>37</v>
      </c>
      <c r="B375" s="80" t="s">
        <v>72</v>
      </c>
      <c r="C375" s="80" t="s">
        <v>968</v>
      </c>
      <c r="D375" s="80" t="s">
        <v>38</v>
      </c>
      <c r="E375" s="82">
        <f t="shared" si="21"/>
        <v>2958231.66</v>
      </c>
      <c r="F375" s="82">
        <f t="shared" si="21"/>
        <v>2961323.59</v>
      </c>
      <c r="G375" s="281"/>
    </row>
    <row r="376" spans="1:7" outlineLevel="6" x14ac:dyDescent="0.25">
      <c r="A376" s="81" t="s">
        <v>74</v>
      </c>
      <c r="B376" s="80" t="s">
        <v>72</v>
      </c>
      <c r="C376" s="80" t="s">
        <v>968</v>
      </c>
      <c r="D376" s="80" t="s">
        <v>75</v>
      </c>
      <c r="E376" s="82">
        <f>'прил 12 (2)'!F579</f>
        <v>2958231.66</v>
      </c>
      <c r="F376" s="82">
        <f>'прил 12 (2)'!G579</f>
        <v>2961323.59</v>
      </c>
      <c r="G376" s="281"/>
    </row>
    <row r="377" spans="1:7" outlineLevel="5" x14ac:dyDescent="0.25">
      <c r="A377" s="81" t="s">
        <v>257</v>
      </c>
      <c r="B377" s="80" t="s">
        <v>256</v>
      </c>
      <c r="C377" s="80" t="s">
        <v>126</v>
      </c>
      <c r="D377" s="80" t="s">
        <v>6</v>
      </c>
      <c r="E377" s="82">
        <f>E378+E395</f>
        <v>46948387.43</v>
      </c>
      <c r="F377" s="82">
        <f>F378+F395</f>
        <v>42492110.899999999</v>
      </c>
      <c r="G377" s="281"/>
    </row>
    <row r="378" spans="1:7" ht="36.700000000000003" outlineLevel="6" x14ac:dyDescent="0.25">
      <c r="A378" s="109" t="s">
        <v>825</v>
      </c>
      <c r="B378" s="110" t="s">
        <v>256</v>
      </c>
      <c r="C378" s="110" t="s">
        <v>138</v>
      </c>
      <c r="D378" s="110" t="s">
        <v>6</v>
      </c>
      <c r="E378" s="82">
        <f>E379</f>
        <v>26710552</v>
      </c>
      <c r="F378" s="82">
        <f>F379</f>
        <v>25208089.52</v>
      </c>
      <c r="G378" s="281"/>
    </row>
    <row r="379" spans="1:7" ht="39.75" customHeight="1" outlineLevel="6" x14ac:dyDescent="0.25">
      <c r="A379" s="81" t="s">
        <v>832</v>
      </c>
      <c r="B379" s="80" t="s">
        <v>256</v>
      </c>
      <c r="C379" s="80" t="s">
        <v>149</v>
      </c>
      <c r="D379" s="80" t="s">
        <v>6</v>
      </c>
      <c r="E379" s="82">
        <f>E380+E384+E391</f>
        <v>26710552</v>
      </c>
      <c r="F379" s="82">
        <f>F380+F384+F391</f>
        <v>25208089.52</v>
      </c>
      <c r="G379" s="281"/>
    </row>
    <row r="380" spans="1:7" ht="36.700000000000003" outlineLevel="6" x14ac:dyDescent="0.25">
      <c r="A380" s="116" t="s">
        <v>207</v>
      </c>
      <c r="B380" s="80" t="s">
        <v>256</v>
      </c>
      <c r="C380" s="80" t="s">
        <v>224</v>
      </c>
      <c r="D380" s="80" t="s">
        <v>6</v>
      </c>
      <c r="E380" s="82">
        <f>E381</f>
        <v>24942762</v>
      </c>
      <c r="F380" s="82">
        <f t="shared" ref="E380:F382" si="22">F381</f>
        <v>23440299.52</v>
      </c>
      <c r="G380" s="281"/>
    </row>
    <row r="381" spans="1:7" ht="37.549999999999997" customHeight="1" outlineLevel="6" x14ac:dyDescent="0.25">
      <c r="A381" s="81" t="s">
        <v>115</v>
      </c>
      <c r="B381" s="80" t="s">
        <v>256</v>
      </c>
      <c r="C381" s="80" t="s">
        <v>151</v>
      </c>
      <c r="D381" s="80" t="s">
        <v>6</v>
      </c>
      <c r="E381" s="82">
        <f t="shared" si="22"/>
        <v>24942762</v>
      </c>
      <c r="F381" s="82">
        <f t="shared" si="22"/>
        <v>23440299.52</v>
      </c>
      <c r="G381" s="281"/>
    </row>
    <row r="382" spans="1:7" ht="36.700000000000003" outlineLevel="6" x14ac:dyDescent="0.25">
      <c r="A382" s="81" t="s">
        <v>37</v>
      </c>
      <c r="B382" s="80" t="s">
        <v>256</v>
      </c>
      <c r="C382" s="80" t="s">
        <v>151</v>
      </c>
      <c r="D382" s="80" t="s">
        <v>38</v>
      </c>
      <c r="E382" s="82">
        <f t="shared" si="22"/>
        <v>24942762</v>
      </c>
      <c r="F382" s="82">
        <f t="shared" si="22"/>
        <v>23440299.52</v>
      </c>
      <c r="G382" s="281"/>
    </row>
    <row r="383" spans="1:7" outlineLevel="6" x14ac:dyDescent="0.25">
      <c r="A383" s="81" t="s">
        <v>74</v>
      </c>
      <c r="B383" s="80" t="s">
        <v>256</v>
      </c>
      <c r="C383" s="80" t="s">
        <v>151</v>
      </c>
      <c r="D383" s="80" t="s">
        <v>75</v>
      </c>
      <c r="E383" s="82">
        <f>'прил 12 (2)'!F586</f>
        <v>24942762</v>
      </c>
      <c r="F383" s="82">
        <f>'прил 12 (2)'!G586</f>
        <v>23440299.52</v>
      </c>
      <c r="G383" s="281"/>
    </row>
    <row r="384" spans="1:7" ht="36.700000000000003" outlineLevel="6" x14ac:dyDescent="0.25">
      <c r="A384" s="113" t="s">
        <v>402</v>
      </c>
      <c r="B384" s="80" t="s">
        <v>256</v>
      </c>
      <c r="C384" s="80" t="s">
        <v>225</v>
      </c>
      <c r="D384" s="80" t="s">
        <v>6</v>
      </c>
      <c r="E384" s="82">
        <f>E385+E388</f>
        <v>31600</v>
      </c>
      <c r="F384" s="82">
        <f>F385+F388</f>
        <v>31600</v>
      </c>
      <c r="G384" s="281"/>
    </row>
    <row r="385" spans="1:7" outlineLevel="6" x14ac:dyDescent="0.25">
      <c r="A385" s="81" t="s">
        <v>268</v>
      </c>
      <c r="B385" s="80" t="s">
        <v>256</v>
      </c>
      <c r="C385" s="80" t="s">
        <v>288</v>
      </c>
      <c r="D385" s="80" t="s">
        <v>6</v>
      </c>
      <c r="E385" s="82">
        <f>E386</f>
        <v>31600</v>
      </c>
      <c r="F385" s="82">
        <f>F386</f>
        <v>31600</v>
      </c>
      <c r="G385" s="281"/>
    </row>
    <row r="386" spans="1:7" ht="36.700000000000003" outlineLevel="6" x14ac:dyDescent="0.25">
      <c r="A386" s="81" t="s">
        <v>37</v>
      </c>
      <c r="B386" s="80" t="s">
        <v>256</v>
      </c>
      <c r="C386" s="80" t="s">
        <v>288</v>
      </c>
      <c r="D386" s="80" t="s">
        <v>38</v>
      </c>
      <c r="E386" s="82">
        <f>E387</f>
        <v>31600</v>
      </c>
      <c r="F386" s="82">
        <f>F387</f>
        <v>31600</v>
      </c>
      <c r="G386" s="281"/>
    </row>
    <row r="387" spans="1:7" outlineLevel="6" x14ac:dyDescent="0.25">
      <c r="A387" s="81" t="s">
        <v>74</v>
      </c>
      <c r="B387" s="80" t="s">
        <v>256</v>
      </c>
      <c r="C387" s="80" t="s">
        <v>288</v>
      </c>
      <c r="D387" s="80" t="s">
        <v>75</v>
      </c>
      <c r="E387" s="82">
        <f>'прил 12 (2)'!F590</f>
        <v>31600</v>
      </c>
      <c r="F387" s="82">
        <f>'прил 12 (2)'!G590</f>
        <v>31600</v>
      </c>
      <c r="G387" s="281"/>
    </row>
    <row r="388" spans="1:7" hidden="1" outlineLevel="6" x14ac:dyDescent="0.25">
      <c r="A388" s="81" t="s">
        <v>112</v>
      </c>
      <c r="B388" s="80" t="s">
        <v>256</v>
      </c>
      <c r="C388" s="80" t="s">
        <v>150</v>
      </c>
      <c r="D388" s="80" t="s">
        <v>6</v>
      </c>
      <c r="E388" s="82">
        <f>E389</f>
        <v>0</v>
      </c>
      <c r="F388" s="82">
        <f>F389</f>
        <v>0</v>
      </c>
      <c r="G388" s="281"/>
    </row>
    <row r="389" spans="1:7" ht="36.700000000000003" hidden="1" outlineLevel="1" x14ac:dyDescent="0.25">
      <c r="A389" s="81" t="s">
        <v>37</v>
      </c>
      <c r="B389" s="80" t="s">
        <v>256</v>
      </c>
      <c r="C389" s="80" t="s">
        <v>150</v>
      </c>
      <c r="D389" s="80" t="s">
        <v>38</v>
      </c>
      <c r="E389" s="82">
        <f>E390</f>
        <v>0</v>
      </c>
      <c r="F389" s="82">
        <f>F390</f>
        <v>0</v>
      </c>
      <c r="G389" s="281"/>
    </row>
    <row r="390" spans="1:7" ht="21.25" hidden="1" customHeight="1" outlineLevel="2" x14ac:dyDescent="0.25">
      <c r="A390" s="81" t="s">
        <v>74</v>
      </c>
      <c r="B390" s="80" t="s">
        <v>256</v>
      </c>
      <c r="C390" s="80" t="s">
        <v>150</v>
      </c>
      <c r="D390" s="80" t="s">
        <v>75</v>
      </c>
      <c r="E390" s="82">
        <f>'прил 12 (2)'!F596</f>
        <v>0</v>
      </c>
      <c r="F390" s="82">
        <v>0</v>
      </c>
      <c r="G390" s="281"/>
    </row>
    <row r="391" spans="1:7" ht="21.25" customHeight="1" outlineLevel="2" x14ac:dyDescent="0.25">
      <c r="A391" s="81" t="s">
        <v>754</v>
      </c>
      <c r="B391" s="80" t="s">
        <v>256</v>
      </c>
      <c r="C391" s="80" t="s">
        <v>755</v>
      </c>
      <c r="D391" s="80" t="s">
        <v>6</v>
      </c>
      <c r="E391" s="82">
        <f t="shared" ref="E391:F393" si="23">E392</f>
        <v>1736190</v>
      </c>
      <c r="F391" s="82">
        <f t="shared" si="23"/>
        <v>1736190</v>
      </c>
      <c r="G391" s="281"/>
    </row>
    <row r="392" spans="1:7" ht="39.25" customHeight="1" outlineLevel="2" x14ac:dyDescent="0.25">
      <c r="A392" s="81" t="s">
        <v>115</v>
      </c>
      <c r="B392" s="80" t="s">
        <v>256</v>
      </c>
      <c r="C392" s="80" t="s">
        <v>756</v>
      </c>
      <c r="D392" s="80" t="s">
        <v>6</v>
      </c>
      <c r="E392" s="82">
        <f t="shared" si="23"/>
        <v>1736190</v>
      </c>
      <c r="F392" s="82">
        <f t="shared" si="23"/>
        <v>1736190</v>
      </c>
      <c r="G392" s="281"/>
    </row>
    <row r="393" spans="1:7" ht="21.25" customHeight="1" outlineLevel="2" x14ac:dyDescent="0.25">
      <c r="A393" s="81" t="s">
        <v>37</v>
      </c>
      <c r="B393" s="80" t="s">
        <v>256</v>
      </c>
      <c r="C393" s="80" t="s">
        <v>756</v>
      </c>
      <c r="D393" s="80" t="s">
        <v>38</v>
      </c>
      <c r="E393" s="82">
        <f t="shared" si="23"/>
        <v>1736190</v>
      </c>
      <c r="F393" s="82">
        <f t="shared" si="23"/>
        <v>1736190</v>
      </c>
      <c r="G393" s="281"/>
    </row>
    <row r="394" spans="1:7" ht="21.25" customHeight="1" outlineLevel="2" x14ac:dyDescent="0.25">
      <c r="A394" s="81" t="s">
        <v>74</v>
      </c>
      <c r="B394" s="80" t="s">
        <v>256</v>
      </c>
      <c r="C394" s="80" t="s">
        <v>756</v>
      </c>
      <c r="D394" s="80" t="s">
        <v>75</v>
      </c>
      <c r="E394" s="82">
        <f>'прил 12 (2)'!F602</f>
        <v>1736190</v>
      </c>
      <c r="F394" s="82">
        <f>'прил 12 (2)'!G602</f>
        <v>1736190</v>
      </c>
      <c r="G394" s="281"/>
    </row>
    <row r="395" spans="1:7" s="192" customFormat="1" ht="36.700000000000003" outlineLevel="3" x14ac:dyDescent="0.25">
      <c r="A395" s="109" t="s">
        <v>839</v>
      </c>
      <c r="B395" s="110" t="s">
        <v>256</v>
      </c>
      <c r="C395" s="110" t="s">
        <v>136</v>
      </c>
      <c r="D395" s="110" t="s">
        <v>6</v>
      </c>
      <c r="E395" s="85">
        <f>E396+E403</f>
        <v>20237835.43</v>
      </c>
      <c r="F395" s="85">
        <f>F396+F403</f>
        <v>17284021.379999999</v>
      </c>
      <c r="G395" s="282"/>
    </row>
    <row r="396" spans="1:7" ht="38.25" customHeight="1" outlineLevel="4" x14ac:dyDescent="0.25">
      <c r="A396" s="81" t="s">
        <v>368</v>
      </c>
      <c r="B396" s="80" t="s">
        <v>256</v>
      </c>
      <c r="C396" s="80" t="s">
        <v>228</v>
      </c>
      <c r="D396" s="80" t="s">
        <v>6</v>
      </c>
      <c r="E396" s="82">
        <f>E397+E400</f>
        <v>20237835.43</v>
      </c>
      <c r="F396" s="82">
        <f>F397+F400</f>
        <v>17284021.379999999</v>
      </c>
      <c r="G396" s="281"/>
    </row>
    <row r="397" spans="1:7" ht="36" customHeight="1" outlineLevel="5" x14ac:dyDescent="0.25">
      <c r="A397" s="81" t="s">
        <v>73</v>
      </c>
      <c r="B397" s="80" t="s">
        <v>256</v>
      </c>
      <c r="C397" s="80" t="s">
        <v>137</v>
      </c>
      <c r="D397" s="80" t="s">
        <v>6</v>
      </c>
      <c r="E397" s="82">
        <f>E398</f>
        <v>20237835.43</v>
      </c>
      <c r="F397" s="82">
        <f>F398</f>
        <v>17284021.379999999</v>
      </c>
      <c r="G397" s="281"/>
    </row>
    <row r="398" spans="1:7" ht="36.700000000000003" outlineLevel="6" x14ac:dyDescent="0.25">
      <c r="A398" s="81" t="s">
        <v>37</v>
      </c>
      <c r="B398" s="80" t="s">
        <v>256</v>
      </c>
      <c r="C398" s="80" t="s">
        <v>137</v>
      </c>
      <c r="D398" s="80" t="s">
        <v>38</v>
      </c>
      <c r="E398" s="82">
        <f>E399</f>
        <v>20237835.43</v>
      </c>
      <c r="F398" s="82">
        <f>F399</f>
        <v>17284021.379999999</v>
      </c>
      <c r="G398" s="281"/>
    </row>
    <row r="399" spans="1:7" ht="18" customHeight="1" outlineLevel="5" x14ac:dyDescent="0.25">
      <c r="A399" s="81" t="s">
        <v>74</v>
      </c>
      <c r="B399" s="80" t="s">
        <v>256</v>
      </c>
      <c r="C399" s="80" t="s">
        <v>137</v>
      </c>
      <c r="D399" s="80" t="s">
        <v>75</v>
      </c>
      <c r="E399" s="82">
        <f>'прил 12 (2)'!F350</f>
        <v>20237835.43</v>
      </c>
      <c r="F399" s="82">
        <f>'прил 12 (2)'!G350</f>
        <v>17284021.379999999</v>
      </c>
      <c r="G399" s="281"/>
    </row>
    <row r="400" spans="1:7" ht="73.400000000000006" hidden="1" outlineLevel="5" x14ac:dyDescent="0.3">
      <c r="A400" s="123" t="s">
        <v>710</v>
      </c>
      <c r="B400" s="80" t="s">
        <v>256</v>
      </c>
      <c r="C400" s="80" t="s">
        <v>711</v>
      </c>
      <c r="D400" s="80" t="s">
        <v>6</v>
      </c>
      <c r="E400" s="82">
        <f>E401</f>
        <v>0</v>
      </c>
      <c r="F400" s="82">
        <v>0</v>
      </c>
      <c r="G400" s="281"/>
    </row>
    <row r="401" spans="1:7" ht="36.700000000000003" hidden="1" outlineLevel="5" x14ac:dyDescent="0.25">
      <c r="A401" s="81" t="s">
        <v>37</v>
      </c>
      <c r="B401" s="80" t="s">
        <v>256</v>
      </c>
      <c r="C401" s="80" t="s">
        <v>711</v>
      </c>
      <c r="D401" s="80" t="s">
        <v>38</v>
      </c>
      <c r="E401" s="82">
        <f>E402</f>
        <v>0</v>
      </c>
      <c r="F401" s="82">
        <v>0</v>
      </c>
      <c r="G401" s="281"/>
    </row>
    <row r="402" spans="1:7" hidden="1" outlineLevel="5" x14ac:dyDescent="0.3">
      <c r="A402" s="123" t="s">
        <v>74</v>
      </c>
      <c r="B402" s="80" t="s">
        <v>256</v>
      </c>
      <c r="C402" s="80" t="s">
        <v>711</v>
      </c>
      <c r="D402" s="80" t="s">
        <v>75</v>
      </c>
      <c r="E402" s="290"/>
      <c r="F402" s="82">
        <v>0</v>
      </c>
      <c r="G402" s="281"/>
    </row>
    <row r="403" spans="1:7" hidden="1" outlineLevel="5" x14ac:dyDescent="0.25">
      <c r="A403" s="121" t="s">
        <v>597</v>
      </c>
      <c r="B403" s="110" t="s">
        <v>256</v>
      </c>
      <c r="C403" s="110" t="s">
        <v>598</v>
      </c>
      <c r="D403" s="110" t="s">
        <v>6</v>
      </c>
      <c r="E403" s="82">
        <f t="shared" ref="E403:F405" si="24">E404</f>
        <v>0</v>
      </c>
      <c r="F403" s="82">
        <f t="shared" si="24"/>
        <v>0</v>
      </c>
      <c r="G403" s="281"/>
    </row>
    <row r="404" spans="1:7" ht="73.400000000000006" hidden="1" outlineLevel="5" x14ac:dyDescent="0.25">
      <c r="A404" s="25" t="s">
        <v>575</v>
      </c>
      <c r="B404" s="80" t="s">
        <v>256</v>
      </c>
      <c r="C404" s="80" t="s">
        <v>599</v>
      </c>
      <c r="D404" s="80" t="s">
        <v>6</v>
      </c>
      <c r="E404" s="82">
        <f t="shared" si="24"/>
        <v>0</v>
      </c>
      <c r="F404" s="82">
        <f t="shared" si="24"/>
        <v>0</v>
      </c>
      <c r="G404" s="281"/>
    </row>
    <row r="405" spans="1:7" ht="36.700000000000003" hidden="1" outlineLevel="5" x14ac:dyDescent="0.25">
      <c r="A405" s="81" t="s">
        <v>37</v>
      </c>
      <c r="B405" s="80" t="s">
        <v>256</v>
      </c>
      <c r="C405" s="80" t="s">
        <v>599</v>
      </c>
      <c r="D405" s="80" t="s">
        <v>38</v>
      </c>
      <c r="E405" s="82">
        <f t="shared" si="24"/>
        <v>0</v>
      </c>
      <c r="F405" s="82">
        <f t="shared" si="24"/>
        <v>0</v>
      </c>
      <c r="G405" s="281"/>
    </row>
    <row r="406" spans="1:7" hidden="1" outlineLevel="5" x14ac:dyDescent="0.3">
      <c r="A406" s="123" t="s">
        <v>74</v>
      </c>
      <c r="B406" s="80" t="s">
        <v>256</v>
      </c>
      <c r="C406" s="80" t="s">
        <v>599</v>
      </c>
      <c r="D406" s="80" t="s">
        <v>75</v>
      </c>
      <c r="E406" s="290"/>
      <c r="F406" s="82">
        <f>'прил 12'!G354</f>
        <v>0</v>
      </c>
      <c r="G406" s="281"/>
    </row>
    <row r="407" spans="1:7" outlineLevel="6" x14ac:dyDescent="0.25">
      <c r="A407" s="81" t="s">
        <v>76</v>
      </c>
      <c r="B407" s="80" t="s">
        <v>77</v>
      </c>
      <c r="C407" s="80" t="s">
        <v>126</v>
      </c>
      <c r="D407" s="80" t="s">
        <v>6</v>
      </c>
      <c r="E407" s="82">
        <f>E408</f>
        <v>2042300</v>
      </c>
      <c r="F407" s="82">
        <f>F408</f>
        <v>2042300</v>
      </c>
      <c r="G407" s="281"/>
    </row>
    <row r="408" spans="1:7" s="284" customFormat="1" ht="36.700000000000003" x14ac:dyDescent="0.3">
      <c r="A408" s="109" t="s">
        <v>825</v>
      </c>
      <c r="B408" s="110" t="s">
        <v>77</v>
      </c>
      <c r="C408" s="110" t="s">
        <v>138</v>
      </c>
      <c r="D408" s="110" t="s">
        <v>6</v>
      </c>
      <c r="E408" s="85">
        <f>E409+E422</f>
        <v>2042300</v>
      </c>
      <c r="F408" s="85">
        <f>F409+F422</f>
        <v>2042300</v>
      </c>
      <c r="G408" s="282"/>
    </row>
    <row r="409" spans="1:7" ht="18" customHeight="1" outlineLevel="1" x14ac:dyDescent="0.25">
      <c r="A409" s="81" t="s">
        <v>398</v>
      </c>
      <c r="B409" s="80" t="s">
        <v>77</v>
      </c>
      <c r="C409" s="80" t="s">
        <v>146</v>
      </c>
      <c r="D409" s="80" t="s">
        <v>6</v>
      </c>
      <c r="E409" s="82">
        <f>E410+E414</f>
        <v>1917300</v>
      </c>
      <c r="F409" s="82">
        <f>F410+F414</f>
        <v>1917300</v>
      </c>
      <c r="G409" s="281"/>
    </row>
    <row r="410" spans="1:7" ht="36.700000000000003" outlineLevel="2" x14ac:dyDescent="0.25">
      <c r="A410" s="113" t="s">
        <v>206</v>
      </c>
      <c r="B410" s="80" t="s">
        <v>77</v>
      </c>
      <c r="C410" s="80" t="s">
        <v>220</v>
      </c>
      <c r="D410" s="80" t="s">
        <v>6</v>
      </c>
      <c r="E410" s="82">
        <f t="shared" ref="E410:F412" si="25">E411</f>
        <v>70000</v>
      </c>
      <c r="F410" s="82">
        <f t="shared" si="25"/>
        <v>70000</v>
      </c>
      <c r="G410" s="281"/>
    </row>
    <row r="411" spans="1:7" ht="18" customHeight="1" outlineLevel="2" x14ac:dyDescent="0.25">
      <c r="A411" s="81" t="s">
        <v>424</v>
      </c>
      <c r="B411" s="80" t="s">
        <v>77</v>
      </c>
      <c r="C411" s="80" t="s">
        <v>235</v>
      </c>
      <c r="D411" s="80" t="s">
        <v>6</v>
      </c>
      <c r="E411" s="82">
        <f t="shared" si="25"/>
        <v>70000</v>
      </c>
      <c r="F411" s="82">
        <f t="shared" si="25"/>
        <v>70000</v>
      </c>
      <c r="G411" s="281"/>
    </row>
    <row r="412" spans="1:7" ht="18" customHeight="1" outlineLevel="2" x14ac:dyDescent="0.25">
      <c r="A412" s="81" t="s">
        <v>15</v>
      </c>
      <c r="B412" s="80" t="s">
        <v>77</v>
      </c>
      <c r="C412" s="80" t="s">
        <v>235</v>
      </c>
      <c r="D412" s="80" t="s">
        <v>16</v>
      </c>
      <c r="E412" s="82">
        <f t="shared" si="25"/>
        <v>70000</v>
      </c>
      <c r="F412" s="82">
        <f t="shared" si="25"/>
        <v>70000</v>
      </c>
      <c r="G412" s="281"/>
    </row>
    <row r="413" spans="1:7" ht="36.700000000000003" outlineLevel="2" x14ac:dyDescent="0.25">
      <c r="A413" s="81" t="s">
        <v>17</v>
      </c>
      <c r="B413" s="80" t="s">
        <v>77</v>
      </c>
      <c r="C413" s="80" t="s">
        <v>235</v>
      </c>
      <c r="D413" s="80" t="s">
        <v>18</v>
      </c>
      <c r="E413" s="82">
        <f>'прил 12 (2)'!F611</f>
        <v>70000</v>
      </c>
      <c r="F413" s="82">
        <f>'прил 12 (2)'!G612</f>
        <v>70000</v>
      </c>
      <c r="G413" s="281"/>
    </row>
    <row r="414" spans="1:7" ht="41.95" customHeight="1" outlineLevel="1" x14ac:dyDescent="0.25">
      <c r="A414" s="113" t="s">
        <v>275</v>
      </c>
      <c r="B414" s="80" t="s">
        <v>77</v>
      </c>
      <c r="C414" s="80" t="s">
        <v>223</v>
      </c>
      <c r="D414" s="80" t="s">
        <v>6</v>
      </c>
      <c r="E414" s="82">
        <f>E415</f>
        <v>1847300</v>
      </c>
      <c r="F414" s="82">
        <f>F415</f>
        <v>1847300</v>
      </c>
      <c r="G414" s="281"/>
    </row>
    <row r="415" spans="1:7" ht="86.95" customHeight="1" outlineLevel="1" x14ac:dyDescent="0.25">
      <c r="A415" s="100" t="s">
        <v>403</v>
      </c>
      <c r="B415" s="80" t="s">
        <v>77</v>
      </c>
      <c r="C415" s="80" t="s">
        <v>152</v>
      </c>
      <c r="D415" s="80" t="s">
        <v>6</v>
      </c>
      <c r="E415" s="82">
        <f>E416+E418+E420</f>
        <v>1847300</v>
      </c>
      <c r="F415" s="82">
        <f>F416+F418+F420</f>
        <v>1847300</v>
      </c>
      <c r="G415" s="281"/>
    </row>
    <row r="416" spans="1:7" ht="41.95" hidden="1" customHeight="1" outlineLevel="1" x14ac:dyDescent="0.25">
      <c r="A416" s="81" t="s">
        <v>15</v>
      </c>
      <c r="B416" s="80" t="s">
        <v>77</v>
      </c>
      <c r="C416" s="80" t="s">
        <v>152</v>
      </c>
      <c r="D416" s="80" t="s">
        <v>16</v>
      </c>
      <c r="E416" s="82">
        <f>E417</f>
        <v>0</v>
      </c>
      <c r="F416" s="82">
        <f>F417</f>
        <v>0</v>
      </c>
      <c r="G416" s="281"/>
    </row>
    <row r="417" spans="1:7" ht="41.95" hidden="1" customHeight="1" outlineLevel="1" x14ac:dyDescent="0.25">
      <c r="A417" s="81" t="s">
        <v>17</v>
      </c>
      <c r="B417" s="80" t="s">
        <v>77</v>
      </c>
      <c r="C417" s="80" t="s">
        <v>152</v>
      </c>
      <c r="D417" s="80" t="s">
        <v>18</v>
      </c>
      <c r="E417" s="290"/>
      <c r="F417" s="290"/>
      <c r="G417" s="281"/>
    </row>
    <row r="418" spans="1:7" ht="23.95" customHeight="1" outlineLevel="1" x14ac:dyDescent="0.25">
      <c r="A418" s="81" t="s">
        <v>90</v>
      </c>
      <c r="B418" s="80" t="s">
        <v>77</v>
      </c>
      <c r="C418" s="80" t="s">
        <v>152</v>
      </c>
      <c r="D418" s="80" t="s">
        <v>91</v>
      </c>
      <c r="E418" s="82">
        <f>E419</f>
        <v>1847300</v>
      </c>
      <c r="F418" s="82">
        <f>F419</f>
        <v>1847300</v>
      </c>
      <c r="G418" s="281"/>
    </row>
    <row r="419" spans="1:7" ht="23.95" customHeight="1" outlineLevel="1" x14ac:dyDescent="0.25">
      <c r="A419" s="81" t="s">
        <v>97</v>
      </c>
      <c r="B419" s="80" t="s">
        <v>77</v>
      </c>
      <c r="C419" s="80" t="s">
        <v>152</v>
      </c>
      <c r="D419" s="80" t="s">
        <v>98</v>
      </c>
      <c r="E419" s="82">
        <f>'прил 12 (2)'!F618</f>
        <v>1847300</v>
      </c>
      <c r="F419" s="82">
        <f>'прил 12 (2)'!G618</f>
        <v>1847300</v>
      </c>
      <c r="G419" s="281"/>
    </row>
    <row r="420" spans="1:7" ht="23.95" hidden="1" customHeight="1" outlineLevel="1" x14ac:dyDescent="0.25">
      <c r="A420" s="81" t="s">
        <v>37</v>
      </c>
      <c r="B420" s="80" t="s">
        <v>77</v>
      </c>
      <c r="C420" s="80" t="s">
        <v>152</v>
      </c>
      <c r="D420" s="80" t="s">
        <v>38</v>
      </c>
      <c r="E420" s="82">
        <f>E421</f>
        <v>0</v>
      </c>
      <c r="F420" s="82">
        <f>F421</f>
        <v>0</v>
      </c>
      <c r="G420" s="281"/>
    </row>
    <row r="421" spans="1:7" ht="23.95" hidden="1" customHeight="1" outlineLevel="1" x14ac:dyDescent="0.25">
      <c r="A421" s="81" t="s">
        <v>74</v>
      </c>
      <c r="B421" s="80" t="s">
        <v>77</v>
      </c>
      <c r="C421" s="80" t="s">
        <v>152</v>
      </c>
      <c r="D421" s="80" t="s">
        <v>75</v>
      </c>
      <c r="E421" s="290"/>
      <c r="F421" s="290"/>
      <c r="G421" s="281"/>
    </row>
    <row r="422" spans="1:7" ht="23.95" customHeight="1" outlineLevel="1" x14ac:dyDescent="0.25">
      <c r="A422" s="25" t="s">
        <v>238</v>
      </c>
      <c r="B422" s="80" t="s">
        <v>77</v>
      </c>
      <c r="C422" s="80" t="s">
        <v>237</v>
      </c>
      <c r="D422" s="80" t="s">
        <v>6</v>
      </c>
      <c r="E422" s="82">
        <f t="shared" ref="E422:F424" si="26">E423</f>
        <v>125000</v>
      </c>
      <c r="F422" s="82">
        <f t="shared" si="26"/>
        <v>125000</v>
      </c>
      <c r="G422" s="281"/>
    </row>
    <row r="423" spans="1:7" outlineLevel="2" x14ac:dyDescent="0.25">
      <c r="A423" s="81" t="s">
        <v>78</v>
      </c>
      <c r="B423" s="80" t="s">
        <v>77</v>
      </c>
      <c r="C423" s="80" t="s">
        <v>153</v>
      </c>
      <c r="D423" s="80" t="s">
        <v>6</v>
      </c>
      <c r="E423" s="82">
        <f t="shared" si="26"/>
        <v>125000</v>
      </c>
      <c r="F423" s="82">
        <f t="shared" si="26"/>
        <v>125000</v>
      </c>
      <c r="G423" s="281"/>
    </row>
    <row r="424" spans="1:7" ht="18.7" customHeight="1" outlineLevel="3" x14ac:dyDescent="0.25">
      <c r="A424" s="81" t="s">
        <v>15</v>
      </c>
      <c r="B424" s="80" t="s">
        <v>77</v>
      </c>
      <c r="C424" s="80" t="s">
        <v>153</v>
      </c>
      <c r="D424" s="80" t="s">
        <v>16</v>
      </c>
      <c r="E424" s="82">
        <f t="shared" si="26"/>
        <v>125000</v>
      </c>
      <c r="F424" s="82">
        <f t="shared" si="26"/>
        <v>125000</v>
      </c>
      <c r="G424" s="281"/>
    </row>
    <row r="425" spans="1:7" ht="39.25" customHeight="1" outlineLevel="4" x14ac:dyDescent="0.25">
      <c r="A425" s="81" t="s">
        <v>17</v>
      </c>
      <c r="B425" s="80" t="s">
        <v>77</v>
      </c>
      <c r="C425" s="80" t="s">
        <v>153</v>
      </c>
      <c r="D425" s="80" t="s">
        <v>18</v>
      </c>
      <c r="E425" s="82">
        <f>'прил 12 (2)'!F624</f>
        <v>125000</v>
      </c>
      <c r="F425" s="82">
        <f>'прил 12 (2)'!G624</f>
        <v>125000</v>
      </c>
      <c r="G425" s="281"/>
    </row>
    <row r="426" spans="1:7" outlineLevel="5" x14ac:dyDescent="0.25">
      <c r="A426" s="81" t="s">
        <v>116</v>
      </c>
      <c r="B426" s="80" t="s">
        <v>117</v>
      </c>
      <c r="C426" s="80" t="s">
        <v>126</v>
      </c>
      <c r="D426" s="80" t="s">
        <v>6</v>
      </c>
      <c r="E426" s="82">
        <f>E427</f>
        <v>22693236</v>
      </c>
      <c r="F426" s="82">
        <f>F427</f>
        <v>21828103.240000002</v>
      </c>
      <c r="G426" s="281"/>
    </row>
    <row r="427" spans="1:7" ht="36.700000000000003" outlineLevel="6" x14ac:dyDescent="0.25">
      <c r="A427" s="109" t="s">
        <v>827</v>
      </c>
      <c r="B427" s="110" t="s">
        <v>117</v>
      </c>
      <c r="C427" s="110" t="s">
        <v>138</v>
      </c>
      <c r="D427" s="110" t="s">
        <v>6</v>
      </c>
      <c r="E427" s="82">
        <f>E428</f>
        <v>22693236</v>
      </c>
      <c r="F427" s="82">
        <f>F428</f>
        <v>21828103.240000002</v>
      </c>
      <c r="G427" s="281"/>
    </row>
    <row r="428" spans="1:7" s="170" customFormat="1" ht="39.75" customHeight="1" x14ac:dyDescent="0.25">
      <c r="A428" s="113" t="s">
        <v>209</v>
      </c>
      <c r="B428" s="80" t="s">
        <v>117</v>
      </c>
      <c r="C428" s="80" t="s">
        <v>226</v>
      </c>
      <c r="D428" s="80" t="s">
        <v>6</v>
      </c>
      <c r="E428" s="82">
        <f>E429+E436+E443</f>
        <v>22693236</v>
      </c>
      <c r="F428" s="82">
        <f>F429+F436+F443</f>
        <v>21828103.240000002</v>
      </c>
      <c r="G428" s="281"/>
    </row>
    <row r="429" spans="1:7" ht="39.25" customHeight="1" outlineLevel="1" x14ac:dyDescent="0.25">
      <c r="A429" s="81" t="s">
        <v>494</v>
      </c>
      <c r="B429" s="80" t="s">
        <v>117</v>
      </c>
      <c r="C429" s="80" t="s">
        <v>535</v>
      </c>
      <c r="D429" s="80" t="s">
        <v>6</v>
      </c>
      <c r="E429" s="82">
        <f>E430+E432+E434</f>
        <v>5442427</v>
      </c>
      <c r="F429" s="82">
        <f>F430+F432+F434</f>
        <v>5362924</v>
      </c>
      <c r="G429" s="281"/>
    </row>
    <row r="430" spans="1:7" ht="36.700000000000003" customHeight="1" outlineLevel="2" x14ac:dyDescent="0.25">
      <c r="A430" s="81" t="s">
        <v>11</v>
      </c>
      <c r="B430" s="80" t="s">
        <v>117</v>
      </c>
      <c r="C430" s="80" t="s">
        <v>535</v>
      </c>
      <c r="D430" s="80" t="s">
        <v>12</v>
      </c>
      <c r="E430" s="82">
        <f>E431</f>
        <v>5312427</v>
      </c>
      <c r="F430" s="82">
        <f>F431</f>
        <v>5232924</v>
      </c>
      <c r="G430" s="281"/>
    </row>
    <row r="431" spans="1:7" ht="18" customHeight="1" outlineLevel="4" x14ac:dyDescent="0.25">
      <c r="A431" s="81" t="s">
        <v>13</v>
      </c>
      <c r="B431" s="80" t="s">
        <v>117</v>
      </c>
      <c r="C431" s="80" t="s">
        <v>535</v>
      </c>
      <c r="D431" s="80" t="s">
        <v>14</v>
      </c>
      <c r="E431" s="82">
        <f>'прил 12 (2)'!F630</f>
        <v>5312427</v>
      </c>
      <c r="F431" s="82">
        <f>'прил 12 (2)'!G630</f>
        <v>5232924</v>
      </c>
      <c r="G431" s="281"/>
    </row>
    <row r="432" spans="1:7" ht="18" customHeight="1" outlineLevel="5" x14ac:dyDescent="0.25">
      <c r="A432" s="81" t="s">
        <v>15</v>
      </c>
      <c r="B432" s="80" t="s">
        <v>117</v>
      </c>
      <c r="C432" s="80" t="s">
        <v>535</v>
      </c>
      <c r="D432" s="80" t="s">
        <v>16</v>
      </c>
      <c r="E432" s="82">
        <f>E433</f>
        <v>130000</v>
      </c>
      <c r="F432" s="82">
        <f>F433</f>
        <v>130000</v>
      </c>
      <c r="G432" s="281"/>
    </row>
    <row r="433" spans="1:9" ht="36" customHeight="1" outlineLevel="6" x14ac:dyDescent="0.25">
      <c r="A433" s="81" t="s">
        <v>17</v>
      </c>
      <c r="B433" s="80" t="s">
        <v>117</v>
      </c>
      <c r="C433" s="80" t="s">
        <v>535</v>
      </c>
      <c r="D433" s="80" t="s">
        <v>18</v>
      </c>
      <c r="E433" s="82">
        <f>'прил 12 (2)'!F632</f>
        <v>130000</v>
      </c>
      <c r="F433" s="82">
        <f>'прил 12 (2)'!G632</f>
        <v>130000</v>
      </c>
      <c r="G433" s="281"/>
    </row>
    <row r="434" spans="1:9" hidden="1" outlineLevel="4" x14ac:dyDescent="0.25">
      <c r="A434" s="81" t="s">
        <v>19</v>
      </c>
      <c r="B434" s="80" t="s">
        <v>117</v>
      </c>
      <c r="C434" s="80" t="s">
        <v>535</v>
      </c>
      <c r="D434" s="80" t="s">
        <v>20</v>
      </c>
      <c r="E434" s="82">
        <f>E435</f>
        <v>0</v>
      </c>
      <c r="F434" s="82">
        <f>F435</f>
        <v>0</v>
      </c>
      <c r="G434" s="281"/>
    </row>
    <row r="435" spans="1:9" hidden="1" outlineLevel="5" x14ac:dyDescent="0.25">
      <c r="A435" s="81" t="s">
        <v>21</v>
      </c>
      <c r="B435" s="80" t="s">
        <v>117</v>
      </c>
      <c r="C435" s="80" t="s">
        <v>535</v>
      </c>
      <c r="D435" s="80" t="s">
        <v>22</v>
      </c>
      <c r="E435" s="82">
        <f>'прил 12'!F631</f>
        <v>0</v>
      </c>
      <c r="F435" s="82">
        <f>'прил 12'!G631</f>
        <v>0</v>
      </c>
      <c r="G435" s="281"/>
    </row>
    <row r="436" spans="1:9" ht="36.700000000000003" outlineLevel="6" x14ac:dyDescent="0.25">
      <c r="A436" s="81" t="s">
        <v>33</v>
      </c>
      <c r="B436" s="80" t="s">
        <v>117</v>
      </c>
      <c r="C436" s="80" t="s">
        <v>154</v>
      </c>
      <c r="D436" s="80" t="s">
        <v>6</v>
      </c>
      <c r="E436" s="82">
        <f>E437+E439+E441</f>
        <v>14893909</v>
      </c>
      <c r="F436" s="82">
        <f>F437+F439+F441</f>
        <v>14108279.24</v>
      </c>
      <c r="G436" s="281"/>
    </row>
    <row r="437" spans="1:9" s="170" customFormat="1" ht="54.7" customHeight="1" x14ac:dyDescent="0.25">
      <c r="A437" s="81" t="s">
        <v>11</v>
      </c>
      <c r="B437" s="80" t="s">
        <v>117</v>
      </c>
      <c r="C437" s="80" t="s">
        <v>154</v>
      </c>
      <c r="D437" s="80" t="s">
        <v>12</v>
      </c>
      <c r="E437" s="82">
        <f>E438</f>
        <v>12715139</v>
      </c>
      <c r="F437" s="82">
        <f>F438</f>
        <v>12030237.24</v>
      </c>
      <c r="G437" s="281"/>
    </row>
    <row r="438" spans="1:9" x14ac:dyDescent="0.25">
      <c r="A438" s="81" t="s">
        <v>34</v>
      </c>
      <c r="B438" s="80" t="s">
        <v>117</v>
      </c>
      <c r="C438" s="80" t="s">
        <v>154</v>
      </c>
      <c r="D438" s="80" t="s">
        <v>35</v>
      </c>
      <c r="E438" s="82">
        <f>'прил 12 (2)'!F637</f>
        <v>12715139</v>
      </c>
      <c r="F438" s="82">
        <f>'прил 12 (2)'!G637</f>
        <v>12030237.24</v>
      </c>
      <c r="G438" s="281"/>
    </row>
    <row r="439" spans="1:9" ht="18" customHeight="1" x14ac:dyDescent="0.25">
      <c r="A439" s="81" t="s">
        <v>15</v>
      </c>
      <c r="B439" s="80" t="s">
        <v>117</v>
      </c>
      <c r="C439" s="80" t="s">
        <v>154</v>
      </c>
      <c r="D439" s="80" t="s">
        <v>16</v>
      </c>
      <c r="E439" s="82">
        <f>E440</f>
        <v>2141434</v>
      </c>
      <c r="F439" s="82">
        <f>F440</f>
        <v>2041434</v>
      </c>
      <c r="G439" s="281"/>
    </row>
    <row r="440" spans="1:9" ht="36.700000000000003" x14ac:dyDescent="0.25">
      <c r="A440" s="81" t="s">
        <v>17</v>
      </c>
      <c r="B440" s="80" t="s">
        <v>117</v>
      </c>
      <c r="C440" s="80" t="s">
        <v>154</v>
      </c>
      <c r="D440" s="80" t="s">
        <v>18</v>
      </c>
      <c r="E440" s="82">
        <f>'прил 12 (2)'!F639</f>
        <v>2141434</v>
      </c>
      <c r="F440" s="82">
        <f>'прил 12 (2)'!G639</f>
        <v>2041434</v>
      </c>
      <c r="G440" s="281"/>
      <c r="H440" s="164"/>
      <c r="I440" s="164"/>
    </row>
    <row r="441" spans="1:9" x14ac:dyDescent="0.25">
      <c r="A441" s="81" t="s">
        <v>19</v>
      </c>
      <c r="B441" s="80" t="s">
        <v>117</v>
      </c>
      <c r="C441" s="80" t="s">
        <v>154</v>
      </c>
      <c r="D441" s="80" t="s">
        <v>20</v>
      </c>
      <c r="E441" s="82">
        <f>E442</f>
        <v>37336</v>
      </c>
      <c r="F441" s="82">
        <f>F442</f>
        <v>36608</v>
      </c>
      <c r="G441" s="281"/>
      <c r="H441" s="164"/>
      <c r="I441" s="164"/>
    </row>
    <row r="442" spans="1:9" x14ac:dyDescent="0.25">
      <c r="A442" s="81" t="s">
        <v>21</v>
      </c>
      <c r="B442" s="80" t="s">
        <v>117</v>
      </c>
      <c r="C442" s="80" t="s">
        <v>154</v>
      </c>
      <c r="D442" s="80" t="s">
        <v>22</v>
      </c>
      <c r="E442" s="82">
        <f>'прил 12 (2)'!F641</f>
        <v>37336</v>
      </c>
      <c r="F442" s="82">
        <f>'прил 12 (2)'!G641</f>
        <v>36608</v>
      </c>
      <c r="G442" s="281"/>
      <c r="H442" s="164"/>
      <c r="I442" s="164"/>
    </row>
    <row r="443" spans="1:9" ht="39.25" customHeight="1" x14ac:dyDescent="0.25">
      <c r="A443" s="25" t="s">
        <v>36</v>
      </c>
      <c r="B443" s="80" t="s">
        <v>117</v>
      </c>
      <c r="C443" s="80" t="s">
        <v>155</v>
      </c>
      <c r="D443" s="80" t="s">
        <v>6</v>
      </c>
      <c r="E443" s="82">
        <f>E444</f>
        <v>2356900</v>
      </c>
      <c r="F443" s="82">
        <f>F444</f>
        <v>2356900</v>
      </c>
      <c r="G443" s="281"/>
      <c r="H443" s="164"/>
      <c r="I443" s="164"/>
    </row>
    <row r="444" spans="1:9" ht="36.700000000000003" x14ac:dyDescent="0.25">
      <c r="A444" s="81" t="s">
        <v>37</v>
      </c>
      <c r="B444" s="80" t="s">
        <v>117</v>
      </c>
      <c r="C444" s="80" t="s">
        <v>155</v>
      </c>
      <c r="D444" s="80" t="s">
        <v>38</v>
      </c>
      <c r="E444" s="82">
        <f>E445</f>
        <v>2356900</v>
      </c>
      <c r="F444" s="82">
        <f>F445</f>
        <v>2356900</v>
      </c>
      <c r="G444" s="281"/>
      <c r="H444" s="164"/>
      <c r="I444" s="164"/>
    </row>
    <row r="445" spans="1:9" x14ac:dyDescent="0.25">
      <c r="A445" s="81" t="s">
        <v>39</v>
      </c>
      <c r="B445" s="80" t="s">
        <v>117</v>
      </c>
      <c r="C445" s="80" t="s">
        <v>155</v>
      </c>
      <c r="D445" s="80" t="s">
        <v>40</v>
      </c>
      <c r="E445" s="82">
        <f>'прил 12 (2)'!F644</f>
        <v>2356900</v>
      </c>
      <c r="F445" s="82">
        <f>'прил 12 (2)'!G644</f>
        <v>2356900</v>
      </c>
      <c r="G445" s="281"/>
      <c r="H445" s="164"/>
      <c r="I445" s="164"/>
    </row>
    <row r="446" spans="1:9" x14ac:dyDescent="0.25">
      <c r="A446" s="109" t="s">
        <v>79</v>
      </c>
      <c r="B446" s="110" t="s">
        <v>80</v>
      </c>
      <c r="C446" s="110" t="s">
        <v>126</v>
      </c>
      <c r="D446" s="110" t="s">
        <v>6</v>
      </c>
      <c r="E446" s="85">
        <f>E447+E474</f>
        <v>47632618.199999996</v>
      </c>
      <c r="F446" s="85">
        <f>F447+F474</f>
        <v>47077831.629999995</v>
      </c>
      <c r="G446" s="283">
        <f>потребность!G695</f>
        <v>25799948.490000002</v>
      </c>
      <c r="H446" s="283">
        <f>потребность!H695</f>
        <v>33962060.940000005</v>
      </c>
      <c r="I446" s="164"/>
    </row>
    <row r="447" spans="1:9" x14ac:dyDescent="0.25">
      <c r="A447" s="81" t="s">
        <v>81</v>
      </c>
      <c r="B447" s="80" t="s">
        <v>82</v>
      </c>
      <c r="C447" s="80" t="s">
        <v>126</v>
      </c>
      <c r="D447" s="80" t="s">
        <v>6</v>
      </c>
      <c r="E447" s="82">
        <f>E448</f>
        <v>38574023.619999997</v>
      </c>
      <c r="F447" s="82">
        <f>F448</f>
        <v>38019237.049999997</v>
      </c>
      <c r="G447" s="281"/>
      <c r="H447" s="164"/>
      <c r="I447" s="164"/>
    </row>
    <row r="448" spans="1:9" ht="39.75" customHeight="1" x14ac:dyDescent="0.25">
      <c r="A448" s="109" t="s">
        <v>860</v>
      </c>
      <c r="B448" s="110" t="s">
        <v>82</v>
      </c>
      <c r="C448" s="110" t="s">
        <v>136</v>
      </c>
      <c r="D448" s="110" t="s">
        <v>6</v>
      </c>
      <c r="E448" s="82">
        <f>E449+E466+E453</f>
        <v>38574023.619999997</v>
      </c>
      <c r="F448" s="82">
        <f>F449+F466+F453</f>
        <v>38019237.049999997</v>
      </c>
      <c r="G448" s="281"/>
      <c r="H448" s="164"/>
      <c r="I448" s="164"/>
    </row>
    <row r="449" spans="1:9" ht="36.700000000000003" x14ac:dyDescent="0.25">
      <c r="A449" s="81" t="s">
        <v>370</v>
      </c>
      <c r="B449" s="80" t="s">
        <v>82</v>
      </c>
      <c r="C449" s="80" t="s">
        <v>227</v>
      </c>
      <c r="D449" s="80" t="s">
        <v>6</v>
      </c>
      <c r="E449" s="82">
        <f>E463+E460+E450</f>
        <v>10432521.9</v>
      </c>
      <c r="F449" s="82">
        <f>F463+F460+F450</f>
        <v>9583568.5999999996</v>
      </c>
      <c r="G449" s="281"/>
      <c r="H449" s="164"/>
      <c r="I449" s="164"/>
    </row>
    <row r="450" spans="1:9" ht="39.75" customHeight="1" x14ac:dyDescent="0.25">
      <c r="A450" s="25" t="s">
        <v>84</v>
      </c>
      <c r="B450" s="80" t="s">
        <v>82</v>
      </c>
      <c r="C450" s="80" t="s">
        <v>141</v>
      </c>
      <c r="D450" s="80" t="s">
        <v>6</v>
      </c>
      <c r="E450" s="82">
        <f>E451</f>
        <v>10259320.870000001</v>
      </c>
      <c r="F450" s="82">
        <f>F451</f>
        <v>9410367.5700000003</v>
      </c>
      <c r="G450" s="281"/>
      <c r="H450" s="164"/>
      <c r="I450" s="164"/>
    </row>
    <row r="451" spans="1:9" ht="36.700000000000003" x14ac:dyDescent="0.25">
      <c r="A451" s="81" t="s">
        <v>37</v>
      </c>
      <c r="B451" s="80" t="s">
        <v>82</v>
      </c>
      <c r="C451" s="80" t="s">
        <v>141</v>
      </c>
      <c r="D451" s="80" t="s">
        <v>38</v>
      </c>
      <c r="E451" s="82">
        <f>E452</f>
        <v>10259320.870000001</v>
      </c>
      <c r="F451" s="82">
        <f>F452</f>
        <v>9410367.5700000003</v>
      </c>
      <c r="G451" s="281"/>
      <c r="H451" s="164"/>
      <c r="I451" s="164"/>
    </row>
    <row r="452" spans="1:9" x14ac:dyDescent="0.25">
      <c r="A452" s="81" t="s">
        <v>74</v>
      </c>
      <c r="B452" s="80" t="s">
        <v>82</v>
      </c>
      <c r="C452" s="80" t="s">
        <v>141</v>
      </c>
      <c r="D452" s="80" t="s">
        <v>75</v>
      </c>
      <c r="E452" s="82">
        <f>'прил 12 (2)'!F364</f>
        <v>10259320.870000001</v>
      </c>
      <c r="F452" s="82">
        <f>'прил 12 (2)'!G364</f>
        <v>9410367.5700000003</v>
      </c>
      <c r="G452" s="281"/>
      <c r="H452" s="164"/>
      <c r="I452" s="164"/>
    </row>
    <row r="453" spans="1:9" ht="36.700000000000003" x14ac:dyDescent="0.25">
      <c r="A453" s="81" t="s">
        <v>678</v>
      </c>
      <c r="B453" s="80" t="s">
        <v>82</v>
      </c>
      <c r="C453" s="80" t="s">
        <v>677</v>
      </c>
      <c r="D453" s="80" t="s">
        <v>6</v>
      </c>
      <c r="E453" s="82">
        <f>E454+E457</f>
        <v>27395001.719999999</v>
      </c>
      <c r="F453" s="82">
        <f>F454+F457</f>
        <v>25888294.030000001</v>
      </c>
      <c r="G453" s="281"/>
      <c r="H453" s="164"/>
      <c r="I453" s="164"/>
    </row>
    <row r="454" spans="1:9" ht="36" customHeight="1" x14ac:dyDescent="0.25">
      <c r="A454" s="25" t="s">
        <v>84</v>
      </c>
      <c r="B454" s="80" t="s">
        <v>82</v>
      </c>
      <c r="C454" s="80" t="s">
        <v>676</v>
      </c>
      <c r="D454" s="80" t="s">
        <v>6</v>
      </c>
      <c r="E454" s="82">
        <f>E455</f>
        <v>27395001.719999999</v>
      </c>
      <c r="F454" s="82">
        <f>F455</f>
        <v>25888294.030000001</v>
      </c>
      <c r="G454" s="281"/>
      <c r="H454" s="164"/>
      <c r="I454" s="164"/>
    </row>
    <row r="455" spans="1:9" ht="36.700000000000003" x14ac:dyDescent="0.25">
      <c r="A455" s="81" t="s">
        <v>37</v>
      </c>
      <c r="B455" s="80" t="s">
        <v>82</v>
      </c>
      <c r="C455" s="80" t="s">
        <v>676</v>
      </c>
      <c r="D455" s="80" t="s">
        <v>38</v>
      </c>
      <c r="E455" s="82">
        <f>E456</f>
        <v>27395001.719999999</v>
      </c>
      <c r="F455" s="82">
        <f>F456</f>
        <v>25888294.030000001</v>
      </c>
      <c r="G455" s="281"/>
      <c r="H455" s="164"/>
      <c r="I455" s="164"/>
    </row>
    <row r="456" spans="1:9" ht="16.5" customHeight="1" x14ac:dyDescent="0.25">
      <c r="A456" s="81" t="s">
        <v>74</v>
      </c>
      <c r="B456" s="80" t="s">
        <v>82</v>
      </c>
      <c r="C456" s="80" t="s">
        <v>676</v>
      </c>
      <c r="D456" s="80" t="s">
        <v>75</v>
      </c>
      <c r="E456" s="82">
        <f>'прил 12 (2)'!F374</f>
        <v>27395001.719999999</v>
      </c>
      <c r="F456" s="82">
        <f>'прил 12 (2)'!G374</f>
        <v>25888294.030000001</v>
      </c>
      <c r="G456" s="281"/>
      <c r="H456" s="164"/>
      <c r="I456" s="164"/>
    </row>
    <row r="457" spans="1:9" ht="73.400000000000006" hidden="1" x14ac:dyDescent="0.3">
      <c r="A457" s="123" t="s">
        <v>710</v>
      </c>
      <c r="B457" s="80" t="s">
        <v>82</v>
      </c>
      <c r="C457" s="80" t="s">
        <v>712</v>
      </c>
      <c r="D457" s="80" t="s">
        <v>6</v>
      </c>
      <c r="E457" s="82">
        <f>E458</f>
        <v>0</v>
      </c>
      <c r="F457" s="82">
        <f>F458</f>
        <v>0</v>
      </c>
      <c r="G457" s="281"/>
      <c r="H457" s="164"/>
      <c r="I457" s="164"/>
    </row>
    <row r="458" spans="1:9" ht="36.700000000000003" hidden="1" x14ac:dyDescent="0.25">
      <c r="A458" s="81" t="s">
        <v>37</v>
      </c>
      <c r="B458" s="80" t="s">
        <v>82</v>
      </c>
      <c r="C458" s="80" t="s">
        <v>712</v>
      </c>
      <c r="D458" s="80" t="s">
        <v>38</v>
      </c>
      <c r="E458" s="82">
        <f>E459</f>
        <v>0</v>
      </c>
      <c r="F458" s="82">
        <f>F459</f>
        <v>0</v>
      </c>
      <c r="G458" s="281"/>
      <c r="H458" s="164"/>
      <c r="I458" s="164"/>
    </row>
    <row r="459" spans="1:9" hidden="1" x14ac:dyDescent="0.3">
      <c r="A459" s="123" t="s">
        <v>74</v>
      </c>
      <c r="B459" s="80" t="s">
        <v>82</v>
      </c>
      <c r="C459" s="80" t="s">
        <v>712</v>
      </c>
      <c r="D459" s="80" t="s">
        <v>75</v>
      </c>
      <c r="E459" s="82">
        <f>'прил 12'!F368</f>
        <v>0</v>
      </c>
      <c r="F459" s="82">
        <f>'прил 12'!G368</f>
        <v>0</v>
      </c>
      <c r="G459" s="281"/>
      <c r="H459" s="164"/>
      <c r="I459" s="164"/>
    </row>
    <row r="460" spans="1:9" ht="41.45" customHeight="1" x14ac:dyDescent="0.25">
      <c r="A460" s="100" t="s">
        <v>985</v>
      </c>
      <c r="B460" s="80" t="s">
        <v>82</v>
      </c>
      <c r="C460" s="80" t="s">
        <v>294</v>
      </c>
      <c r="D460" s="80" t="s">
        <v>6</v>
      </c>
      <c r="E460" s="82">
        <f>E461</f>
        <v>168005</v>
      </c>
      <c r="F460" s="82">
        <f>F461</f>
        <v>168005</v>
      </c>
      <c r="G460" s="281"/>
      <c r="H460" s="164"/>
      <c r="I460" s="164"/>
    </row>
    <row r="461" spans="1:9" ht="36.700000000000003" x14ac:dyDescent="0.25">
      <c r="A461" s="81" t="s">
        <v>37</v>
      </c>
      <c r="B461" s="80" t="s">
        <v>82</v>
      </c>
      <c r="C461" s="80" t="s">
        <v>294</v>
      </c>
      <c r="D461" s="80" t="s">
        <v>38</v>
      </c>
      <c r="E461" s="82">
        <f>E462</f>
        <v>168005</v>
      </c>
      <c r="F461" s="82">
        <f>F462</f>
        <v>168005</v>
      </c>
      <c r="G461" s="281"/>
      <c r="H461" s="164"/>
      <c r="I461" s="164"/>
    </row>
    <row r="462" spans="1:9" x14ac:dyDescent="0.25">
      <c r="A462" s="81" t="s">
        <v>74</v>
      </c>
      <c r="B462" s="80" t="s">
        <v>82</v>
      </c>
      <c r="C462" s="80" t="s">
        <v>294</v>
      </c>
      <c r="D462" s="80" t="s">
        <v>75</v>
      </c>
      <c r="E462" s="82">
        <f>'прил 12 (2)'!F367</f>
        <v>168005</v>
      </c>
      <c r="F462" s="82">
        <f>'прил 12 (2)'!G367</f>
        <v>168005</v>
      </c>
      <c r="G462" s="281"/>
      <c r="H462" s="164"/>
      <c r="I462" s="164"/>
    </row>
    <row r="463" spans="1:9" ht="58.75" customHeight="1" x14ac:dyDescent="0.25">
      <c r="A463" s="81" t="s">
        <v>307</v>
      </c>
      <c r="B463" s="80" t="s">
        <v>82</v>
      </c>
      <c r="C463" s="80" t="s">
        <v>308</v>
      </c>
      <c r="D463" s="80" t="s">
        <v>6</v>
      </c>
      <c r="E463" s="82">
        <f>E464</f>
        <v>5196.03</v>
      </c>
      <c r="F463" s="82">
        <f>F464</f>
        <v>5196.03</v>
      </c>
      <c r="G463" s="281"/>
      <c r="H463" s="164"/>
      <c r="I463" s="164"/>
    </row>
    <row r="464" spans="1:9" ht="36.700000000000003" x14ac:dyDescent="0.25">
      <c r="A464" s="81" t="s">
        <v>37</v>
      </c>
      <c r="B464" s="80" t="s">
        <v>82</v>
      </c>
      <c r="C464" s="80" t="s">
        <v>308</v>
      </c>
      <c r="D464" s="80" t="s">
        <v>38</v>
      </c>
      <c r="E464" s="82">
        <f>E465</f>
        <v>5196.03</v>
      </c>
      <c r="F464" s="82">
        <f>F465</f>
        <v>5196.03</v>
      </c>
      <c r="G464" s="281"/>
      <c r="H464" s="164"/>
      <c r="I464" s="164"/>
    </row>
    <row r="465" spans="1:9" x14ac:dyDescent="0.25">
      <c r="A465" s="81" t="s">
        <v>74</v>
      </c>
      <c r="B465" s="80" t="s">
        <v>82</v>
      </c>
      <c r="C465" s="80" t="s">
        <v>308</v>
      </c>
      <c r="D465" s="80" t="s">
        <v>75</v>
      </c>
      <c r="E465" s="82">
        <f>'прил 12 (2)'!F370</f>
        <v>5196.03</v>
      </c>
      <c r="F465" s="82">
        <f>'прил 12 (2)'!G370</f>
        <v>5196.03</v>
      </c>
      <c r="G465" s="281"/>
      <c r="H465" s="164"/>
      <c r="I465" s="164"/>
    </row>
    <row r="466" spans="1:9" ht="21.25" customHeight="1" x14ac:dyDescent="0.25">
      <c r="A466" s="81" t="s">
        <v>211</v>
      </c>
      <c r="B466" s="80" t="s">
        <v>82</v>
      </c>
      <c r="C466" s="80" t="s">
        <v>229</v>
      </c>
      <c r="D466" s="80" t="s">
        <v>6</v>
      </c>
      <c r="E466" s="82">
        <f>E467</f>
        <v>746500</v>
      </c>
      <c r="F466" s="82">
        <f>F467+F471</f>
        <v>2547374.42</v>
      </c>
      <c r="G466" s="281"/>
      <c r="H466" s="164"/>
      <c r="I466" s="164"/>
    </row>
    <row r="467" spans="1:9" x14ac:dyDescent="0.25">
      <c r="A467" s="81" t="s">
        <v>83</v>
      </c>
      <c r="B467" s="80" t="s">
        <v>82</v>
      </c>
      <c r="C467" s="80" t="s">
        <v>140</v>
      </c>
      <c r="D467" s="80" t="s">
        <v>6</v>
      </c>
      <c r="E467" s="82">
        <f>E468</f>
        <v>746500</v>
      </c>
      <c r="F467" s="82">
        <f>F468</f>
        <v>746500</v>
      </c>
      <c r="G467" s="281"/>
      <c r="H467" s="164"/>
      <c r="I467" s="164"/>
    </row>
    <row r="468" spans="1:9" ht="36.700000000000003" x14ac:dyDescent="0.25">
      <c r="A468" s="81" t="s">
        <v>37</v>
      </c>
      <c r="B468" s="80" t="s">
        <v>82</v>
      </c>
      <c r="C468" s="80" t="s">
        <v>140</v>
      </c>
      <c r="D468" s="80" t="s">
        <v>38</v>
      </c>
      <c r="E468" s="82">
        <f>E469+E470</f>
        <v>746500</v>
      </c>
      <c r="F468" s="82">
        <f>F469+F470</f>
        <v>746500</v>
      </c>
      <c r="G468" s="281"/>
      <c r="H468" s="164"/>
      <c r="I468" s="164"/>
    </row>
    <row r="469" spans="1:9" x14ac:dyDescent="0.25">
      <c r="A469" s="81" t="s">
        <v>74</v>
      </c>
      <c r="B469" s="80" t="s">
        <v>82</v>
      </c>
      <c r="C469" s="80" t="s">
        <v>140</v>
      </c>
      <c r="D469" s="80" t="s">
        <v>75</v>
      </c>
      <c r="E469" s="82">
        <f>'прил 12 (2)'!F381</f>
        <v>632500</v>
      </c>
      <c r="F469" s="82">
        <f>'прил 12 (2)'!G381</f>
        <v>632500</v>
      </c>
      <c r="G469" s="281"/>
      <c r="H469" s="164"/>
      <c r="I469" s="164"/>
    </row>
    <row r="470" spans="1:9" ht="34.5" customHeight="1" x14ac:dyDescent="0.3">
      <c r="A470" s="123" t="s">
        <v>371</v>
      </c>
      <c r="B470" s="80" t="s">
        <v>82</v>
      </c>
      <c r="C470" s="80" t="s">
        <v>140</v>
      </c>
      <c r="D470" s="80" t="s">
        <v>252</v>
      </c>
      <c r="E470" s="82">
        <f>'прил 12 (2)'!F382</f>
        <v>114000</v>
      </c>
      <c r="F470" s="82">
        <f>'прил 12 (2)'!G382</f>
        <v>114000</v>
      </c>
      <c r="G470" s="281"/>
      <c r="H470" s="164"/>
      <c r="I470" s="164"/>
    </row>
    <row r="471" spans="1:9" ht="43.5" customHeight="1" x14ac:dyDescent="0.25">
      <c r="A471" s="81" t="s">
        <v>1091</v>
      </c>
      <c r="B471" s="80" t="s">
        <v>82</v>
      </c>
      <c r="C471" s="80" t="s">
        <v>1094</v>
      </c>
      <c r="D471" s="83" t="s">
        <v>6</v>
      </c>
      <c r="E471" s="621">
        <v>0</v>
      </c>
      <c r="F471" s="82">
        <f>F472</f>
        <v>1800874.42</v>
      </c>
      <c r="G471" s="281"/>
      <c r="H471" s="164"/>
      <c r="I471" s="164"/>
    </row>
    <row r="472" spans="1:9" ht="34.5" customHeight="1" x14ac:dyDescent="0.25">
      <c r="A472" s="81" t="s">
        <v>37</v>
      </c>
      <c r="B472" s="80" t="s">
        <v>82</v>
      </c>
      <c r="C472" s="80" t="s">
        <v>1094</v>
      </c>
      <c r="D472" s="83" t="s">
        <v>38</v>
      </c>
      <c r="E472" s="621">
        <v>0</v>
      </c>
      <c r="F472" s="82">
        <f>F473</f>
        <v>1800874.42</v>
      </c>
      <c r="G472" s="281"/>
      <c r="H472" s="164"/>
      <c r="I472" s="164"/>
    </row>
    <row r="473" spans="1:9" ht="34.5" customHeight="1" x14ac:dyDescent="0.25">
      <c r="A473" s="81" t="s">
        <v>74</v>
      </c>
      <c r="B473" s="80" t="s">
        <v>82</v>
      </c>
      <c r="C473" s="80" t="s">
        <v>1094</v>
      </c>
      <c r="D473" s="83" t="s">
        <v>75</v>
      </c>
      <c r="E473" s="621">
        <v>0</v>
      </c>
      <c r="F473" s="82">
        <f>'прил 12 (2)'!G385</f>
        <v>1800874.42</v>
      </c>
      <c r="G473" s="281"/>
      <c r="H473" s="164"/>
      <c r="I473" s="164"/>
    </row>
    <row r="474" spans="1:9" ht="26.5" customHeight="1" x14ac:dyDescent="0.25">
      <c r="A474" s="81" t="s">
        <v>522</v>
      </c>
      <c r="B474" s="80" t="s">
        <v>523</v>
      </c>
      <c r="C474" s="80" t="s">
        <v>126</v>
      </c>
      <c r="D474" s="80" t="s">
        <v>6</v>
      </c>
      <c r="E474" s="82">
        <f>E475+E483</f>
        <v>9058594.5800000001</v>
      </c>
      <c r="F474" s="82">
        <f>F475+F483</f>
        <v>9058594.5800000001</v>
      </c>
      <c r="G474" s="281"/>
      <c r="H474" s="164"/>
      <c r="I474" s="164"/>
    </row>
    <row r="475" spans="1:9" ht="18.7" customHeight="1" x14ac:dyDescent="0.25">
      <c r="A475" s="81" t="s">
        <v>369</v>
      </c>
      <c r="B475" s="80" t="s">
        <v>523</v>
      </c>
      <c r="C475" s="80" t="s">
        <v>136</v>
      </c>
      <c r="D475" s="80" t="s">
        <v>6</v>
      </c>
      <c r="E475" s="82">
        <f t="shared" ref="E475:F478" si="27">E476</f>
        <v>9058594.5800000001</v>
      </c>
      <c r="F475" s="82">
        <f t="shared" si="27"/>
        <v>9058594.5800000001</v>
      </c>
      <c r="G475" s="281"/>
      <c r="H475" s="164"/>
      <c r="I475" s="164"/>
    </row>
    <row r="476" spans="1:9" ht="31.25" customHeight="1" x14ac:dyDescent="0.25">
      <c r="A476" s="81" t="s">
        <v>211</v>
      </c>
      <c r="B476" s="80" t="s">
        <v>523</v>
      </c>
      <c r="C476" s="80" t="s">
        <v>229</v>
      </c>
      <c r="D476" s="80" t="s">
        <v>6</v>
      </c>
      <c r="E476" s="82">
        <f>E477+E480</f>
        <v>9058594.5800000001</v>
      </c>
      <c r="F476" s="82">
        <f>F477+F480</f>
        <v>9058594.5800000001</v>
      </c>
      <c r="G476" s="281"/>
      <c r="H476" s="164"/>
      <c r="I476" s="164"/>
    </row>
    <row r="477" spans="1:9" ht="67.95" hidden="1" customHeight="1" x14ac:dyDescent="0.25">
      <c r="A477" s="81" t="s">
        <v>872</v>
      </c>
      <c r="B477" s="80" t="s">
        <v>523</v>
      </c>
      <c r="C477" s="80" t="s">
        <v>871</v>
      </c>
      <c r="D477" s="80" t="s">
        <v>6</v>
      </c>
      <c r="E477" s="82">
        <f t="shared" si="27"/>
        <v>0</v>
      </c>
      <c r="F477" s="82">
        <f t="shared" si="27"/>
        <v>0</v>
      </c>
      <c r="G477" s="281"/>
      <c r="H477" s="164"/>
      <c r="I477" s="164"/>
    </row>
    <row r="478" spans="1:9" ht="50.95" hidden="1" customHeight="1" x14ac:dyDescent="0.25">
      <c r="A478" s="81" t="s">
        <v>37</v>
      </c>
      <c r="B478" s="80" t="s">
        <v>523</v>
      </c>
      <c r="C478" s="80" t="s">
        <v>871</v>
      </c>
      <c r="D478" s="80" t="s">
        <v>38</v>
      </c>
      <c r="E478" s="82">
        <f t="shared" si="27"/>
        <v>0</v>
      </c>
      <c r="F478" s="82">
        <f t="shared" si="27"/>
        <v>0</v>
      </c>
      <c r="G478" s="281"/>
      <c r="H478" s="164"/>
      <c r="I478" s="164"/>
    </row>
    <row r="479" spans="1:9" ht="20.399999999999999" hidden="1" customHeight="1" x14ac:dyDescent="0.25">
      <c r="A479" s="81" t="s">
        <v>74</v>
      </c>
      <c r="B479" s="80" t="s">
        <v>523</v>
      </c>
      <c r="C479" s="80" t="s">
        <v>871</v>
      </c>
      <c r="D479" s="80" t="s">
        <v>75</v>
      </c>
      <c r="E479" s="82">
        <v>0</v>
      </c>
      <c r="F479" s="82">
        <v>0</v>
      </c>
      <c r="G479" s="281"/>
      <c r="H479" s="164"/>
      <c r="I479" s="164"/>
    </row>
    <row r="480" spans="1:9" ht="74.05" customHeight="1" x14ac:dyDescent="0.25">
      <c r="A480" s="589" t="s">
        <v>1043</v>
      </c>
      <c r="B480" s="80" t="s">
        <v>523</v>
      </c>
      <c r="C480" s="80" t="s">
        <v>1044</v>
      </c>
      <c r="D480" s="80" t="s">
        <v>6</v>
      </c>
      <c r="E480" s="82">
        <f>E481</f>
        <v>9058594.5800000001</v>
      </c>
      <c r="F480" s="82">
        <f>F481</f>
        <v>9058594.5800000001</v>
      </c>
      <c r="G480" s="281"/>
      <c r="H480" s="164"/>
      <c r="I480" s="164"/>
    </row>
    <row r="481" spans="1:9" ht="21.75" customHeight="1" x14ac:dyDescent="0.25">
      <c r="A481" s="81" t="s">
        <v>37</v>
      </c>
      <c r="B481" s="80" t="s">
        <v>523</v>
      </c>
      <c r="C481" s="80" t="s">
        <v>1044</v>
      </c>
      <c r="D481" s="80" t="s">
        <v>38</v>
      </c>
      <c r="E481" s="82">
        <f>E482</f>
        <v>9058594.5800000001</v>
      </c>
      <c r="F481" s="82">
        <f>F482</f>
        <v>9058594.5800000001</v>
      </c>
      <c r="G481" s="281"/>
      <c r="H481" s="164"/>
      <c r="I481" s="164"/>
    </row>
    <row r="482" spans="1:9" ht="21.75" customHeight="1" x14ac:dyDescent="0.25">
      <c r="A482" s="81" t="s">
        <v>74</v>
      </c>
      <c r="B482" s="80" t="s">
        <v>523</v>
      </c>
      <c r="C482" s="80" t="s">
        <v>1044</v>
      </c>
      <c r="D482" s="80" t="s">
        <v>75</v>
      </c>
      <c r="E482" s="82">
        <f>'прил 12 (2)'!F397</f>
        <v>9058594.5800000001</v>
      </c>
      <c r="F482" s="82">
        <f>'прил 12 (2)'!G397</f>
        <v>9058594.5800000001</v>
      </c>
      <c r="G482" s="281"/>
      <c r="H482" s="277"/>
      <c r="I482" s="164"/>
    </row>
    <row r="483" spans="1:9" ht="35.5" hidden="1" customHeight="1" x14ac:dyDescent="0.25">
      <c r="A483" s="109" t="s">
        <v>851</v>
      </c>
      <c r="B483" s="110" t="s">
        <v>523</v>
      </c>
      <c r="C483" s="110" t="s">
        <v>331</v>
      </c>
      <c r="D483" s="110" t="s">
        <v>6</v>
      </c>
      <c r="E483" s="82">
        <f>E484</f>
        <v>0</v>
      </c>
      <c r="F483" s="82">
        <v>0</v>
      </c>
      <c r="G483" s="281"/>
      <c r="H483" s="277"/>
      <c r="I483" s="164"/>
    </row>
    <row r="484" spans="1:9" ht="38.9" hidden="1" customHeight="1" x14ac:dyDescent="0.25">
      <c r="A484" s="81" t="s">
        <v>215</v>
      </c>
      <c r="B484" s="80" t="s">
        <v>523</v>
      </c>
      <c r="C484" s="80" t="s">
        <v>332</v>
      </c>
      <c r="D484" s="80" t="s">
        <v>6</v>
      </c>
      <c r="E484" s="82">
        <f>E485</f>
        <v>0</v>
      </c>
      <c r="F484" s="82">
        <v>0</v>
      </c>
      <c r="G484" s="281"/>
      <c r="H484" s="277"/>
      <c r="I484" s="164"/>
    </row>
    <row r="485" spans="1:9" ht="21.75" hidden="1" customHeight="1" x14ac:dyDescent="0.25">
      <c r="A485" s="81" t="s">
        <v>909</v>
      </c>
      <c r="B485" s="80" t="s">
        <v>523</v>
      </c>
      <c r="C485" s="80" t="s">
        <v>908</v>
      </c>
      <c r="D485" s="80" t="s">
        <v>6</v>
      </c>
      <c r="E485" s="82">
        <f>E486</f>
        <v>0</v>
      </c>
      <c r="F485" s="82">
        <v>0</v>
      </c>
      <c r="G485" s="281"/>
      <c r="H485" s="277"/>
      <c r="I485" s="164"/>
    </row>
    <row r="486" spans="1:9" ht="21.75" hidden="1" customHeight="1" x14ac:dyDescent="0.25">
      <c r="A486" s="81" t="s">
        <v>15</v>
      </c>
      <c r="B486" s="80" t="s">
        <v>523</v>
      </c>
      <c r="C486" s="80" t="s">
        <v>908</v>
      </c>
      <c r="D486" s="80" t="s">
        <v>16</v>
      </c>
      <c r="E486" s="82">
        <f>E487</f>
        <v>0</v>
      </c>
      <c r="F486" s="82">
        <v>0</v>
      </c>
      <c r="G486" s="281"/>
      <c r="H486" s="277"/>
      <c r="I486" s="164"/>
    </row>
    <row r="487" spans="1:9" ht="21.75" hidden="1" customHeight="1" x14ac:dyDescent="0.25">
      <c r="A487" s="81" t="s">
        <v>17</v>
      </c>
      <c r="B487" s="80" t="s">
        <v>523</v>
      </c>
      <c r="C487" s="80" t="s">
        <v>908</v>
      </c>
      <c r="D487" s="80" t="s">
        <v>18</v>
      </c>
      <c r="E487" s="290"/>
      <c r="F487" s="82">
        <v>0</v>
      </c>
      <c r="G487" s="281"/>
      <c r="H487" s="277"/>
      <c r="I487" s="164"/>
    </row>
    <row r="488" spans="1:9" x14ac:dyDescent="0.25">
      <c r="A488" s="109" t="s">
        <v>85</v>
      </c>
      <c r="B488" s="110" t="s">
        <v>86</v>
      </c>
      <c r="C488" s="110" t="s">
        <v>126</v>
      </c>
      <c r="D488" s="110" t="s">
        <v>6</v>
      </c>
      <c r="E488" s="85">
        <f>E489+E514+E494</f>
        <v>97083693.060000002</v>
      </c>
      <c r="F488" s="85">
        <f>F489+F514+F494</f>
        <v>98512096.659999996</v>
      </c>
      <c r="G488" s="283">
        <f>потребность!G696</f>
        <v>26150817.98</v>
      </c>
      <c r="H488" s="283">
        <f>потребность!H696</f>
        <v>46812788.289999999</v>
      </c>
      <c r="I488" s="164"/>
    </row>
    <row r="489" spans="1:9" x14ac:dyDescent="0.25">
      <c r="A489" s="81" t="s">
        <v>87</v>
      </c>
      <c r="B489" s="80" t="s">
        <v>88</v>
      </c>
      <c r="C489" s="80" t="s">
        <v>126</v>
      </c>
      <c r="D489" s="80" t="s">
        <v>6</v>
      </c>
      <c r="E489" s="82">
        <f t="shared" ref="E489:F492" si="28">E490</f>
        <v>5533145.6699999999</v>
      </c>
      <c r="F489" s="82">
        <f t="shared" si="28"/>
        <v>5533145.6699999999</v>
      </c>
      <c r="G489" s="281"/>
      <c r="H489" s="164"/>
      <c r="I489" s="164"/>
    </row>
    <row r="490" spans="1:9" x14ac:dyDescent="0.25">
      <c r="A490" s="81" t="s">
        <v>198</v>
      </c>
      <c r="B490" s="80" t="s">
        <v>88</v>
      </c>
      <c r="C490" s="80" t="s">
        <v>127</v>
      </c>
      <c r="D490" s="80" t="s">
        <v>6</v>
      </c>
      <c r="E490" s="82">
        <f t="shared" si="28"/>
        <v>5533145.6699999999</v>
      </c>
      <c r="F490" s="82">
        <f t="shared" si="28"/>
        <v>5533145.6699999999</v>
      </c>
      <c r="G490" s="281"/>
      <c r="H490" s="164"/>
      <c r="I490" s="164"/>
    </row>
    <row r="491" spans="1:9" x14ac:dyDescent="0.25">
      <c r="A491" s="81" t="s">
        <v>89</v>
      </c>
      <c r="B491" s="80" t="s">
        <v>88</v>
      </c>
      <c r="C491" s="80" t="s">
        <v>142</v>
      </c>
      <c r="D491" s="80" t="s">
        <v>6</v>
      </c>
      <c r="E491" s="82">
        <f t="shared" si="28"/>
        <v>5533145.6699999999</v>
      </c>
      <c r="F491" s="82">
        <f t="shared" si="28"/>
        <v>5533145.6699999999</v>
      </c>
      <c r="G491" s="281"/>
      <c r="H491" s="164"/>
      <c r="I491" s="164"/>
    </row>
    <row r="492" spans="1:9" x14ac:dyDescent="0.25">
      <c r="A492" s="81" t="s">
        <v>90</v>
      </c>
      <c r="B492" s="80" t="s">
        <v>88</v>
      </c>
      <c r="C492" s="80" t="s">
        <v>142</v>
      </c>
      <c r="D492" s="80" t="s">
        <v>91</v>
      </c>
      <c r="E492" s="82">
        <f t="shared" si="28"/>
        <v>5533145.6699999999</v>
      </c>
      <c r="F492" s="82">
        <f t="shared" si="28"/>
        <v>5533145.6699999999</v>
      </c>
      <c r="G492" s="281"/>
      <c r="H492" s="164"/>
      <c r="I492" s="164"/>
    </row>
    <row r="493" spans="1:9" x14ac:dyDescent="0.25">
      <c r="A493" s="81" t="s">
        <v>92</v>
      </c>
      <c r="B493" s="80" t="s">
        <v>88</v>
      </c>
      <c r="C493" s="80" t="s">
        <v>142</v>
      </c>
      <c r="D493" s="80" t="s">
        <v>93</v>
      </c>
      <c r="E493" s="82">
        <f>'прил 12 (2)'!F408</f>
        <v>5533145.6699999999</v>
      </c>
      <c r="F493" s="82">
        <f>'прил 12 (2)'!G408</f>
        <v>5533145.6699999999</v>
      </c>
      <c r="G493" s="281"/>
      <c r="H493" s="164"/>
      <c r="I493" s="164"/>
    </row>
    <row r="494" spans="1:9" x14ac:dyDescent="0.25">
      <c r="A494" s="81" t="s">
        <v>94</v>
      </c>
      <c r="B494" s="80" t="s">
        <v>95</v>
      </c>
      <c r="C494" s="80" t="s">
        <v>126</v>
      </c>
      <c r="D494" s="80" t="s">
        <v>6</v>
      </c>
      <c r="E494" s="82">
        <f>E495+E500+E505+E510</f>
        <v>2348949.7000000002</v>
      </c>
      <c r="F494" s="82">
        <f>F495+F500+F505+F510</f>
        <v>2319549.38</v>
      </c>
      <c r="G494" s="281"/>
      <c r="H494" s="164"/>
      <c r="I494" s="164"/>
    </row>
    <row r="495" spans="1:9" ht="36.700000000000003" x14ac:dyDescent="0.25">
      <c r="A495" s="109" t="s">
        <v>825</v>
      </c>
      <c r="B495" s="110" t="s">
        <v>95</v>
      </c>
      <c r="C495" s="110" t="s">
        <v>138</v>
      </c>
      <c r="D495" s="110" t="s">
        <v>6</v>
      </c>
      <c r="E495" s="82">
        <f t="shared" ref="E495:F498" si="29">E496</f>
        <v>1310000</v>
      </c>
      <c r="F495" s="82">
        <f t="shared" si="29"/>
        <v>1310000</v>
      </c>
      <c r="G495" s="281"/>
      <c r="H495" s="164"/>
      <c r="I495" s="164"/>
    </row>
    <row r="496" spans="1:9" x14ac:dyDescent="0.25">
      <c r="A496" s="113" t="s">
        <v>1062</v>
      </c>
      <c r="B496" s="80" t="s">
        <v>95</v>
      </c>
      <c r="C496" s="80" t="s">
        <v>736</v>
      </c>
      <c r="D496" s="80" t="s">
        <v>6</v>
      </c>
      <c r="E496" s="82">
        <f t="shared" si="29"/>
        <v>1310000</v>
      </c>
      <c r="F496" s="82">
        <f t="shared" si="29"/>
        <v>1310000</v>
      </c>
      <c r="G496" s="281"/>
      <c r="H496" s="164"/>
      <c r="I496" s="164"/>
    </row>
    <row r="497" spans="1:9" ht="78.8" customHeight="1" x14ac:dyDescent="0.25">
      <c r="A497" s="100" t="s">
        <v>405</v>
      </c>
      <c r="B497" s="80" t="s">
        <v>95</v>
      </c>
      <c r="C497" s="80" t="s">
        <v>737</v>
      </c>
      <c r="D497" s="80" t="s">
        <v>6</v>
      </c>
      <c r="E497" s="82">
        <f t="shared" si="29"/>
        <v>1310000</v>
      </c>
      <c r="F497" s="82">
        <f t="shared" si="29"/>
        <v>1310000</v>
      </c>
      <c r="G497" s="281"/>
      <c r="H497" s="164"/>
      <c r="I497" s="164"/>
    </row>
    <row r="498" spans="1:9" x14ac:dyDescent="0.25">
      <c r="A498" s="81" t="s">
        <v>90</v>
      </c>
      <c r="B498" s="80" t="s">
        <v>95</v>
      </c>
      <c r="C498" s="80" t="s">
        <v>737</v>
      </c>
      <c r="D498" s="80" t="s">
        <v>91</v>
      </c>
      <c r="E498" s="82">
        <f t="shared" si="29"/>
        <v>1310000</v>
      </c>
      <c r="F498" s="82">
        <f t="shared" si="29"/>
        <v>1310000</v>
      </c>
      <c r="G498" s="281"/>
      <c r="H498" s="164"/>
      <c r="I498" s="164"/>
    </row>
    <row r="499" spans="1:9" ht="36.700000000000003" x14ac:dyDescent="0.25">
      <c r="A499" s="81" t="s">
        <v>97</v>
      </c>
      <c r="B499" s="80" t="s">
        <v>95</v>
      </c>
      <c r="C499" s="80" t="s">
        <v>737</v>
      </c>
      <c r="D499" s="80" t="s">
        <v>98</v>
      </c>
      <c r="E499" s="82">
        <f>'прил 12 (2)'!F651</f>
        <v>1310000</v>
      </c>
      <c r="F499" s="82">
        <f>'прил 12 (2)'!G651</f>
        <v>1310000</v>
      </c>
      <c r="G499" s="281"/>
      <c r="H499" s="164"/>
      <c r="I499" s="164"/>
    </row>
    <row r="500" spans="1:9" ht="35.5" customHeight="1" x14ac:dyDescent="0.3">
      <c r="A500" s="285" t="s">
        <v>932</v>
      </c>
      <c r="B500" s="110" t="s">
        <v>95</v>
      </c>
      <c r="C500" s="110" t="s">
        <v>129</v>
      </c>
      <c r="D500" s="110" t="s">
        <v>6</v>
      </c>
      <c r="E500" s="82">
        <f t="shared" ref="E500:F503" si="30">E501</f>
        <v>150000</v>
      </c>
      <c r="F500" s="82">
        <f t="shared" si="30"/>
        <v>150000</v>
      </c>
      <c r="G500" s="281"/>
      <c r="H500" s="164"/>
      <c r="I500" s="164"/>
    </row>
    <row r="501" spans="1:9" ht="37.549999999999997" customHeight="1" x14ac:dyDescent="0.3">
      <c r="A501" s="123" t="s">
        <v>372</v>
      </c>
      <c r="B501" s="80" t="s">
        <v>95</v>
      </c>
      <c r="C501" s="80" t="s">
        <v>413</v>
      </c>
      <c r="D501" s="80" t="s">
        <v>6</v>
      </c>
      <c r="E501" s="82">
        <f t="shared" si="30"/>
        <v>150000</v>
      </c>
      <c r="F501" s="82">
        <f t="shared" si="30"/>
        <v>150000</v>
      </c>
      <c r="G501" s="281"/>
      <c r="H501" s="164"/>
      <c r="I501" s="164"/>
    </row>
    <row r="502" spans="1:9" ht="36.700000000000003" x14ac:dyDescent="0.25">
      <c r="A502" s="81" t="s">
        <v>99</v>
      </c>
      <c r="B502" s="80" t="s">
        <v>95</v>
      </c>
      <c r="C502" s="80" t="s">
        <v>416</v>
      </c>
      <c r="D502" s="80" t="s">
        <v>6</v>
      </c>
      <c r="E502" s="82">
        <f t="shared" si="30"/>
        <v>150000</v>
      </c>
      <c r="F502" s="82">
        <f t="shared" si="30"/>
        <v>150000</v>
      </c>
      <c r="G502" s="281"/>
      <c r="H502" s="164"/>
      <c r="I502" s="164"/>
    </row>
    <row r="503" spans="1:9" x14ac:dyDescent="0.25">
      <c r="A503" s="81" t="s">
        <v>90</v>
      </c>
      <c r="B503" s="80" t="s">
        <v>95</v>
      </c>
      <c r="C503" s="80" t="s">
        <v>416</v>
      </c>
      <c r="D503" s="80" t="s">
        <v>91</v>
      </c>
      <c r="E503" s="82">
        <f t="shared" si="30"/>
        <v>150000</v>
      </c>
      <c r="F503" s="82">
        <f t="shared" si="30"/>
        <v>150000</v>
      </c>
      <c r="G503" s="281"/>
      <c r="H503" s="164"/>
      <c r="I503" s="164"/>
    </row>
    <row r="504" spans="1:9" ht="36.700000000000003" x14ac:dyDescent="0.25">
      <c r="A504" s="81" t="s">
        <v>97</v>
      </c>
      <c r="B504" s="80" t="s">
        <v>95</v>
      </c>
      <c r="C504" s="80" t="s">
        <v>416</v>
      </c>
      <c r="D504" s="80" t="s">
        <v>98</v>
      </c>
      <c r="E504" s="82">
        <f>'прил 12 (2)'!F414</f>
        <v>150000</v>
      </c>
      <c r="F504" s="82">
        <f>'прил 12 (2)'!G414</f>
        <v>150000</v>
      </c>
      <c r="G504" s="281"/>
      <c r="H504" s="164"/>
      <c r="I504" s="164"/>
    </row>
    <row r="505" spans="1:9" ht="38.25" customHeight="1" x14ac:dyDescent="0.25">
      <c r="A505" s="109" t="s">
        <v>855</v>
      </c>
      <c r="B505" s="110" t="s">
        <v>95</v>
      </c>
      <c r="C505" s="110" t="s">
        <v>374</v>
      </c>
      <c r="D505" s="110" t="s">
        <v>6</v>
      </c>
      <c r="E505" s="82">
        <f t="shared" ref="E505:F508" si="31">E506</f>
        <v>788949.7</v>
      </c>
      <c r="F505" s="82">
        <f t="shared" si="31"/>
        <v>759549.38</v>
      </c>
      <c r="G505" s="281"/>
      <c r="H505" s="164"/>
      <c r="I505" s="164"/>
    </row>
    <row r="506" spans="1:9" ht="39.25" customHeight="1" x14ac:dyDescent="0.25">
      <c r="A506" s="81" t="s">
        <v>394</v>
      </c>
      <c r="B506" s="80" t="s">
        <v>95</v>
      </c>
      <c r="C506" s="80" t="s">
        <v>375</v>
      </c>
      <c r="D506" s="80" t="s">
        <v>6</v>
      </c>
      <c r="E506" s="82">
        <f t="shared" si="31"/>
        <v>788949.7</v>
      </c>
      <c r="F506" s="82">
        <f t="shared" si="31"/>
        <v>759549.38</v>
      </c>
      <c r="G506" s="281"/>
      <c r="H506" s="164"/>
      <c r="I506" s="164"/>
    </row>
    <row r="507" spans="1:9" ht="42.15" customHeight="1" x14ac:dyDescent="0.25">
      <c r="A507" s="81" t="s">
        <v>987</v>
      </c>
      <c r="B507" s="80" t="s">
        <v>95</v>
      </c>
      <c r="C507" s="80" t="s">
        <v>376</v>
      </c>
      <c r="D507" s="80" t="s">
        <v>6</v>
      </c>
      <c r="E507" s="82">
        <f t="shared" si="31"/>
        <v>788949.7</v>
      </c>
      <c r="F507" s="82">
        <f t="shared" si="31"/>
        <v>759549.38</v>
      </c>
      <c r="G507" s="281"/>
      <c r="H507" s="164"/>
      <c r="I507" s="164"/>
    </row>
    <row r="508" spans="1:9" x14ac:dyDescent="0.25">
      <c r="A508" s="81" t="s">
        <v>90</v>
      </c>
      <c r="B508" s="80" t="s">
        <v>95</v>
      </c>
      <c r="C508" s="80" t="s">
        <v>376</v>
      </c>
      <c r="D508" s="80" t="s">
        <v>91</v>
      </c>
      <c r="E508" s="82">
        <f t="shared" si="31"/>
        <v>788949.7</v>
      </c>
      <c r="F508" s="82">
        <f t="shared" si="31"/>
        <v>759549.38</v>
      </c>
      <c r="G508" s="281"/>
      <c r="H508" s="164"/>
      <c r="I508" s="164"/>
    </row>
    <row r="509" spans="1:9" ht="36.700000000000003" x14ac:dyDescent="0.25">
      <c r="A509" s="81" t="s">
        <v>97</v>
      </c>
      <c r="B509" s="80" t="s">
        <v>95</v>
      </c>
      <c r="C509" s="80" t="s">
        <v>376</v>
      </c>
      <c r="D509" s="80" t="s">
        <v>98</v>
      </c>
      <c r="E509" s="82">
        <f>'прил 12 (2)'!F419</f>
        <v>788949.7</v>
      </c>
      <c r="F509" s="82">
        <f>'прил 12 (2)'!G419</f>
        <v>759549.38</v>
      </c>
      <c r="G509" s="281"/>
      <c r="H509" s="164"/>
      <c r="I509" s="164"/>
    </row>
    <row r="510" spans="1:9" ht="18.7" customHeight="1" x14ac:dyDescent="0.25">
      <c r="A510" s="81" t="s">
        <v>132</v>
      </c>
      <c r="B510" s="80" t="s">
        <v>95</v>
      </c>
      <c r="C510" s="80" t="s">
        <v>127</v>
      </c>
      <c r="D510" s="80" t="s">
        <v>6</v>
      </c>
      <c r="E510" s="82">
        <f t="shared" ref="E510:F512" si="32">E511</f>
        <v>100000</v>
      </c>
      <c r="F510" s="82">
        <f t="shared" si="32"/>
        <v>100000</v>
      </c>
      <c r="G510" s="281"/>
      <c r="H510" s="164"/>
      <c r="I510" s="164"/>
    </row>
    <row r="511" spans="1:9" ht="18.7" customHeight="1" x14ac:dyDescent="0.25">
      <c r="A511" s="81" t="s">
        <v>526</v>
      </c>
      <c r="B511" s="80" t="s">
        <v>95</v>
      </c>
      <c r="C511" s="80" t="s">
        <v>539</v>
      </c>
      <c r="D511" s="80" t="s">
        <v>6</v>
      </c>
      <c r="E511" s="82">
        <f t="shared" si="32"/>
        <v>100000</v>
      </c>
      <c r="F511" s="82">
        <f t="shared" si="32"/>
        <v>100000</v>
      </c>
      <c r="G511" s="281"/>
      <c r="H511" s="164"/>
      <c r="I511" s="164"/>
    </row>
    <row r="512" spans="1:9" x14ac:dyDescent="0.25">
      <c r="A512" s="81" t="s">
        <v>90</v>
      </c>
      <c r="B512" s="80" t="s">
        <v>95</v>
      </c>
      <c r="C512" s="80" t="s">
        <v>539</v>
      </c>
      <c r="D512" s="80" t="s">
        <v>91</v>
      </c>
      <c r="E512" s="82">
        <f t="shared" si="32"/>
        <v>100000</v>
      </c>
      <c r="F512" s="82">
        <f t="shared" si="32"/>
        <v>100000</v>
      </c>
      <c r="G512" s="281"/>
      <c r="H512" s="164"/>
      <c r="I512" s="164"/>
    </row>
    <row r="513" spans="1:9" x14ac:dyDescent="0.25">
      <c r="A513" s="81" t="s">
        <v>309</v>
      </c>
      <c r="B513" s="80" t="s">
        <v>95</v>
      </c>
      <c r="C513" s="80" t="s">
        <v>539</v>
      </c>
      <c r="D513" s="80" t="s">
        <v>310</v>
      </c>
      <c r="E513" s="82">
        <f>'прил 12 (2)'!F423</f>
        <v>100000</v>
      </c>
      <c r="F513" s="82">
        <f>'прил 12 (2)'!G423</f>
        <v>100000</v>
      </c>
      <c r="G513" s="281"/>
      <c r="H513" s="164"/>
      <c r="I513" s="164"/>
    </row>
    <row r="514" spans="1:9" x14ac:dyDescent="0.25">
      <c r="A514" s="81" t="s">
        <v>123</v>
      </c>
      <c r="B514" s="80" t="s">
        <v>124</v>
      </c>
      <c r="C514" s="80" t="s">
        <v>126</v>
      </c>
      <c r="D514" s="80" t="s">
        <v>6</v>
      </c>
      <c r="E514" s="82">
        <f>E515+E521</f>
        <v>89201597.689999998</v>
      </c>
      <c r="F514" s="82">
        <f>F515+F521</f>
        <v>90659401.609999999</v>
      </c>
      <c r="G514" s="281"/>
      <c r="H514" s="164"/>
      <c r="I514" s="164"/>
    </row>
    <row r="515" spans="1:9" ht="36.700000000000003" x14ac:dyDescent="0.25">
      <c r="A515" s="109" t="s">
        <v>827</v>
      </c>
      <c r="B515" s="110" t="s">
        <v>124</v>
      </c>
      <c r="C515" s="110" t="s">
        <v>138</v>
      </c>
      <c r="D515" s="110" t="s">
        <v>6</v>
      </c>
      <c r="E515" s="82">
        <f t="shared" ref="E515:F517" si="33">E516</f>
        <v>3943108</v>
      </c>
      <c r="F515" s="82">
        <f t="shared" si="33"/>
        <v>4099837</v>
      </c>
      <c r="G515" s="281"/>
      <c r="H515" s="164"/>
      <c r="I515" s="164"/>
    </row>
    <row r="516" spans="1:9" ht="36.700000000000003" x14ac:dyDescent="0.25">
      <c r="A516" s="81" t="s">
        <v>834</v>
      </c>
      <c r="B516" s="80" t="s">
        <v>124</v>
      </c>
      <c r="C516" s="80" t="s">
        <v>139</v>
      </c>
      <c r="D516" s="80" t="s">
        <v>6</v>
      </c>
      <c r="E516" s="82">
        <f t="shared" si="33"/>
        <v>3943108</v>
      </c>
      <c r="F516" s="82">
        <f t="shared" si="33"/>
        <v>4099837</v>
      </c>
      <c r="G516" s="281"/>
    </row>
    <row r="517" spans="1:9" ht="20.25" customHeight="1" x14ac:dyDescent="0.25">
      <c r="A517" s="113" t="s">
        <v>204</v>
      </c>
      <c r="B517" s="80" t="s">
        <v>124</v>
      </c>
      <c r="C517" s="80" t="s">
        <v>234</v>
      </c>
      <c r="D517" s="80" t="s">
        <v>6</v>
      </c>
      <c r="E517" s="82">
        <f t="shared" si="33"/>
        <v>3943108</v>
      </c>
      <c r="F517" s="82">
        <f t="shared" si="33"/>
        <v>4099837</v>
      </c>
      <c r="G517" s="281"/>
    </row>
    <row r="518" spans="1:9" ht="111.75" customHeight="1" x14ac:dyDescent="0.25">
      <c r="A518" s="100" t="s">
        <v>657</v>
      </c>
      <c r="B518" s="80" t="s">
        <v>124</v>
      </c>
      <c r="C518" s="80" t="s">
        <v>156</v>
      </c>
      <c r="D518" s="80" t="s">
        <v>6</v>
      </c>
      <c r="E518" s="82">
        <f>E519</f>
        <v>3943108</v>
      </c>
      <c r="F518" s="82">
        <f>F519</f>
        <v>4099837</v>
      </c>
      <c r="G518" s="281"/>
    </row>
    <row r="519" spans="1:9" x14ac:dyDescent="0.25">
      <c r="A519" s="81" t="s">
        <v>90</v>
      </c>
      <c r="B519" s="80" t="s">
        <v>124</v>
      </c>
      <c r="C519" s="80" t="s">
        <v>156</v>
      </c>
      <c r="D519" s="80" t="s">
        <v>91</v>
      </c>
      <c r="E519" s="82">
        <f>E520</f>
        <v>3943108</v>
      </c>
      <c r="F519" s="82">
        <f>F520</f>
        <v>4099837</v>
      </c>
      <c r="G519" s="281"/>
    </row>
    <row r="520" spans="1:9" ht="34" customHeight="1" x14ac:dyDescent="0.25">
      <c r="A520" s="81" t="s">
        <v>92</v>
      </c>
      <c r="B520" s="80" t="s">
        <v>124</v>
      </c>
      <c r="C520" s="80" t="s">
        <v>156</v>
      </c>
      <c r="D520" s="80" t="s">
        <v>93</v>
      </c>
      <c r="E520" s="82">
        <f>'прил 12 (2)'!F658</f>
        <v>3943108</v>
      </c>
      <c r="F520" s="82">
        <f>'прил 12 (2)'!G658</f>
        <v>4099837</v>
      </c>
      <c r="G520" s="281"/>
    </row>
    <row r="521" spans="1:9" ht="18.7" customHeight="1" x14ac:dyDescent="0.25">
      <c r="A521" s="81" t="s">
        <v>132</v>
      </c>
      <c r="B521" s="80" t="s">
        <v>124</v>
      </c>
      <c r="C521" s="80" t="s">
        <v>127</v>
      </c>
      <c r="D521" s="80" t="s">
        <v>6</v>
      </c>
      <c r="E521" s="82">
        <f>E522</f>
        <v>85258489.689999998</v>
      </c>
      <c r="F521" s="82">
        <f>F522</f>
        <v>86559564.609999999</v>
      </c>
      <c r="G521" s="281"/>
    </row>
    <row r="522" spans="1:9" x14ac:dyDescent="0.25">
      <c r="A522" s="81" t="s">
        <v>277</v>
      </c>
      <c r="B522" s="80" t="s">
        <v>124</v>
      </c>
      <c r="C522" s="80" t="s">
        <v>276</v>
      </c>
      <c r="D522" s="80" t="s">
        <v>6</v>
      </c>
      <c r="E522" s="82">
        <f>E532+E523+E526+E535</f>
        <v>85258489.689999998</v>
      </c>
      <c r="F522" s="82">
        <f>F532+F523+F526+F535</f>
        <v>86559564.609999999</v>
      </c>
      <c r="G522" s="281"/>
    </row>
    <row r="523" spans="1:9" ht="73.400000000000006" hidden="1" x14ac:dyDescent="0.25">
      <c r="A523" s="81" t="s">
        <v>429</v>
      </c>
      <c r="B523" s="80" t="s">
        <v>124</v>
      </c>
      <c r="C523" s="80" t="s">
        <v>430</v>
      </c>
      <c r="D523" s="80" t="s">
        <v>6</v>
      </c>
      <c r="E523" s="82">
        <f>E524</f>
        <v>0</v>
      </c>
      <c r="F523" s="82">
        <f>F524</f>
        <v>0</v>
      </c>
      <c r="G523" s="281"/>
    </row>
    <row r="524" spans="1:9" hidden="1" x14ac:dyDescent="0.25">
      <c r="A524" s="81" t="s">
        <v>90</v>
      </c>
      <c r="B524" s="80" t="s">
        <v>124</v>
      </c>
      <c r="C524" s="80" t="s">
        <v>430</v>
      </c>
      <c r="D524" s="80" t="s">
        <v>91</v>
      </c>
      <c r="E524" s="82">
        <f>E525</f>
        <v>0</v>
      </c>
      <c r="F524" s="82">
        <f>F525</f>
        <v>0</v>
      </c>
      <c r="G524" s="281"/>
    </row>
    <row r="525" spans="1:9" hidden="1" x14ac:dyDescent="0.25">
      <c r="A525" s="81" t="s">
        <v>92</v>
      </c>
      <c r="B525" s="80" t="s">
        <v>124</v>
      </c>
      <c r="C525" s="80" t="s">
        <v>430</v>
      </c>
      <c r="D525" s="80" t="s">
        <v>93</v>
      </c>
      <c r="E525" s="82">
        <f>'прил 12'!F420</f>
        <v>0</v>
      </c>
      <c r="F525" s="82">
        <f>'прил 12'!G420</f>
        <v>0</v>
      </c>
      <c r="G525" s="281"/>
    </row>
    <row r="526" spans="1:9" ht="75.25" customHeight="1" x14ac:dyDescent="0.25">
      <c r="A526" s="100" t="s">
        <v>431</v>
      </c>
      <c r="B526" s="80" t="s">
        <v>124</v>
      </c>
      <c r="C526" s="80" t="s">
        <v>432</v>
      </c>
      <c r="D526" s="80" t="s">
        <v>6</v>
      </c>
      <c r="E526" s="82">
        <f>E527+E529</f>
        <v>37279299.5</v>
      </c>
      <c r="F526" s="82">
        <f>F527+F529</f>
        <v>38580374.420000002</v>
      </c>
      <c r="G526" s="281"/>
    </row>
    <row r="527" spans="1:9" ht="36.700000000000003" x14ac:dyDescent="0.25">
      <c r="A527" s="81" t="s">
        <v>15</v>
      </c>
      <c r="B527" s="80" t="s">
        <v>124</v>
      </c>
      <c r="C527" s="80" t="s">
        <v>432</v>
      </c>
      <c r="D527" s="80" t="s">
        <v>16</v>
      </c>
      <c r="E527" s="82">
        <f>E528</f>
        <v>130000</v>
      </c>
      <c r="F527" s="82">
        <f>F528</f>
        <v>130000</v>
      </c>
      <c r="G527" s="281"/>
    </row>
    <row r="528" spans="1:9" ht="36.700000000000003" x14ac:dyDescent="0.25">
      <c r="A528" s="81" t="s">
        <v>17</v>
      </c>
      <c r="B528" s="80" t="s">
        <v>124</v>
      </c>
      <c r="C528" s="80" t="s">
        <v>432</v>
      </c>
      <c r="D528" s="80" t="s">
        <v>18</v>
      </c>
      <c r="E528" s="82">
        <f>'прил 12 (2)'!F432</f>
        <v>130000</v>
      </c>
      <c r="F528" s="82">
        <f>'прил 12 (2)'!G431</f>
        <v>130000</v>
      </c>
      <c r="G528" s="281"/>
    </row>
    <row r="529" spans="1:8" x14ac:dyDescent="0.25">
      <c r="A529" s="81" t="s">
        <v>90</v>
      </c>
      <c r="B529" s="80" t="s">
        <v>124</v>
      </c>
      <c r="C529" s="80" t="s">
        <v>432</v>
      </c>
      <c r="D529" s="80" t="s">
        <v>91</v>
      </c>
      <c r="E529" s="82">
        <f>E530+E531</f>
        <v>37149299.5</v>
      </c>
      <c r="F529" s="82">
        <f>F530+F531</f>
        <v>38450374.420000002</v>
      </c>
      <c r="G529" s="281"/>
    </row>
    <row r="530" spans="1:8" x14ac:dyDescent="0.25">
      <c r="A530" s="81" t="s">
        <v>92</v>
      </c>
      <c r="B530" s="80" t="s">
        <v>124</v>
      </c>
      <c r="C530" s="80" t="s">
        <v>432</v>
      </c>
      <c r="D530" s="80" t="s">
        <v>93</v>
      </c>
      <c r="E530" s="82">
        <f>'прил 12 (2)'!F434</f>
        <v>35149299.5</v>
      </c>
      <c r="F530" s="82">
        <f>'прил 12 (2)'!G434</f>
        <v>36450374.420000002</v>
      </c>
      <c r="G530" s="281"/>
    </row>
    <row r="531" spans="1:8" ht="38.049999999999997" customHeight="1" x14ac:dyDescent="0.25">
      <c r="A531" s="81" t="s">
        <v>97</v>
      </c>
      <c r="B531" s="80" t="s">
        <v>124</v>
      </c>
      <c r="C531" s="80" t="s">
        <v>432</v>
      </c>
      <c r="D531" s="80" t="s">
        <v>98</v>
      </c>
      <c r="E531" s="82">
        <f>'прил 12 (2)'!F435</f>
        <v>2000000</v>
      </c>
      <c r="F531" s="82">
        <f>'прил 12 (2)'!G435</f>
        <v>2000000</v>
      </c>
      <c r="G531" s="281"/>
    </row>
    <row r="532" spans="1:8" ht="73.55" customHeight="1" x14ac:dyDescent="0.25">
      <c r="A532" s="100" t="s">
        <v>656</v>
      </c>
      <c r="B532" s="80" t="s">
        <v>124</v>
      </c>
      <c r="C532" s="80" t="s">
        <v>295</v>
      </c>
      <c r="D532" s="80" t="s">
        <v>6</v>
      </c>
      <c r="E532" s="82">
        <f>E533</f>
        <v>26671240.190000001</v>
      </c>
      <c r="F532" s="82">
        <f>F533</f>
        <v>26671240.190000001</v>
      </c>
      <c r="G532" s="281"/>
    </row>
    <row r="533" spans="1:8" ht="39.25" customHeight="1" x14ac:dyDescent="0.25">
      <c r="A533" s="81" t="s">
        <v>264</v>
      </c>
      <c r="B533" s="80" t="s">
        <v>124</v>
      </c>
      <c r="C533" s="80" t="s">
        <v>295</v>
      </c>
      <c r="D533" s="80" t="s">
        <v>265</v>
      </c>
      <c r="E533" s="82">
        <f>E534</f>
        <v>26671240.190000001</v>
      </c>
      <c r="F533" s="82">
        <f>F534</f>
        <v>26671240.190000001</v>
      </c>
      <c r="G533" s="281"/>
    </row>
    <row r="534" spans="1:8" x14ac:dyDescent="0.25">
      <c r="A534" s="81" t="s">
        <v>266</v>
      </c>
      <c r="B534" s="80" t="s">
        <v>124</v>
      </c>
      <c r="C534" s="80" t="s">
        <v>295</v>
      </c>
      <c r="D534" s="80" t="s">
        <v>267</v>
      </c>
      <c r="E534" s="82">
        <f>'прил 12 (2)'!F441</f>
        <v>26671240.190000001</v>
      </c>
      <c r="F534" s="82">
        <f>'прил 12 (2)'!G441</f>
        <v>26671240.190000001</v>
      </c>
      <c r="G534" s="281"/>
    </row>
    <row r="535" spans="1:8" ht="73.400000000000006" x14ac:dyDescent="0.25">
      <c r="A535" s="100" t="s">
        <v>759</v>
      </c>
      <c r="B535" s="80" t="s">
        <v>124</v>
      </c>
      <c r="C535" s="80" t="s">
        <v>792</v>
      </c>
      <c r="D535" s="83" t="s">
        <v>6</v>
      </c>
      <c r="E535" s="82">
        <f>E536</f>
        <v>21307950</v>
      </c>
      <c r="F535" s="82">
        <f>F536</f>
        <v>21307950</v>
      </c>
      <c r="G535" s="281"/>
    </row>
    <row r="536" spans="1:8" ht="36.700000000000003" x14ac:dyDescent="0.25">
      <c r="A536" s="81" t="s">
        <v>264</v>
      </c>
      <c r="B536" s="80" t="s">
        <v>124</v>
      </c>
      <c r="C536" s="80" t="s">
        <v>792</v>
      </c>
      <c r="D536" s="83" t="s">
        <v>265</v>
      </c>
      <c r="E536" s="82">
        <f>E537</f>
        <v>21307950</v>
      </c>
      <c r="F536" s="82">
        <f>F537</f>
        <v>21307950</v>
      </c>
      <c r="G536" s="281"/>
    </row>
    <row r="537" spans="1:8" x14ac:dyDescent="0.25">
      <c r="A537" s="81" t="s">
        <v>266</v>
      </c>
      <c r="B537" s="80" t="s">
        <v>124</v>
      </c>
      <c r="C537" s="80" t="s">
        <v>792</v>
      </c>
      <c r="D537" s="83" t="s">
        <v>267</v>
      </c>
      <c r="E537" s="82">
        <f>'прил 12 (2)'!F444</f>
        <v>21307950</v>
      </c>
      <c r="F537" s="82">
        <f>'прил 12 (2)'!G444</f>
        <v>21307950</v>
      </c>
      <c r="G537" s="281"/>
    </row>
    <row r="538" spans="1:8" x14ac:dyDescent="0.25">
      <c r="A538" s="109" t="s">
        <v>100</v>
      </c>
      <c r="B538" s="110" t="s">
        <v>101</v>
      </c>
      <c r="C538" s="110" t="s">
        <v>126</v>
      </c>
      <c r="D538" s="110" t="s">
        <v>6</v>
      </c>
      <c r="E538" s="85">
        <f>E539</f>
        <v>975168.55</v>
      </c>
      <c r="F538" s="85">
        <f>F539</f>
        <v>975729.29</v>
      </c>
      <c r="G538" s="283">
        <f>потребность!G697</f>
        <v>2249284</v>
      </c>
      <c r="H538" s="283">
        <f>потребность!H697</f>
        <v>2974533</v>
      </c>
    </row>
    <row r="539" spans="1:8" x14ac:dyDescent="0.25">
      <c r="A539" s="81" t="s">
        <v>301</v>
      </c>
      <c r="B539" s="80" t="s">
        <v>300</v>
      </c>
      <c r="C539" s="80" t="s">
        <v>126</v>
      </c>
      <c r="D539" s="80" t="s">
        <v>6</v>
      </c>
      <c r="E539" s="82">
        <f>E540+E559</f>
        <v>975168.55</v>
      </c>
      <c r="F539" s="82">
        <f>F540+F559</f>
        <v>975729.29</v>
      </c>
      <c r="G539" s="281"/>
    </row>
    <row r="540" spans="1:8" ht="35.5" customHeight="1" x14ac:dyDescent="0.3">
      <c r="A540" s="285" t="s">
        <v>836</v>
      </c>
      <c r="B540" s="110" t="s">
        <v>300</v>
      </c>
      <c r="C540" s="110" t="s">
        <v>200</v>
      </c>
      <c r="D540" s="110" t="s">
        <v>6</v>
      </c>
      <c r="E540" s="82">
        <f>E541</f>
        <v>925168.55</v>
      </c>
      <c r="F540" s="82">
        <f>F541</f>
        <v>925729.29</v>
      </c>
      <c r="G540" s="281"/>
    </row>
    <row r="541" spans="1:8" ht="35.5" customHeight="1" x14ac:dyDescent="0.3">
      <c r="A541" s="123" t="s">
        <v>837</v>
      </c>
      <c r="B541" s="80" t="s">
        <v>300</v>
      </c>
      <c r="C541" s="80" t="s">
        <v>230</v>
      </c>
      <c r="D541" s="80" t="s">
        <v>6</v>
      </c>
      <c r="E541" s="82">
        <f>E542+E553</f>
        <v>925168.55</v>
      </c>
      <c r="F541" s="82">
        <f>F542+F553</f>
        <v>925729.29</v>
      </c>
      <c r="G541" s="281"/>
    </row>
    <row r="542" spans="1:8" ht="18.7" customHeight="1" x14ac:dyDescent="0.25">
      <c r="A542" s="81" t="s">
        <v>102</v>
      </c>
      <c r="B542" s="80" t="s">
        <v>300</v>
      </c>
      <c r="C542" s="80" t="s">
        <v>201</v>
      </c>
      <c r="D542" s="80" t="s">
        <v>6</v>
      </c>
      <c r="E542" s="82">
        <f>E543+E545</f>
        <v>661000</v>
      </c>
      <c r="F542" s="82">
        <f>F543+F545</f>
        <v>661000</v>
      </c>
      <c r="G542" s="281"/>
    </row>
    <row r="543" spans="1:8" ht="18" customHeight="1" x14ac:dyDescent="0.25">
      <c r="A543" s="81" t="s">
        <v>15</v>
      </c>
      <c r="B543" s="80" t="s">
        <v>300</v>
      </c>
      <c r="C543" s="80" t="s">
        <v>201</v>
      </c>
      <c r="D543" s="80" t="s">
        <v>16</v>
      </c>
      <c r="E543" s="82">
        <f>E544</f>
        <v>631000</v>
      </c>
      <c r="F543" s="82">
        <f>F544</f>
        <v>631000</v>
      </c>
      <c r="G543" s="281"/>
    </row>
    <row r="544" spans="1:8" ht="34.5" customHeight="1" x14ac:dyDescent="0.3">
      <c r="A544" s="123" t="s">
        <v>17</v>
      </c>
      <c r="B544" s="80" t="s">
        <v>300</v>
      </c>
      <c r="C544" s="80" t="s">
        <v>201</v>
      </c>
      <c r="D544" s="80" t="s">
        <v>18</v>
      </c>
      <c r="E544" s="82">
        <f>'прил 12 (2)'!F451</f>
        <v>631000</v>
      </c>
      <c r="F544" s="82">
        <f>'прил 12 (2)'!G451</f>
        <v>631000</v>
      </c>
      <c r="G544" s="281"/>
    </row>
    <row r="545" spans="1:7" ht="19.55" customHeight="1" x14ac:dyDescent="0.25">
      <c r="A545" s="81" t="s">
        <v>271</v>
      </c>
      <c r="B545" s="80" t="s">
        <v>300</v>
      </c>
      <c r="C545" s="80" t="s">
        <v>201</v>
      </c>
      <c r="D545" s="80" t="s">
        <v>20</v>
      </c>
      <c r="E545" s="82">
        <f>E546</f>
        <v>30000</v>
      </c>
      <c r="F545" s="82">
        <f>F546</f>
        <v>30000</v>
      </c>
      <c r="G545" s="281"/>
    </row>
    <row r="546" spans="1:7" ht="19.55" customHeight="1" x14ac:dyDescent="0.25">
      <c r="A546" s="81" t="s">
        <v>272</v>
      </c>
      <c r="B546" s="80" t="s">
        <v>300</v>
      </c>
      <c r="C546" s="80" t="s">
        <v>201</v>
      </c>
      <c r="D546" s="80" t="s">
        <v>22</v>
      </c>
      <c r="E546" s="82">
        <f>'прил 12 (2)'!F453</f>
        <v>30000</v>
      </c>
      <c r="F546" s="82">
        <f>'прил 12 (2)'!G453</f>
        <v>30000</v>
      </c>
      <c r="G546" s="281"/>
    </row>
    <row r="547" spans="1:7" ht="18.7" hidden="1" customHeight="1" x14ac:dyDescent="0.25">
      <c r="A547" s="81" t="s">
        <v>378</v>
      </c>
      <c r="B547" s="80" t="s">
        <v>300</v>
      </c>
      <c r="C547" s="80" t="s">
        <v>303</v>
      </c>
      <c r="D547" s="80" t="s">
        <v>6</v>
      </c>
      <c r="E547" s="82">
        <v>0</v>
      </c>
      <c r="F547" s="82">
        <v>0</v>
      </c>
      <c r="G547" s="281"/>
    </row>
    <row r="548" spans="1:7" ht="18.7" hidden="1" customHeight="1" x14ac:dyDescent="0.25">
      <c r="A548" s="81" t="s">
        <v>281</v>
      </c>
      <c r="B548" s="80" t="s">
        <v>300</v>
      </c>
      <c r="C548" s="80" t="s">
        <v>302</v>
      </c>
      <c r="D548" s="83" t="s">
        <v>6</v>
      </c>
      <c r="E548" s="82">
        <f>E549+E551</f>
        <v>0</v>
      </c>
      <c r="F548" s="82">
        <v>0</v>
      </c>
      <c r="G548" s="281"/>
    </row>
    <row r="549" spans="1:7" ht="18.7" hidden="1" customHeight="1" x14ac:dyDescent="0.25">
      <c r="A549" s="81" t="s">
        <v>264</v>
      </c>
      <c r="B549" s="80" t="s">
        <v>300</v>
      </c>
      <c r="C549" s="80" t="s">
        <v>302</v>
      </c>
      <c r="D549" s="83" t="s">
        <v>265</v>
      </c>
      <c r="E549" s="82">
        <f>E550</f>
        <v>0</v>
      </c>
      <c r="F549" s="82">
        <v>0</v>
      </c>
      <c r="G549" s="281"/>
    </row>
    <row r="550" spans="1:7" ht="18.7" hidden="1" customHeight="1" x14ac:dyDescent="0.25">
      <c r="A550" s="81" t="s">
        <v>266</v>
      </c>
      <c r="B550" s="80" t="s">
        <v>300</v>
      </c>
      <c r="C550" s="80" t="s">
        <v>302</v>
      </c>
      <c r="D550" s="83" t="s">
        <v>267</v>
      </c>
      <c r="E550" s="82"/>
      <c r="F550" s="82">
        <v>0</v>
      </c>
      <c r="G550" s="281"/>
    </row>
    <row r="551" spans="1:7" ht="18.7" hidden="1" customHeight="1" x14ac:dyDescent="0.25">
      <c r="A551" s="81" t="s">
        <v>37</v>
      </c>
      <c r="B551" s="80" t="s">
        <v>300</v>
      </c>
      <c r="C551" s="80" t="s">
        <v>302</v>
      </c>
      <c r="D551" s="83" t="s">
        <v>38</v>
      </c>
      <c r="E551" s="82">
        <f>E552</f>
        <v>0</v>
      </c>
      <c r="F551" s="82">
        <f>F552</f>
        <v>0</v>
      </c>
      <c r="G551" s="281"/>
    </row>
    <row r="552" spans="1:7" ht="18.7" hidden="1" customHeight="1" x14ac:dyDescent="0.25">
      <c r="A552" s="81" t="s">
        <v>74</v>
      </c>
      <c r="B552" s="80" t="s">
        <v>300</v>
      </c>
      <c r="C552" s="80" t="s">
        <v>302</v>
      </c>
      <c r="D552" s="83" t="s">
        <v>75</v>
      </c>
      <c r="E552" s="290"/>
      <c r="F552" s="82">
        <v>0</v>
      </c>
      <c r="G552" s="281"/>
    </row>
    <row r="553" spans="1:7" ht="41.3" customHeight="1" x14ac:dyDescent="0.25">
      <c r="A553" s="81" t="s">
        <v>771</v>
      </c>
      <c r="B553" s="80" t="s">
        <v>300</v>
      </c>
      <c r="C553" s="80" t="s">
        <v>1067</v>
      </c>
      <c r="D553" s="83" t="s">
        <v>6</v>
      </c>
      <c r="E553" s="82">
        <f>E554</f>
        <v>264168.55</v>
      </c>
      <c r="F553" s="82">
        <f>F554</f>
        <v>264729.28999999998</v>
      </c>
      <c r="G553" s="281"/>
    </row>
    <row r="554" spans="1:7" ht="19.55" customHeight="1" x14ac:dyDescent="0.25">
      <c r="A554" s="81" t="s">
        <v>37</v>
      </c>
      <c r="B554" s="80" t="s">
        <v>300</v>
      </c>
      <c r="C554" s="80" t="s">
        <v>1067</v>
      </c>
      <c r="D554" s="83" t="s">
        <v>16</v>
      </c>
      <c r="E554" s="82">
        <f>E555+E557</f>
        <v>264168.55</v>
      </c>
      <c r="F554" s="82">
        <f>F555+F557</f>
        <v>264729.28999999998</v>
      </c>
      <c r="G554" s="281"/>
    </row>
    <row r="555" spans="1:7" ht="18" customHeight="1" x14ac:dyDescent="0.25">
      <c r="A555" s="81" t="s">
        <v>74</v>
      </c>
      <c r="B555" s="80" t="s">
        <v>300</v>
      </c>
      <c r="C555" s="80" t="s">
        <v>1067</v>
      </c>
      <c r="D555" s="83" t="s">
        <v>18</v>
      </c>
      <c r="E555" s="82">
        <f>'прил 12 (2)'!F459</f>
        <v>264168.55</v>
      </c>
      <c r="F555" s="82">
        <f>'прил 12 (2)'!G459</f>
        <v>264729.28999999998</v>
      </c>
      <c r="G555" s="281"/>
    </row>
    <row r="556" spans="1:7" ht="19.55" hidden="1" customHeight="1" x14ac:dyDescent="0.25">
      <c r="A556" s="81" t="s">
        <v>770</v>
      </c>
      <c r="B556" s="80" t="s">
        <v>300</v>
      </c>
      <c r="C556" s="80" t="s">
        <v>797</v>
      </c>
      <c r="D556" s="83" t="s">
        <v>6</v>
      </c>
      <c r="E556" s="82">
        <f>'прил 12'!F448</f>
        <v>0</v>
      </c>
      <c r="F556" s="82">
        <f>'прил 12'!G448</f>
        <v>0</v>
      </c>
      <c r="G556" s="281"/>
    </row>
    <row r="557" spans="1:7" ht="39.25" hidden="1" customHeight="1" x14ac:dyDescent="0.25">
      <c r="A557" s="81" t="s">
        <v>15</v>
      </c>
      <c r="B557" s="80" t="s">
        <v>300</v>
      </c>
      <c r="C557" s="80" t="s">
        <v>797</v>
      </c>
      <c r="D557" s="83" t="s">
        <v>16</v>
      </c>
      <c r="E557" s="82">
        <f>E558</f>
        <v>0</v>
      </c>
      <c r="F557" s="82">
        <f>F558</f>
        <v>0</v>
      </c>
      <c r="G557" s="281"/>
    </row>
    <row r="558" spans="1:7" ht="39.75" hidden="1" customHeight="1" x14ac:dyDescent="0.25">
      <c r="A558" s="81" t="s">
        <v>17</v>
      </c>
      <c r="B558" s="80" t="s">
        <v>300</v>
      </c>
      <c r="C558" s="80" t="s">
        <v>797</v>
      </c>
      <c r="D558" s="83" t="s">
        <v>18</v>
      </c>
      <c r="E558" s="290"/>
      <c r="F558" s="290"/>
      <c r="G558" s="281"/>
    </row>
    <row r="559" spans="1:7" ht="36.700000000000003" x14ac:dyDescent="0.25">
      <c r="A559" s="109" t="s">
        <v>828</v>
      </c>
      <c r="B559" s="110" t="s">
        <v>300</v>
      </c>
      <c r="C559" s="110" t="s">
        <v>463</v>
      </c>
      <c r="D559" s="110" t="s">
        <v>6</v>
      </c>
      <c r="E559" s="82">
        <f t="shared" ref="E559:F562" si="34">E560</f>
        <v>50000</v>
      </c>
      <c r="F559" s="82">
        <f t="shared" si="34"/>
        <v>50000</v>
      </c>
      <c r="G559" s="281"/>
    </row>
    <row r="560" spans="1:7" ht="19.55" customHeight="1" x14ac:dyDescent="0.25">
      <c r="A560" s="81" t="s">
        <v>464</v>
      </c>
      <c r="B560" s="80" t="s">
        <v>300</v>
      </c>
      <c r="C560" s="80" t="s">
        <v>465</v>
      </c>
      <c r="D560" s="80" t="s">
        <v>6</v>
      </c>
      <c r="E560" s="82">
        <f t="shared" si="34"/>
        <v>50000</v>
      </c>
      <c r="F560" s="82">
        <f t="shared" si="34"/>
        <v>50000</v>
      </c>
      <c r="G560" s="281"/>
    </row>
    <row r="561" spans="1:8" ht="36.700000000000003" x14ac:dyDescent="0.25">
      <c r="A561" s="81" t="s">
        <v>466</v>
      </c>
      <c r="B561" s="80" t="s">
        <v>300</v>
      </c>
      <c r="C561" s="80" t="s">
        <v>467</v>
      </c>
      <c r="D561" s="80" t="s">
        <v>6</v>
      </c>
      <c r="E561" s="82">
        <f t="shared" si="34"/>
        <v>50000</v>
      </c>
      <c r="F561" s="82">
        <f t="shared" si="34"/>
        <v>50000</v>
      </c>
      <c r="G561" s="281"/>
    </row>
    <row r="562" spans="1:8" ht="20.25" customHeight="1" x14ac:dyDescent="0.25">
      <c r="A562" s="81" t="s">
        <v>15</v>
      </c>
      <c r="B562" s="80" t="s">
        <v>300</v>
      </c>
      <c r="C562" s="80" t="s">
        <v>467</v>
      </c>
      <c r="D562" s="80" t="s">
        <v>16</v>
      </c>
      <c r="E562" s="82">
        <f t="shared" si="34"/>
        <v>50000</v>
      </c>
      <c r="F562" s="82">
        <f t="shared" si="34"/>
        <v>50000</v>
      </c>
      <c r="G562" s="281"/>
    </row>
    <row r="563" spans="1:8" ht="36.700000000000003" x14ac:dyDescent="0.25">
      <c r="A563" s="81" t="s">
        <v>17</v>
      </c>
      <c r="B563" s="80" t="s">
        <v>300</v>
      </c>
      <c r="C563" s="80" t="s">
        <v>467</v>
      </c>
      <c r="D563" s="80" t="s">
        <v>18</v>
      </c>
      <c r="E563" s="82">
        <f>'прил 12 (2)'!F467</f>
        <v>50000</v>
      </c>
      <c r="F563" s="82">
        <f>'прил 12 (2)'!G467</f>
        <v>50000</v>
      </c>
      <c r="G563" s="281"/>
    </row>
    <row r="564" spans="1:8" x14ac:dyDescent="0.25">
      <c r="A564" s="109" t="s">
        <v>103</v>
      </c>
      <c r="B564" s="110" t="s">
        <v>104</v>
      </c>
      <c r="C564" s="110" t="s">
        <v>126</v>
      </c>
      <c r="D564" s="110" t="s">
        <v>6</v>
      </c>
      <c r="E564" s="85">
        <f t="shared" ref="E564:F569" si="35">E565</f>
        <v>2500000</v>
      </c>
      <c r="F564" s="85">
        <f t="shared" si="35"/>
        <v>2000000</v>
      </c>
      <c r="G564" s="283">
        <f>потребность!G698</f>
        <v>1000000</v>
      </c>
      <c r="H564" s="283">
        <f>потребность!H698</f>
        <v>2500000</v>
      </c>
    </row>
    <row r="565" spans="1:8" x14ac:dyDescent="0.25">
      <c r="A565" s="81" t="s">
        <v>105</v>
      </c>
      <c r="B565" s="80" t="s">
        <v>106</v>
      </c>
      <c r="C565" s="80" t="s">
        <v>126</v>
      </c>
      <c r="D565" s="80" t="s">
        <v>6</v>
      </c>
      <c r="E565" s="82">
        <f t="shared" si="35"/>
        <v>2500000</v>
      </c>
      <c r="F565" s="82">
        <f t="shared" si="35"/>
        <v>2000000</v>
      </c>
      <c r="G565" s="281"/>
    </row>
    <row r="566" spans="1:8" ht="38.25" customHeight="1" x14ac:dyDescent="0.25">
      <c r="A566" s="109" t="s">
        <v>829</v>
      </c>
      <c r="B566" s="110" t="s">
        <v>106</v>
      </c>
      <c r="C566" s="110" t="s">
        <v>317</v>
      </c>
      <c r="D566" s="110" t="s">
        <v>6</v>
      </c>
      <c r="E566" s="82">
        <f t="shared" si="35"/>
        <v>2500000</v>
      </c>
      <c r="F566" s="82">
        <f t="shared" si="35"/>
        <v>2000000</v>
      </c>
      <c r="G566" s="281"/>
    </row>
    <row r="567" spans="1:8" ht="36.700000000000003" x14ac:dyDescent="0.25">
      <c r="A567" s="113" t="s">
        <v>327</v>
      </c>
      <c r="B567" s="80" t="s">
        <v>106</v>
      </c>
      <c r="C567" s="80" t="s">
        <v>318</v>
      </c>
      <c r="D567" s="80" t="s">
        <v>6</v>
      </c>
      <c r="E567" s="82">
        <f t="shared" si="35"/>
        <v>2500000</v>
      </c>
      <c r="F567" s="82">
        <f t="shared" si="35"/>
        <v>2000000</v>
      </c>
      <c r="G567" s="281"/>
    </row>
    <row r="568" spans="1:8" ht="39.75" customHeight="1" x14ac:dyDescent="0.25">
      <c r="A568" s="81" t="s">
        <v>107</v>
      </c>
      <c r="B568" s="80" t="s">
        <v>106</v>
      </c>
      <c r="C568" s="80" t="s">
        <v>319</v>
      </c>
      <c r="D568" s="80" t="s">
        <v>6</v>
      </c>
      <c r="E568" s="82">
        <f t="shared" si="35"/>
        <v>2500000</v>
      </c>
      <c r="F568" s="82">
        <f t="shared" si="35"/>
        <v>2000000</v>
      </c>
      <c r="G568" s="281"/>
    </row>
    <row r="569" spans="1:8" ht="36.700000000000003" x14ac:dyDescent="0.25">
      <c r="A569" s="81" t="s">
        <v>37</v>
      </c>
      <c r="B569" s="80" t="s">
        <v>106</v>
      </c>
      <c r="C569" s="80" t="s">
        <v>319</v>
      </c>
      <c r="D569" s="80" t="s">
        <v>38</v>
      </c>
      <c r="E569" s="82">
        <f t="shared" si="35"/>
        <v>2500000</v>
      </c>
      <c r="F569" s="82">
        <f t="shared" si="35"/>
        <v>2000000</v>
      </c>
      <c r="G569" s="281"/>
    </row>
    <row r="570" spans="1:8" x14ac:dyDescent="0.25">
      <c r="A570" s="81" t="s">
        <v>39</v>
      </c>
      <c r="B570" s="80" t="s">
        <v>106</v>
      </c>
      <c r="C570" s="80" t="s">
        <v>319</v>
      </c>
      <c r="D570" s="80" t="s">
        <v>40</v>
      </c>
      <c r="E570" s="82">
        <f>'прил 12 (2)'!F474</f>
        <v>2500000</v>
      </c>
      <c r="F570" s="82">
        <f>'прил 12 (2)'!G474</f>
        <v>2000000</v>
      </c>
      <c r="G570" s="281"/>
    </row>
    <row r="571" spans="1:8" x14ac:dyDescent="0.3">
      <c r="A571" s="682" t="s">
        <v>118</v>
      </c>
      <c r="B571" s="682"/>
      <c r="C571" s="682"/>
      <c r="D571" s="682"/>
      <c r="E571" s="193">
        <f>E12+E157+E167+E178+E220+E297+E313+E446+E488+E538+E564</f>
        <v>954904716.25999999</v>
      </c>
      <c r="F571" s="193">
        <f>F12+F157+F167+F178+F220+F297+F313+F446+F488+F538+F564</f>
        <v>952311189.88999987</v>
      </c>
      <c r="G571" s="283">
        <f>'прил 8'!C63</f>
        <v>965296782.8599999</v>
      </c>
      <c r="H571" s="283">
        <f>'прил 8'!D63</f>
        <v>972108154.78999996</v>
      </c>
    </row>
    <row r="572" spans="1:8" x14ac:dyDescent="0.3">
      <c r="A572" s="103"/>
      <c r="B572" s="103"/>
      <c r="C572" s="103"/>
      <c r="D572" s="103"/>
      <c r="E572" s="194"/>
      <c r="F572" s="189"/>
      <c r="G572" s="281"/>
    </row>
    <row r="573" spans="1:8" x14ac:dyDescent="0.3">
      <c r="A573" s="195"/>
      <c r="B573" s="195"/>
      <c r="C573" s="286" t="s">
        <v>805</v>
      </c>
      <c r="D573" s="195"/>
      <c r="E573" s="287">
        <f>G571-E571</f>
        <v>10392066.599999905</v>
      </c>
      <c r="F573" s="287">
        <f>H571-F571</f>
        <v>19796964.900000095</v>
      </c>
      <c r="G573" s="281"/>
    </row>
    <row r="574" spans="1:8" x14ac:dyDescent="0.3">
      <c r="A574" s="189"/>
      <c r="C574" s="197"/>
      <c r="E574" s="198"/>
      <c r="F574" s="189"/>
      <c r="G574" s="281"/>
    </row>
    <row r="575" spans="1:8" x14ac:dyDescent="0.3">
      <c r="A575" s="189"/>
      <c r="C575" s="197"/>
      <c r="E575" s="198"/>
      <c r="F575" s="189"/>
      <c r="G575" s="281"/>
    </row>
    <row r="576" spans="1:8" x14ac:dyDescent="0.3">
      <c r="A576" s="189"/>
      <c r="C576" s="197" t="s">
        <v>138</v>
      </c>
      <c r="E576" s="198">
        <f>E315+E341+E378+E408+E427+E495+E515</f>
        <v>624884631.10000002</v>
      </c>
      <c r="F576" s="198">
        <f>F315+F341+F378+F408+F427+F495+F515</f>
        <v>640224927.78999996</v>
      </c>
      <c r="G576" s="281"/>
    </row>
    <row r="577" spans="1:7" x14ac:dyDescent="0.3">
      <c r="A577" s="189"/>
      <c r="C577" s="197" t="s">
        <v>136</v>
      </c>
      <c r="E577" s="198">
        <f>E395+E448+E475</f>
        <v>67870453.629999995</v>
      </c>
      <c r="F577" s="198">
        <f>F395+F448+F475</f>
        <v>64361853.00999999</v>
      </c>
      <c r="G577" s="281"/>
    </row>
    <row r="578" spans="1:7" x14ac:dyDescent="0.3">
      <c r="A578" s="189"/>
      <c r="C578" s="197" t="s">
        <v>135</v>
      </c>
      <c r="E578" s="198">
        <f>E299</f>
        <v>470000</v>
      </c>
      <c r="F578" s="198">
        <f>F299</f>
        <v>470000</v>
      </c>
      <c r="G578" s="281"/>
    </row>
    <row r="579" spans="1:7" x14ac:dyDescent="0.3">
      <c r="A579" s="189"/>
      <c r="C579" s="197" t="s">
        <v>200</v>
      </c>
      <c r="E579" s="198">
        <f>E540</f>
        <v>925168.55</v>
      </c>
      <c r="F579" s="198">
        <f>F540</f>
        <v>925729.29</v>
      </c>
      <c r="G579" s="281"/>
    </row>
    <row r="580" spans="1:7" x14ac:dyDescent="0.3">
      <c r="A580" s="189"/>
      <c r="C580" s="197" t="s">
        <v>129</v>
      </c>
      <c r="E580" s="198">
        <f>E500</f>
        <v>150000</v>
      </c>
      <c r="F580" s="198">
        <f>F500</f>
        <v>150000</v>
      </c>
      <c r="G580" s="281"/>
    </row>
    <row r="581" spans="1:7" x14ac:dyDescent="0.3">
      <c r="A581" s="189"/>
      <c r="C581" s="197" t="s">
        <v>128</v>
      </c>
      <c r="E581" s="198">
        <f>E62</f>
        <v>25116707</v>
      </c>
      <c r="F581" s="198">
        <f>F62</f>
        <v>21501531</v>
      </c>
      <c r="G581" s="281"/>
    </row>
    <row r="582" spans="1:7" x14ac:dyDescent="0.3">
      <c r="A582" s="189"/>
      <c r="C582" s="197" t="s">
        <v>134</v>
      </c>
      <c r="E582" s="198">
        <f>E233+E255+E292</f>
        <v>5200000</v>
      </c>
      <c r="F582" s="198">
        <f>F233+F255+F292</f>
        <v>600000</v>
      </c>
      <c r="G582" s="281"/>
    </row>
    <row r="583" spans="1:7" x14ac:dyDescent="0.3">
      <c r="A583" s="189"/>
      <c r="C583" s="197" t="s">
        <v>131</v>
      </c>
      <c r="E583" s="198">
        <f>E87</f>
        <v>50000</v>
      </c>
      <c r="F583" s="198">
        <f>F87</f>
        <v>50000</v>
      </c>
      <c r="G583" s="281"/>
    </row>
    <row r="584" spans="1:7" x14ac:dyDescent="0.3">
      <c r="A584" s="189"/>
      <c r="C584" s="197" t="s">
        <v>412</v>
      </c>
      <c r="E584" s="198">
        <f>E206</f>
        <v>100000</v>
      </c>
      <c r="F584" s="198">
        <f>F206</f>
        <v>100000</v>
      </c>
      <c r="G584" s="281"/>
    </row>
    <row r="585" spans="1:7" x14ac:dyDescent="0.3">
      <c r="A585" s="189"/>
      <c r="C585" s="197" t="s">
        <v>374</v>
      </c>
      <c r="E585" s="198">
        <f>E505</f>
        <v>788949.7</v>
      </c>
      <c r="F585" s="198">
        <f>F505</f>
        <v>759549.38</v>
      </c>
      <c r="G585" s="281"/>
    </row>
    <row r="586" spans="1:7" x14ac:dyDescent="0.3">
      <c r="A586" s="189"/>
      <c r="C586" s="197" t="s">
        <v>317</v>
      </c>
      <c r="E586" s="198">
        <f>E92+E566</f>
        <v>4225733</v>
      </c>
      <c r="F586" s="198">
        <f>F92+F566</f>
        <v>3566675</v>
      </c>
      <c r="G586" s="281"/>
    </row>
    <row r="587" spans="1:7" x14ac:dyDescent="0.3">
      <c r="A587" s="189"/>
      <c r="C587" s="197" t="s">
        <v>335</v>
      </c>
      <c r="E587" s="198">
        <f>E197</f>
        <v>14066000</v>
      </c>
      <c r="F587" s="198">
        <f>F197</f>
        <v>14066000</v>
      </c>
      <c r="G587" s="281"/>
    </row>
    <row r="588" spans="1:7" x14ac:dyDescent="0.3">
      <c r="A588" s="189"/>
      <c r="C588" s="197" t="s">
        <v>363</v>
      </c>
      <c r="E588" s="198">
        <f>E308</f>
        <v>45000</v>
      </c>
      <c r="F588" s="198">
        <f>F308</f>
        <v>45000</v>
      </c>
      <c r="G588" s="281"/>
    </row>
    <row r="589" spans="1:7" x14ac:dyDescent="0.3">
      <c r="A589" s="189"/>
      <c r="C589" s="197" t="s">
        <v>340</v>
      </c>
      <c r="E589" s="198">
        <f>E211</f>
        <v>430000</v>
      </c>
      <c r="F589" s="198">
        <f>F211</f>
        <v>230000</v>
      </c>
      <c r="G589" s="281"/>
    </row>
    <row r="590" spans="1:7" x14ac:dyDescent="0.3">
      <c r="A590" s="189"/>
      <c r="C590" s="197" t="s">
        <v>331</v>
      </c>
      <c r="E590" s="198">
        <f>E100+E222</f>
        <v>2300000</v>
      </c>
      <c r="F590" s="198">
        <f>F100+F222</f>
        <v>1100000</v>
      </c>
      <c r="G590" s="281"/>
    </row>
    <row r="591" spans="1:7" x14ac:dyDescent="0.3">
      <c r="A591" s="189"/>
      <c r="C591" s="197" t="s">
        <v>320</v>
      </c>
      <c r="E591" s="198">
        <f>E192</f>
        <v>100000</v>
      </c>
      <c r="F591" s="198">
        <f>F192</f>
        <v>100000</v>
      </c>
      <c r="G591" s="281"/>
    </row>
    <row r="592" spans="1:7" x14ac:dyDescent="0.3">
      <c r="A592" s="189"/>
      <c r="C592" s="197" t="s">
        <v>463</v>
      </c>
      <c r="E592" s="198">
        <f>E559</f>
        <v>50000</v>
      </c>
      <c r="F592" s="198">
        <f>F559</f>
        <v>50000</v>
      </c>
      <c r="G592" s="281"/>
    </row>
    <row r="593" spans="1:7" x14ac:dyDescent="0.3">
      <c r="A593" s="189"/>
      <c r="C593" s="197" t="s">
        <v>509</v>
      </c>
      <c r="E593" s="198">
        <f>E266</f>
        <v>2984900</v>
      </c>
      <c r="F593" s="198">
        <f>F266</f>
        <v>1200900</v>
      </c>
      <c r="G593" s="281"/>
    </row>
    <row r="594" spans="1:7" x14ac:dyDescent="0.3">
      <c r="A594" s="189"/>
      <c r="C594" s="197" t="s">
        <v>519</v>
      </c>
      <c r="E594" s="198">
        <f>E277</f>
        <v>20918768.439999998</v>
      </c>
      <c r="F594" s="198">
        <f>F277</f>
        <v>20918768.439999998</v>
      </c>
      <c r="G594" s="281"/>
    </row>
    <row r="595" spans="1:7" x14ac:dyDescent="0.3">
      <c r="A595" s="189"/>
      <c r="C595" s="197" t="s">
        <v>1127</v>
      </c>
      <c r="E595" s="198">
        <f>E107</f>
        <v>30000</v>
      </c>
      <c r="F595" s="198">
        <f>F107</f>
        <v>30000</v>
      </c>
      <c r="G595" s="281"/>
    </row>
    <row r="596" spans="1:7" x14ac:dyDescent="0.3">
      <c r="A596" s="189"/>
      <c r="C596" s="197" t="s">
        <v>127</v>
      </c>
      <c r="E596" s="198">
        <f>E14+E19+E34+E41+E47+E112+E169+E174+E180+E186+E227+E490+E510+E521+E159</f>
        <v>184198404.84</v>
      </c>
      <c r="F596" s="198">
        <f>F14+F19+F34+F41+F47+F112+F169+F174+F180+F186+F227+F490+F510+F521+F159</f>
        <v>181860255.98000002</v>
      </c>
      <c r="G596" s="281"/>
    </row>
    <row r="597" spans="1:7" x14ac:dyDescent="0.3">
      <c r="A597" s="189"/>
      <c r="C597" s="197"/>
      <c r="E597" s="198">
        <f>SUM(E576:E596)</f>
        <v>954904716.26000011</v>
      </c>
      <c r="F597" s="198">
        <f>SUM(F576:F596)</f>
        <v>952311189.88999987</v>
      </c>
      <c r="G597" s="281"/>
    </row>
    <row r="598" spans="1:7" x14ac:dyDescent="0.3">
      <c r="A598" s="189"/>
      <c r="C598" s="197"/>
      <c r="E598" s="198"/>
      <c r="F598" s="198"/>
      <c r="G598" s="281"/>
    </row>
    <row r="599" spans="1:7" x14ac:dyDescent="0.3">
      <c r="A599" s="189"/>
      <c r="C599" s="197"/>
      <c r="E599" s="198">
        <f>E571-E597</f>
        <v>0</v>
      </c>
      <c r="F599" s="198">
        <f>F571-F597</f>
        <v>0</v>
      </c>
      <c r="G599" s="281"/>
    </row>
    <row r="600" spans="1:7" x14ac:dyDescent="0.3">
      <c r="A600" s="189"/>
      <c r="C600" s="197"/>
      <c r="E600" s="198"/>
      <c r="F600" s="198"/>
      <c r="G600" s="281"/>
    </row>
    <row r="601" spans="1:7" x14ac:dyDescent="0.3">
      <c r="A601" s="189"/>
      <c r="C601" s="197" t="s">
        <v>219</v>
      </c>
      <c r="E601" s="198">
        <f>E317</f>
        <v>144743741.30000001</v>
      </c>
      <c r="F601" s="198">
        <f>F317</f>
        <v>147995770.30000001</v>
      </c>
      <c r="G601" s="281"/>
    </row>
    <row r="602" spans="1:7" x14ac:dyDescent="0.3">
      <c r="A602" s="189"/>
      <c r="C602" s="197" t="s">
        <v>221</v>
      </c>
      <c r="E602" s="198">
        <f>E324</f>
        <v>258000</v>
      </c>
      <c r="F602" s="198">
        <f>F324</f>
        <v>258000</v>
      </c>
      <c r="G602" s="281"/>
    </row>
    <row r="603" spans="1:7" x14ac:dyDescent="0.3">
      <c r="A603" s="189"/>
      <c r="C603" s="197" t="s">
        <v>234</v>
      </c>
      <c r="E603" s="198">
        <f>E517</f>
        <v>3943108</v>
      </c>
      <c r="F603" s="198">
        <f>F517</f>
        <v>4099837</v>
      </c>
      <c r="G603" s="281"/>
    </row>
    <row r="604" spans="1:7" x14ac:dyDescent="0.3">
      <c r="A604" s="189"/>
      <c r="C604" s="197" t="s">
        <v>222</v>
      </c>
      <c r="E604" s="198">
        <f>E343</f>
        <v>412894862.13999999</v>
      </c>
      <c r="F604" s="198">
        <f>F343</f>
        <v>427190904.13999999</v>
      </c>
      <c r="G604" s="281"/>
    </row>
    <row r="605" spans="1:7" x14ac:dyDescent="0.3">
      <c r="A605" s="189"/>
      <c r="C605" s="197" t="s">
        <v>220</v>
      </c>
      <c r="E605" s="198">
        <f>E410+E356</f>
        <v>291200</v>
      </c>
      <c r="F605" s="198">
        <f>F410+F356</f>
        <v>291200</v>
      </c>
      <c r="G605" s="281"/>
    </row>
    <row r="606" spans="1:7" x14ac:dyDescent="0.3">
      <c r="A606" s="189"/>
      <c r="C606" s="197" t="s">
        <v>223</v>
      </c>
      <c r="E606" s="198">
        <f>E369+E414</f>
        <v>8956700</v>
      </c>
      <c r="F606" s="198">
        <f>F369+F414</f>
        <v>8956700</v>
      </c>
      <c r="G606" s="281"/>
    </row>
    <row r="607" spans="1:7" x14ac:dyDescent="0.3">
      <c r="A607" s="189"/>
      <c r="C607" s="197" t="s">
        <v>313</v>
      </c>
      <c r="E607" s="198">
        <f>E373</f>
        <v>2958231.66</v>
      </c>
      <c r="F607" s="198">
        <f>F373</f>
        <v>2961323.59</v>
      </c>
      <c r="G607" s="281"/>
    </row>
    <row r="608" spans="1:7" x14ac:dyDescent="0.3">
      <c r="A608" s="189"/>
      <c r="C608" s="197" t="s">
        <v>224</v>
      </c>
      <c r="E608" s="198">
        <f>E380</f>
        <v>24942762</v>
      </c>
      <c r="F608" s="198">
        <f>F380</f>
        <v>23440299.52</v>
      </c>
      <c r="G608" s="281"/>
    </row>
    <row r="609" spans="1:7" x14ac:dyDescent="0.3">
      <c r="A609" s="189"/>
      <c r="C609" s="197" t="s">
        <v>225</v>
      </c>
      <c r="E609" s="198">
        <f>E384</f>
        <v>31600</v>
      </c>
      <c r="F609" s="198">
        <f>F384</f>
        <v>31600</v>
      </c>
      <c r="G609" s="281"/>
    </row>
    <row r="610" spans="1:7" x14ac:dyDescent="0.3">
      <c r="A610" s="189"/>
      <c r="C610" s="197" t="s">
        <v>755</v>
      </c>
      <c r="E610" s="198">
        <f>E391</f>
        <v>1736190</v>
      </c>
      <c r="F610" s="198">
        <f>F391</f>
        <v>1736190</v>
      </c>
      <c r="G610" s="281"/>
    </row>
    <row r="611" spans="1:7" x14ac:dyDescent="0.3">
      <c r="A611" s="189"/>
      <c r="C611" s="197" t="s">
        <v>226</v>
      </c>
      <c r="E611" s="198">
        <f>E428</f>
        <v>22693236</v>
      </c>
      <c r="F611" s="198">
        <f>F428</f>
        <v>21828103.240000002</v>
      </c>
      <c r="G611" s="281"/>
    </row>
    <row r="612" spans="1:7" x14ac:dyDescent="0.3">
      <c r="A612" s="189"/>
      <c r="C612" s="197" t="s">
        <v>237</v>
      </c>
      <c r="E612" s="198">
        <f>E422</f>
        <v>125000</v>
      </c>
      <c r="F612" s="198">
        <f>F422</f>
        <v>125000</v>
      </c>
      <c r="G612" s="281"/>
    </row>
    <row r="613" spans="1:7" x14ac:dyDescent="0.3">
      <c r="A613" s="189"/>
      <c r="C613" s="197" t="s">
        <v>457</v>
      </c>
      <c r="E613" s="198">
        <f>E496</f>
        <v>1310000</v>
      </c>
      <c r="F613" s="198">
        <f>F496</f>
        <v>1310000</v>
      </c>
      <c r="G613" s="281"/>
    </row>
    <row r="614" spans="1:7" x14ac:dyDescent="0.3">
      <c r="A614" s="189"/>
      <c r="C614" s="197" t="s">
        <v>227</v>
      </c>
      <c r="E614" s="198">
        <f>E449</f>
        <v>10432521.9</v>
      </c>
      <c r="F614" s="198">
        <f>F449</f>
        <v>9583568.5999999996</v>
      </c>
      <c r="G614" s="281"/>
    </row>
    <row r="615" spans="1:7" x14ac:dyDescent="0.3">
      <c r="A615" s="189"/>
      <c r="C615" s="197" t="s">
        <v>228</v>
      </c>
      <c r="E615" s="198">
        <f>E396</f>
        <v>20237835.43</v>
      </c>
      <c r="F615" s="198">
        <f>F396</f>
        <v>17284021.379999999</v>
      </c>
      <c r="G615" s="281"/>
    </row>
    <row r="616" spans="1:7" x14ac:dyDescent="0.3">
      <c r="A616" s="189"/>
      <c r="C616" s="197" t="s">
        <v>229</v>
      </c>
      <c r="E616" s="198">
        <f>E466+E476</f>
        <v>9805094.5800000001</v>
      </c>
      <c r="F616" s="198">
        <f>F466+F476</f>
        <v>11605969</v>
      </c>
      <c r="G616" s="281"/>
    </row>
    <row r="617" spans="1:7" x14ac:dyDescent="0.3">
      <c r="A617" s="189"/>
      <c r="C617" s="197" t="s">
        <v>677</v>
      </c>
      <c r="E617" s="198">
        <f>E453</f>
        <v>27395001.719999999</v>
      </c>
      <c r="F617" s="198">
        <f>F453</f>
        <v>25888294.030000001</v>
      </c>
      <c r="G617" s="281"/>
    </row>
    <row r="618" spans="1:7" x14ac:dyDescent="0.3">
      <c r="A618" s="189"/>
      <c r="C618" s="197" t="s">
        <v>598</v>
      </c>
      <c r="E618" s="198">
        <f>E403</f>
        <v>0</v>
      </c>
      <c r="F618" s="198">
        <f>F403</f>
        <v>0</v>
      </c>
      <c r="G618" s="281"/>
    </row>
    <row r="619" spans="1:7" x14ac:dyDescent="0.3">
      <c r="A619" s="189"/>
      <c r="C619" s="197" t="s">
        <v>392</v>
      </c>
      <c r="E619" s="198">
        <f>E300</f>
        <v>440000</v>
      </c>
      <c r="F619" s="198">
        <f>F300</f>
        <v>440000</v>
      </c>
      <c r="G619" s="281"/>
    </row>
    <row r="620" spans="1:7" x14ac:dyDescent="0.3">
      <c r="A620" s="189"/>
      <c r="C620" s="197" t="s">
        <v>246</v>
      </c>
      <c r="E620" s="198">
        <f>E304</f>
        <v>30000</v>
      </c>
      <c r="F620" s="198">
        <f>F304</f>
        <v>30000</v>
      </c>
      <c r="G620" s="281"/>
    </row>
    <row r="621" spans="1:7" x14ac:dyDescent="0.3">
      <c r="A621" s="189"/>
      <c r="C621" s="197" t="s">
        <v>230</v>
      </c>
      <c r="E621" s="198">
        <f>E541</f>
        <v>925168.55</v>
      </c>
      <c r="F621" s="198">
        <f>F541</f>
        <v>925729.29</v>
      </c>
      <c r="G621" s="281"/>
    </row>
    <row r="622" spans="1:7" x14ac:dyDescent="0.3">
      <c r="A622" s="189"/>
      <c r="C622" s="197" t="s">
        <v>303</v>
      </c>
      <c r="E622" s="198">
        <f>E547</f>
        <v>0</v>
      </c>
      <c r="F622" s="198">
        <f>F547</f>
        <v>0</v>
      </c>
      <c r="G622" s="281"/>
    </row>
    <row r="623" spans="1:7" x14ac:dyDescent="0.3">
      <c r="A623" s="189"/>
      <c r="C623" s="197" t="s">
        <v>413</v>
      </c>
      <c r="E623" s="198">
        <f>E501</f>
        <v>150000</v>
      </c>
      <c r="F623" s="198">
        <f>F501</f>
        <v>150000</v>
      </c>
      <c r="G623" s="281"/>
    </row>
    <row r="624" spans="1:7" x14ac:dyDescent="0.3">
      <c r="A624" s="189"/>
      <c r="C624" s="197" t="s">
        <v>315</v>
      </c>
      <c r="E624" s="198">
        <f>E63</f>
        <v>953397</v>
      </c>
      <c r="F624" s="198">
        <f>F63</f>
        <v>857721</v>
      </c>
      <c r="G624" s="281"/>
    </row>
    <row r="625" spans="1:7" x14ac:dyDescent="0.3">
      <c r="A625" s="189"/>
      <c r="C625" s="197" t="s">
        <v>231</v>
      </c>
      <c r="E625" s="198">
        <f>E70</f>
        <v>22712210</v>
      </c>
      <c r="F625" s="198">
        <f>F70</f>
        <v>19492710</v>
      </c>
      <c r="G625" s="281"/>
    </row>
    <row r="626" spans="1:7" x14ac:dyDescent="0.3">
      <c r="A626" s="189"/>
      <c r="C626" s="197" t="s">
        <v>270</v>
      </c>
      <c r="E626" s="198">
        <f>E78</f>
        <v>1451100</v>
      </c>
      <c r="F626" s="198">
        <f>F78</f>
        <v>1151100</v>
      </c>
      <c r="G626" s="281"/>
    </row>
    <row r="627" spans="1:7" x14ac:dyDescent="0.3">
      <c r="A627" s="189"/>
      <c r="C627" s="197" t="s">
        <v>350</v>
      </c>
      <c r="E627" s="198">
        <f>E234+E293</f>
        <v>4300000</v>
      </c>
      <c r="F627" s="198">
        <f>F234+F293</f>
        <v>400000</v>
      </c>
      <c r="G627" s="281"/>
    </row>
    <row r="628" spans="1:7" x14ac:dyDescent="0.3">
      <c r="A628" s="189"/>
      <c r="C628" s="197" t="s">
        <v>232</v>
      </c>
      <c r="E628" s="198">
        <f>E256</f>
        <v>900000</v>
      </c>
      <c r="F628" s="198">
        <f>F256</f>
        <v>200000</v>
      </c>
      <c r="G628" s="281"/>
    </row>
    <row r="629" spans="1:7" x14ac:dyDescent="0.3">
      <c r="A629" s="189"/>
      <c r="C629" s="197" t="s">
        <v>456</v>
      </c>
      <c r="E629" s="198">
        <v>0</v>
      </c>
      <c r="F629" s="198">
        <v>0</v>
      </c>
      <c r="G629" s="281"/>
    </row>
    <row r="630" spans="1:7" x14ac:dyDescent="0.3">
      <c r="A630" s="189"/>
      <c r="C630" s="197" t="s">
        <v>233</v>
      </c>
      <c r="E630" s="198">
        <f>E88</f>
        <v>50000</v>
      </c>
      <c r="F630" s="198">
        <f>F88</f>
        <v>50000</v>
      </c>
      <c r="G630" s="281"/>
    </row>
    <row r="631" spans="1:7" x14ac:dyDescent="0.3">
      <c r="A631" s="189"/>
      <c r="C631" s="197" t="s">
        <v>414</v>
      </c>
      <c r="E631" s="198">
        <f>E207</f>
        <v>100000</v>
      </c>
      <c r="F631" s="198">
        <f>F207</f>
        <v>100000</v>
      </c>
      <c r="G631" s="281"/>
    </row>
    <row r="632" spans="1:7" x14ac:dyDescent="0.3">
      <c r="A632" s="189"/>
      <c r="C632" s="197" t="s">
        <v>375</v>
      </c>
      <c r="E632" s="198">
        <f>E506</f>
        <v>788949.7</v>
      </c>
      <c r="F632" s="198">
        <f>F506</f>
        <v>759549.38</v>
      </c>
      <c r="G632" s="281"/>
    </row>
    <row r="633" spans="1:7" x14ac:dyDescent="0.3">
      <c r="A633" s="189"/>
      <c r="C633" s="197" t="s">
        <v>318</v>
      </c>
      <c r="E633" s="198">
        <f>E93+E567</f>
        <v>4225733</v>
      </c>
      <c r="F633" s="198">
        <f>F93+F567</f>
        <v>3566675</v>
      </c>
      <c r="G633" s="281"/>
    </row>
    <row r="634" spans="1:7" x14ac:dyDescent="0.3">
      <c r="A634" s="189"/>
      <c r="C634" s="197" t="s">
        <v>337</v>
      </c>
      <c r="E634" s="198">
        <f>E198</f>
        <v>14066000</v>
      </c>
      <c r="F634" s="198">
        <f>F198</f>
        <v>14066000</v>
      </c>
      <c r="G634" s="281"/>
    </row>
    <row r="635" spans="1:7" x14ac:dyDescent="0.3">
      <c r="A635" s="189"/>
      <c r="C635" s="197" t="s">
        <v>365</v>
      </c>
      <c r="E635" s="198">
        <f>E309</f>
        <v>45000</v>
      </c>
      <c r="F635" s="198">
        <f>F309</f>
        <v>45000</v>
      </c>
      <c r="G635" s="281"/>
    </row>
    <row r="636" spans="1:7" x14ac:dyDescent="0.3">
      <c r="A636" s="189"/>
      <c r="C636" s="197" t="s">
        <v>415</v>
      </c>
      <c r="E636" s="198"/>
      <c r="F636" s="198"/>
      <c r="G636" s="281"/>
    </row>
    <row r="637" spans="1:7" x14ac:dyDescent="0.3">
      <c r="A637" s="189"/>
      <c r="C637" s="197">
        <v>1495300000</v>
      </c>
      <c r="E637" s="198">
        <f>E212</f>
        <v>300000</v>
      </c>
      <c r="F637" s="198">
        <f>F212</f>
        <v>100000</v>
      </c>
      <c r="G637" s="281"/>
    </row>
    <row r="638" spans="1:7" x14ac:dyDescent="0.3">
      <c r="A638" s="189"/>
      <c r="C638" s="197" t="s">
        <v>387</v>
      </c>
      <c r="E638" s="198">
        <f>E216</f>
        <v>130000</v>
      </c>
      <c r="F638" s="198">
        <f>F216</f>
        <v>130000</v>
      </c>
      <c r="G638" s="281"/>
    </row>
    <row r="639" spans="1:7" x14ac:dyDescent="0.3">
      <c r="A639" s="189"/>
      <c r="C639" s="197" t="s">
        <v>332</v>
      </c>
      <c r="E639" s="198">
        <f>E223+E101</f>
        <v>2300000</v>
      </c>
      <c r="F639" s="198">
        <f>F223+F101</f>
        <v>1100000</v>
      </c>
      <c r="G639" s="281"/>
    </row>
    <row r="640" spans="1:7" x14ac:dyDescent="0.3">
      <c r="A640" s="189"/>
      <c r="C640" s="197" t="s">
        <v>809</v>
      </c>
      <c r="E640" s="198">
        <f>E192</f>
        <v>100000</v>
      </c>
      <c r="F640" s="198">
        <f>F192</f>
        <v>100000</v>
      </c>
      <c r="G640" s="281"/>
    </row>
    <row r="641" spans="1:7" x14ac:dyDescent="0.3">
      <c r="A641" s="189"/>
      <c r="C641" s="197" t="s">
        <v>465</v>
      </c>
      <c r="E641" s="198">
        <f>E560</f>
        <v>50000</v>
      </c>
      <c r="F641" s="198">
        <f>F560</f>
        <v>50000</v>
      </c>
      <c r="G641" s="281"/>
    </row>
    <row r="642" spans="1:7" x14ac:dyDescent="0.3">
      <c r="A642" s="189"/>
      <c r="C642" s="197" t="s">
        <v>511</v>
      </c>
      <c r="E642" s="198">
        <f>E267</f>
        <v>2984900</v>
      </c>
      <c r="F642" s="198">
        <f>F267</f>
        <v>1200900</v>
      </c>
      <c r="G642" s="281"/>
    </row>
    <row r="643" spans="1:7" x14ac:dyDescent="0.3">
      <c r="A643" s="189"/>
      <c r="C643" s="197" t="s">
        <v>552</v>
      </c>
      <c r="E643" s="198">
        <f>E279</f>
        <v>7604276.3499999996</v>
      </c>
      <c r="F643" s="198">
        <f>F279</f>
        <v>7604276.3499999996</v>
      </c>
      <c r="G643" s="281"/>
    </row>
    <row r="644" spans="1:7" x14ac:dyDescent="0.3">
      <c r="A644" s="189"/>
      <c r="C644" s="197" t="s">
        <v>557</v>
      </c>
      <c r="E644" s="198">
        <f>E284</f>
        <v>13314492.09</v>
      </c>
      <c r="F644" s="198">
        <f>F284</f>
        <v>13314492.09</v>
      </c>
      <c r="G644" s="281"/>
    </row>
    <row r="645" spans="1:7" x14ac:dyDescent="0.3">
      <c r="A645" s="189"/>
      <c r="C645" s="197" t="s">
        <v>953</v>
      </c>
      <c r="E645" s="198">
        <f>E108</f>
        <v>30000</v>
      </c>
      <c r="F645" s="198">
        <f>F108</f>
        <v>30000</v>
      </c>
      <c r="G645" s="281"/>
    </row>
    <row r="646" spans="1:7" x14ac:dyDescent="0.3">
      <c r="A646" s="189"/>
      <c r="C646" s="197" t="s">
        <v>127</v>
      </c>
      <c r="E646" s="198">
        <f>E14+E19+E34+E41+E47+E112+E169+E174+E180+E186+E227+E490+E510+E521+E159</f>
        <v>184198404.84</v>
      </c>
      <c r="F646" s="198">
        <f>F14+F19+F34+F41+F47+F112+F169+F174+F180+F186+F227+F490+F510+F521+F159</f>
        <v>181860255.98000002</v>
      </c>
      <c r="G646" s="281"/>
    </row>
    <row r="647" spans="1:7" x14ac:dyDescent="0.3">
      <c r="A647" s="189"/>
      <c r="C647" s="197"/>
      <c r="E647" s="198">
        <f>SUM(E601:E646)</f>
        <v>954904716.26000011</v>
      </c>
      <c r="F647" s="198">
        <f>SUM(F601:F646)</f>
        <v>952311189.8900001</v>
      </c>
      <c r="G647" s="281"/>
    </row>
    <row r="648" spans="1:7" x14ac:dyDescent="0.3">
      <c r="A648" s="189"/>
      <c r="C648" s="197"/>
      <c r="E648" s="198">
        <f>SUM(E601:E644)+E645</f>
        <v>770706311.42000008</v>
      </c>
      <c r="F648" s="198">
        <f>SUM(F601:F644)+F645</f>
        <v>770450933.91000009</v>
      </c>
      <c r="G648" s="281"/>
    </row>
    <row r="650" spans="1:7" x14ac:dyDescent="0.3">
      <c r="E650" s="198">
        <f>E597-E647</f>
        <v>0</v>
      </c>
      <c r="F650" s="198">
        <f>F597-F647</f>
        <v>0</v>
      </c>
    </row>
  </sheetData>
  <mergeCells count="6">
    <mergeCell ref="A571:D571"/>
    <mergeCell ref="A5:F5"/>
    <mergeCell ref="A6:F6"/>
    <mergeCell ref="A7:F7"/>
    <mergeCell ref="A8:F8"/>
    <mergeCell ref="A9:F9"/>
  </mergeCells>
  <pageMargins left="1.1811023622047245" right="0.39370078740157483" top="0.39370078740157483" bottom="0.39370078740157483" header="0.31496062992125984" footer="0.31496062992125984"/>
  <pageSetup paperSize="9" scale="57" fitToHeight="0" orientation="portrait" r:id="rId1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88"/>
  <sheetViews>
    <sheetView view="pageBreakPreview" topLeftCell="A67" zoomScale="93" zoomScaleNormal="100" zoomScaleSheetLayoutView="93" workbookViewId="0">
      <selection activeCell="A27" sqref="A27"/>
    </sheetView>
  </sheetViews>
  <sheetFormatPr defaultRowHeight="18.350000000000001" x14ac:dyDescent="0.3"/>
  <cols>
    <col min="1" max="1" width="95.875" style="189" customWidth="1"/>
    <col min="2" max="2" width="16.375" style="189" customWidth="1"/>
    <col min="3" max="3" width="18.125" style="189" customWidth="1"/>
    <col min="4" max="4" width="9.125" style="202"/>
    <col min="5" max="5" width="17.125" style="201" customWidth="1"/>
    <col min="6" max="6" width="13.375" style="202" customWidth="1"/>
    <col min="7" max="7" width="16.125" style="165" customWidth="1"/>
    <col min="8" max="8" width="11.375" style="165" bestFit="1" customWidth="1"/>
    <col min="9" max="9" width="12.375" style="165" bestFit="1" customWidth="1"/>
    <col min="10" max="10" width="9.125" style="165"/>
    <col min="11" max="11" width="13.375" style="165" customWidth="1"/>
    <col min="12" max="244" width="9.125" style="165"/>
    <col min="245" max="245" width="69.875" style="165" customWidth="1"/>
    <col min="246" max="246" width="9.625" style="165" customWidth="1"/>
    <col min="247" max="250" width="0" style="165" hidden="1" customWidth="1"/>
    <col min="251" max="251" width="13.875" style="165" customWidth="1"/>
    <col min="252" max="257" width="0" style="165" hidden="1" customWidth="1"/>
    <col min="258" max="261" width="9.125" style="165"/>
    <col min="262" max="262" width="13.375" style="165" customWidth="1"/>
    <col min="263" max="263" width="9.125" style="165"/>
    <col min="264" max="264" width="11.375" style="165" bestFit="1" customWidth="1"/>
    <col min="265" max="266" width="9.125" style="165"/>
    <col min="267" max="267" width="13.375" style="165" customWidth="1"/>
    <col min="268" max="500" width="9.125" style="165"/>
    <col min="501" max="501" width="69.875" style="165" customWidth="1"/>
    <col min="502" max="502" width="9.625" style="165" customWidth="1"/>
    <col min="503" max="506" width="0" style="165" hidden="1" customWidth="1"/>
    <col min="507" max="507" width="13.875" style="165" customWidth="1"/>
    <col min="508" max="513" width="0" style="165" hidden="1" customWidth="1"/>
    <col min="514" max="517" width="9.125" style="165"/>
    <col min="518" max="518" width="13.375" style="165" customWidth="1"/>
    <col min="519" max="519" width="9.125" style="165"/>
    <col min="520" max="520" width="11.375" style="165" bestFit="1" customWidth="1"/>
    <col min="521" max="522" width="9.125" style="165"/>
    <col min="523" max="523" width="13.375" style="165" customWidth="1"/>
    <col min="524" max="756" width="9.125" style="165"/>
    <col min="757" max="757" width="69.875" style="165" customWidth="1"/>
    <col min="758" max="758" width="9.625" style="165" customWidth="1"/>
    <col min="759" max="762" width="0" style="165" hidden="1" customWidth="1"/>
    <col min="763" max="763" width="13.875" style="165" customWidth="1"/>
    <col min="764" max="769" width="0" style="165" hidden="1" customWidth="1"/>
    <col min="770" max="773" width="9.125" style="165"/>
    <col min="774" max="774" width="13.375" style="165" customWidth="1"/>
    <col min="775" max="775" width="9.125" style="165"/>
    <col min="776" max="776" width="11.375" style="165" bestFit="1" customWidth="1"/>
    <col min="777" max="778" width="9.125" style="165"/>
    <col min="779" max="779" width="13.375" style="165" customWidth="1"/>
    <col min="780" max="1012" width="9.125" style="165"/>
    <col min="1013" max="1013" width="69.875" style="165" customWidth="1"/>
    <col min="1014" max="1014" width="9.625" style="165" customWidth="1"/>
    <col min="1015" max="1018" width="0" style="165" hidden="1" customWidth="1"/>
    <col min="1019" max="1019" width="13.875" style="165" customWidth="1"/>
    <col min="1020" max="1025" width="0" style="165" hidden="1" customWidth="1"/>
    <col min="1026" max="1029" width="9.125" style="165"/>
    <col min="1030" max="1030" width="13.375" style="165" customWidth="1"/>
    <col min="1031" max="1031" width="9.125" style="165"/>
    <col min="1032" max="1032" width="11.375" style="165" bestFit="1" customWidth="1"/>
    <col min="1033" max="1034" width="9.125" style="165"/>
    <col min="1035" max="1035" width="13.375" style="165" customWidth="1"/>
    <col min="1036" max="1268" width="9.125" style="165"/>
    <col min="1269" max="1269" width="69.875" style="165" customWidth="1"/>
    <col min="1270" max="1270" width="9.625" style="165" customWidth="1"/>
    <col min="1271" max="1274" width="0" style="165" hidden="1" customWidth="1"/>
    <col min="1275" max="1275" width="13.875" style="165" customWidth="1"/>
    <col min="1276" max="1281" width="0" style="165" hidden="1" customWidth="1"/>
    <col min="1282" max="1285" width="9.125" style="165"/>
    <col min="1286" max="1286" width="13.375" style="165" customWidth="1"/>
    <col min="1287" max="1287" width="9.125" style="165"/>
    <col min="1288" max="1288" width="11.375" style="165" bestFit="1" customWidth="1"/>
    <col min="1289" max="1290" width="9.125" style="165"/>
    <col min="1291" max="1291" width="13.375" style="165" customWidth="1"/>
    <col min="1292" max="1524" width="9.125" style="165"/>
    <col min="1525" max="1525" width="69.875" style="165" customWidth="1"/>
    <col min="1526" max="1526" width="9.625" style="165" customWidth="1"/>
    <col min="1527" max="1530" width="0" style="165" hidden="1" customWidth="1"/>
    <col min="1531" max="1531" width="13.875" style="165" customWidth="1"/>
    <col min="1532" max="1537" width="0" style="165" hidden="1" customWidth="1"/>
    <col min="1538" max="1541" width="9.125" style="165"/>
    <col min="1542" max="1542" width="13.375" style="165" customWidth="1"/>
    <col min="1543" max="1543" width="9.125" style="165"/>
    <col min="1544" max="1544" width="11.375" style="165" bestFit="1" customWidth="1"/>
    <col min="1545" max="1546" width="9.125" style="165"/>
    <col min="1547" max="1547" width="13.375" style="165" customWidth="1"/>
    <col min="1548" max="1780" width="9.125" style="165"/>
    <col min="1781" max="1781" width="69.875" style="165" customWidth="1"/>
    <col min="1782" max="1782" width="9.625" style="165" customWidth="1"/>
    <col min="1783" max="1786" width="0" style="165" hidden="1" customWidth="1"/>
    <col min="1787" max="1787" width="13.875" style="165" customWidth="1"/>
    <col min="1788" max="1793" width="0" style="165" hidden="1" customWidth="1"/>
    <col min="1794" max="1797" width="9.125" style="165"/>
    <col min="1798" max="1798" width="13.375" style="165" customWidth="1"/>
    <col min="1799" max="1799" width="9.125" style="165"/>
    <col min="1800" max="1800" width="11.375" style="165" bestFit="1" customWidth="1"/>
    <col min="1801" max="1802" width="9.125" style="165"/>
    <col min="1803" max="1803" width="13.375" style="165" customWidth="1"/>
    <col min="1804" max="2036" width="9.125" style="165"/>
    <col min="2037" max="2037" width="69.875" style="165" customWidth="1"/>
    <col min="2038" max="2038" width="9.625" style="165" customWidth="1"/>
    <col min="2039" max="2042" width="0" style="165" hidden="1" customWidth="1"/>
    <col min="2043" max="2043" width="13.875" style="165" customWidth="1"/>
    <col min="2044" max="2049" width="0" style="165" hidden="1" customWidth="1"/>
    <col min="2050" max="2053" width="9.125" style="165"/>
    <col min="2054" max="2054" width="13.375" style="165" customWidth="1"/>
    <col min="2055" max="2055" width="9.125" style="165"/>
    <col min="2056" max="2056" width="11.375" style="165" bestFit="1" customWidth="1"/>
    <col min="2057" max="2058" width="9.125" style="165"/>
    <col min="2059" max="2059" width="13.375" style="165" customWidth="1"/>
    <col min="2060" max="2292" width="9.125" style="165"/>
    <col min="2293" max="2293" width="69.875" style="165" customWidth="1"/>
    <col min="2294" max="2294" width="9.625" style="165" customWidth="1"/>
    <col min="2295" max="2298" width="0" style="165" hidden="1" customWidth="1"/>
    <col min="2299" max="2299" width="13.875" style="165" customWidth="1"/>
    <col min="2300" max="2305" width="0" style="165" hidden="1" customWidth="1"/>
    <col min="2306" max="2309" width="9.125" style="165"/>
    <col min="2310" max="2310" width="13.375" style="165" customWidth="1"/>
    <col min="2311" max="2311" width="9.125" style="165"/>
    <col min="2312" max="2312" width="11.375" style="165" bestFit="1" customWidth="1"/>
    <col min="2313" max="2314" width="9.125" style="165"/>
    <col min="2315" max="2315" width="13.375" style="165" customWidth="1"/>
    <col min="2316" max="2548" width="9.125" style="165"/>
    <col min="2549" max="2549" width="69.875" style="165" customWidth="1"/>
    <col min="2550" max="2550" width="9.625" style="165" customWidth="1"/>
    <col min="2551" max="2554" width="0" style="165" hidden="1" customWidth="1"/>
    <col min="2555" max="2555" width="13.875" style="165" customWidth="1"/>
    <col min="2556" max="2561" width="0" style="165" hidden="1" customWidth="1"/>
    <col min="2562" max="2565" width="9.125" style="165"/>
    <col min="2566" max="2566" width="13.375" style="165" customWidth="1"/>
    <col min="2567" max="2567" width="9.125" style="165"/>
    <col min="2568" max="2568" width="11.375" style="165" bestFit="1" customWidth="1"/>
    <col min="2569" max="2570" width="9.125" style="165"/>
    <col min="2571" max="2571" width="13.375" style="165" customWidth="1"/>
    <col min="2572" max="2804" width="9.125" style="165"/>
    <col min="2805" max="2805" width="69.875" style="165" customWidth="1"/>
    <col min="2806" max="2806" width="9.625" style="165" customWidth="1"/>
    <col min="2807" max="2810" width="0" style="165" hidden="1" customWidth="1"/>
    <col min="2811" max="2811" width="13.875" style="165" customWidth="1"/>
    <col min="2812" max="2817" width="0" style="165" hidden="1" customWidth="1"/>
    <col min="2818" max="2821" width="9.125" style="165"/>
    <col min="2822" max="2822" width="13.375" style="165" customWidth="1"/>
    <col min="2823" max="2823" width="9.125" style="165"/>
    <col min="2824" max="2824" width="11.375" style="165" bestFit="1" customWidth="1"/>
    <col min="2825" max="2826" width="9.125" style="165"/>
    <col min="2827" max="2827" width="13.375" style="165" customWidth="1"/>
    <col min="2828" max="3060" width="9.125" style="165"/>
    <col min="3061" max="3061" width="69.875" style="165" customWidth="1"/>
    <col min="3062" max="3062" width="9.625" style="165" customWidth="1"/>
    <col min="3063" max="3066" width="0" style="165" hidden="1" customWidth="1"/>
    <col min="3067" max="3067" width="13.875" style="165" customWidth="1"/>
    <col min="3068" max="3073" width="0" style="165" hidden="1" customWidth="1"/>
    <col min="3074" max="3077" width="9.125" style="165"/>
    <col min="3078" max="3078" width="13.375" style="165" customWidth="1"/>
    <col min="3079" max="3079" width="9.125" style="165"/>
    <col min="3080" max="3080" width="11.375" style="165" bestFit="1" customWidth="1"/>
    <col min="3081" max="3082" width="9.125" style="165"/>
    <col min="3083" max="3083" width="13.375" style="165" customWidth="1"/>
    <col min="3084" max="3316" width="9.125" style="165"/>
    <col min="3317" max="3317" width="69.875" style="165" customWidth="1"/>
    <col min="3318" max="3318" width="9.625" style="165" customWidth="1"/>
    <col min="3319" max="3322" width="0" style="165" hidden="1" customWidth="1"/>
    <col min="3323" max="3323" width="13.875" style="165" customWidth="1"/>
    <col min="3324" max="3329" width="0" style="165" hidden="1" customWidth="1"/>
    <col min="3330" max="3333" width="9.125" style="165"/>
    <col min="3334" max="3334" width="13.375" style="165" customWidth="1"/>
    <col min="3335" max="3335" width="9.125" style="165"/>
    <col min="3336" max="3336" width="11.375" style="165" bestFit="1" customWidth="1"/>
    <col min="3337" max="3338" width="9.125" style="165"/>
    <col min="3339" max="3339" width="13.375" style="165" customWidth="1"/>
    <col min="3340" max="3572" width="9.125" style="165"/>
    <col min="3573" max="3573" width="69.875" style="165" customWidth="1"/>
    <col min="3574" max="3574" width="9.625" style="165" customWidth="1"/>
    <col min="3575" max="3578" width="0" style="165" hidden="1" customWidth="1"/>
    <col min="3579" max="3579" width="13.875" style="165" customWidth="1"/>
    <col min="3580" max="3585" width="0" style="165" hidden="1" customWidth="1"/>
    <col min="3586" max="3589" width="9.125" style="165"/>
    <col min="3590" max="3590" width="13.375" style="165" customWidth="1"/>
    <col min="3591" max="3591" width="9.125" style="165"/>
    <col min="3592" max="3592" width="11.375" style="165" bestFit="1" customWidth="1"/>
    <col min="3593" max="3594" width="9.125" style="165"/>
    <col min="3595" max="3595" width="13.375" style="165" customWidth="1"/>
    <col min="3596" max="3828" width="9.125" style="165"/>
    <col min="3829" max="3829" width="69.875" style="165" customWidth="1"/>
    <col min="3830" max="3830" width="9.625" style="165" customWidth="1"/>
    <col min="3831" max="3834" width="0" style="165" hidden="1" customWidth="1"/>
    <col min="3835" max="3835" width="13.875" style="165" customWidth="1"/>
    <col min="3836" max="3841" width="0" style="165" hidden="1" customWidth="1"/>
    <col min="3842" max="3845" width="9.125" style="165"/>
    <col min="3846" max="3846" width="13.375" style="165" customWidth="1"/>
    <col min="3847" max="3847" width="9.125" style="165"/>
    <col min="3848" max="3848" width="11.375" style="165" bestFit="1" customWidth="1"/>
    <col min="3849" max="3850" width="9.125" style="165"/>
    <col min="3851" max="3851" width="13.375" style="165" customWidth="1"/>
    <col min="3852" max="4084" width="9.125" style="165"/>
    <col min="4085" max="4085" width="69.875" style="165" customWidth="1"/>
    <col min="4086" max="4086" width="9.625" style="165" customWidth="1"/>
    <col min="4087" max="4090" width="0" style="165" hidden="1" customWidth="1"/>
    <col min="4091" max="4091" width="13.875" style="165" customWidth="1"/>
    <col min="4092" max="4097" width="0" style="165" hidden="1" customWidth="1"/>
    <col min="4098" max="4101" width="9.125" style="165"/>
    <col min="4102" max="4102" width="13.375" style="165" customWidth="1"/>
    <col min="4103" max="4103" width="9.125" style="165"/>
    <col min="4104" max="4104" width="11.375" style="165" bestFit="1" customWidth="1"/>
    <col min="4105" max="4106" width="9.125" style="165"/>
    <col min="4107" max="4107" width="13.375" style="165" customWidth="1"/>
    <col min="4108" max="4340" width="9.125" style="165"/>
    <col min="4341" max="4341" width="69.875" style="165" customWidth="1"/>
    <col min="4342" max="4342" width="9.625" style="165" customWidth="1"/>
    <col min="4343" max="4346" width="0" style="165" hidden="1" customWidth="1"/>
    <col min="4347" max="4347" width="13.875" style="165" customWidth="1"/>
    <col min="4348" max="4353" width="0" style="165" hidden="1" customWidth="1"/>
    <col min="4354" max="4357" width="9.125" style="165"/>
    <col min="4358" max="4358" width="13.375" style="165" customWidth="1"/>
    <col min="4359" max="4359" width="9.125" style="165"/>
    <col min="4360" max="4360" width="11.375" style="165" bestFit="1" customWidth="1"/>
    <col min="4361" max="4362" width="9.125" style="165"/>
    <col min="4363" max="4363" width="13.375" style="165" customWidth="1"/>
    <col min="4364" max="4596" width="9.125" style="165"/>
    <col min="4597" max="4597" width="69.875" style="165" customWidth="1"/>
    <col min="4598" max="4598" width="9.625" style="165" customWidth="1"/>
    <col min="4599" max="4602" width="0" style="165" hidden="1" customWidth="1"/>
    <col min="4603" max="4603" width="13.875" style="165" customWidth="1"/>
    <col min="4604" max="4609" width="0" style="165" hidden="1" customWidth="1"/>
    <col min="4610" max="4613" width="9.125" style="165"/>
    <col min="4614" max="4614" width="13.375" style="165" customWidth="1"/>
    <col min="4615" max="4615" width="9.125" style="165"/>
    <col min="4616" max="4616" width="11.375" style="165" bestFit="1" customWidth="1"/>
    <col min="4617" max="4618" width="9.125" style="165"/>
    <col min="4619" max="4619" width="13.375" style="165" customWidth="1"/>
    <col min="4620" max="4852" width="9.125" style="165"/>
    <col min="4853" max="4853" width="69.875" style="165" customWidth="1"/>
    <col min="4854" max="4854" width="9.625" style="165" customWidth="1"/>
    <col min="4855" max="4858" width="0" style="165" hidden="1" customWidth="1"/>
    <col min="4859" max="4859" width="13.875" style="165" customWidth="1"/>
    <col min="4860" max="4865" width="0" style="165" hidden="1" customWidth="1"/>
    <col min="4866" max="4869" width="9.125" style="165"/>
    <col min="4870" max="4870" width="13.375" style="165" customWidth="1"/>
    <col min="4871" max="4871" width="9.125" style="165"/>
    <col min="4872" max="4872" width="11.375" style="165" bestFit="1" customWidth="1"/>
    <col min="4873" max="4874" width="9.125" style="165"/>
    <col min="4875" max="4875" width="13.375" style="165" customWidth="1"/>
    <col min="4876" max="5108" width="9.125" style="165"/>
    <col min="5109" max="5109" width="69.875" style="165" customWidth="1"/>
    <col min="5110" max="5110" width="9.625" style="165" customWidth="1"/>
    <col min="5111" max="5114" width="0" style="165" hidden="1" customWidth="1"/>
    <col min="5115" max="5115" width="13.875" style="165" customWidth="1"/>
    <col min="5116" max="5121" width="0" style="165" hidden="1" customWidth="1"/>
    <col min="5122" max="5125" width="9.125" style="165"/>
    <col min="5126" max="5126" width="13.375" style="165" customWidth="1"/>
    <col min="5127" max="5127" width="9.125" style="165"/>
    <col min="5128" max="5128" width="11.375" style="165" bestFit="1" customWidth="1"/>
    <col min="5129" max="5130" width="9.125" style="165"/>
    <col min="5131" max="5131" width="13.375" style="165" customWidth="1"/>
    <col min="5132" max="5364" width="9.125" style="165"/>
    <col min="5365" max="5365" width="69.875" style="165" customWidth="1"/>
    <col min="5366" max="5366" width="9.625" style="165" customWidth="1"/>
    <col min="5367" max="5370" width="0" style="165" hidden="1" customWidth="1"/>
    <col min="5371" max="5371" width="13.875" style="165" customWidth="1"/>
    <col min="5372" max="5377" width="0" style="165" hidden="1" customWidth="1"/>
    <col min="5378" max="5381" width="9.125" style="165"/>
    <col min="5382" max="5382" width="13.375" style="165" customWidth="1"/>
    <col min="5383" max="5383" width="9.125" style="165"/>
    <col min="5384" max="5384" width="11.375" style="165" bestFit="1" customWidth="1"/>
    <col min="5385" max="5386" width="9.125" style="165"/>
    <col min="5387" max="5387" width="13.375" style="165" customWidth="1"/>
    <col min="5388" max="5620" width="9.125" style="165"/>
    <col min="5621" max="5621" width="69.875" style="165" customWidth="1"/>
    <col min="5622" max="5622" width="9.625" style="165" customWidth="1"/>
    <col min="5623" max="5626" width="0" style="165" hidden="1" customWidth="1"/>
    <col min="5627" max="5627" width="13.875" style="165" customWidth="1"/>
    <col min="5628" max="5633" width="0" style="165" hidden="1" customWidth="1"/>
    <col min="5634" max="5637" width="9.125" style="165"/>
    <col min="5638" max="5638" width="13.375" style="165" customWidth="1"/>
    <col min="5639" max="5639" width="9.125" style="165"/>
    <col min="5640" max="5640" width="11.375" style="165" bestFit="1" customWidth="1"/>
    <col min="5641" max="5642" width="9.125" style="165"/>
    <col min="5643" max="5643" width="13.375" style="165" customWidth="1"/>
    <col min="5644" max="5876" width="9.125" style="165"/>
    <col min="5877" max="5877" width="69.875" style="165" customWidth="1"/>
    <col min="5878" max="5878" width="9.625" style="165" customWidth="1"/>
    <col min="5879" max="5882" width="0" style="165" hidden="1" customWidth="1"/>
    <col min="5883" max="5883" width="13.875" style="165" customWidth="1"/>
    <col min="5884" max="5889" width="0" style="165" hidden="1" customWidth="1"/>
    <col min="5890" max="5893" width="9.125" style="165"/>
    <col min="5894" max="5894" width="13.375" style="165" customWidth="1"/>
    <col min="5895" max="5895" width="9.125" style="165"/>
    <col min="5896" max="5896" width="11.375" style="165" bestFit="1" customWidth="1"/>
    <col min="5897" max="5898" width="9.125" style="165"/>
    <col min="5899" max="5899" width="13.375" style="165" customWidth="1"/>
    <col min="5900" max="6132" width="9.125" style="165"/>
    <col min="6133" max="6133" width="69.875" style="165" customWidth="1"/>
    <col min="6134" max="6134" width="9.625" style="165" customWidth="1"/>
    <col min="6135" max="6138" width="0" style="165" hidden="1" customWidth="1"/>
    <col min="6139" max="6139" width="13.875" style="165" customWidth="1"/>
    <col min="6140" max="6145" width="0" style="165" hidden="1" customWidth="1"/>
    <col min="6146" max="6149" width="9.125" style="165"/>
    <col min="6150" max="6150" width="13.375" style="165" customWidth="1"/>
    <col min="6151" max="6151" width="9.125" style="165"/>
    <col min="6152" max="6152" width="11.375" style="165" bestFit="1" customWidth="1"/>
    <col min="6153" max="6154" width="9.125" style="165"/>
    <col min="6155" max="6155" width="13.375" style="165" customWidth="1"/>
    <col min="6156" max="6388" width="9.125" style="165"/>
    <col min="6389" max="6389" width="69.875" style="165" customWidth="1"/>
    <col min="6390" max="6390" width="9.625" style="165" customWidth="1"/>
    <col min="6391" max="6394" width="0" style="165" hidden="1" customWidth="1"/>
    <col min="6395" max="6395" width="13.875" style="165" customWidth="1"/>
    <col min="6396" max="6401" width="0" style="165" hidden="1" customWidth="1"/>
    <col min="6402" max="6405" width="9.125" style="165"/>
    <col min="6406" max="6406" width="13.375" style="165" customWidth="1"/>
    <col min="6407" max="6407" width="9.125" style="165"/>
    <col min="6408" max="6408" width="11.375" style="165" bestFit="1" customWidth="1"/>
    <col min="6409" max="6410" width="9.125" style="165"/>
    <col min="6411" max="6411" width="13.375" style="165" customWidth="1"/>
    <col min="6412" max="6644" width="9.125" style="165"/>
    <col min="6645" max="6645" width="69.875" style="165" customWidth="1"/>
    <col min="6646" max="6646" width="9.625" style="165" customWidth="1"/>
    <col min="6647" max="6650" width="0" style="165" hidden="1" customWidth="1"/>
    <col min="6651" max="6651" width="13.875" style="165" customWidth="1"/>
    <col min="6652" max="6657" width="0" style="165" hidden="1" customWidth="1"/>
    <col min="6658" max="6661" width="9.125" style="165"/>
    <col min="6662" max="6662" width="13.375" style="165" customWidth="1"/>
    <col min="6663" max="6663" width="9.125" style="165"/>
    <col min="6664" max="6664" width="11.375" style="165" bestFit="1" customWidth="1"/>
    <col min="6665" max="6666" width="9.125" style="165"/>
    <col min="6667" max="6667" width="13.375" style="165" customWidth="1"/>
    <col min="6668" max="6900" width="9.125" style="165"/>
    <col min="6901" max="6901" width="69.875" style="165" customWidth="1"/>
    <col min="6902" max="6902" width="9.625" style="165" customWidth="1"/>
    <col min="6903" max="6906" width="0" style="165" hidden="1" customWidth="1"/>
    <col min="6907" max="6907" width="13.875" style="165" customWidth="1"/>
    <col min="6908" max="6913" width="0" style="165" hidden="1" customWidth="1"/>
    <col min="6914" max="6917" width="9.125" style="165"/>
    <col min="6918" max="6918" width="13.375" style="165" customWidth="1"/>
    <col min="6919" max="6919" width="9.125" style="165"/>
    <col min="6920" max="6920" width="11.375" style="165" bestFit="1" customWidth="1"/>
    <col min="6921" max="6922" width="9.125" style="165"/>
    <col min="6923" max="6923" width="13.375" style="165" customWidth="1"/>
    <col min="6924" max="7156" width="9.125" style="165"/>
    <col min="7157" max="7157" width="69.875" style="165" customWidth="1"/>
    <col min="7158" max="7158" width="9.625" style="165" customWidth="1"/>
    <col min="7159" max="7162" width="0" style="165" hidden="1" customWidth="1"/>
    <col min="7163" max="7163" width="13.875" style="165" customWidth="1"/>
    <col min="7164" max="7169" width="0" style="165" hidden="1" customWidth="1"/>
    <col min="7170" max="7173" width="9.125" style="165"/>
    <col min="7174" max="7174" width="13.375" style="165" customWidth="1"/>
    <col min="7175" max="7175" width="9.125" style="165"/>
    <col min="7176" max="7176" width="11.375" style="165" bestFit="1" customWidth="1"/>
    <col min="7177" max="7178" width="9.125" style="165"/>
    <col min="7179" max="7179" width="13.375" style="165" customWidth="1"/>
    <col min="7180" max="7412" width="9.125" style="165"/>
    <col min="7413" max="7413" width="69.875" style="165" customWidth="1"/>
    <col min="7414" max="7414" width="9.625" style="165" customWidth="1"/>
    <col min="7415" max="7418" width="0" style="165" hidden="1" customWidth="1"/>
    <col min="7419" max="7419" width="13.875" style="165" customWidth="1"/>
    <col min="7420" max="7425" width="0" style="165" hidden="1" customWidth="1"/>
    <col min="7426" max="7429" width="9.125" style="165"/>
    <col min="7430" max="7430" width="13.375" style="165" customWidth="1"/>
    <col min="7431" max="7431" width="9.125" style="165"/>
    <col min="7432" max="7432" width="11.375" style="165" bestFit="1" customWidth="1"/>
    <col min="7433" max="7434" width="9.125" style="165"/>
    <col min="7435" max="7435" width="13.375" style="165" customWidth="1"/>
    <col min="7436" max="7668" width="9.125" style="165"/>
    <col min="7669" max="7669" width="69.875" style="165" customWidth="1"/>
    <col min="7670" max="7670" width="9.625" style="165" customWidth="1"/>
    <col min="7671" max="7674" width="0" style="165" hidden="1" customWidth="1"/>
    <col min="7675" max="7675" width="13.875" style="165" customWidth="1"/>
    <col min="7676" max="7681" width="0" style="165" hidden="1" customWidth="1"/>
    <col min="7682" max="7685" width="9.125" style="165"/>
    <col min="7686" max="7686" width="13.375" style="165" customWidth="1"/>
    <col min="7687" max="7687" width="9.125" style="165"/>
    <col min="7688" max="7688" width="11.375" style="165" bestFit="1" customWidth="1"/>
    <col min="7689" max="7690" width="9.125" style="165"/>
    <col min="7691" max="7691" width="13.375" style="165" customWidth="1"/>
    <col min="7692" max="7924" width="9.125" style="165"/>
    <col min="7925" max="7925" width="69.875" style="165" customWidth="1"/>
    <col min="7926" max="7926" width="9.625" style="165" customWidth="1"/>
    <col min="7927" max="7930" width="0" style="165" hidden="1" customWidth="1"/>
    <col min="7931" max="7931" width="13.875" style="165" customWidth="1"/>
    <col min="7932" max="7937" width="0" style="165" hidden="1" customWidth="1"/>
    <col min="7938" max="7941" width="9.125" style="165"/>
    <col min="7942" max="7942" width="13.375" style="165" customWidth="1"/>
    <col min="7943" max="7943" width="9.125" style="165"/>
    <col min="7944" max="7944" width="11.375" style="165" bestFit="1" customWidth="1"/>
    <col min="7945" max="7946" width="9.125" style="165"/>
    <col min="7947" max="7947" width="13.375" style="165" customWidth="1"/>
    <col min="7948" max="8180" width="9.125" style="165"/>
    <col min="8181" max="8181" width="69.875" style="165" customWidth="1"/>
    <col min="8182" max="8182" width="9.625" style="165" customWidth="1"/>
    <col min="8183" max="8186" width="0" style="165" hidden="1" customWidth="1"/>
    <col min="8187" max="8187" width="13.875" style="165" customWidth="1"/>
    <col min="8188" max="8193" width="0" style="165" hidden="1" customWidth="1"/>
    <col min="8194" max="8197" width="9.125" style="165"/>
    <col min="8198" max="8198" width="13.375" style="165" customWidth="1"/>
    <col min="8199" max="8199" width="9.125" style="165"/>
    <col min="8200" max="8200" width="11.375" style="165" bestFit="1" customWidth="1"/>
    <col min="8201" max="8202" width="9.125" style="165"/>
    <col min="8203" max="8203" width="13.375" style="165" customWidth="1"/>
    <col min="8204" max="8436" width="9.125" style="165"/>
    <col min="8437" max="8437" width="69.875" style="165" customWidth="1"/>
    <col min="8438" max="8438" width="9.625" style="165" customWidth="1"/>
    <col min="8439" max="8442" width="0" style="165" hidden="1" customWidth="1"/>
    <col min="8443" max="8443" width="13.875" style="165" customWidth="1"/>
    <col min="8444" max="8449" width="0" style="165" hidden="1" customWidth="1"/>
    <col min="8450" max="8453" width="9.125" style="165"/>
    <col min="8454" max="8454" width="13.375" style="165" customWidth="1"/>
    <col min="8455" max="8455" width="9.125" style="165"/>
    <col min="8456" max="8456" width="11.375" style="165" bestFit="1" customWidth="1"/>
    <col min="8457" max="8458" width="9.125" style="165"/>
    <col min="8459" max="8459" width="13.375" style="165" customWidth="1"/>
    <col min="8460" max="8692" width="9.125" style="165"/>
    <col min="8693" max="8693" width="69.875" style="165" customWidth="1"/>
    <col min="8694" max="8694" width="9.625" style="165" customWidth="1"/>
    <col min="8695" max="8698" width="0" style="165" hidden="1" customWidth="1"/>
    <col min="8699" max="8699" width="13.875" style="165" customWidth="1"/>
    <col min="8700" max="8705" width="0" style="165" hidden="1" customWidth="1"/>
    <col min="8706" max="8709" width="9.125" style="165"/>
    <col min="8710" max="8710" width="13.375" style="165" customWidth="1"/>
    <col min="8711" max="8711" width="9.125" style="165"/>
    <col min="8712" max="8712" width="11.375" style="165" bestFit="1" customWidth="1"/>
    <col min="8713" max="8714" width="9.125" style="165"/>
    <col min="8715" max="8715" width="13.375" style="165" customWidth="1"/>
    <col min="8716" max="8948" width="9.125" style="165"/>
    <col min="8949" max="8949" width="69.875" style="165" customWidth="1"/>
    <col min="8950" max="8950" width="9.625" style="165" customWidth="1"/>
    <col min="8951" max="8954" width="0" style="165" hidden="1" customWidth="1"/>
    <col min="8955" max="8955" width="13.875" style="165" customWidth="1"/>
    <col min="8956" max="8961" width="0" style="165" hidden="1" customWidth="1"/>
    <col min="8962" max="8965" width="9.125" style="165"/>
    <col min="8966" max="8966" width="13.375" style="165" customWidth="1"/>
    <col min="8967" max="8967" width="9.125" style="165"/>
    <col min="8968" max="8968" width="11.375" style="165" bestFit="1" customWidth="1"/>
    <col min="8969" max="8970" width="9.125" style="165"/>
    <col min="8971" max="8971" width="13.375" style="165" customWidth="1"/>
    <col min="8972" max="9204" width="9.125" style="165"/>
    <col min="9205" max="9205" width="69.875" style="165" customWidth="1"/>
    <col min="9206" max="9206" width="9.625" style="165" customWidth="1"/>
    <col min="9207" max="9210" width="0" style="165" hidden="1" customWidth="1"/>
    <col min="9211" max="9211" width="13.875" style="165" customWidth="1"/>
    <col min="9212" max="9217" width="0" style="165" hidden="1" customWidth="1"/>
    <col min="9218" max="9221" width="9.125" style="165"/>
    <col min="9222" max="9222" width="13.375" style="165" customWidth="1"/>
    <col min="9223" max="9223" width="9.125" style="165"/>
    <col min="9224" max="9224" width="11.375" style="165" bestFit="1" customWidth="1"/>
    <col min="9225" max="9226" width="9.125" style="165"/>
    <col min="9227" max="9227" width="13.375" style="165" customWidth="1"/>
    <col min="9228" max="9460" width="9.125" style="165"/>
    <col min="9461" max="9461" width="69.875" style="165" customWidth="1"/>
    <col min="9462" max="9462" width="9.625" style="165" customWidth="1"/>
    <col min="9463" max="9466" width="0" style="165" hidden="1" customWidth="1"/>
    <col min="9467" max="9467" width="13.875" style="165" customWidth="1"/>
    <col min="9468" max="9473" width="0" style="165" hidden="1" customWidth="1"/>
    <col min="9474" max="9477" width="9.125" style="165"/>
    <col min="9478" max="9478" width="13.375" style="165" customWidth="1"/>
    <col min="9479" max="9479" width="9.125" style="165"/>
    <col min="9480" max="9480" width="11.375" style="165" bestFit="1" customWidth="1"/>
    <col min="9481" max="9482" width="9.125" style="165"/>
    <col min="9483" max="9483" width="13.375" style="165" customWidth="1"/>
    <col min="9484" max="9716" width="9.125" style="165"/>
    <col min="9717" max="9717" width="69.875" style="165" customWidth="1"/>
    <col min="9718" max="9718" width="9.625" style="165" customWidth="1"/>
    <col min="9719" max="9722" width="0" style="165" hidden="1" customWidth="1"/>
    <col min="9723" max="9723" width="13.875" style="165" customWidth="1"/>
    <col min="9724" max="9729" width="0" style="165" hidden="1" customWidth="1"/>
    <col min="9730" max="9733" width="9.125" style="165"/>
    <col min="9734" max="9734" width="13.375" style="165" customWidth="1"/>
    <col min="9735" max="9735" width="9.125" style="165"/>
    <col min="9736" max="9736" width="11.375" style="165" bestFit="1" customWidth="1"/>
    <col min="9737" max="9738" width="9.125" style="165"/>
    <col min="9739" max="9739" width="13.375" style="165" customWidth="1"/>
    <col min="9740" max="9972" width="9.125" style="165"/>
    <col min="9973" max="9973" width="69.875" style="165" customWidth="1"/>
    <col min="9974" max="9974" width="9.625" style="165" customWidth="1"/>
    <col min="9975" max="9978" width="0" style="165" hidden="1" customWidth="1"/>
    <col min="9979" max="9979" width="13.875" style="165" customWidth="1"/>
    <col min="9980" max="9985" width="0" style="165" hidden="1" customWidth="1"/>
    <col min="9986" max="9989" width="9.125" style="165"/>
    <col min="9990" max="9990" width="13.375" style="165" customWidth="1"/>
    <col min="9991" max="9991" width="9.125" style="165"/>
    <col min="9992" max="9992" width="11.375" style="165" bestFit="1" customWidth="1"/>
    <col min="9993" max="9994" width="9.125" style="165"/>
    <col min="9995" max="9995" width="13.375" style="165" customWidth="1"/>
    <col min="9996" max="10228" width="9.125" style="165"/>
    <col min="10229" max="10229" width="69.875" style="165" customWidth="1"/>
    <col min="10230" max="10230" width="9.625" style="165" customWidth="1"/>
    <col min="10231" max="10234" width="0" style="165" hidden="1" customWidth="1"/>
    <col min="10235" max="10235" width="13.875" style="165" customWidth="1"/>
    <col min="10236" max="10241" width="0" style="165" hidden="1" customWidth="1"/>
    <col min="10242" max="10245" width="9.125" style="165"/>
    <col min="10246" max="10246" width="13.375" style="165" customWidth="1"/>
    <col min="10247" max="10247" width="9.125" style="165"/>
    <col min="10248" max="10248" width="11.375" style="165" bestFit="1" customWidth="1"/>
    <col min="10249" max="10250" width="9.125" style="165"/>
    <col min="10251" max="10251" width="13.375" style="165" customWidth="1"/>
    <col min="10252" max="10484" width="9.125" style="165"/>
    <col min="10485" max="10485" width="69.875" style="165" customWidth="1"/>
    <col min="10486" max="10486" width="9.625" style="165" customWidth="1"/>
    <col min="10487" max="10490" width="0" style="165" hidden="1" customWidth="1"/>
    <col min="10491" max="10491" width="13.875" style="165" customWidth="1"/>
    <col min="10492" max="10497" width="0" style="165" hidden="1" customWidth="1"/>
    <col min="10498" max="10501" width="9.125" style="165"/>
    <col min="10502" max="10502" width="13.375" style="165" customWidth="1"/>
    <col min="10503" max="10503" width="9.125" style="165"/>
    <col min="10504" max="10504" width="11.375" style="165" bestFit="1" customWidth="1"/>
    <col min="10505" max="10506" width="9.125" style="165"/>
    <col min="10507" max="10507" width="13.375" style="165" customWidth="1"/>
    <col min="10508" max="10740" width="9.125" style="165"/>
    <col min="10741" max="10741" width="69.875" style="165" customWidth="1"/>
    <col min="10742" max="10742" width="9.625" style="165" customWidth="1"/>
    <col min="10743" max="10746" width="0" style="165" hidden="1" customWidth="1"/>
    <col min="10747" max="10747" width="13.875" style="165" customWidth="1"/>
    <col min="10748" max="10753" width="0" style="165" hidden="1" customWidth="1"/>
    <col min="10754" max="10757" width="9.125" style="165"/>
    <col min="10758" max="10758" width="13.375" style="165" customWidth="1"/>
    <col min="10759" max="10759" width="9.125" style="165"/>
    <col min="10760" max="10760" width="11.375" style="165" bestFit="1" customWidth="1"/>
    <col min="10761" max="10762" width="9.125" style="165"/>
    <col min="10763" max="10763" width="13.375" style="165" customWidth="1"/>
    <col min="10764" max="10996" width="9.125" style="165"/>
    <col min="10997" max="10997" width="69.875" style="165" customWidth="1"/>
    <col min="10998" max="10998" width="9.625" style="165" customWidth="1"/>
    <col min="10999" max="11002" width="0" style="165" hidden="1" customWidth="1"/>
    <col min="11003" max="11003" width="13.875" style="165" customWidth="1"/>
    <col min="11004" max="11009" width="0" style="165" hidden="1" customWidth="1"/>
    <col min="11010" max="11013" width="9.125" style="165"/>
    <col min="11014" max="11014" width="13.375" style="165" customWidth="1"/>
    <col min="11015" max="11015" width="9.125" style="165"/>
    <col min="11016" max="11016" width="11.375" style="165" bestFit="1" customWidth="1"/>
    <col min="11017" max="11018" width="9.125" style="165"/>
    <col min="11019" max="11019" width="13.375" style="165" customWidth="1"/>
    <col min="11020" max="11252" width="9.125" style="165"/>
    <col min="11253" max="11253" width="69.875" style="165" customWidth="1"/>
    <col min="11254" max="11254" width="9.625" style="165" customWidth="1"/>
    <col min="11255" max="11258" width="0" style="165" hidden="1" customWidth="1"/>
    <col min="11259" max="11259" width="13.875" style="165" customWidth="1"/>
    <col min="11260" max="11265" width="0" style="165" hidden="1" customWidth="1"/>
    <col min="11266" max="11269" width="9.125" style="165"/>
    <col min="11270" max="11270" width="13.375" style="165" customWidth="1"/>
    <col min="11271" max="11271" width="9.125" style="165"/>
    <col min="11272" max="11272" width="11.375" style="165" bestFit="1" customWidth="1"/>
    <col min="11273" max="11274" width="9.125" style="165"/>
    <col min="11275" max="11275" width="13.375" style="165" customWidth="1"/>
    <col min="11276" max="11508" width="9.125" style="165"/>
    <col min="11509" max="11509" width="69.875" style="165" customWidth="1"/>
    <col min="11510" max="11510" width="9.625" style="165" customWidth="1"/>
    <col min="11511" max="11514" width="0" style="165" hidden="1" customWidth="1"/>
    <col min="11515" max="11515" width="13.875" style="165" customWidth="1"/>
    <col min="11516" max="11521" width="0" style="165" hidden="1" customWidth="1"/>
    <col min="11522" max="11525" width="9.125" style="165"/>
    <col min="11526" max="11526" width="13.375" style="165" customWidth="1"/>
    <col min="11527" max="11527" width="9.125" style="165"/>
    <col min="11528" max="11528" width="11.375" style="165" bestFit="1" customWidth="1"/>
    <col min="11529" max="11530" width="9.125" style="165"/>
    <col min="11531" max="11531" width="13.375" style="165" customWidth="1"/>
    <col min="11532" max="11764" width="9.125" style="165"/>
    <col min="11765" max="11765" width="69.875" style="165" customWidth="1"/>
    <col min="11766" max="11766" width="9.625" style="165" customWidth="1"/>
    <col min="11767" max="11770" width="0" style="165" hidden="1" customWidth="1"/>
    <col min="11771" max="11771" width="13.875" style="165" customWidth="1"/>
    <col min="11772" max="11777" width="0" style="165" hidden="1" customWidth="1"/>
    <col min="11778" max="11781" width="9.125" style="165"/>
    <col min="11782" max="11782" width="13.375" style="165" customWidth="1"/>
    <col min="11783" max="11783" width="9.125" style="165"/>
    <col min="11784" max="11784" width="11.375" style="165" bestFit="1" customWidth="1"/>
    <col min="11785" max="11786" width="9.125" style="165"/>
    <col min="11787" max="11787" width="13.375" style="165" customWidth="1"/>
    <col min="11788" max="12020" width="9.125" style="165"/>
    <col min="12021" max="12021" width="69.875" style="165" customWidth="1"/>
    <col min="12022" max="12022" width="9.625" style="165" customWidth="1"/>
    <col min="12023" max="12026" width="0" style="165" hidden="1" customWidth="1"/>
    <col min="12027" max="12027" width="13.875" style="165" customWidth="1"/>
    <col min="12028" max="12033" width="0" style="165" hidden="1" customWidth="1"/>
    <col min="12034" max="12037" width="9.125" style="165"/>
    <col min="12038" max="12038" width="13.375" style="165" customWidth="1"/>
    <col min="12039" max="12039" width="9.125" style="165"/>
    <col min="12040" max="12040" width="11.375" style="165" bestFit="1" customWidth="1"/>
    <col min="12041" max="12042" width="9.125" style="165"/>
    <col min="12043" max="12043" width="13.375" style="165" customWidth="1"/>
    <col min="12044" max="12276" width="9.125" style="165"/>
    <col min="12277" max="12277" width="69.875" style="165" customWidth="1"/>
    <col min="12278" max="12278" width="9.625" style="165" customWidth="1"/>
    <col min="12279" max="12282" width="0" style="165" hidden="1" customWidth="1"/>
    <col min="12283" max="12283" width="13.875" style="165" customWidth="1"/>
    <col min="12284" max="12289" width="0" style="165" hidden="1" customWidth="1"/>
    <col min="12290" max="12293" width="9.125" style="165"/>
    <col min="12294" max="12294" width="13.375" style="165" customWidth="1"/>
    <col min="12295" max="12295" width="9.125" style="165"/>
    <col min="12296" max="12296" width="11.375" style="165" bestFit="1" customWidth="1"/>
    <col min="12297" max="12298" width="9.125" style="165"/>
    <col min="12299" max="12299" width="13.375" style="165" customWidth="1"/>
    <col min="12300" max="12532" width="9.125" style="165"/>
    <col min="12533" max="12533" width="69.875" style="165" customWidth="1"/>
    <col min="12534" max="12534" width="9.625" style="165" customWidth="1"/>
    <col min="12535" max="12538" width="0" style="165" hidden="1" customWidth="1"/>
    <col min="12539" max="12539" width="13.875" style="165" customWidth="1"/>
    <col min="12540" max="12545" width="0" style="165" hidden="1" customWidth="1"/>
    <col min="12546" max="12549" width="9.125" style="165"/>
    <col min="12550" max="12550" width="13.375" style="165" customWidth="1"/>
    <col min="12551" max="12551" width="9.125" style="165"/>
    <col min="12552" max="12552" width="11.375" style="165" bestFit="1" customWidth="1"/>
    <col min="12553" max="12554" width="9.125" style="165"/>
    <col min="12555" max="12555" width="13.375" style="165" customWidth="1"/>
    <col min="12556" max="12788" width="9.125" style="165"/>
    <col min="12789" max="12789" width="69.875" style="165" customWidth="1"/>
    <col min="12790" max="12790" width="9.625" style="165" customWidth="1"/>
    <col min="12791" max="12794" width="0" style="165" hidden="1" customWidth="1"/>
    <col min="12795" max="12795" width="13.875" style="165" customWidth="1"/>
    <col min="12796" max="12801" width="0" style="165" hidden="1" customWidth="1"/>
    <col min="12802" max="12805" width="9.125" style="165"/>
    <col min="12806" max="12806" width="13.375" style="165" customWidth="1"/>
    <col min="12807" max="12807" width="9.125" style="165"/>
    <col min="12808" max="12808" width="11.375" style="165" bestFit="1" customWidth="1"/>
    <col min="12809" max="12810" width="9.125" style="165"/>
    <col min="12811" max="12811" width="13.375" style="165" customWidth="1"/>
    <col min="12812" max="13044" width="9.125" style="165"/>
    <col min="13045" max="13045" width="69.875" style="165" customWidth="1"/>
    <col min="13046" max="13046" width="9.625" style="165" customWidth="1"/>
    <col min="13047" max="13050" width="0" style="165" hidden="1" customWidth="1"/>
    <col min="13051" max="13051" width="13.875" style="165" customWidth="1"/>
    <col min="13052" max="13057" width="0" style="165" hidden="1" customWidth="1"/>
    <col min="13058" max="13061" width="9.125" style="165"/>
    <col min="13062" max="13062" width="13.375" style="165" customWidth="1"/>
    <col min="13063" max="13063" width="9.125" style="165"/>
    <col min="13064" max="13064" width="11.375" style="165" bestFit="1" customWidth="1"/>
    <col min="13065" max="13066" width="9.125" style="165"/>
    <col min="13067" max="13067" width="13.375" style="165" customWidth="1"/>
    <col min="13068" max="13300" width="9.125" style="165"/>
    <col min="13301" max="13301" width="69.875" style="165" customWidth="1"/>
    <col min="13302" max="13302" width="9.625" style="165" customWidth="1"/>
    <col min="13303" max="13306" width="0" style="165" hidden="1" customWidth="1"/>
    <col min="13307" max="13307" width="13.875" style="165" customWidth="1"/>
    <col min="13308" max="13313" width="0" style="165" hidden="1" customWidth="1"/>
    <col min="13314" max="13317" width="9.125" style="165"/>
    <col min="13318" max="13318" width="13.375" style="165" customWidth="1"/>
    <col min="13319" max="13319" width="9.125" style="165"/>
    <col min="13320" max="13320" width="11.375" style="165" bestFit="1" customWidth="1"/>
    <col min="13321" max="13322" width="9.125" style="165"/>
    <col min="13323" max="13323" width="13.375" style="165" customWidth="1"/>
    <col min="13324" max="13556" width="9.125" style="165"/>
    <col min="13557" max="13557" width="69.875" style="165" customWidth="1"/>
    <col min="13558" max="13558" width="9.625" style="165" customWidth="1"/>
    <col min="13559" max="13562" width="0" style="165" hidden="1" customWidth="1"/>
    <col min="13563" max="13563" width="13.875" style="165" customWidth="1"/>
    <col min="13564" max="13569" width="0" style="165" hidden="1" customWidth="1"/>
    <col min="13570" max="13573" width="9.125" style="165"/>
    <col min="13574" max="13574" width="13.375" style="165" customWidth="1"/>
    <col min="13575" max="13575" width="9.125" style="165"/>
    <col min="13576" max="13576" width="11.375" style="165" bestFit="1" customWidth="1"/>
    <col min="13577" max="13578" width="9.125" style="165"/>
    <col min="13579" max="13579" width="13.375" style="165" customWidth="1"/>
    <col min="13580" max="13812" width="9.125" style="165"/>
    <col min="13813" max="13813" width="69.875" style="165" customWidth="1"/>
    <col min="13814" max="13814" width="9.625" style="165" customWidth="1"/>
    <col min="13815" max="13818" width="0" style="165" hidden="1" customWidth="1"/>
    <col min="13819" max="13819" width="13.875" style="165" customWidth="1"/>
    <col min="13820" max="13825" width="0" style="165" hidden="1" customWidth="1"/>
    <col min="13826" max="13829" width="9.125" style="165"/>
    <col min="13830" max="13830" width="13.375" style="165" customWidth="1"/>
    <col min="13831" max="13831" width="9.125" style="165"/>
    <col min="13832" max="13832" width="11.375" style="165" bestFit="1" customWidth="1"/>
    <col min="13833" max="13834" width="9.125" style="165"/>
    <col min="13835" max="13835" width="13.375" style="165" customWidth="1"/>
    <col min="13836" max="14068" width="9.125" style="165"/>
    <col min="14069" max="14069" width="69.875" style="165" customWidth="1"/>
    <col min="14070" max="14070" width="9.625" style="165" customWidth="1"/>
    <col min="14071" max="14074" width="0" style="165" hidden="1" customWidth="1"/>
    <col min="14075" max="14075" width="13.875" style="165" customWidth="1"/>
    <col min="14076" max="14081" width="0" style="165" hidden="1" customWidth="1"/>
    <col min="14082" max="14085" width="9.125" style="165"/>
    <col min="14086" max="14086" width="13.375" style="165" customWidth="1"/>
    <col min="14087" max="14087" width="9.125" style="165"/>
    <col min="14088" max="14088" width="11.375" style="165" bestFit="1" customWidth="1"/>
    <col min="14089" max="14090" width="9.125" style="165"/>
    <col min="14091" max="14091" width="13.375" style="165" customWidth="1"/>
    <col min="14092" max="14324" width="9.125" style="165"/>
    <col min="14325" max="14325" width="69.875" style="165" customWidth="1"/>
    <col min="14326" max="14326" width="9.625" style="165" customWidth="1"/>
    <col min="14327" max="14330" width="0" style="165" hidden="1" customWidth="1"/>
    <col min="14331" max="14331" width="13.875" style="165" customWidth="1"/>
    <col min="14332" max="14337" width="0" style="165" hidden="1" customWidth="1"/>
    <col min="14338" max="14341" width="9.125" style="165"/>
    <col min="14342" max="14342" width="13.375" style="165" customWidth="1"/>
    <col min="14343" max="14343" width="9.125" style="165"/>
    <col min="14344" max="14344" width="11.375" style="165" bestFit="1" customWidth="1"/>
    <col min="14345" max="14346" width="9.125" style="165"/>
    <col min="14347" max="14347" width="13.375" style="165" customWidth="1"/>
    <col min="14348" max="14580" width="9.125" style="165"/>
    <col min="14581" max="14581" width="69.875" style="165" customWidth="1"/>
    <col min="14582" max="14582" width="9.625" style="165" customWidth="1"/>
    <col min="14583" max="14586" width="0" style="165" hidden="1" customWidth="1"/>
    <col min="14587" max="14587" width="13.875" style="165" customWidth="1"/>
    <col min="14588" max="14593" width="0" style="165" hidden="1" customWidth="1"/>
    <col min="14594" max="14597" width="9.125" style="165"/>
    <col min="14598" max="14598" width="13.375" style="165" customWidth="1"/>
    <col min="14599" max="14599" width="9.125" style="165"/>
    <col min="14600" max="14600" width="11.375" style="165" bestFit="1" customWidth="1"/>
    <col min="14601" max="14602" width="9.125" style="165"/>
    <col min="14603" max="14603" width="13.375" style="165" customWidth="1"/>
    <col min="14604" max="14836" width="9.125" style="165"/>
    <col min="14837" max="14837" width="69.875" style="165" customWidth="1"/>
    <col min="14838" max="14838" width="9.625" style="165" customWidth="1"/>
    <col min="14839" max="14842" width="0" style="165" hidden="1" customWidth="1"/>
    <col min="14843" max="14843" width="13.875" style="165" customWidth="1"/>
    <col min="14844" max="14849" width="0" style="165" hidden="1" customWidth="1"/>
    <col min="14850" max="14853" width="9.125" style="165"/>
    <col min="14854" max="14854" width="13.375" style="165" customWidth="1"/>
    <col min="14855" max="14855" width="9.125" style="165"/>
    <col min="14856" max="14856" width="11.375" style="165" bestFit="1" customWidth="1"/>
    <col min="14857" max="14858" width="9.125" style="165"/>
    <col min="14859" max="14859" width="13.375" style="165" customWidth="1"/>
    <col min="14860" max="15092" width="9.125" style="165"/>
    <col min="15093" max="15093" width="69.875" style="165" customWidth="1"/>
    <col min="15094" max="15094" width="9.625" style="165" customWidth="1"/>
    <col min="15095" max="15098" width="0" style="165" hidden="1" customWidth="1"/>
    <col min="15099" max="15099" width="13.875" style="165" customWidth="1"/>
    <col min="15100" max="15105" width="0" style="165" hidden="1" customWidth="1"/>
    <col min="15106" max="15109" width="9.125" style="165"/>
    <col min="15110" max="15110" width="13.375" style="165" customWidth="1"/>
    <col min="15111" max="15111" width="9.125" style="165"/>
    <col min="15112" max="15112" width="11.375" style="165" bestFit="1" customWidth="1"/>
    <col min="15113" max="15114" width="9.125" style="165"/>
    <col min="15115" max="15115" width="13.375" style="165" customWidth="1"/>
    <col min="15116" max="15348" width="9.125" style="165"/>
    <col min="15349" max="15349" width="69.875" style="165" customWidth="1"/>
    <col min="15350" max="15350" width="9.625" style="165" customWidth="1"/>
    <col min="15351" max="15354" width="0" style="165" hidden="1" customWidth="1"/>
    <col min="15355" max="15355" width="13.875" style="165" customWidth="1"/>
    <col min="15356" max="15361" width="0" style="165" hidden="1" customWidth="1"/>
    <col min="15362" max="15365" width="9.125" style="165"/>
    <col min="15366" max="15366" width="13.375" style="165" customWidth="1"/>
    <col min="15367" max="15367" width="9.125" style="165"/>
    <col min="15368" max="15368" width="11.375" style="165" bestFit="1" customWidth="1"/>
    <col min="15369" max="15370" width="9.125" style="165"/>
    <col min="15371" max="15371" width="13.375" style="165" customWidth="1"/>
    <col min="15372" max="15604" width="9.125" style="165"/>
    <col min="15605" max="15605" width="69.875" style="165" customWidth="1"/>
    <col min="15606" max="15606" width="9.625" style="165" customWidth="1"/>
    <col min="15607" max="15610" width="0" style="165" hidden="1" customWidth="1"/>
    <col min="15611" max="15611" width="13.875" style="165" customWidth="1"/>
    <col min="15612" max="15617" width="0" style="165" hidden="1" customWidth="1"/>
    <col min="15618" max="15621" width="9.125" style="165"/>
    <col min="15622" max="15622" width="13.375" style="165" customWidth="1"/>
    <col min="15623" max="15623" width="9.125" style="165"/>
    <col min="15624" max="15624" width="11.375" style="165" bestFit="1" customWidth="1"/>
    <col min="15625" max="15626" width="9.125" style="165"/>
    <col min="15627" max="15627" width="13.375" style="165" customWidth="1"/>
    <col min="15628" max="15860" width="9.125" style="165"/>
    <col min="15861" max="15861" width="69.875" style="165" customWidth="1"/>
    <col min="15862" max="15862" width="9.625" style="165" customWidth="1"/>
    <col min="15863" max="15866" width="0" style="165" hidden="1" customWidth="1"/>
    <col min="15867" max="15867" width="13.875" style="165" customWidth="1"/>
    <col min="15868" max="15873" width="0" style="165" hidden="1" customWidth="1"/>
    <col min="15874" max="15877" width="9.125" style="165"/>
    <col min="15878" max="15878" width="13.375" style="165" customWidth="1"/>
    <col min="15879" max="15879" width="9.125" style="165"/>
    <col min="15880" max="15880" width="11.375" style="165" bestFit="1" customWidth="1"/>
    <col min="15881" max="15882" width="9.125" style="165"/>
    <col min="15883" max="15883" width="13.375" style="165" customWidth="1"/>
    <col min="15884" max="16116" width="9.125" style="165"/>
    <col min="16117" max="16117" width="69.875" style="165" customWidth="1"/>
    <col min="16118" max="16118" width="9.625" style="165" customWidth="1"/>
    <col min="16119" max="16122" width="0" style="165" hidden="1" customWidth="1"/>
    <col min="16123" max="16123" width="13.875" style="165" customWidth="1"/>
    <col min="16124" max="16129" width="0" style="165" hidden="1" customWidth="1"/>
    <col min="16130" max="16133" width="9.125" style="165"/>
    <col min="16134" max="16134" width="13.375" style="165" customWidth="1"/>
    <col min="16135" max="16135" width="9.125" style="165"/>
    <col min="16136" max="16136" width="11.375" style="165" bestFit="1" customWidth="1"/>
    <col min="16137" max="16138" width="9.125" style="165"/>
    <col min="16139" max="16139" width="13.375" style="165" customWidth="1"/>
    <col min="16140" max="16384" width="9.125" style="165"/>
  </cols>
  <sheetData>
    <row r="1" spans="1:11" x14ac:dyDescent="0.3">
      <c r="C1" s="638" t="s">
        <v>425</v>
      </c>
    </row>
    <row r="2" spans="1:11" x14ac:dyDescent="0.3">
      <c r="C2" s="638" t="s">
        <v>927</v>
      </c>
    </row>
    <row r="3" spans="1:11" x14ac:dyDescent="0.3">
      <c r="C3" s="638" t="s">
        <v>653</v>
      </c>
    </row>
    <row r="4" spans="1:11" x14ac:dyDescent="0.3">
      <c r="C4" s="638" t="s">
        <v>1063</v>
      </c>
    </row>
    <row r="5" spans="1:11" x14ac:dyDescent="0.3">
      <c r="A5" s="678" t="s">
        <v>196</v>
      </c>
      <c r="B5" s="689"/>
      <c r="C5" s="689"/>
    </row>
    <row r="6" spans="1:11" x14ac:dyDescent="0.3">
      <c r="A6" s="675" t="s">
        <v>1061</v>
      </c>
      <c r="B6" s="690"/>
      <c r="C6" s="690"/>
    </row>
    <row r="7" spans="1:11" s="208" customFormat="1" x14ac:dyDescent="0.3">
      <c r="A7" s="270"/>
      <c r="B7" s="271"/>
      <c r="C7" s="191" t="s">
        <v>408</v>
      </c>
      <c r="D7" s="207"/>
      <c r="E7" s="206"/>
      <c r="F7" s="207"/>
    </row>
    <row r="8" spans="1:11" x14ac:dyDescent="0.25">
      <c r="A8" s="168" t="s">
        <v>242</v>
      </c>
      <c r="B8" s="168" t="s">
        <v>3</v>
      </c>
      <c r="C8" s="168" t="s">
        <v>197</v>
      </c>
    </row>
    <row r="9" spans="1:11" ht="36.700000000000003" x14ac:dyDescent="0.25">
      <c r="A9" s="104" t="s">
        <v>825</v>
      </c>
      <c r="B9" s="105" t="s">
        <v>138</v>
      </c>
      <c r="C9" s="128">
        <f>C10+C15+C20+C25+C26+C27</f>
        <v>600593068.19000006</v>
      </c>
      <c r="D9" s="201"/>
      <c r="E9" s="254"/>
      <c r="F9" s="209"/>
      <c r="G9" s="163"/>
      <c r="H9" s="163"/>
      <c r="I9" s="163"/>
      <c r="J9" s="255"/>
      <c r="K9" s="255"/>
    </row>
    <row r="10" spans="1:11" ht="36.700000000000003" x14ac:dyDescent="0.3">
      <c r="A10" s="210" t="s">
        <v>826</v>
      </c>
      <c r="B10" s="211" t="s">
        <v>139</v>
      </c>
      <c r="C10" s="84">
        <f>C11+C12+C13+C14</f>
        <v>142646750.20000002</v>
      </c>
      <c r="D10" s="201"/>
      <c r="E10" s="254"/>
      <c r="F10" s="209"/>
      <c r="G10" s="163"/>
      <c r="H10" s="163"/>
      <c r="I10" s="163"/>
      <c r="J10" s="255"/>
      <c r="K10" s="255"/>
    </row>
    <row r="11" spans="1:11" ht="36.700000000000003" x14ac:dyDescent="0.25">
      <c r="A11" s="159" t="s">
        <v>202</v>
      </c>
      <c r="B11" s="110" t="s">
        <v>219</v>
      </c>
      <c r="C11" s="85">
        <f>'прил 13 '!E370</f>
        <v>138408929.30000001</v>
      </c>
      <c r="D11" s="201"/>
      <c r="E11" s="254"/>
      <c r="F11" s="209"/>
      <c r="G11" s="163"/>
      <c r="H11" s="163"/>
      <c r="I11" s="163"/>
      <c r="J11" s="255"/>
      <c r="K11" s="255"/>
    </row>
    <row r="12" spans="1:11" ht="36.700000000000003" x14ac:dyDescent="0.25">
      <c r="A12" s="159" t="s">
        <v>203</v>
      </c>
      <c r="B12" s="110" t="s">
        <v>221</v>
      </c>
      <c r="C12" s="85">
        <f>'прил 13 '!E377</f>
        <v>446466.9</v>
      </c>
      <c r="D12" s="201"/>
      <c r="E12" s="254"/>
      <c r="F12" s="209"/>
      <c r="G12" s="163"/>
      <c r="H12" s="163"/>
      <c r="I12" s="163"/>
      <c r="J12" s="255"/>
      <c r="K12" s="255"/>
    </row>
    <row r="13" spans="1:11" ht="18" customHeight="1" x14ac:dyDescent="0.25">
      <c r="A13" s="159" t="s">
        <v>204</v>
      </c>
      <c r="B13" s="110" t="s">
        <v>234</v>
      </c>
      <c r="C13" s="85">
        <f>'прил 13 '!E605</f>
        <v>3791354</v>
      </c>
      <c r="D13" s="201"/>
      <c r="E13" s="254"/>
      <c r="F13" s="209"/>
      <c r="G13" s="163"/>
      <c r="H13" s="163"/>
      <c r="I13" s="163"/>
      <c r="J13" s="255"/>
      <c r="K13" s="255"/>
    </row>
    <row r="14" spans="1:11" ht="36.700000000000003" hidden="1" x14ac:dyDescent="0.25">
      <c r="A14" s="114" t="s">
        <v>591</v>
      </c>
      <c r="B14" s="110" t="s">
        <v>592</v>
      </c>
      <c r="C14" s="85">
        <f>'прил 13 '!E402</f>
        <v>0</v>
      </c>
      <c r="D14" s="201"/>
      <c r="E14" s="254"/>
      <c r="F14" s="209"/>
      <c r="G14" s="163"/>
      <c r="H14" s="163"/>
      <c r="I14" s="163"/>
      <c r="J14" s="255"/>
      <c r="K14" s="255"/>
    </row>
    <row r="15" spans="1:11" ht="36.700000000000003" x14ac:dyDescent="0.25">
      <c r="A15" s="212" t="s">
        <v>861</v>
      </c>
      <c r="B15" s="211" t="s">
        <v>146</v>
      </c>
      <c r="C15" s="84">
        <f>C16+C17+C18+C19</f>
        <v>406085385.03000003</v>
      </c>
      <c r="D15" s="201"/>
      <c r="E15" s="254"/>
      <c r="F15" s="209"/>
      <c r="G15" s="163"/>
      <c r="H15" s="163"/>
      <c r="I15" s="163"/>
      <c r="J15" s="255"/>
      <c r="K15" s="255"/>
    </row>
    <row r="16" spans="1:11" ht="36.700000000000003" x14ac:dyDescent="0.25">
      <c r="A16" s="159" t="s">
        <v>205</v>
      </c>
      <c r="B16" s="110" t="s">
        <v>222</v>
      </c>
      <c r="C16" s="85">
        <f>'прил 13 '!E409</f>
        <v>392101366.04000002</v>
      </c>
      <c r="D16" s="201"/>
      <c r="E16" s="254"/>
      <c r="F16" s="209"/>
      <c r="G16" s="163"/>
      <c r="H16" s="163"/>
      <c r="I16" s="163"/>
      <c r="J16" s="255"/>
      <c r="K16" s="255"/>
    </row>
    <row r="17" spans="1:11" ht="36.700000000000003" x14ac:dyDescent="0.25">
      <c r="A17" s="159" t="s">
        <v>206</v>
      </c>
      <c r="B17" s="110" t="s">
        <v>220</v>
      </c>
      <c r="C17" s="85">
        <f>'прил 13 '!E422+'прил 13 '!E495</f>
        <v>1284979.52</v>
      </c>
      <c r="D17" s="201"/>
      <c r="E17" s="254"/>
      <c r="F17" s="209"/>
      <c r="G17" s="163"/>
      <c r="H17" s="163"/>
      <c r="I17" s="163"/>
      <c r="J17" s="255"/>
      <c r="K17" s="255"/>
    </row>
    <row r="18" spans="1:11" ht="37.549999999999997" customHeight="1" x14ac:dyDescent="0.25">
      <c r="A18" s="159" t="s">
        <v>247</v>
      </c>
      <c r="B18" s="110" t="s">
        <v>223</v>
      </c>
      <c r="C18" s="85">
        <f>'прил 13 '!E444+'прил 13 '!E499</f>
        <v>9717519.25</v>
      </c>
      <c r="D18" s="201"/>
      <c r="E18" s="254"/>
      <c r="F18" s="209"/>
      <c r="G18" s="163"/>
      <c r="H18" s="163"/>
      <c r="I18" s="163"/>
      <c r="J18" s="255"/>
      <c r="K18" s="255"/>
    </row>
    <row r="19" spans="1:11" ht="37.549999999999997" customHeight="1" x14ac:dyDescent="0.25">
      <c r="A19" s="159" t="s">
        <v>1049</v>
      </c>
      <c r="B19" s="110" t="s">
        <v>313</v>
      </c>
      <c r="C19" s="85">
        <f>'прил 13 '!E448</f>
        <v>2981520.22</v>
      </c>
      <c r="D19" s="201"/>
      <c r="E19" s="254"/>
      <c r="F19" s="209"/>
      <c r="G19" s="163"/>
      <c r="H19" s="163"/>
      <c r="I19" s="163"/>
      <c r="J19" s="255"/>
      <c r="K19" s="255"/>
    </row>
    <row r="20" spans="1:11" ht="37.549999999999997" customHeight="1" x14ac:dyDescent="0.25">
      <c r="A20" s="212" t="s">
        <v>832</v>
      </c>
      <c r="B20" s="211" t="s">
        <v>149</v>
      </c>
      <c r="C20" s="84">
        <f>C21+C22+C23+C24</f>
        <v>26493367.960000001</v>
      </c>
      <c r="D20" s="201"/>
      <c r="E20" s="254"/>
      <c r="F20" s="209"/>
      <c r="G20" s="163"/>
      <c r="H20" s="163"/>
      <c r="I20" s="163"/>
      <c r="J20" s="255"/>
      <c r="K20" s="255"/>
    </row>
    <row r="21" spans="1:11" ht="36.700000000000003" x14ac:dyDescent="0.25">
      <c r="A21" s="159" t="s">
        <v>207</v>
      </c>
      <c r="B21" s="110" t="s">
        <v>224</v>
      </c>
      <c r="C21" s="85">
        <f>'прил 13 '!E455</f>
        <v>24725577.960000001</v>
      </c>
      <c r="D21" s="201"/>
      <c r="E21" s="254"/>
      <c r="F21" s="209"/>
      <c r="G21" s="163"/>
      <c r="H21" s="163"/>
      <c r="I21" s="163"/>
      <c r="J21" s="255"/>
      <c r="K21" s="255"/>
    </row>
    <row r="22" spans="1:11" ht="36.700000000000003" x14ac:dyDescent="0.25">
      <c r="A22" s="159" t="s">
        <v>208</v>
      </c>
      <c r="B22" s="110" t="s">
        <v>225</v>
      </c>
      <c r="C22" s="85">
        <f>'прил 13 '!E459</f>
        <v>31600</v>
      </c>
      <c r="D22" s="201"/>
      <c r="E22" s="254"/>
      <c r="F22" s="209"/>
      <c r="G22" s="163"/>
      <c r="H22" s="163"/>
      <c r="I22" s="163"/>
      <c r="J22" s="255"/>
      <c r="K22" s="255"/>
    </row>
    <row r="23" spans="1:11" hidden="1" x14ac:dyDescent="0.25">
      <c r="A23" s="159" t="s">
        <v>305</v>
      </c>
      <c r="B23" s="110" t="s">
        <v>304</v>
      </c>
      <c r="C23" s="85">
        <v>0</v>
      </c>
      <c r="D23" s="201"/>
      <c r="E23" s="254"/>
      <c r="F23" s="209"/>
      <c r="G23" s="163"/>
      <c r="H23" s="163"/>
      <c r="I23" s="163"/>
      <c r="J23" s="255"/>
      <c r="K23" s="255"/>
    </row>
    <row r="24" spans="1:11" ht="36.700000000000003" x14ac:dyDescent="0.25">
      <c r="A24" s="109" t="s">
        <v>754</v>
      </c>
      <c r="B24" s="110" t="s">
        <v>806</v>
      </c>
      <c r="C24" s="85">
        <f>'прил 13 '!E473</f>
        <v>1736190</v>
      </c>
      <c r="D24" s="201"/>
      <c r="E24" s="254"/>
      <c r="F24" s="209"/>
      <c r="G24" s="163"/>
      <c r="H24" s="163"/>
      <c r="I24" s="163"/>
      <c r="J24" s="255"/>
      <c r="K24" s="255"/>
    </row>
    <row r="25" spans="1:11" ht="36.700000000000003" x14ac:dyDescent="0.25">
      <c r="A25" s="159" t="s">
        <v>209</v>
      </c>
      <c r="B25" s="110" t="s">
        <v>226</v>
      </c>
      <c r="C25" s="85">
        <f>'прил 13 '!E513</f>
        <v>23557565</v>
      </c>
      <c r="D25" s="201"/>
      <c r="E25" s="254"/>
      <c r="F25" s="209"/>
      <c r="G25" s="163"/>
      <c r="H25" s="163"/>
      <c r="I25" s="163"/>
      <c r="J25" s="255"/>
      <c r="K25" s="255"/>
    </row>
    <row r="26" spans="1:11" ht="30.6" customHeight="1" x14ac:dyDescent="0.25">
      <c r="A26" s="159" t="s">
        <v>238</v>
      </c>
      <c r="B26" s="110" t="s">
        <v>237</v>
      </c>
      <c r="C26" s="85">
        <f>'прил 13 '!E507</f>
        <v>125000</v>
      </c>
      <c r="D26" s="201"/>
      <c r="E26" s="254"/>
      <c r="F26" s="209"/>
      <c r="G26" s="163"/>
      <c r="H26" s="163"/>
      <c r="I26" s="163"/>
      <c r="J26" s="255"/>
      <c r="K26" s="255"/>
    </row>
    <row r="27" spans="1:11" ht="34.65" customHeight="1" x14ac:dyDescent="0.25">
      <c r="A27" s="114" t="s">
        <v>1062</v>
      </c>
      <c r="B27" s="110" t="s">
        <v>736</v>
      </c>
      <c r="C27" s="85">
        <f>'прил 13 '!E584</f>
        <v>1685000</v>
      </c>
      <c r="D27" s="201"/>
      <c r="E27" s="254"/>
      <c r="F27" s="209"/>
      <c r="G27" s="163"/>
      <c r="H27" s="163"/>
      <c r="I27" s="163"/>
      <c r="J27" s="255"/>
      <c r="K27" s="255"/>
    </row>
    <row r="28" spans="1:11" ht="36.700000000000003" x14ac:dyDescent="0.25">
      <c r="A28" s="104" t="s">
        <v>862</v>
      </c>
      <c r="B28" s="105" t="s">
        <v>136</v>
      </c>
      <c r="C28" s="128">
        <f>C29+C30+C31+C32+C33</f>
        <v>65357436.57</v>
      </c>
      <c r="D28" s="201"/>
      <c r="E28" s="254"/>
      <c r="F28" s="209"/>
      <c r="G28" s="163"/>
      <c r="H28" s="163"/>
      <c r="I28" s="163"/>
      <c r="J28" s="255"/>
      <c r="K28" s="255"/>
    </row>
    <row r="29" spans="1:11" ht="36.700000000000003" x14ac:dyDescent="0.25">
      <c r="A29" s="159" t="s">
        <v>210</v>
      </c>
      <c r="B29" s="110" t="s">
        <v>227</v>
      </c>
      <c r="C29" s="85">
        <f>'прил 13 '!E534</f>
        <v>10510329.949999999</v>
      </c>
      <c r="D29" s="201"/>
      <c r="E29" s="254"/>
      <c r="F29" s="209"/>
      <c r="G29" s="163"/>
      <c r="H29" s="163"/>
      <c r="I29" s="163"/>
      <c r="J29" s="255"/>
      <c r="K29" s="255"/>
    </row>
    <row r="30" spans="1:11" ht="36.700000000000003" x14ac:dyDescent="0.25">
      <c r="A30" s="159" t="s">
        <v>207</v>
      </c>
      <c r="B30" s="110" t="s">
        <v>228</v>
      </c>
      <c r="C30" s="85">
        <f>'прил 13 '!E477</f>
        <v>19827021.469999999</v>
      </c>
      <c r="D30" s="201"/>
      <c r="E30" s="254"/>
      <c r="F30" s="209"/>
      <c r="G30" s="163"/>
      <c r="H30" s="163"/>
      <c r="I30" s="163"/>
      <c r="J30" s="255"/>
      <c r="K30" s="255"/>
    </row>
    <row r="31" spans="1:11" x14ac:dyDescent="0.25">
      <c r="A31" s="159" t="s">
        <v>211</v>
      </c>
      <c r="B31" s="110" t="s">
        <v>229</v>
      </c>
      <c r="C31" s="85">
        <f>'прил 13 '!E484+'прил 13 '!E548+'прил 13 '!E558</f>
        <v>4251573.55</v>
      </c>
      <c r="D31" s="201"/>
      <c r="E31" s="254"/>
      <c r="F31" s="209"/>
      <c r="G31" s="163"/>
      <c r="H31" s="163"/>
      <c r="I31" s="163"/>
      <c r="J31" s="255"/>
      <c r="K31" s="255"/>
    </row>
    <row r="32" spans="1:11" ht="26.5" customHeight="1" x14ac:dyDescent="0.25">
      <c r="A32" s="159" t="s">
        <v>678</v>
      </c>
      <c r="B32" s="110" t="s">
        <v>677</v>
      </c>
      <c r="C32" s="85">
        <f>'прил 13 '!E538</f>
        <v>26264730.699999999</v>
      </c>
      <c r="D32" s="201"/>
      <c r="E32" s="254"/>
      <c r="F32" s="209"/>
      <c r="G32" s="163"/>
      <c r="H32" s="163"/>
      <c r="I32" s="163"/>
      <c r="J32" s="255"/>
      <c r="K32" s="255"/>
    </row>
    <row r="33" spans="1:11" ht="26.5" customHeight="1" x14ac:dyDescent="0.25">
      <c r="A33" s="121" t="s">
        <v>1057</v>
      </c>
      <c r="B33" s="110" t="s">
        <v>598</v>
      </c>
      <c r="C33" s="85">
        <f>'прил 13 '!E488</f>
        <v>4503780.8999999994</v>
      </c>
      <c r="D33" s="201"/>
      <c r="E33" s="254"/>
      <c r="F33" s="209"/>
      <c r="G33" s="163"/>
      <c r="H33" s="163"/>
      <c r="I33" s="163"/>
      <c r="J33" s="255"/>
      <c r="K33" s="255"/>
    </row>
    <row r="34" spans="1:11" ht="36.700000000000003" x14ac:dyDescent="0.25">
      <c r="A34" s="104" t="s">
        <v>841</v>
      </c>
      <c r="B34" s="105" t="s">
        <v>135</v>
      </c>
      <c r="C34" s="128">
        <f>C35+C36</f>
        <v>470000</v>
      </c>
      <c r="D34" s="201"/>
      <c r="E34" s="254"/>
      <c r="F34" s="209"/>
      <c r="G34" s="163"/>
      <c r="H34" s="163"/>
      <c r="I34" s="163"/>
      <c r="J34" s="255"/>
      <c r="K34" s="255"/>
    </row>
    <row r="35" spans="1:11" ht="36.700000000000003" x14ac:dyDescent="0.25">
      <c r="A35" s="159" t="s">
        <v>863</v>
      </c>
      <c r="B35" s="110" t="s">
        <v>392</v>
      </c>
      <c r="C35" s="82">
        <f>'прил 13 '!E353</f>
        <v>440000</v>
      </c>
      <c r="D35" s="201"/>
      <c r="E35" s="254"/>
      <c r="F35" s="209"/>
      <c r="G35" s="163"/>
      <c r="H35" s="163"/>
      <c r="I35" s="163"/>
      <c r="J35" s="255"/>
      <c r="K35" s="255"/>
    </row>
    <row r="36" spans="1:11" x14ac:dyDescent="0.25">
      <c r="A36" s="159" t="s">
        <v>248</v>
      </c>
      <c r="B36" s="110" t="s">
        <v>246</v>
      </c>
      <c r="C36" s="85">
        <f>'прил 13 '!E357</f>
        <v>30000</v>
      </c>
      <c r="D36" s="201"/>
      <c r="E36" s="254"/>
      <c r="F36" s="209"/>
      <c r="G36" s="163"/>
      <c r="H36" s="163"/>
      <c r="I36" s="163"/>
      <c r="J36" s="255"/>
      <c r="K36" s="255"/>
    </row>
    <row r="37" spans="1:11" ht="36.700000000000003" x14ac:dyDescent="0.25">
      <c r="A37" s="104" t="s">
        <v>864</v>
      </c>
      <c r="B37" s="105" t="s">
        <v>200</v>
      </c>
      <c r="C37" s="128">
        <f>C38+C39</f>
        <v>4172913.54</v>
      </c>
      <c r="D37" s="201"/>
      <c r="E37" s="254"/>
      <c r="F37" s="209"/>
      <c r="G37" s="163"/>
      <c r="H37" s="163"/>
      <c r="I37" s="163"/>
      <c r="J37" s="255"/>
      <c r="K37" s="255"/>
    </row>
    <row r="38" spans="1:11" ht="36.700000000000003" x14ac:dyDescent="0.25">
      <c r="A38" s="159" t="s">
        <v>837</v>
      </c>
      <c r="B38" s="110" t="s">
        <v>230</v>
      </c>
      <c r="C38" s="85">
        <f>'прил 13 '!E630</f>
        <v>4172913.54</v>
      </c>
      <c r="D38" s="201"/>
      <c r="E38" s="254"/>
      <c r="F38" s="209"/>
      <c r="G38" s="163"/>
      <c r="H38" s="163"/>
      <c r="I38" s="163"/>
      <c r="J38" s="255"/>
      <c r="K38" s="255"/>
    </row>
    <row r="39" spans="1:11" hidden="1" x14ac:dyDescent="0.25">
      <c r="A39" s="159" t="s">
        <v>305</v>
      </c>
      <c r="B39" s="110" t="s">
        <v>303</v>
      </c>
      <c r="C39" s="85"/>
      <c r="D39" s="201"/>
      <c r="E39" s="254"/>
      <c r="F39" s="209"/>
      <c r="G39" s="163"/>
      <c r="H39" s="163"/>
      <c r="I39" s="163"/>
      <c r="J39" s="255"/>
      <c r="K39" s="255"/>
    </row>
    <row r="40" spans="1:11" ht="36.700000000000003" x14ac:dyDescent="0.25">
      <c r="A40" s="104" t="s">
        <v>930</v>
      </c>
      <c r="B40" s="105" t="s">
        <v>129</v>
      </c>
      <c r="C40" s="128">
        <f>C41</f>
        <v>150000</v>
      </c>
      <c r="D40" s="201"/>
      <c r="E40" s="254"/>
      <c r="F40" s="209"/>
      <c r="G40" s="163"/>
      <c r="H40" s="163"/>
      <c r="I40" s="163"/>
      <c r="J40" s="255"/>
      <c r="K40" s="255"/>
    </row>
    <row r="41" spans="1:11" ht="36.700000000000003" x14ac:dyDescent="0.25">
      <c r="A41" s="159" t="s">
        <v>419</v>
      </c>
      <c r="B41" s="110" t="s">
        <v>413</v>
      </c>
      <c r="C41" s="85">
        <f>'прил 13 '!E589</f>
        <v>150000</v>
      </c>
      <c r="D41" s="201"/>
      <c r="E41" s="254"/>
      <c r="F41" s="209"/>
      <c r="G41" s="163"/>
      <c r="H41" s="163"/>
      <c r="I41" s="163"/>
      <c r="J41" s="255"/>
      <c r="K41" s="255"/>
    </row>
    <row r="42" spans="1:11" ht="36.700000000000003" x14ac:dyDescent="0.25">
      <c r="A42" s="104" t="s">
        <v>830</v>
      </c>
      <c r="B42" s="105" t="s">
        <v>128</v>
      </c>
      <c r="C42" s="128">
        <f>C43+C44+C45</f>
        <v>24816664</v>
      </c>
      <c r="D42" s="201"/>
      <c r="E42" s="254"/>
      <c r="F42" s="209"/>
      <c r="G42" s="163"/>
      <c r="H42" s="163"/>
      <c r="I42" s="163"/>
      <c r="J42" s="255"/>
      <c r="K42" s="255"/>
    </row>
    <row r="43" spans="1:11" ht="36.700000000000003" x14ac:dyDescent="0.25">
      <c r="A43" s="159" t="s">
        <v>835</v>
      </c>
      <c r="B43" s="110" t="s">
        <v>315</v>
      </c>
      <c r="C43" s="85">
        <f>'прил 13 '!E68</f>
        <v>949236</v>
      </c>
      <c r="D43" s="201"/>
      <c r="E43" s="254"/>
      <c r="F43" s="209"/>
      <c r="G43" s="163"/>
      <c r="H43" s="163"/>
      <c r="I43" s="163"/>
      <c r="J43" s="255"/>
      <c r="K43" s="255"/>
    </row>
    <row r="44" spans="1:11" ht="36.700000000000003" x14ac:dyDescent="0.25">
      <c r="A44" s="159" t="s">
        <v>216</v>
      </c>
      <c r="B44" s="110" t="s">
        <v>231</v>
      </c>
      <c r="C44" s="85">
        <f>'прил 13 '!E75</f>
        <v>22416328</v>
      </c>
      <c r="D44" s="201"/>
      <c r="E44" s="254"/>
      <c r="F44" s="209"/>
      <c r="G44" s="163"/>
      <c r="H44" s="163"/>
      <c r="I44" s="163"/>
      <c r="J44" s="255"/>
      <c r="K44" s="255"/>
    </row>
    <row r="45" spans="1:11" x14ac:dyDescent="0.25">
      <c r="A45" s="159" t="s">
        <v>693</v>
      </c>
      <c r="B45" s="110" t="s">
        <v>270</v>
      </c>
      <c r="C45" s="85">
        <f>'прил 13 '!E83</f>
        <v>1451100</v>
      </c>
      <c r="D45" s="201"/>
      <c r="E45" s="254"/>
      <c r="F45" s="209"/>
      <c r="G45" s="163"/>
      <c r="H45" s="163"/>
      <c r="I45" s="163"/>
      <c r="J45" s="255"/>
      <c r="K45" s="255"/>
    </row>
    <row r="46" spans="1:11" ht="39.25" customHeight="1" x14ac:dyDescent="0.25">
      <c r="A46" s="104" t="s">
        <v>843</v>
      </c>
      <c r="B46" s="105" t="s">
        <v>134</v>
      </c>
      <c r="C46" s="128">
        <f>C47+C48+C49</f>
        <v>36188514.200000003</v>
      </c>
      <c r="D46" s="201"/>
      <c r="E46" s="254"/>
      <c r="F46" s="209"/>
      <c r="G46" s="163"/>
      <c r="H46" s="163"/>
      <c r="I46" s="163"/>
      <c r="J46" s="255"/>
      <c r="K46" s="255"/>
    </row>
    <row r="47" spans="1:11" ht="36.700000000000003" x14ac:dyDescent="0.25">
      <c r="A47" s="159" t="s">
        <v>865</v>
      </c>
      <c r="B47" s="110" t="s">
        <v>350</v>
      </c>
      <c r="C47" s="85">
        <f>'прил 13 '!E250+'прил 13 '!E343</f>
        <v>35120477.920000002</v>
      </c>
      <c r="D47" s="201"/>
      <c r="E47" s="254"/>
      <c r="F47" s="209"/>
      <c r="G47" s="163"/>
      <c r="H47" s="163"/>
      <c r="I47" s="163"/>
      <c r="J47" s="255"/>
      <c r="K47" s="255"/>
    </row>
    <row r="48" spans="1:11" x14ac:dyDescent="0.25">
      <c r="A48" s="214" t="s">
        <v>218</v>
      </c>
      <c r="B48" s="110" t="s">
        <v>232</v>
      </c>
      <c r="C48" s="85">
        <f>'прил 13 '!E288</f>
        <v>1068036.28</v>
      </c>
      <c r="D48" s="201"/>
      <c r="E48" s="254"/>
      <c r="F48" s="209"/>
      <c r="G48" s="163"/>
      <c r="H48" s="163"/>
      <c r="I48" s="163"/>
      <c r="J48" s="255"/>
      <c r="K48" s="255"/>
    </row>
    <row r="49" spans="1:11" x14ac:dyDescent="0.25">
      <c r="A49" s="114" t="s">
        <v>455</v>
      </c>
      <c r="B49" s="110" t="s">
        <v>700</v>
      </c>
      <c r="C49" s="85">
        <f>'прил 13 '!E276</f>
        <v>0</v>
      </c>
      <c r="D49" s="201"/>
      <c r="E49" s="254"/>
      <c r="F49" s="209"/>
      <c r="G49" s="163"/>
      <c r="H49" s="163"/>
      <c r="I49" s="163"/>
      <c r="J49" s="255"/>
      <c r="K49" s="255"/>
    </row>
    <row r="50" spans="1:11" ht="36.700000000000003" x14ac:dyDescent="0.3">
      <c r="A50" s="215" t="s">
        <v>852</v>
      </c>
      <c r="B50" s="105" t="s">
        <v>131</v>
      </c>
      <c r="C50" s="128">
        <f>C51</f>
        <v>50000</v>
      </c>
      <c r="D50" s="201"/>
      <c r="E50" s="254"/>
      <c r="F50" s="209"/>
      <c r="G50" s="163"/>
      <c r="H50" s="163"/>
      <c r="I50" s="163"/>
      <c r="J50" s="255"/>
      <c r="K50" s="255"/>
    </row>
    <row r="51" spans="1:11" x14ac:dyDescent="0.25">
      <c r="A51" s="214" t="s">
        <v>324</v>
      </c>
      <c r="B51" s="110" t="s">
        <v>233</v>
      </c>
      <c r="C51" s="85">
        <f>'прил 13 '!E93</f>
        <v>50000</v>
      </c>
      <c r="D51" s="201"/>
      <c r="E51" s="254"/>
      <c r="F51" s="209"/>
      <c r="G51" s="163"/>
      <c r="H51" s="163"/>
      <c r="I51" s="163"/>
      <c r="J51" s="255"/>
      <c r="K51" s="255"/>
    </row>
    <row r="52" spans="1:11" ht="41.3" customHeight="1" x14ac:dyDescent="0.25">
      <c r="A52" s="104" t="s">
        <v>849</v>
      </c>
      <c r="B52" s="105" t="s">
        <v>412</v>
      </c>
      <c r="C52" s="128">
        <f>C53</f>
        <v>100000</v>
      </c>
      <c r="D52" s="201"/>
      <c r="E52" s="254"/>
      <c r="F52" s="209"/>
      <c r="G52" s="163"/>
      <c r="H52" s="163"/>
      <c r="I52" s="163"/>
      <c r="J52" s="255"/>
      <c r="K52" s="255"/>
    </row>
    <row r="53" spans="1:11" ht="36.700000000000003" x14ac:dyDescent="0.25">
      <c r="A53" s="81" t="s">
        <v>780</v>
      </c>
      <c r="B53" s="80" t="s">
        <v>414</v>
      </c>
      <c r="C53" s="85">
        <f>'прил 13 '!E223</f>
        <v>100000</v>
      </c>
      <c r="D53" s="201"/>
      <c r="E53" s="254"/>
      <c r="F53" s="209"/>
      <c r="G53" s="163"/>
      <c r="H53" s="163"/>
      <c r="I53" s="163"/>
      <c r="J53" s="255"/>
      <c r="K53" s="255"/>
    </row>
    <row r="54" spans="1:11" ht="36.700000000000003" x14ac:dyDescent="0.25">
      <c r="A54" s="104" t="s">
        <v>866</v>
      </c>
      <c r="B54" s="105" t="s">
        <v>374</v>
      </c>
      <c r="C54" s="128">
        <f>C55</f>
        <v>734438.26</v>
      </c>
      <c r="D54" s="201"/>
      <c r="E54" s="254"/>
      <c r="F54" s="209"/>
      <c r="G54" s="163"/>
      <c r="H54" s="163"/>
      <c r="I54" s="163"/>
      <c r="J54" s="255"/>
      <c r="K54" s="255"/>
    </row>
    <row r="55" spans="1:11" ht="36.700000000000003" x14ac:dyDescent="0.25">
      <c r="A55" s="121" t="s">
        <v>422</v>
      </c>
      <c r="B55" s="110" t="s">
        <v>375</v>
      </c>
      <c r="C55" s="85">
        <f>'прил 13 '!E594</f>
        <v>734438.26</v>
      </c>
      <c r="D55" s="201"/>
      <c r="E55" s="209"/>
      <c r="F55" s="209"/>
      <c r="G55" s="163"/>
      <c r="H55" s="163"/>
      <c r="I55" s="163"/>
      <c r="J55" s="255"/>
      <c r="K55" s="255"/>
    </row>
    <row r="56" spans="1:11" s="261" customFormat="1" ht="38.25" customHeight="1" x14ac:dyDescent="0.3">
      <c r="A56" s="215" t="s">
        <v>829</v>
      </c>
      <c r="B56" s="256" t="s">
        <v>317</v>
      </c>
      <c r="C56" s="257">
        <f>C57</f>
        <v>5204368</v>
      </c>
      <c r="D56" s="258"/>
      <c r="E56" s="259"/>
      <c r="F56" s="259"/>
      <c r="G56" s="259"/>
      <c r="H56" s="259"/>
      <c r="I56" s="259"/>
      <c r="J56" s="260"/>
      <c r="K56" s="260"/>
    </row>
    <row r="57" spans="1:11" ht="36.700000000000003" x14ac:dyDescent="0.25">
      <c r="A57" s="159" t="s">
        <v>249</v>
      </c>
      <c r="B57" s="110" t="s">
        <v>318</v>
      </c>
      <c r="C57" s="85">
        <f>'прил 13 '!E98+'прил 13 '!E673</f>
        <v>5204368</v>
      </c>
      <c r="D57" s="201"/>
      <c r="E57" s="209"/>
      <c r="F57" s="209"/>
      <c r="G57" s="163"/>
      <c r="H57" s="163"/>
      <c r="I57" s="163"/>
      <c r="J57" s="255"/>
      <c r="K57" s="255"/>
    </row>
    <row r="58" spans="1:11" ht="55.05" x14ac:dyDescent="0.25">
      <c r="A58" s="219" t="s">
        <v>850</v>
      </c>
      <c r="B58" s="105" t="s">
        <v>335</v>
      </c>
      <c r="C58" s="128">
        <f>C59</f>
        <v>13057000</v>
      </c>
      <c r="D58" s="201"/>
      <c r="E58" s="254"/>
      <c r="F58" s="209"/>
      <c r="G58" s="163"/>
      <c r="H58" s="163"/>
      <c r="I58" s="163"/>
      <c r="J58" s="255"/>
      <c r="K58" s="255"/>
    </row>
    <row r="59" spans="1:11" ht="36.700000000000003" x14ac:dyDescent="0.25">
      <c r="A59" s="214" t="s">
        <v>217</v>
      </c>
      <c r="B59" s="110" t="s">
        <v>337</v>
      </c>
      <c r="C59" s="85">
        <f>'прил 13 '!E211</f>
        <v>13057000</v>
      </c>
      <c r="D59" s="201"/>
      <c r="E59" s="209"/>
      <c r="F59" s="209"/>
      <c r="G59" s="163"/>
      <c r="H59" s="163"/>
      <c r="I59" s="163"/>
      <c r="J59" s="255"/>
      <c r="K59" s="255"/>
    </row>
    <row r="60" spans="1:11" s="170" customFormat="1" ht="54" customHeight="1" x14ac:dyDescent="0.25">
      <c r="A60" s="104" t="s">
        <v>867</v>
      </c>
      <c r="B60" s="211" t="s">
        <v>363</v>
      </c>
      <c r="C60" s="84">
        <f>C61</f>
        <v>45000</v>
      </c>
      <c r="D60" s="262"/>
      <c r="E60" s="254"/>
      <c r="F60" s="254"/>
      <c r="G60" s="263"/>
      <c r="H60" s="263"/>
      <c r="I60" s="263"/>
      <c r="J60" s="264"/>
      <c r="K60" s="264"/>
    </row>
    <row r="61" spans="1:11" ht="21.25" customHeight="1" x14ac:dyDescent="0.25">
      <c r="A61" s="114" t="s">
        <v>212</v>
      </c>
      <c r="B61" s="110" t="s">
        <v>365</v>
      </c>
      <c r="C61" s="85">
        <f>'прил 13 '!E362</f>
        <v>45000</v>
      </c>
      <c r="D61" s="201"/>
      <c r="E61" s="209"/>
      <c r="F61" s="209"/>
      <c r="G61" s="163"/>
      <c r="H61" s="163"/>
      <c r="I61" s="163"/>
      <c r="J61" s="255"/>
      <c r="K61" s="255"/>
    </row>
    <row r="62" spans="1:11" ht="55.05" x14ac:dyDescent="0.25">
      <c r="A62" s="220" t="s">
        <v>848</v>
      </c>
      <c r="B62" s="105" t="s">
        <v>340</v>
      </c>
      <c r="C62" s="128">
        <f>C63+C64</f>
        <v>835000</v>
      </c>
      <c r="D62" s="201"/>
      <c r="E62" s="254"/>
      <c r="F62" s="209"/>
      <c r="G62" s="163"/>
      <c r="H62" s="163"/>
      <c r="I62" s="163"/>
      <c r="J62" s="255"/>
      <c r="K62" s="255"/>
    </row>
    <row r="63" spans="1:11" ht="22.75" customHeight="1" x14ac:dyDescent="0.25">
      <c r="A63" s="159" t="s">
        <v>423</v>
      </c>
      <c r="B63" s="110" t="s">
        <v>341</v>
      </c>
      <c r="C63" s="85">
        <f>'прил 13 '!E228</f>
        <v>235000</v>
      </c>
      <c r="D63" s="201"/>
      <c r="E63" s="254"/>
      <c r="F63" s="209"/>
      <c r="G63" s="163"/>
      <c r="H63" s="163"/>
      <c r="I63" s="163"/>
      <c r="J63" s="255"/>
      <c r="K63" s="255"/>
    </row>
    <row r="64" spans="1:11" ht="32.299999999999997" customHeight="1" x14ac:dyDescent="0.25">
      <c r="A64" s="159" t="s">
        <v>388</v>
      </c>
      <c r="B64" s="110" t="s">
        <v>387</v>
      </c>
      <c r="C64" s="85">
        <f>'прил 13 '!E232</f>
        <v>600000</v>
      </c>
      <c r="D64" s="201"/>
      <c r="E64" s="254"/>
      <c r="F64" s="209"/>
      <c r="G64" s="163"/>
      <c r="H64" s="163"/>
      <c r="I64" s="163"/>
      <c r="J64" s="255"/>
      <c r="K64" s="255"/>
    </row>
    <row r="65" spans="1:11" ht="36.700000000000003" x14ac:dyDescent="0.25">
      <c r="A65" s="220" t="s">
        <v>851</v>
      </c>
      <c r="B65" s="105" t="s">
        <v>331</v>
      </c>
      <c r="C65" s="128">
        <f>C66</f>
        <v>7526649.4000000004</v>
      </c>
      <c r="D65" s="201"/>
      <c r="E65" s="254"/>
      <c r="F65" s="209"/>
      <c r="G65" s="163"/>
      <c r="H65" s="163"/>
      <c r="I65" s="163"/>
      <c r="J65" s="255"/>
      <c r="K65" s="255"/>
    </row>
    <row r="66" spans="1:11" ht="36.700000000000003" x14ac:dyDescent="0.25">
      <c r="A66" s="159" t="s">
        <v>215</v>
      </c>
      <c r="B66" s="110" t="s">
        <v>332</v>
      </c>
      <c r="C66" s="85">
        <f>'прил 13 '!E106+'прил 13 '!E239+'прил 13 '!E568</f>
        <v>7526649.4000000004</v>
      </c>
      <c r="D66" s="201"/>
      <c r="E66" s="209"/>
      <c r="F66" s="209"/>
      <c r="G66" s="163"/>
      <c r="H66" s="163"/>
      <c r="I66" s="163"/>
      <c r="J66" s="255"/>
      <c r="K66" s="255"/>
    </row>
    <row r="67" spans="1:11" ht="53.15" customHeight="1" x14ac:dyDescent="0.25">
      <c r="A67" s="220" t="s">
        <v>821</v>
      </c>
      <c r="B67" s="105" t="s">
        <v>320</v>
      </c>
      <c r="C67" s="85">
        <v>100000</v>
      </c>
      <c r="D67" s="201"/>
      <c r="E67" s="209"/>
      <c r="F67" s="209"/>
      <c r="G67" s="163"/>
      <c r="H67" s="163"/>
      <c r="I67" s="163"/>
      <c r="J67" s="255"/>
      <c r="K67" s="255"/>
    </row>
    <row r="68" spans="1:11" ht="34.15" customHeight="1" x14ac:dyDescent="0.25">
      <c r="A68" s="159" t="s">
        <v>808</v>
      </c>
      <c r="B68" s="110" t="s">
        <v>809</v>
      </c>
      <c r="C68" s="85">
        <v>100000</v>
      </c>
      <c r="D68" s="201"/>
      <c r="E68" s="209"/>
      <c r="F68" s="209"/>
      <c r="G68" s="163"/>
      <c r="H68" s="163"/>
      <c r="I68" s="163"/>
      <c r="J68" s="255"/>
      <c r="K68" s="255"/>
    </row>
    <row r="69" spans="1:11" s="192" customFormat="1" ht="36.700000000000003" x14ac:dyDescent="0.25">
      <c r="A69" s="222" t="s">
        <v>828</v>
      </c>
      <c r="B69" s="105" t="s">
        <v>463</v>
      </c>
      <c r="C69" s="128">
        <f>C70</f>
        <v>50000</v>
      </c>
      <c r="D69" s="265"/>
      <c r="E69" s="266"/>
      <c r="F69" s="265"/>
    </row>
    <row r="70" spans="1:11" s="192" customFormat="1" x14ac:dyDescent="0.25">
      <c r="A70" s="223" t="s">
        <v>464</v>
      </c>
      <c r="B70" s="110" t="s">
        <v>465</v>
      </c>
      <c r="C70" s="85">
        <f>'прил 13 '!E666</f>
        <v>50000</v>
      </c>
      <c r="D70" s="265"/>
      <c r="E70" s="266"/>
      <c r="F70" s="265"/>
    </row>
    <row r="71" spans="1:11" s="170" customFormat="1" ht="36.700000000000003" x14ac:dyDescent="0.25">
      <c r="A71" s="104" t="s">
        <v>508</v>
      </c>
      <c r="B71" s="105" t="s">
        <v>509</v>
      </c>
      <c r="C71" s="128">
        <f>C72</f>
        <v>9214506.0600000005</v>
      </c>
      <c r="D71" s="267"/>
      <c r="E71" s="262"/>
      <c r="F71" s="267"/>
    </row>
    <row r="72" spans="1:11" s="192" customFormat="1" ht="23.3" customHeight="1" x14ac:dyDescent="0.25">
      <c r="A72" s="109" t="s">
        <v>510</v>
      </c>
      <c r="B72" s="110">
        <v>1895800000</v>
      </c>
      <c r="C72" s="85">
        <f>'прил 13 '!E302</f>
        <v>9214506.0600000005</v>
      </c>
      <c r="D72" s="265"/>
      <c r="E72" s="266"/>
      <c r="F72" s="265"/>
    </row>
    <row r="73" spans="1:11" s="170" customFormat="1" ht="37.549999999999997" customHeight="1" x14ac:dyDescent="0.25">
      <c r="A73" s="104" t="s">
        <v>518</v>
      </c>
      <c r="B73" s="105" t="s">
        <v>519</v>
      </c>
      <c r="C73" s="128">
        <f>C74+C76</f>
        <v>12953164.92</v>
      </c>
      <c r="D73" s="267"/>
      <c r="E73" s="262"/>
      <c r="F73" s="267"/>
    </row>
    <row r="74" spans="1:11" s="170" customFormat="1" ht="37.549999999999997" customHeight="1" x14ac:dyDescent="0.25">
      <c r="A74" s="224" t="s">
        <v>550</v>
      </c>
      <c r="B74" s="225">
        <v>1910000000</v>
      </c>
      <c r="C74" s="84">
        <f>C75</f>
        <v>6970638.8700000001</v>
      </c>
      <c r="D74" s="267"/>
      <c r="E74" s="262"/>
      <c r="F74" s="267"/>
    </row>
    <row r="75" spans="1:11" s="170" customFormat="1" ht="18.7" customHeight="1" x14ac:dyDescent="0.25">
      <c r="A75" s="226" t="s">
        <v>1128</v>
      </c>
      <c r="B75" s="227" t="s">
        <v>552</v>
      </c>
      <c r="C75" s="85">
        <f>'прил 13 '!E320</f>
        <v>6970638.8700000001</v>
      </c>
      <c r="D75" s="267"/>
      <c r="E75" s="268"/>
      <c r="F75" s="267"/>
    </row>
    <row r="76" spans="1:11" s="170" customFormat="1" ht="37.549999999999997" customHeight="1" x14ac:dyDescent="0.25">
      <c r="A76" s="224" t="s">
        <v>554</v>
      </c>
      <c r="B76" s="225">
        <v>1920000000</v>
      </c>
      <c r="C76" s="84">
        <f>C77</f>
        <v>5982526.0499999998</v>
      </c>
      <c r="D76" s="267"/>
      <c r="E76" s="262"/>
      <c r="F76" s="267"/>
    </row>
    <row r="77" spans="1:11" ht="37.549999999999997" customHeight="1" x14ac:dyDescent="0.25">
      <c r="A77" s="159" t="s">
        <v>555</v>
      </c>
      <c r="B77" s="227">
        <v>1925900000</v>
      </c>
      <c r="C77" s="85">
        <f>'прил 13 '!E328</f>
        <v>5982526.0499999998</v>
      </c>
    </row>
    <row r="78" spans="1:11" ht="37.549999999999997" customHeight="1" x14ac:dyDescent="0.25">
      <c r="A78" s="104" t="s">
        <v>950</v>
      </c>
      <c r="B78" s="291">
        <v>2100000000</v>
      </c>
      <c r="C78" s="85">
        <f>'прил 13 '!E112</f>
        <v>100000</v>
      </c>
    </row>
    <row r="79" spans="1:11" ht="37.549999999999997" customHeight="1" x14ac:dyDescent="0.25">
      <c r="A79" s="109" t="s">
        <v>951</v>
      </c>
      <c r="B79" s="227">
        <v>2193400000</v>
      </c>
      <c r="C79" s="85">
        <f>'прил 13 '!E113</f>
        <v>100000</v>
      </c>
    </row>
    <row r="80" spans="1:11" x14ac:dyDescent="0.3">
      <c r="A80" s="682" t="s">
        <v>118</v>
      </c>
      <c r="B80" s="682"/>
      <c r="C80" s="193">
        <f>C9+C28+C34+C37+C40+C42+C46+C50+C54+C56+C58+C60+C62+C65+C67+C69+C71+C73+C52+C78</f>
        <v>781718723.13999999</v>
      </c>
      <c r="D80" s="201"/>
      <c r="F80" s="201"/>
      <c r="G80" s="163"/>
      <c r="H80" s="163"/>
      <c r="I80" s="163"/>
      <c r="J80" s="255"/>
      <c r="K80" s="255"/>
    </row>
    <row r="81" spans="1:11" x14ac:dyDescent="0.3">
      <c r="A81" s="103"/>
      <c r="B81" s="103"/>
      <c r="C81" s="103"/>
      <c r="E81" s="209"/>
      <c r="F81" s="209"/>
      <c r="G81" s="5"/>
      <c r="H81" s="5"/>
      <c r="I81" s="163"/>
      <c r="J81" s="5"/>
      <c r="K81" s="163"/>
    </row>
    <row r="82" spans="1:11" x14ac:dyDescent="0.3">
      <c r="A82" s="688"/>
      <c r="B82" s="688"/>
      <c r="C82" s="688"/>
      <c r="E82" s="209"/>
      <c r="F82" s="209"/>
      <c r="G82" s="5"/>
      <c r="H82" s="163"/>
      <c r="I82" s="5"/>
      <c r="J82" s="5"/>
      <c r="K82" s="163"/>
    </row>
    <row r="83" spans="1:11" x14ac:dyDescent="0.3">
      <c r="C83" s="198">
        <f>'прил 13 '!E14+'прил 13 '!E19+'прил 13 '!E34+'прил 13 '!E41+'прил 13 '!E47+'прил 13 '!E62+'прил 13 '!E117+'прил 13 '!E172+'прил 13 '!E182+'прил 13 '!E187+'прил 13 '!E193+'прил 13 '!E199+'прил 13 '!E243+'прил 13 '!E578+'прил 13 '!E598+'прил 13 '!E613</f>
        <v>194475380.75999999</v>
      </c>
    </row>
    <row r="84" spans="1:11" x14ac:dyDescent="0.3">
      <c r="C84" s="198">
        <f>C80+C83</f>
        <v>976194103.89999998</v>
      </c>
    </row>
    <row r="87" spans="1:11" x14ac:dyDescent="0.3">
      <c r="A87" s="189" t="s">
        <v>51</v>
      </c>
    </row>
    <row r="88" spans="1:11" x14ac:dyDescent="0.3">
      <c r="A88" s="189" t="s">
        <v>823</v>
      </c>
      <c r="B88" s="269">
        <f>C80/C84*100</f>
        <v>80.078205760201783</v>
      </c>
    </row>
  </sheetData>
  <mergeCells count="4">
    <mergeCell ref="A82:C82"/>
    <mergeCell ref="A5:C5"/>
    <mergeCell ref="A6:C6"/>
    <mergeCell ref="A80:B80"/>
  </mergeCells>
  <pageMargins left="0.98425196850393704" right="0.98425196850393704" top="0.74803149606299213" bottom="0.74803149606299213" header="0.31496062992125984" footer="0.31496062992125984"/>
  <pageSetup paperSize="9" scale="61" fitToHeight="0" orientation="portrait" r:id="rId1"/>
  <colBreaks count="1" manualBreakCount="1">
    <brk id="3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87"/>
  <sheetViews>
    <sheetView tabSelected="1" view="pageBreakPreview" topLeftCell="A3" zoomScale="86" zoomScaleNormal="100" zoomScaleSheetLayoutView="86" workbookViewId="0">
      <selection activeCell="A26" sqref="A26"/>
    </sheetView>
  </sheetViews>
  <sheetFormatPr defaultRowHeight="18.350000000000001" x14ac:dyDescent="0.3"/>
  <cols>
    <col min="1" max="1" width="67" style="200" customWidth="1"/>
    <col min="2" max="2" width="21.25" style="189" customWidth="1"/>
    <col min="3" max="3" width="19" style="189" customWidth="1"/>
    <col min="4" max="4" width="18.625" style="200" customWidth="1"/>
    <col min="5" max="5" width="10" style="201" customWidth="1"/>
    <col min="6" max="7" width="17.375" style="202" customWidth="1"/>
    <col min="8" max="9" width="11.375" style="165" bestFit="1" customWidth="1"/>
    <col min="10" max="11" width="13.375" style="165" customWidth="1"/>
    <col min="12" max="244" width="9.125" style="165"/>
    <col min="245" max="245" width="69.875" style="165" customWidth="1"/>
    <col min="246" max="246" width="9.625" style="165" customWidth="1"/>
    <col min="247" max="250" width="0" style="165" hidden="1" customWidth="1"/>
    <col min="251" max="251" width="13.875" style="165" customWidth="1"/>
    <col min="252" max="257" width="0" style="165" hidden="1" customWidth="1"/>
    <col min="258" max="261" width="9.125" style="165"/>
    <col min="262" max="262" width="13.375" style="165" customWidth="1"/>
    <col min="263" max="263" width="9.125" style="165"/>
    <col min="264" max="264" width="11.375" style="165" bestFit="1" customWidth="1"/>
    <col min="265" max="266" width="9.125" style="165"/>
    <col min="267" max="267" width="13.375" style="165" customWidth="1"/>
    <col min="268" max="500" width="9.125" style="165"/>
    <col min="501" max="501" width="69.875" style="165" customWidth="1"/>
    <col min="502" max="502" width="9.625" style="165" customWidth="1"/>
    <col min="503" max="506" width="0" style="165" hidden="1" customWidth="1"/>
    <col min="507" max="507" width="13.875" style="165" customWidth="1"/>
    <col min="508" max="513" width="0" style="165" hidden="1" customWidth="1"/>
    <col min="514" max="517" width="9.125" style="165"/>
    <col min="518" max="518" width="13.375" style="165" customWidth="1"/>
    <col min="519" max="519" width="9.125" style="165"/>
    <col min="520" max="520" width="11.375" style="165" bestFit="1" customWidth="1"/>
    <col min="521" max="522" width="9.125" style="165"/>
    <col min="523" max="523" width="13.375" style="165" customWidth="1"/>
    <col min="524" max="756" width="9.125" style="165"/>
    <col min="757" max="757" width="69.875" style="165" customWidth="1"/>
    <col min="758" max="758" width="9.625" style="165" customWidth="1"/>
    <col min="759" max="762" width="0" style="165" hidden="1" customWidth="1"/>
    <col min="763" max="763" width="13.875" style="165" customWidth="1"/>
    <col min="764" max="769" width="0" style="165" hidden="1" customWidth="1"/>
    <col min="770" max="773" width="9.125" style="165"/>
    <col min="774" max="774" width="13.375" style="165" customWidth="1"/>
    <col min="775" max="775" width="9.125" style="165"/>
    <col min="776" max="776" width="11.375" style="165" bestFit="1" customWidth="1"/>
    <col min="777" max="778" width="9.125" style="165"/>
    <col min="779" max="779" width="13.375" style="165" customWidth="1"/>
    <col min="780" max="1012" width="9.125" style="165"/>
    <col min="1013" max="1013" width="69.875" style="165" customWidth="1"/>
    <col min="1014" max="1014" width="9.625" style="165" customWidth="1"/>
    <col min="1015" max="1018" width="0" style="165" hidden="1" customWidth="1"/>
    <col min="1019" max="1019" width="13.875" style="165" customWidth="1"/>
    <col min="1020" max="1025" width="0" style="165" hidden="1" customWidth="1"/>
    <col min="1026" max="1029" width="9.125" style="165"/>
    <col min="1030" max="1030" width="13.375" style="165" customWidth="1"/>
    <col min="1031" max="1031" width="9.125" style="165"/>
    <col min="1032" max="1032" width="11.375" style="165" bestFit="1" customWidth="1"/>
    <col min="1033" max="1034" width="9.125" style="165"/>
    <col min="1035" max="1035" width="13.375" style="165" customWidth="1"/>
    <col min="1036" max="1268" width="9.125" style="165"/>
    <col min="1269" max="1269" width="69.875" style="165" customWidth="1"/>
    <col min="1270" max="1270" width="9.625" style="165" customWidth="1"/>
    <col min="1271" max="1274" width="0" style="165" hidden="1" customWidth="1"/>
    <col min="1275" max="1275" width="13.875" style="165" customWidth="1"/>
    <col min="1276" max="1281" width="0" style="165" hidden="1" customWidth="1"/>
    <col min="1282" max="1285" width="9.125" style="165"/>
    <col min="1286" max="1286" width="13.375" style="165" customWidth="1"/>
    <col min="1287" max="1287" width="9.125" style="165"/>
    <col min="1288" max="1288" width="11.375" style="165" bestFit="1" customWidth="1"/>
    <col min="1289" max="1290" width="9.125" style="165"/>
    <col min="1291" max="1291" width="13.375" style="165" customWidth="1"/>
    <col min="1292" max="1524" width="9.125" style="165"/>
    <col min="1525" max="1525" width="69.875" style="165" customWidth="1"/>
    <col min="1526" max="1526" width="9.625" style="165" customWidth="1"/>
    <col min="1527" max="1530" width="0" style="165" hidden="1" customWidth="1"/>
    <col min="1531" max="1531" width="13.875" style="165" customWidth="1"/>
    <col min="1532" max="1537" width="0" style="165" hidden="1" customWidth="1"/>
    <col min="1538" max="1541" width="9.125" style="165"/>
    <col min="1542" max="1542" width="13.375" style="165" customWidth="1"/>
    <col min="1543" max="1543" width="9.125" style="165"/>
    <col min="1544" max="1544" width="11.375" style="165" bestFit="1" customWidth="1"/>
    <col min="1545" max="1546" width="9.125" style="165"/>
    <col min="1547" max="1547" width="13.375" style="165" customWidth="1"/>
    <col min="1548" max="1780" width="9.125" style="165"/>
    <col min="1781" max="1781" width="69.875" style="165" customWidth="1"/>
    <col min="1782" max="1782" width="9.625" style="165" customWidth="1"/>
    <col min="1783" max="1786" width="0" style="165" hidden="1" customWidth="1"/>
    <col min="1787" max="1787" width="13.875" style="165" customWidth="1"/>
    <col min="1788" max="1793" width="0" style="165" hidden="1" customWidth="1"/>
    <col min="1794" max="1797" width="9.125" style="165"/>
    <col min="1798" max="1798" width="13.375" style="165" customWidth="1"/>
    <col min="1799" max="1799" width="9.125" style="165"/>
    <col min="1800" max="1800" width="11.375" style="165" bestFit="1" customWidth="1"/>
    <col min="1801" max="1802" width="9.125" style="165"/>
    <col min="1803" max="1803" width="13.375" style="165" customWidth="1"/>
    <col min="1804" max="2036" width="9.125" style="165"/>
    <col min="2037" max="2037" width="69.875" style="165" customWidth="1"/>
    <col min="2038" max="2038" width="9.625" style="165" customWidth="1"/>
    <col min="2039" max="2042" width="0" style="165" hidden="1" customWidth="1"/>
    <col min="2043" max="2043" width="13.875" style="165" customWidth="1"/>
    <col min="2044" max="2049" width="0" style="165" hidden="1" customWidth="1"/>
    <col min="2050" max="2053" width="9.125" style="165"/>
    <col min="2054" max="2054" width="13.375" style="165" customWidth="1"/>
    <col min="2055" max="2055" width="9.125" style="165"/>
    <col min="2056" max="2056" width="11.375" style="165" bestFit="1" customWidth="1"/>
    <col min="2057" max="2058" width="9.125" style="165"/>
    <col min="2059" max="2059" width="13.375" style="165" customWidth="1"/>
    <col min="2060" max="2292" width="9.125" style="165"/>
    <col min="2293" max="2293" width="69.875" style="165" customWidth="1"/>
    <col min="2294" max="2294" width="9.625" style="165" customWidth="1"/>
    <col min="2295" max="2298" width="0" style="165" hidden="1" customWidth="1"/>
    <col min="2299" max="2299" width="13.875" style="165" customWidth="1"/>
    <col min="2300" max="2305" width="0" style="165" hidden="1" customWidth="1"/>
    <col min="2306" max="2309" width="9.125" style="165"/>
    <col min="2310" max="2310" width="13.375" style="165" customWidth="1"/>
    <col min="2311" max="2311" width="9.125" style="165"/>
    <col min="2312" max="2312" width="11.375" style="165" bestFit="1" customWidth="1"/>
    <col min="2313" max="2314" width="9.125" style="165"/>
    <col min="2315" max="2315" width="13.375" style="165" customWidth="1"/>
    <col min="2316" max="2548" width="9.125" style="165"/>
    <col min="2549" max="2549" width="69.875" style="165" customWidth="1"/>
    <col min="2550" max="2550" width="9.625" style="165" customWidth="1"/>
    <col min="2551" max="2554" width="0" style="165" hidden="1" customWidth="1"/>
    <col min="2555" max="2555" width="13.875" style="165" customWidth="1"/>
    <col min="2556" max="2561" width="0" style="165" hidden="1" customWidth="1"/>
    <col min="2562" max="2565" width="9.125" style="165"/>
    <col min="2566" max="2566" width="13.375" style="165" customWidth="1"/>
    <col min="2567" max="2567" width="9.125" style="165"/>
    <col min="2568" max="2568" width="11.375" style="165" bestFit="1" customWidth="1"/>
    <col min="2569" max="2570" width="9.125" style="165"/>
    <col min="2571" max="2571" width="13.375" style="165" customWidth="1"/>
    <col min="2572" max="2804" width="9.125" style="165"/>
    <col min="2805" max="2805" width="69.875" style="165" customWidth="1"/>
    <col min="2806" max="2806" width="9.625" style="165" customWidth="1"/>
    <col min="2807" max="2810" width="0" style="165" hidden="1" customWidth="1"/>
    <col min="2811" max="2811" width="13.875" style="165" customWidth="1"/>
    <col min="2812" max="2817" width="0" style="165" hidden="1" customWidth="1"/>
    <col min="2818" max="2821" width="9.125" style="165"/>
    <col min="2822" max="2822" width="13.375" style="165" customWidth="1"/>
    <col min="2823" max="2823" width="9.125" style="165"/>
    <col min="2824" max="2824" width="11.375" style="165" bestFit="1" customWidth="1"/>
    <col min="2825" max="2826" width="9.125" style="165"/>
    <col min="2827" max="2827" width="13.375" style="165" customWidth="1"/>
    <col min="2828" max="3060" width="9.125" style="165"/>
    <col min="3061" max="3061" width="69.875" style="165" customWidth="1"/>
    <col min="3062" max="3062" width="9.625" style="165" customWidth="1"/>
    <col min="3063" max="3066" width="0" style="165" hidden="1" customWidth="1"/>
    <col min="3067" max="3067" width="13.875" style="165" customWidth="1"/>
    <col min="3068" max="3073" width="0" style="165" hidden="1" customWidth="1"/>
    <col min="3074" max="3077" width="9.125" style="165"/>
    <col min="3078" max="3078" width="13.375" style="165" customWidth="1"/>
    <col min="3079" max="3079" width="9.125" style="165"/>
    <col min="3080" max="3080" width="11.375" style="165" bestFit="1" customWidth="1"/>
    <col min="3081" max="3082" width="9.125" style="165"/>
    <col min="3083" max="3083" width="13.375" style="165" customWidth="1"/>
    <col min="3084" max="3316" width="9.125" style="165"/>
    <col min="3317" max="3317" width="69.875" style="165" customWidth="1"/>
    <col min="3318" max="3318" width="9.625" style="165" customWidth="1"/>
    <col min="3319" max="3322" width="0" style="165" hidden="1" customWidth="1"/>
    <col min="3323" max="3323" width="13.875" style="165" customWidth="1"/>
    <col min="3324" max="3329" width="0" style="165" hidden="1" customWidth="1"/>
    <col min="3330" max="3333" width="9.125" style="165"/>
    <col min="3334" max="3334" width="13.375" style="165" customWidth="1"/>
    <col min="3335" max="3335" width="9.125" style="165"/>
    <col min="3336" max="3336" width="11.375" style="165" bestFit="1" customWidth="1"/>
    <col min="3337" max="3338" width="9.125" style="165"/>
    <col min="3339" max="3339" width="13.375" style="165" customWidth="1"/>
    <col min="3340" max="3572" width="9.125" style="165"/>
    <col min="3573" max="3573" width="69.875" style="165" customWidth="1"/>
    <col min="3574" max="3574" width="9.625" style="165" customWidth="1"/>
    <col min="3575" max="3578" width="0" style="165" hidden="1" customWidth="1"/>
    <col min="3579" max="3579" width="13.875" style="165" customWidth="1"/>
    <col min="3580" max="3585" width="0" style="165" hidden="1" customWidth="1"/>
    <col min="3586" max="3589" width="9.125" style="165"/>
    <col min="3590" max="3590" width="13.375" style="165" customWidth="1"/>
    <col min="3591" max="3591" width="9.125" style="165"/>
    <col min="3592" max="3592" width="11.375" style="165" bestFit="1" customWidth="1"/>
    <col min="3593" max="3594" width="9.125" style="165"/>
    <col min="3595" max="3595" width="13.375" style="165" customWidth="1"/>
    <col min="3596" max="3828" width="9.125" style="165"/>
    <col min="3829" max="3829" width="69.875" style="165" customWidth="1"/>
    <col min="3830" max="3830" width="9.625" style="165" customWidth="1"/>
    <col min="3831" max="3834" width="0" style="165" hidden="1" customWidth="1"/>
    <col min="3835" max="3835" width="13.875" style="165" customWidth="1"/>
    <col min="3836" max="3841" width="0" style="165" hidden="1" customWidth="1"/>
    <col min="3842" max="3845" width="9.125" style="165"/>
    <col min="3846" max="3846" width="13.375" style="165" customWidth="1"/>
    <col min="3847" max="3847" width="9.125" style="165"/>
    <col min="3848" max="3848" width="11.375" style="165" bestFit="1" customWidth="1"/>
    <col min="3849" max="3850" width="9.125" style="165"/>
    <col min="3851" max="3851" width="13.375" style="165" customWidth="1"/>
    <col min="3852" max="4084" width="9.125" style="165"/>
    <col min="4085" max="4085" width="69.875" style="165" customWidth="1"/>
    <col min="4086" max="4086" width="9.625" style="165" customWidth="1"/>
    <col min="4087" max="4090" width="0" style="165" hidden="1" customWidth="1"/>
    <col min="4091" max="4091" width="13.875" style="165" customWidth="1"/>
    <col min="4092" max="4097" width="0" style="165" hidden="1" customWidth="1"/>
    <col min="4098" max="4101" width="9.125" style="165"/>
    <col min="4102" max="4102" width="13.375" style="165" customWidth="1"/>
    <col min="4103" max="4103" width="9.125" style="165"/>
    <col min="4104" max="4104" width="11.375" style="165" bestFit="1" customWidth="1"/>
    <col min="4105" max="4106" width="9.125" style="165"/>
    <col min="4107" max="4107" width="13.375" style="165" customWidth="1"/>
    <col min="4108" max="4340" width="9.125" style="165"/>
    <col min="4341" max="4341" width="69.875" style="165" customWidth="1"/>
    <col min="4342" max="4342" width="9.625" style="165" customWidth="1"/>
    <col min="4343" max="4346" width="0" style="165" hidden="1" customWidth="1"/>
    <col min="4347" max="4347" width="13.875" style="165" customWidth="1"/>
    <col min="4348" max="4353" width="0" style="165" hidden="1" customWidth="1"/>
    <col min="4354" max="4357" width="9.125" style="165"/>
    <col min="4358" max="4358" width="13.375" style="165" customWidth="1"/>
    <col min="4359" max="4359" width="9.125" style="165"/>
    <col min="4360" max="4360" width="11.375" style="165" bestFit="1" customWidth="1"/>
    <col min="4361" max="4362" width="9.125" style="165"/>
    <col min="4363" max="4363" width="13.375" style="165" customWidth="1"/>
    <col min="4364" max="4596" width="9.125" style="165"/>
    <col min="4597" max="4597" width="69.875" style="165" customWidth="1"/>
    <col min="4598" max="4598" width="9.625" style="165" customWidth="1"/>
    <col min="4599" max="4602" width="0" style="165" hidden="1" customWidth="1"/>
    <col min="4603" max="4603" width="13.875" style="165" customWidth="1"/>
    <col min="4604" max="4609" width="0" style="165" hidden="1" customWidth="1"/>
    <col min="4610" max="4613" width="9.125" style="165"/>
    <col min="4614" max="4614" width="13.375" style="165" customWidth="1"/>
    <col min="4615" max="4615" width="9.125" style="165"/>
    <col min="4616" max="4616" width="11.375" style="165" bestFit="1" customWidth="1"/>
    <col min="4617" max="4618" width="9.125" style="165"/>
    <col min="4619" max="4619" width="13.375" style="165" customWidth="1"/>
    <col min="4620" max="4852" width="9.125" style="165"/>
    <col min="4853" max="4853" width="69.875" style="165" customWidth="1"/>
    <col min="4854" max="4854" width="9.625" style="165" customWidth="1"/>
    <col min="4855" max="4858" width="0" style="165" hidden="1" customWidth="1"/>
    <col min="4859" max="4859" width="13.875" style="165" customWidth="1"/>
    <col min="4860" max="4865" width="0" style="165" hidden="1" customWidth="1"/>
    <col min="4866" max="4869" width="9.125" style="165"/>
    <col min="4870" max="4870" width="13.375" style="165" customWidth="1"/>
    <col min="4871" max="4871" width="9.125" style="165"/>
    <col min="4872" max="4872" width="11.375" style="165" bestFit="1" customWidth="1"/>
    <col min="4873" max="4874" width="9.125" style="165"/>
    <col min="4875" max="4875" width="13.375" style="165" customWidth="1"/>
    <col min="4876" max="5108" width="9.125" style="165"/>
    <col min="5109" max="5109" width="69.875" style="165" customWidth="1"/>
    <col min="5110" max="5110" width="9.625" style="165" customWidth="1"/>
    <col min="5111" max="5114" width="0" style="165" hidden="1" customWidth="1"/>
    <col min="5115" max="5115" width="13.875" style="165" customWidth="1"/>
    <col min="5116" max="5121" width="0" style="165" hidden="1" customWidth="1"/>
    <col min="5122" max="5125" width="9.125" style="165"/>
    <col min="5126" max="5126" width="13.375" style="165" customWidth="1"/>
    <col min="5127" max="5127" width="9.125" style="165"/>
    <col min="5128" max="5128" width="11.375" style="165" bestFit="1" customWidth="1"/>
    <col min="5129" max="5130" width="9.125" style="165"/>
    <col min="5131" max="5131" width="13.375" style="165" customWidth="1"/>
    <col min="5132" max="5364" width="9.125" style="165"/>
    <col min="5365" max="5365" width="69.875" style="165" customWidth="1"/>
    <col min="5366" max="5366" width="9.625" style="165" customWidth="1"/>
    <col min="5367" max="5370" width="0" style="165" hidden="1" customWidth="1"/>
    <col min="5371" max="5371" width="13.875" style="165" customWidth="1"/>
    <col min="5372" max="5377" width="0" style="165" hidden="1" customWidth="1"/>
    <col min="5378" max="5381" width="9.125" style="165"/>
    <col min="5382" max="5382" width="13.375" style="165" customWidth="1"/>
    <col min="5383" max="5383" width="9.125" style="165"/>
    <col min="5384" max="5384" width="11.375" style="165" bestFit="1" customWidth="1"/>
    <col min="5385" max="5386" width="9.125" style="165"/>
    <col min="5387" max="5387" width="13.375" style="165" customWidth="1"/>
    <col min="5388" max="5620" width="9.125" style="165"/>
    <col min="5621" max="5621" width="69.875" style="165" customWidth="1"/>
    <col min="5622" max="5622" width="9.625" style="165" customWidth="1"/>
    <col min="5623" max="5626" width="0" style="165" hidden="1" customWidth="1"/>
    <col min="5627" max="5627" width="13.875" style="165" customWidth="1"/>
    <col min="5628" max="5633" width="0" style="165" hidden="1" customWidth="1"/>
    <col min="5634" max="5637" width="9.125" style="165"/>
    <col min="5638" max="5638" width="13.375" style="165" customWidth="1"/>
    <col min="5639" max="5639" width="9.125" style="165"/>
    <col min="5640" max="5640" width="11.375" style="165" bestFit="1" customWidth="1"/>
    <col min="5641" max="5642" width="9.125" style="165"/>
    <col min="5643" max="5643" width="13.375" style="165" customWidth="1"/>
    <col min="5644" max="5876" width="9.125" style="165"/>
    <col min="5877" max="5877" width="69.875" style="165" customWidth="1"/>
    <col min="5878" max="5878" width="9.625" style="165" customWidth="1"/>
    <col min="5879" max="5882" width="0" style="165" hidden="1" customWidth="1"/>
    <col min="5883" max="5883" width="13.875" style="165" customWidth="1"/>
    <col min="5884" max="5889" width="0" style="165" hidden="1" customWidth="1"/>
    <col min="5890" max="5893" width="9.125" style="165"/>
    <col min="5894" max="5894" width="13.375" style="165" customWidth="1"/>
    <col min="5895" max="5895" width="9.125" style="165"/>
    <col min="5896" max="5896" width="11.375" style="165" bestFit="1" customWidth="1"/>
    <col min="5897" max="5898" width="9.125" style="165"/>
    <col min="5899" max="5899" width="13.375" style="165" customWidth="1"/>
    <col min="5900" max="6132" width="9.125" style="165"/>
    <col min="6133" max="6133" width="69.875" style="165" customWidth="1"/>
    <col min="6134" max="6134" width="9.625" style="165" customWidth="1"/>
    <col min="6135" max="6138" width="0" style="165" hidden="1" customWidth="1"/>
    <col min="6139" max="6139" width="13.875" style="165" customWidth="1"/>
    <col min="6140" max="6145" width="0" style="165" hidden="1" customWidth="1"/>
    <col min="6146" max="6149" width="9.125" style="165"/>
    <col min="6150" max="6150" width="13.375" style="165" customWidth="1"/>
    <col min="6151" max="6151" width="9.125" style="165"/>
    <col min="6152" max="6152" width="11.375" style="165" bestFit="1" customWidth="1"/>
    <col min="6153" max="6154" width="9.125" style="165"/>
    <col min="6155" max="6155" width="13.375" style="165" customWidth="1"/>
    <col min="6156" max="6388" width="9.125" style="165"/>
    <col min="6389" max="6389" width="69.875" style="165" customWidth="1"/>
    <col min="6390" max="6390" width="9.625" style="165" customWidth="1"/>
    <col min="6391" max="6394" width="0" style="165" hidden="1" customWidth="1"/>
    <col min="6395" max="6395" width="13.875" style="165" customWidth="1"/>
    <col min="6396" max="6401" width="0" style="165" hidden="1" customWidth="1"/>
    <col min="6402" max="6405" width="9.125" style="165"/>
    <col min="6406" max="6406" width="13.375" style="165" customWidth="1"/>
    <col min="6407" max="6407" width="9.125" style="165"/>
    <col min="6408" max="6408" width="11.375" style="165" bestFit="1" customWidth="1"/>
    <col min="6409" max="6410" width="9.125" style="165"/>
    <col min="6411" max="6411" width="13.375" style="165" customWidth="1"/>
    <col min="6412" max="6644" width="9.125" style="165"/>
    <col min="6645" max="6645" width="69.875" style="165" customWidth="1"/>
    <col min="6646" max="6646" width="9.625" style="165" customWidth="1"/>
    <col min="6647" max="6650" width="0" style="165" hidden="1" customWidth="1"/>
    <col min="6651" max="6651" width="13.875" style="165" customWidth="1"/>
    <col min="6652" max="6657" width="0" style="165" hidden="1" customWidth="1"/>
    <col min="6658" max="6661" width="9.125" style="165"/>
    <col min="6662" max="6662" width="13.375" style="165" customWidth="1"/>
    <col min="6663" max="6663" width="9.125" style="165"/>
    <col min="6664" max="6664" width="11.375" style="165" bestFit="1" customWidth="1"/>
    <col min="6665" max="6666" width="9.125" style="165"/>
    <col min="6667" max="6667" width="13.375" style="165" customWidth="1"/>
    <col min="6668" max="6900" width="9.125" style="165"/>
    <col min="6901" max="6901" width="69.875" style="165" customWidth="1"/>
    <col min="6902" max="6902" width="9.625" style="165" customWidth="1"/>
    <col min="6903" max="6906" width="0" style="165" hidden="1" customWidth="1"/>
    <col min="6907" max="6907" width="13.875" style="165" customWidth="1"/>
    <col min="6908" max="6913" width="0" style="165" hidden="1" customWidth="1"/>
    <col min="6914" max="6917" width="9.125" style="165"/>
    <col min="6918" max="6918" width="13.375" style="165" customWidth="1"/>
    <col min="6919" max="6919" width="9.125" style="165"/>
    <col min="6920" max="6920" width="11.375" style="165" bestFit="1" customWidth="1"/>
    <col min="6921" max="6922" width="9.125" style="165"/>
    <col min="6923" max="6923" width="13.375" style="165" customWidth="1"/>
    <col min="6924" max="7156" width="9.125" style="165"/>
    <col min="7157" max="7157" width="69.875" style="165" customWidth="1"/>
    <col min="7158" max="7158" width="9.625" style="165" customWidth="1"/>
    <col min="7159" max="7162" width="0" style="165" hidden="1" customWidth="1"/>
    <col min="7163" max="7163" width="13.875" style="165" customWidth="1"/>
    <col min="7164" max="7169" width="0" style="165" hidden="1" customWidth="1"/>
    <col min="7170" max="7173" width="9.125" style="165"/>
    <col min="7174" max="7174" width="13.375" style="165" customWidth="1"/>
    <col min="7175" max="7175" width="9.125" style="165"/>
    <col min="7176" max="7176" width="11.375" style="165" bestFit="1" customWidth="1"/>
    <col min="7177" max="7178" width="9.125" style="165"/>
    <col min="7179" max="7179" width="13.375" style="165" customWidth="1"/>
    <col min="7180" max="7412" width="9.125" style="165"/>
    <col min="7413" max="7413" width="69.875" style="165" customWidth="1"/>
    <col min="7414" max="7414" width="9.625" style="165" customWidth="1"/>
    <col min="7415" max="7418" width="0" style="165" hidden="1" customWidth="1"/>
    <col min="7419" max="7419" width="13.875" style="165" customWidth="1"/>
    <col min="7420" max="7425" width="0" style="165" hidden="1" customWidth="1"/>
    <col min="7426" max="7429" width="9.125" style="165"/>
    <col min="7430" max="7430" width="13.375" style="165" customWidth="1"/>
    <col min="7431" max="7431" width="9.125" style="165"/>
    <col min="7432" max="7432" width="11.375" style="165" bestFit="1" customWidth="1"/>
    <col min="7433" max="7434" width="9.125" style="165"/>
    <col min="7435" max="7435" width="13.375" style="165" customWidth="1"/>
    <col min="7436" max="7668" width="9.125" style="165"/>
    <col min="7669" max="7669" width="69.875" style="165" customWidth="1"/>
    <col min="7670" max="7670" width="9.625" style="165" customWidth="1"/>
    <col min="7671" max="7674" width="0" style="165" hidden="1" customWidth="1"/>
    <col min="7675" max="7675" width="13.875" style="165" customWidth="1"/>
    <col min="7676" max="7681" width="0" style="165" hidden="1" customWidth="1"/>
    <col min="7682" max="7685" width="9.125" style="165"/>
    <col min="7686" max="7686" width="13.375" style="165" customWidth="1"/>
    <col min="7687" max="7687" width="9.125" style="165"/>
    <col min="7688" max="7688" width="11.375" style="165" bestFit="1" customWidth="1"/>
    <col min="7689" max="7690" width="9.125" style="165"/>
    <col min="7691" max="7691" width="13.375" style="165" customWidth="1"/>
    <col min="7692" max="7924" width="9.125" style="165"/>
    <col min="7925" max="7925" width="69.875" style="165" customWidth="1"/>
    <col min="7926" max="7926" width="9.625" style="165" customWidth="1"/>
    <col min="7927" max="7930" width="0" style="165" hidden="1" customWidth="1"/>
    <col min="7931" max="7931" width="13.875" style="165" customWidth="1"/>
    <col min="7932" max="7937" width="0" style="165" hidden="1" customWidth="1"/>
    <col min="7938" max="7941" width="9.125" style="165"/>
    <col min="7942" max="7942" width="13.375" style="165" customWidth="1"/>
    <col min="7943" max="7943" width="9.125" style="165"/>
    <col min="7944" max="7944" width="11.375" style="165" bestFit="1" customWidth="1"/>
    <col min="7945" max="7946" width="9.125" style="165"/>
    <col min="7947" max="7947" width="13.375" style="165" customWidth="1"/>
    <col min="7948" max="8180" width="9.125" style="165"/>
    <col min="8181" max="8181" width="69.875" style="165" customWidth="1"/>
    <col min="8182" max="8182" width="9.625" style="165" customWidth="1"/>
    <col min="8183" max="8186" width="0" style="165" hidden="1" customWidth="1"/>
    <col min="8187" max="8187" width="13.875" style="165" customWidth="1"/>
    <col min="8188" max="8193" width="0" style="165" hidden="1" customWidth="1"/>
    <col min="8194" max="8197" width="9.125" style="165"/>
    <col min="8198" max="8198" width="13.375" style="165" customWidth="1"/>
    <col min="8199" max="8199" width="9.125" style="165"/>
    <col min="8200" max="8200" width="11.375" style="165" bestFit="1" customWidth="1"/>
    <col min="8201" max="8202" width="9.125" style="165"/>
    <col min="8203" max="8203" width="13.375" style="165" customWidth="1"/>
    <col min="8204" max="8436" width="9.125" style="165"/>
    <col min="8437" max="8437" width="69.875" style="165" customWidth="1"/>
    <col min="8438" max="8438" width="9.625" style="165" customWidth="1"/>
    <col min="8439" max="8442" width="0" style="165" hidden="1" customWidth="1"/>
    <col min="8443" max="8443" width="13.875" style="165" customWidth="1"/>
    <col min="8444" max="8449" width="0" style="165" hidden="1" customWidth="1"/>
    <col min="8450" max="8453" width="9.125" style="165"/>
    <col min="8454" max="8454" width="13.375" style="165" customWidth="1"/>
    <col min="8455" max="8455" width="9.125" style="165"/>
    <col min="8456" max="8456" width="11.375" style="165" bestFit="1" customWidth="1"/>
    <col min="8457" max="8458" width="9.125" style="165"/>
    <col min="8459" max="8459" width="13.375" style="165" customWidth="1"/>
    <col min="8460" max="8692" width="9.125" style="165"/>
    <col min="8693" max="8693" width="69.875" style="165" customWidth="1"/>
    <col min="8694" max="8694" width="9.625" style="165" customWidth="1"/>
    <col min="8695" max="8698" width="0" style="165" hidden="1" customWidth="1"/>
    <col min="8699" max="8699" width="13.875" style="165" customWidth="1"/>
    <col min="8700" max="8705" width="0" style="165" hidden="1" customWidth="1"/>
    <col min="8706" max="8709" width="9.125" style="165"/>
    <col min="8710" max="8710" width="13.375" style="165" customWidth="1"/>
    <col min="8711" max="8711" width="9.125" style="165"/>
    <col min="8712" max="8712" width="11.375" style="165" bestFit="1" customWidth="1"/>
    <col min="8713" max="8714" width="9.125" style="165"/>
    <col min="8715" max="8715" width="13.375" style="165" customWidth="1"/>
    <col min="8716" max="8948" width="9.125" style="165"/>
    <col min="8949" max="8949" width="69.875" style="165" customWidth="1"/>
    <col min="8950" max="8950" width="9.625" style="165" customWidth="1"/>
    <col min="8951" max="8954" width="0" style="165" hidden="1" customWidth="1"/>
    <col min="8955" max="8955" width="13.875" style="165" customWidth="1"/>
    <col min="8956" max="8961" width="0" style="165" hidden="1" customWidth="1"/>
    <col min="8962" max="8965" width="9.125" style="165"/>
    <col min="8966" max="8966" width="13.375" style="165" customWidth="1"/>
    <col min="8967" max="8967" width="9.125" style="165"/>
    <col min="8968" max="8968" width="11.375" style="165" bestFit="1" customWidth="1"/>
    <col min="8969" max="8970" width="9.125" style="165"/>
    <col min="8971" max="8971" width="13.375" style="165" customWidth="1"/>
    <col min="8972" max="9204" width="9.125" style="165"/>
    <col min="9205" max="9205" width="69.875" style="165" customWidth="1"/>
    <col min="9206" max="9206" width="9.625" style="165" customWidth="1"/>
    <col min="9207" max="9210" width="0" style="165" hidden="1" customWidth="1"/>
    <col min="9211" max="9211" width="13.875" style="165" customWidth="1"/>
    <col min="9212" max="9217" width="0" style="165" hidden="1" customWidth="1"/>
    <col min="9218" max="9221" width="9.125" style="165"/>
    <col min="9222" max="9222" width="13.375" style="165" customWidth="1"/>
    <col min="9223" max="9223" width="9.125" style="165"/>
    <col min="9224" max="9224" width="11.375" style="165" bestFit="1" customWidth="1"/>
    <col min="9225" max="9226" width="9.125" style="165"/>
    <col min="9227" max="9227" width="13.375" style="165" customWidth="1"/>
    <col min="9228" max="9460" width="9.125" style="165"/>
    <col min="9461" max="9461" width="69.875" style="165" customWidth="1"/>
    <col min="9462" max="9462" width="9.625" style="165" customWidth="1"/>
    <col min="9463" max="9466" width="0" style="165" hidden="1" customWidth="1"/>
    <col min="9467" max="9467" width="13.875" style="165" customWidth="1"/>
    <col min="9468" max="9473" width="0" style="165" hidden="1" customWidth="1"/>
    <col min="9474" max="9477" width="9.125" style="165"/>
    <col min="9478" max="9478" width="13.375" style="165" customWidth="1"/>
    <col min="9479" max="9479" width="9.125" style="165"/>
    <col min="9480" max="9480" width="11.375" style="165" bestFit="1" customWidth="1"/>
    <col min="9481" max="9482" width="9.125" style="165"/>
    <col min="9483" max="9483" width="13.375" style="165" customWidth="1"/>
    <col min="9484" max="9716" width="9.125" style="165"/>
    <col min="9717" max="9717" width="69.875" style="165" customWidth="1"/>
    <col min="9718" max="9718" width="9.625" style="165" customWidth="1"/>
    <col min="9719" max="9722" width="0" style="165" hidden="1" customWidth="1"/>
    <col min="9723" max="9723" width="13.875" style="165" customWidth="1"/>
    <col min="9724" max="9729" width="0" style="165" hidden="1" customWidth="1"/>
    <col min="9730" max="9733" width="9.125" style="165"/>
    <col min="9734" max="9734" width="13.375" style="165" customWidth="1"/>
    <col min="9735" max="9735" width="9.125" style="165"/>
    <col min="9736" max="9736" width="11.375" style="165" bestFit="1" customWidth="1"/>
    <col min="9737" max="9738" width="9.125" style="165"/>
    <col min="9739" max="9739" width="13.375" style="165" customWidth="1"/>
    <col min="9740" max="9972" width="9.125" style="165"/>
    <col min="9973" max="9973" width="69.875" style="165" customWidth="1"/>
    <col min="9974" max="9974" width="9.625" style="165" customWidth="1"/>
    <col min="9975" max="9978" width="0" style="165" hidden="1" customWidth="1"/>
    <col min="9979" max="9979" width="13.875" style="165" customWidth="1"/>
    <col min="9980" max="9985" width="0" style="165" hidden="1" customWidth="1"/>
    <col min="9986" max="9989" width="9.125" style="165"/>
    <col min="9990" max="9990" width="13.375" style="165" customWidth="1"/>
    <col min="9991" max="9991" width="9.125" style="165"/>
    <col min="9992" max="9992" width="11.375" style="165" bestFit="1" customWidth="1"/>
    <col min="9993" max="9994" width="9.125" style="165"/>
    <col min="9995" max="9995" width="13.375" style="165" customWidth="1"/>
    <col min="9996" max="10228" width="9.125" style="165"/>
    <col min="10229" max="10229" width="69.875" style="165" customWidth="1"/>
    <col min="10230" max="10230" width="9.625" style="165" customWidth="1"/>
    <col min="10231" max="10234" width="0" style="165" hidden="1" customWidth="1"/>
    <col min="10235" max="10235" width="13.875" style="165" customWidth="1"/>
    <col min="10236" max="10241" width="0" style="165" hidden="1" customWidth="1"/>
    <col min="10242" max="10245" width="9.125" style="165"/>
    <col min="10246" max="10246" width="13.375" style="165" customWidth="1"/>
    <col min="10247" max="10247" width="9.125" style="165"/>
    <col min="10248" max="10248" width="11.375" style="165" bestFit="1" customWidth="1"/>
    <col min="10249" max="10250" width="9.125" style="165"/>
    <col min="10251" max="10251" width="13.375" style="165" customWidth="1"/>
    <col min="10252" max="10484" width="9.125" style="165"/>
    <col min="10485" max="10485" width="69.875" style="165" customWidth="1"/>
    <col min="10486" max="10486" width="9.625" style="165" customWidth="1"/>
    <col min="10487" max="10490" width="0" style="165" hidden="1" customWidth="1"/>
    <col min="10491" max="10491" width="13.875" style="165" customWidth="1"/>
    <col min="10492" max="10497" width="0" style="165" hidden="1" customWidth="1"/>
    <col min="10498" max="10501" width="9.125" style="165"/>
    <col min="10502" max="10502" width="13.375" style="165" customWidth="1"/>
    <col min="10503" max="10503" width="9.125" style="165"/>
    <col min="10504" max="10504" width="11.375" style="165" bestFit="1" customWidth="1"/>
    <col min="10505" max="10506" width="9.125" style="165"/>
    <col min="10507" max="10507" width="13.375" style="165" customWidth="1"/>
    <col min="10508" max="10740" width="9.125" style="165"/>
    <col min="10741" max="10741" width="69.875" style="165" customWidth="1"/>
    <col min="10742" max="10742" width="9.625" style="165" customWidth="1"/>
    <col min="10743" max="10746" width="0" style="165" hidden="1" customWidth="1"/>
    <col min="10747" max="10747" width="13.875" style="165" customWidth="1"/>
    <col min="10748" max="10753" width="0" style="165" hidden="1" customWidth="1"/>
    <col min="10754" max="10757" width="9.125" style="165"/>
    <col min="10758" max="10758" width="13.375" style="165" customWidth="1"/>
    <col min="10759" max="10759" width="9.125" style="165"/>
    <col min="10760" max="10760" width="11.375" style="165" bestFit="1" customWidth="1"/>
    <col min="10761" max="10762" width="9.125" style="165"/>
    <col min="10763" max="10763" width="13.375" style="165" customWidth="1"/>
    <col min="10764" max="10996" width="9.125" style="165"/>
    <col min="10997" max="10997" width="69.875" style="165" customWidth="1"/>
    <col min="10998" max="10998" width="9.625" style="165" customWidth="1"/>
    <col min="10999" max="11002" width="0" style="165" hidden="1" customWidth="1"/>
    <col min="11003" max="11003" width="13.875" style="165" customWidth="1"/>
    <col min="11004" max="11009" width="0" style="165" hidden="1" customWidth="1"/>
    <col min="11010" max="11013" width="9.125" style="165"/>
    <col min="11014" max="11014" width="13.375" style="165" customWidth="1"/>
    <col min="11015" max="11015" width="9.125" style="165"/>
    <col min="11016" max="11016" width="11.375" style="165" bestFit="1" customWidth="1"/>
    <col min="11017" max="11018" width="9.125" style="165"/>
    <col min="11019" max="11019" width="13.375" style="165" customWidth="1"/>
    <col min="11020" max="11252" width="9.125" style="165"/>
    <col min="11253" max="11253" width="69.875" style="165" customWidth="1"/>
    <col min="11254" max="11254" width="9.625" style="165" customWidth="1"/>
    <col min="11255" max="11258" width="0" style="165" hidden="1" customWidth="1"/>
    <col min="11259" max="11259" width="13.875" style="165" customWidth="1"/>
    <col min="11260" max="11265" width="0" style="165" hidden="1" customWidth="1"/>
    <col min="11266" max="11269" width="9.125" style="165"/>
    <col min="11270" max="11270" width="13.375" style="165" customWidth="1"/>
    <col min="11271" max="11271" width="9.125" style="165"/>
    <col min="11272" max="11272" width="11.375" style="165" bestFit="1" customWidth="1"/>
    <col min="11273" max="11274" width="9.125" style="165"/>
    <col min="11275" max="11275" width="13.375" style="165" customWidth="1"/>
    <col min="11276" max="11508" width="9.125" style="165"/>
    <col min="11509" max="11509" width="69.875" style="165" customWidth="1"/>
    <col min="11510" max="11510" width="9.625" style="165" customWidth="1"/>
    <col min="11511" max="11514" width="0" style="165" hidden="1" customWidth="1"/>
    <col min="11515" max="11515" width="13.875" style="165" customWidth="1"/>
    <col min="11516" max="11521" width="0" style="165" hidden="1" customWidth="1"/>
    <col min="11522" max="11525" width="9.125" style="165"/>
    <col min="11526" max="11526" width="13.375" style="165" customWidth="1"/>
    <col min="11527" max="11527" width="9.125" style="165"/>
    <col min="11528" max="11528" width="11.375" style="165" bestFit="1" customWidth="1"/>
    <col min="11529" max="11530" width="9.125" style="165"/>
    <col min="11531" max="11531" width="13.375" style="165" customWidth="1"/>
    <col min="11532" max="11764" width="9.125" style="165"/>
    <col min="11765" max="11765" width="69.875" style="165" customWidth="1"/>
    <col min="11766" max="11766" width="9.625" style="165" customWidth="1"/>
    <col min="11767" max="11770" width="0" style="165" hidden="1" customWidth="1"/>
    <col min="11771" max="11771" width="13.875" style="165" customWidth="1"/>
    <col min="11772" max="11777" width="0" style="165" hidden="1" customWidth="1"/>
    <col min="11778" max="11781" width="9.125" style="165"/>
    <col min="11782" max="11782" width="13.375" style="165" customWidth="1"/>
    <col min="11783" max="11783" width="9.125" style="165"/>
    <col min="11784" max="11784" width="11.375" style="165" bestFit="1" customWidth="1"/>
    <col min="11785" max="11786" width="9.125" style="165"/>
    <col min="11787" max="11787" width="13.375" style="165" customWidth="1"/>
    <col min="11788" max="12020" width="9.125" style="165"/>
    <col min="12021" max="12021" width="69.875" style="165" customWidth="1"/>
    <col min="12022" max="12022" width="9.625" style="165" customWidth="1"/>
    <col min="12023" max="12026" width="0" style="165" hidden="1" customWidth="1"/>
    <col min="12027" max="12027" width="13.875" style="165" customWidth="1"/>
    <col min="12028" max="12033" width="0" style="165" hidden="1" customWidth="1"/>
    <col min="12034" max="12037" width="9.125" style="165"/>
    <col min="12038" max="12038" width="13.375" style="165" customWidth="1"/>
    <col min="12039" max="12039" width="9.125" style="165"/>
    <col min="12040" max="12040" width="11.375" style="165" bestFit="1" customWidth="1"/>
    <col min="12041" max="12042" width="9.125" style="165"/>
    <col min="12043" max="12043" width="13.375" style="165" customWidth="1"/>
    <col min="12044" max="12276" width="9.125" style="165"/>
    <col min="12277" max="12277" width="69.875" style="165" customWidth="1"/>
    <col min="12278" max="12278" width="9.625" style="165" customWidth="1"/>
    <col min="12279" max="12282" width="0" style="165" hidden="1" customWidth="1"/>
    <col min="12283" max="12283" width="13.875" style="165" customWidth="1"/>
    <col min="12284" max="12289" width="0" style="165" hidden="1" customWidth="1"/>
    <col min="12290" max="12293" width="9.125" style="165"/>
    <col min="12294" max="12294" width="13.375" style="165" customWidth="1"/>
    <col min="12295" max="12295" width="9.125" style="165"/>
    <col min="12296" max="12296" width="11.375" style="165" bestFit="1" customWidth="1"/>
    <col min="12297" max="12298" width="9.125" style="165"/>
    <col min="12299" max="12299" width="13.375" style="165" customWidth="1"/>
    <col min="12300" max="12532" width="9.125" style="165"/>
    <col min="12533" max="12533" width="69.875" style="165" customWidth="1"/>
    <col min="12534" max="12534" width="9.625" style="165" customWidth="1"/>
    <col min="12535" max="12538" width="0" style="165" hidden="1" customWidth="1"/>
    <col min="12539" max="12539" width="13.875" style="165" customWidth="1"/>
    <col min="12540" max="12545" width="0" style="165" hidden="1" customWidth="1"/>
    <col min="12546" max="12549" width="9.125" style="165"/>
    <col min="12550" max="12550" width="13.375" style="165" customWidth="1"/>
    <col min="12551" max="12551" width="9.125" style="165"/>
    <col min="12552" max="12552" width="11.375" style="165" bestFit="1" customWidth="1"/>
    <col min="12553" max="12554" width="9.125" style="165"/>
    <col min="12555" max="12555" width="13.375" style="165" customWidth="1"/>
    <col min="12556" max="12788" width="9.125" style="165"/>
    <col min="12789" max="12789" width="69.875" style="165" customWidth="1"/>
    <col min="12790" max="12790" width="9.625" style="165" customWidth="1"/>
    <col min="12791" max="12794" width="0" style="165" hidden="1" customWidth="1"/>
    <col min="12795" max="12795" width="13.875" style="165" customWidth="1"/>
    <col min="12796" max="12801" width="0" style="165" hidden="1" customWidth="1"/>
    <col min="12802" max="12805" width="9.125" style="165"/>
    <col min="12806" max="12806" width="13.375" style="165" customWidth="1"/>
    <col min="12807" max="12807" width="9.125" style="165"/>
    <col min="12808" max="12808" width="11.375" style="165" bestFit="1" customWidth="1"/>
    <col min="12809" max="12810" width="9.125" style="165"/>
    <col min="12811" max="12811" width="13.375" style="165" customWidth="1"/>
    <col min="12812" max="13044" width="9.125" style="165"/>
    <col min="13045" max="13045" width="69.875" style="165" customWidth="1"/>
    <col min="13046" max="13046" width="9.625" style="165" customWidth="1"/>
    <col min="13047" max="13050" width="0" style="165" hidden="1" customWidth="1"/>
    <col min="13051" max="13051" width="13.875" style="165" customWidth="1"/>
    <col min="13052" max="13057" width="0" style="165" hidden="1" customWidth="1"/>
    <col min="13058" max="13061" width="9.125" style="165"/>
    <col min="13062" max="13062" width="13.375" style="165" customWidth="1"/>
    <col min="13063" max="13063" width="9.125" style="165"/>
    <col min="13064" max="13064" width="11.375" style="165" bestFit="1" customWidth="1"/>
    <col min="13065" max="13066" width="9.125" style="165"/>
    <col min="13067" max="13067" width="13.375" style="165" customWidth="1"/>
    <col min="13068" max="13300" width="9.125" style="165"/>
    <col min="13301" max="13301" width="69.875" style="165" customWidth="1"/>
    <col min="13302" max="13302" width="9.625" style="165" customWidth="1"/>
    <col min="13303" max="13306" width="0" style="165" hidden="1" customWidth="1"/>
    <col min="13307" max="13307" width="13.875" style="165" customWidth="1"/>
    <col min="13308" max="13313" width="0" style="165" hidden="1" customWidth="1"/>
    <col min="13314" max="13317" width="9.125" style="165"/>
    <col min="13318" max="13318" width="13.375" style="165" customWidth="1"/>
    <col min="13319" max="13319" width="9.125" style="165"/>
    <col min="13320" max="13320" width="11.375" style="165" bestFit="1" customWidth="1"/>
    <col min="13321" max="13322" width="9.125" style="165"/>
    <col min="13323" max="13323" width="13.375" style="165" customWidth="1"/>
    <col min="13324" max="13556" width="9.125" style="165"/>
    <col min="13557" max="13557" width="69.875" style="165" customWidth="1"/>
    <col min="13558" max="13558" width="9.625" style="165" customWidth="1"/>
    <col min="13559" max="13562" width="0" style="165" hidden="1" customWidth="1"/>
    <col min="13563" max="13563" width="13.875" style="165" customWidth="1"/>
    <col min="13564" max="13569" width="0" style="165" hidden="1" customWidth="1"/>
    <col min="13570" max="13573" width="9.125" style="165"/>
    <col min="13574" max="13574" width="13.375" style="165" customWidth="1"/>
    <col min="13575" max="13575" width="9.125" style="165"/>
    <col min="13576" max="13576" width="11.375" style="165" bestFit="1" customWidth="1"/>
    <col min="13577" max="13578" width="9.125" style="165"/>
    <col min="13579" max="13579" width="13.375" style="165" customWidth="1"/>
    <col min="13580" max="13812" width="9.125" style="165"/>
    <col min="13813" max="13813" width="69.875" style="165" customWidth="1"/>
    <col min="13814" max="13814" width="9.625" style="165" customWidth="1"/>
    <col min="13815" max="13818" width="0" style="165" hidden="1" customWidth="1"/>
    <col min="13819" max="13819" width="13.875" style="165" customWidth="1"/>
    <col min="13820" max="13825" width="0" style="165" hidden="1" customWidth="1"/>
    <col min="13826" max="13829" width="9.125" style="165"/>
    <col min="13830" max="13830" width="13.375" style="165" customWidth="1"/>
    <col min="13831" max="13831" width="9.125" style="165"/>
    <col min="13832" max="13832" width="11.375" style="165" bestFit="1" customWidth="1"/>
    <col min="13833" max="13834" width="9.125" style="165"/>
    <col min="13835" max="13835" width="13.375" style="165" customWidth="1"/>
    <col min="13836" max="14068" width="9.125" style="165"/>
    <col min="14069" max="14069" width="69.875" style="165" customWidth="1"/>
    <col min="14070" max="14070" width="9.625" style="165" customWidth="1"/>
    <col min="14071" max="14074" width="0" style="165" hidden="1" customWidth="1"/>
    <col min="14075" max="14075" width="13.875" style="165" customWidth="1"/>
    <col min="14076" max="14081" width="0" style="165" hidden="1" customWidth="1"/>
    <col min="14082" max="14085" width="9.125" style="165"/>
    <col min="14086" max="14086" width="13.375" style="165" customWidth="1"/>
    <col min="14087" max="14087" width="9.125" style="165"/>
    <col min="14088" max="14088" width="11.375" style="165" bestFit="1" customWidth="1"/>
    <col min="14089" max="14090" width="9.125" style="165"/>
    <col min="14091" max="14091" width="13.375" style="165" customWidth="1"/>
    <col min="14092" max="14324" width="9.125" style="165"/>
    <col min="14325" max="14325" width="69.875" style="165" customWidth="1"/>
    <col min="14326" max="14326" width="9.625" style="165" customWidth="1"/>
    <col min="14327" max="14330" width="0" style="165" hidden="1" customWidth="1"/>
    <col min="14331" max="14331" width="13.875" style="165" customWidth="1"/>
    <col min="14332" max="14337" width="0" style="165" hidden="1" customWidth="1"/>
    <col min="14338" max="14341" width="9.125" style="165"/>
    <col min="14342" max="14342" width="13.375" style="165" customWidth="1"/>
    <col min="14343" max="14343" width="9.125" style="165"/>
    <col min="14344" max="14344" width="11.375" style="165" bestFit="1" customWidth="1"/>
    <col min="14345" max="14346" width="9.125" style="165"/>
    <col min="14347" max="14347" width="13.375" style="165" customWidth="1"/>
    <col min="14348" max="14580" width="9.125" style="165"/>
    <col min="14581" max="14581" width="69.875" style="165" customWidth="1"/>
    <col min="14582" max="14582" width="9.625" style="165" customWidth="1"/>
    <col min="14583" max="14586" width="0" style="165" hidden="1" customWidth="1"/>
    <col min="14587" max="14587" width="13.875" style="165" customWidth="1"/>
    <col min="14588" max="14593" width="0" style="165" hidden="1" customWidth="1"/>
    <col min="14594" max="14597" width="9.125" style="165"/>
    <col min="14598" max="14598" width="13.375" style="165" customWidth="1"/>
    <col min="14599" max="14599" width="9.125" style="165"/>
    <col min="14600" max="14600" width="11.375" style="165" bestFit="1" customWidth="1"/>
    <col min="14601" max="14602" width="9.125" style="165"/>
    <col min="14603" max="14603" width="13.375" style="165" customWidth="1"/>
    <col min="14604" max="14836" width="9.125" style="165"/>
    <col min="14837" max="14837" width="69.875" style="165" customWidth="1"/>
    <col min="14838" max="14838" width="9.625" style="165" customWidth="1"/>
    <col min="14839" max="14842" width="0" style="165" hidden="1" customWidth="1"/>
    <col min="14843" max="14843" width="13.875" style="165" customWidth="1"/>
    <col min="14844" max="14849" width="0" style="165" hidden="1" customWidth="1"/>
    <col min="14850" max="14853" width="9.125" style="165"/>
    <col min="14854" max="14854" width="13.375" style="165" customWidth="1"/>
    <col min="14855" max="14855" width="9.125" style="165"/>
    <col min="14856" max="14856" width="11.375" style="165" bestFit="1" customWidth="1"/>
    <col min="14857" max="14858" width="9.125" style="165"/>
    <col min="14859" max="14859" width="13.375" style="165" customWidth="1"/>
    <col min="14860" max="15092" width="9.125" style="165"/>
    <col min="15093" max="15093" width="69.875" style="165" customWidth="1"/>
    <col min="15094" max="15094" width="9.625" style="165" customWidth="1"/>
    <col min="15095" max="15098" width="0" style="165" hidden="1" customWidth="1"/>
    <col min="15099" max="15099" width="13.875" style="165" customWidth="1"/>
    <col min="15100" max="15105" width="0" style="165" hidden="1" customWidth="1"/>
    <col min="15106" max="15109" width="9.125" style="165"/>
    <col min="15110" max="15110" width="13.375" style="165" customWidth="1"/>
    <col min="15111" max="15111" width="9.125" style="165"/>
    <col min="15112" max="15112" width="11.375" style="165" bestFit="1" customWidth="1"/>
    <col min="15113" max="15114" width="9.125" style="165"/>
    <col min="15115" max="15115" width="13.375" style="165" customWidth="1"/>
    <col min="15116" max="15348" width="9.125" style="165"/>
    <col min="15349" max="15349" width="69.875" style="165" customWidth="1"/>
    <col min="15350" max="15350" width="9.625" style="165" customWidth="1"/>
    <col min="15351" max="15354" width="0" style="165" hidden="1" customWidth="1"/>
    <col min="15355" max="15355" width="13.875" style="165" customWidth="1"/>
    <col min="15356" max="15361" width="0" style="165" hidden="1" customWidth="1"/>
    <col min="15362" max="15365" width="9.125" style="165"/>
    <col min="15366" max="15366" width="13.375" style="165" customWidth="1"/>
    <col min="15367" max="15367" width="9.125" style="165"/>
    <col min="15368" max="15368" width="11.375" style="165" bestFit="1" customWidth="1"/>
    <col min="15369" max="15370" width="9.125" style="165"/>
    <col min="15371" max="15371" width="13.375" style="165" customWidth="1"/>
    <col min="15372" max="15604" width="9.125" style="165"/>
    <col min="15605" max="15605" width="69.875" style="165" customWidth="1"/>
    <col min="15606" max="15606" width="9.625" style="165" customWidth="1"/>
    <col min="15607" max="15610" width="0" style="165" hidden="1" customWidth="1"/>
    <col min="15611" max="15611" width="13.875" style="165" customWidth="1"/>
    <col min="15612" max="15617" width="0" style="165" hidden="1" customWidth="1"/>
    <col min="15618" max="15621" width="9.125" style="165"/>
    <col min="15622" max="15622" width="13.375" style="165" customWidth="1"/>
    <col min="15623" max="15623" width="9.125" style="165"/>
    <col min="15624" max="15624" width="11.375" style="165" bestFit="1" customWidth="1"/>
    <col min="15625" max="15626" width="9.125" style="165"/>
    <col min="15627" max="15627" width="13.375" style="165" customWidth="1"/>
    <col min="15628" max="15860" width="9.125" style="165"/>
    <col min="15861" max="15861" width="69.875" style="165" customWidth="1"/>
    <col min="15862" max="15862" width="9.625" style="165" customWidth="1"/>
    <col min="15863" max="15866" width="0" style="165" hidden="1" customWidth="1"/>
    <col min="15867" max="15867" width="13.875" style="165" customWidth="1"/>
    <col min="15868" max="15873" width="0" style="165" hidden="1" customWidth="1"/>
    <col min="15874" max="15877" width="9.125" style="165"/>
    <col min="15878" max="15878" width="13.375" style="165" customWidth="1"/>
    <col min="15879" max="15879" width="9.125" style="165"/>
    <col min="15880" max="15880" width="11.375" style="165" bestFit="1" customWidth="1"/>
    <col min="15881" max="15882" width="9.125" style="165"/>
    <col min="15883" max="15883" width="13.375" style="165" customWidth="1"/>
    <col min="15884" max="16116" width="9.125" style="165"/>
    <col min="16117" max="16117" width="69.875" style="165" customWidth="1"/>
    <col min="16118" max="16118" width="9.625" style="165" customWidth="1"/>
    <col min="16119" max="16122" width="0" style="165" hidden="1" customWidth="1"/>
    <col min="16123" max="16123" width="13.875" style="165" customWidth="1"/>
    <col min="16124" max="16129" width="0" style="165" hidden="1" customWidth="1"/>
    <col min="16130" max="16133" width="9.125" style="165"/>
    <col min="16134" max="16134" width="13.375" style="165" customWidth="1"/>
    <col min="16135" max="16135" width="9.125" style="165"/>
    <col min="16136" max="16136" width="11.375" style="165" bestFit="1" customWidth="1"/>
    <col min="16137" max="16138" width="9.125" style="165"/>
    <col min="16139" max="16139" width="13.375" style="165" customWidth="1"/>
    <col min="16140" max="16384" width="9.125" style="165"/>
  </cols>
  <sheetData>
    <row r="1" spans="1:11" x14ac:dyDescent="0.3">
      <c r="D1" s="188" t="s">
        <v>453</v>
      </c>
    </row>
    <row r="2" spans="1:11" x14ac:dyDescent="0.3">
      <c r="D2" s="188" t="s">
        <v>929</v>
      </c>
    </row>
    <row r="3" spans="1:11" x14ac:dyDescent="0.3">
      <c r="D3" s="188" t="s">
        <v>653</v>
      </c>
    </row>
    <row r="4" spans="1:11" x14ac:dyDescent="0.3">
      <c r="D4" s="188" t="s">
        <v>1076</v>
      </c>
    </row>
    <row r="5" spans="1:11" x14ac:dyDescent="0.3">
      <c r="A5" s="678" t="s">
        <v>196</v>
      </c>
      <c r="B5" s="678"/>
      <c r="C5" s="678"/>
      <c r="D5" s="678"/>
    </row>
    <row r="6" spans="1:11" x14ac:dyDescent="0.3">
      <c r="A6" s="675" t="s">
        <v>454</v>
      </c>
      <c r="B6" s="675"/>
      <c r="C6" s="675"/>
      <c r="D6" s="675"/>
    </row>
    <row r="7" spans="1:11" x14ac:dyDescent="0.3">
      <c r="A7" s="675" t="s">
        <v>1080</v>
      </c>
      <c r="B7" s="675"/>
      <c r="C7" s="675"/>
      <c r="D7" s="675"/>
    </row>
    <row r="8" spans="1:11" s="208" customFormat="1" x14ac:dyDescent="0.3">
      <c r="A8" s="203"/>
      <c r="B8" s="204"/>
      <c r="C8" s="205"/>
      <c r="D8" s="191" t="s">
        <v>408</v>
      </c>
      <c r="E8" s="206"/>
      <c r="F8" s="207"/>
      <c r="G8" s="207"/>
    </row>
    <row r="9" spans="1:11" ht="36.700000000000003" x14ac:dyDescent="0.25">
      <c r="A9" s="168" t="s">
        <v>242</v>
      </c>
      <c r="B9" s="168" t="s">
        <v>3</v>
      </c>
      <c r="C9" s="168" t="s">
        <v>747</v>
      </c>
      <c r="D9" s="168" t="s">
        <v>1034</v>
      </c>
    </row>
    <row r="10" spans="1:11" ht="39.75" customHeight="1" x14ac:dyDescent="0.25">
      <c r="A10" s="104" t="s">
        <v>825</v>
      </c>
      <c r="B10" s="105" t="s">
        <v>138</v>
      </c>
      <c r="C10" s="128">
        <f>C11+C15+C20+C24+C25+C26</f>
        <v>624884631.10000002</v>
      </c>
      <c r="D10" s="128">
        <f>D11+D15+D20+D24+D25+D26</f>
        <v>640224927.78999996</v>
      </c>
      <c r="E10" s="209"/>
      <c r="F10" s="209">
        <f>'прил 14 '!E576</f>
        <v>624884631.10000002</v>
      </c>
      <c r="G10" s="209">
        <f>'прил 14 '!F576</f>
        <v>640224927.78999996</v>
      </c>
      <c r="H10" s="163"/>
      <c r="I10" s="5"/>
      <c r="J10" s="5"/>
      <c r="K10" s="163"/>
    </row>
    <row r="11" spans="1:11" ht="35.5" customHeight="1" x14ac:dyDescent="0.3">
      <c r="A11" s="210" t="s">
        <v>826</v>
      </c>
      <c r="B11" s="211" t="s">
        <v>139</v>
      </c>
      <c r="C11" s="84">
        <f>C12+C13+C14</f>
        <v>148944849.30000001</v>
      </c>
      <c r="D11" s="84">
        <f>D12+D13+D14</f>
        <v>152353607.30000001</v>
      </c>
      <c r="E11" s="209"/>
      <c r="F11" s="209">
        <f>C10-F10</f>
        <v>0</v>
      </c>
      <c r="G11" s="209">
        <f>D10-G10</f>
        <v>0</v>
      </c>
      <c r="H11" s="163"/>
      <c r="I11" s="5"/>
      <c r="J11" s="5"/>
      <c r="K11" s="163"/>
    </row>
    <row r="12" spans="1:11" ht="50.95" customHeight="1" x14ac:dyDescent="0.25">
      <c r="A12" s="159" t="s">
        <v>202</v>
      </c>
      <c r="B12" s="110" t="s">
        <v>219</v>
      </c>
      <c r="C12" s="85">
        <f>'прил 14 '!E317</f>
        <v>144743741.30000001</v>
      </c>
      <c r="D12" s="85">
        <f>'прил 14 '!F317</f>
        <v>147995770.30000001</v>
      </c>
      <c r="E12" s="209"/>
      <c r="F12" s="209"/>
      <c r="G12" s="209"/>
      <c r="H12" s="163"/>
      <c r="I12" s="5"/>
      <c r="J12" s="5"/>
      <c r="K12" s="163"/>
    </row>
    <row r="13" spans="1:11" ht="36.700000000000003" x14ac:dyDescent="0.25">
      <c r="A13" s="159" t="s">
        <v>203</v>
      </c>
      <c r="B13" s="110" t="s">
        <v>221</v>
      </c>
      <c r="C13" s="85">
        <f>'прил 14 '!E324</f>
        <v>258000</v>
      </c>
      <c r="D13" s="85">
        <f>'прил 14 '!F324</f>
        <v>258000</v>
      </c>
      <c r="E13" s="209"/>
      <c r="F13" s="209"/>
      <c r="G13" s="209"/>
      <c r="H13" s="163"/>
      <c r="I13" s="5"/>
      <c r="J13" s="5"/>
      <c r="K13" s="163"/>
    </row>
    <row r="14" spans="1:11" ht="36" customHeight="1" x14ac:dyDescent="0.25">
      <c r="A14" s="159" t="s">
        <v>204</v>
      </c>
      <c r="B14" s="110" t="s">
        <v>234</v>
      </c>
      <c r="C14" s="85">
        <f>'прил 14 '!E517</f>
        <v>3943108</v>
      </c>
      <c r="D14" s="85">
        <f>'прил 14 '!F517</f>
        <v>4099837</v>
      </c>
      <c r="E14" s="209"/>
      <c r="F14" s="209"/>
      <c r="G14" s="209"/>
      <c r="H14" s="163"/>
      <c r="I14" s="5"/>
      <c r="J14" s="5"/>
      <c r="K14" s="163"/>
    </row>
    <row r="15" spans="1:11" ht="37.549999999999997" customHeight="1" x14ac:dyDescent="0.25">
      <c r="A15" s="212" t="s">
        <v>861</v>
      </c>
      <c r="B15" s="211" t="s">
        <v>146</v>
      </c>
      <c r="C15" s="84">
        <f>C16+C17+C18+C19</f>
        <v>425100993.80000001</v>
      </c>
      <c r="D15" s="84">
        <f>D16+D17+D18+D19</f>
        <v>439400127.72999996</v>
      </c>
      <c r="E15" s="209"/>
      <c r="F15" s="209"/>
      <c r="G15" s="209"/>
      <c r="H15" s="163"/>
      <c r="I15" s="5"/>
      <c r="J15" s="5"/>
      <c r="K15" s="163"/>
    </row>
    <row r="16" spans="1:11" ht="57.75" customHeight="1" x14ac:dyDescent="0.25">
      <c r="A16" s="159" t="s">
        <v>205</v>
      </c>
      <c r="B16" s="110" t="s">
        <v>222</v>
      </c>
      <c r="C16" s="85">
        <f>'прил 14 '!E343</f>
        <v>412894862.13999999</v>
      </c>
      <c r="D16" s="85">
        <f>'прил 14 '!F343</f>
        <v>427190904.13999999</v>
      </c>
      <c r="E16" s="209"/>
      <c r="F16" s="209"/>
      <c r="G16" s="209"/>
      <c r="H16" s="163"/>
      <c r="I16" s="5"/>
      <c r="J16" s="5"/>
      <c r="K16" s="163"/>
    </row>
    <row r="17" spans="1:11" ht="36.700000000000003" x14ac:dyDescent="0.25">
      <c r="A17" s="159" t="s">
        <v>206</v>
      </c>
      <c r="B17" s="110" t="s">
        <v>220</v>
      </c>
      <c r="C17" s="85">
        <f>'прил 14 '!E356+'прил 14 '!E410</f>
        <v>291200</v>
      </c>
      <c r="D17" s="85">
        <f>'прил 14 '!F356+'прил 14 '!F410</f>
        <v>291200</v>
      </c>
      <c r="E17" s="209"/>
      <c r="F17" s="209"/>
      <c r="G17" s="209"/>
      <c r="H17" s="163"/>
      <c r="I17" s="5"/>
      <c r="J17" s="5"/>
      <c r="K17" s="163"/>
    </row>
    <row r="18" spans="1:11" ht="36.700000000000003" x14ac:dyDescent="0.25">
      <c r="A18" s="159" t="s">
        <v>247</v>
      </c>
      <c r="B18" s="110" t="s">
        <v>223</v>
      </c>
      <c r="C18" s="85">
        <f>'прил 14 '!E369+'прил 14 '!E414</f>
        <v>8956700</v>
      </c>
      <c r="D18" s="85">
        <f>'прил 14 '!F369+'прил 14 '!F414</f>
        <v>8956700</v>
      </c>
      <c r="E18" s="209"/>
      <c r="F18" s="209"/>
      <c r="G18" s="209"/>
      <c r="H18" s="163"/>
      <c r="I18" s="5"/>
      <c r="J18" s="5"/>
      <c r="K18" s="163"/>
    </row>
    <row r="19" spans="1:11" ht="35.5" customHeight="1" x14ac:dyDescent="0.25">
      <c r="A19" s="121" t="s">
        <v>1049</v>
      </c>
      <c r="B19" s="110" t="s">
        <v>313</v>
      </c>
      <c r="C19" s="85">
        <f>'прил 14 '!E373</f>
        <v>2958231.66</v>
      </c>
      <c r="D19" s="85">
        <f>'прил 14 '!F373</f>
        <v>2961323.59</v>
      </c>
      <c r="E19" s="209"/>
      <c r="F19" s="209"/>
      <c r="G19" s="209"/>
      <c r="H19" s="163"/>
      <c r="I19" s="5"/>
      <c r="J19" s="5"/>
      <c r="K19" s="163"/>
    </row>
    <row r="20" spans="1:11" ht="53.15" customHeight="1" x14ac:dyDescent="0.25">
      <c r="A20" s="212" t="s">
        <v>832</v>
      </c>
      <c r="B20" s="211" t="s">
        <v>149</v>
      </c>
      <c r="C20" s="84">
        <f>C21+C22+C23</f>
        <v>26710552</v>
      </c>
      <c r="D20" s="84">
        <f>D21+D22+D23</f>
        <v>25208089.52</v>
      </c>
      <c r="E20" s="209"/>
      <c r="F20" s="209"/>
      <c r="G20" s="209"/>
      <c r="H20" s="163"/>
      <c r="I20" s="5"/>
      <c r="J20" s="5"/>
      <c r="K20" s="163"/>
    </row>
    <row r="21" spans="1:11" ht="36.700000000000003" x14ac:dyDescent="0.25">
      <c r="A21" s="159" t="s">
        <v>207</v>
      </c>
      <c r="B21" s="110" t="s">
        <v>224</v>
      </c>
      <c r="C21" s="85">
        <f>'прил 14 '!E380</f>
        <v>24942762</v>
      </c>
      <c r="D21" s="85">
        <f>'прил 14 '!F380</f>
        <v>23440299.52</v>
      </c>
      <c r="E21" s="209"/>
      <c r="F21" s="209"/>
      <c r="G21" s="209"/>
      <c r="H21" s="163"/>
      <c r="I21" s="5"/>
      <c r="J21" s="5"/>
      <c r="K21" s="163"/>
    </row>
    <row r="22" spans="1:11" ht="36.700000000000003" x14ac:dyDescent="0.25">
      <c r="A22" s="159" t="s">
        <v>208</v>
      </c>
      <c r="B22" s="110" t="s">
        <v>225</v>
      </c>
      <c r="C22" s="85">
        <f>'прил 14 '!E384</f>
        <v>31600</v>
      </c>
      <c r="D22" s="85">
        <f>'прил 14 '!F384</f>
        <v>31600</v>
      </c>
      <c r="E22" s="209"/>
      <c r="F22" s="209"/>
      <c r="G22" s="209"/>
      <c r="H22" s="163"/>
      <c r="I22" s="5"/>
      <c r="J22" s="5"/>
      <c r="K22" s="163"/>
    </row>
    <row r="23" spans="1:11" ht="40.75" customHeight="1" x14ac:dyDescent="0.25">
      <c r="A23" s="81" t="s">
        <v>754</v>
      </c>
      <c r="B23" s="110" t="s">
        <v>755</v>
      </c>
      <c r="C23" s="85">
        <f>'прил 14 '!E391</f>
        <v>1736190</v>
      </c>
      <c r="D23" s="85">
        <f>'прил 14 '!F391</f>
        <v>1736190</v>
      </c>
      <c r="E23" s="209"/>
      <c r="F23" s="209"/>
      <c r="G23" s="209"/>
      <c r="H23" s="163"/>
      <c r="I23" s="5"/>
      <c r="J23" s="5"/>
      <c r="K23" s="163"/>
    </row>
    <row r="24" spans="1:11" ht="36.700000000000003" x14ac:dyDescent="0.25">
      <c r="A24" s="159" t="s">
        <v>209</v>
      </c>
      <c r="B24" s="110" t="s">
        <v>226</v>
      </c>
      <c r="C24" s="85">
        <f>'прил 14 '!E428</f>
        <v>22693236</v>
      </c>
      <c r="D24" s="85">
        <f>'прил 14 '!F428</f>
        <v>21828103.240000002</v>
      </c>
      <c r="E24" s="209"/>
      <c r="F24" s="209"/>
      <c r="G24" s="209"/>
      <c r="H24" s="163"/>
      <c r="I24" s="5"/>
      <c r="J24" s="5"/>
      <c r="K24" s="163"/>
    </row>
    <row r="25" spans="1:11" ht="39.25" customHeight="1" x14ac:dyDescent="0.25">
      <c r="A25" s="159" t="s">
        <v>238</v>
      </c>
      <c r="B25" s="110" t="s">
        <v>237</v>
      </c>
      <c r="C25" s="85">
        <f>'прил 14 '!E422</f>
        <v>125000</v>
      </c>
      <c r="D25" s="85">
        <f>'прил 14 '!F422</f>
        <v>125000</v>
      </c>
      <c r="E25" s="209"/>
      <c r="F25" s="209"/>
      <c r="G25" s="209"/>
      <c r="H25" s="163"/>
      <c r="I25" s="5"/>
      <c r="J25" s="5"/>
      <c r="K25" s="163"/>
    </row>
    <row r="26" spans="1:11" x14ac:dyDescent="0.25">
      <c r="A26" s="114" t="s">
        <v>1062</v>
      </c>
      <c r="B26" s="110" t="s">
        <v>736</v>
      </c>
      <c r="C26" s="85">
        <f>'прил 14 '!E496</f>
        <v>1310000</v>
      </c>
      <c r="D26" s="85">
        <f>'прил 14 '!F496</f>
        <v>1310000</v>
      </c>
      <c r="E26" s="209"/>
      <c r="F26" s="209"/>
      <c r="G26" s="209"/>
      <c r="H26" s="163"/>
      <c r="I26" s="5"/>
      <c r="J26" s="5"/>
      <c r="K26" s="163"/>
    </row>
    <row r="27" spans="1:11" ht="39.75" customHeight="1" x14ac:dyDescent="0.25">
      <c r="A27" s="104" t="s">
        <v>868</v>
      </c>
      <c r="B27" s="105" t="s">
        <v>136</v>
      </c>
      <c r="C27" s="128">
        <f>C28+C29+C30+C31+C32</f>
        <v>67870453.629999995</v>
      </c>
      <c r="D27" s="128">
        <f>D28+D29+D30+D31+D32</f>
        <v>64361853.009999998</v>
      </c>
      <c r="E27" s="209"/>
      <c r="F27" s="209">
        <f>'прил 14 '!E577</f>
        <v>67870453.629999995</v>
      </c>
      <c r="G27" s="209">
        <f>'прил 14 '!F577</f>
        <v>64361853.00999999</v>
      </c>
      <c r="H27" s="163"/>
      <c r="I27" s="5"/>
      <c r="J27" s="5"/>
      <c r="K27" s="163"/>
    </row>
    <row r="28" spans="1:11" ht="40.75" customHeight="1" x14ac:dyDescent="0.25">
      <c r="A28" s="159" t="s">
        <v>210</v>
      </c>
      <c r="B28" s="110" t="s">
        <v>227</v>
      </c>
      <c r="C28" s="85">
        <f>'прил 14 '!E449</f>
        <v>10432521.9</v>
      </c>
      <c r="D28" s="85">
        <f>'прил 14 '!F449</f>
        <v>9583568.5999999996</v>
      </c>
      <c r="E28" s="209"/>
      <c r="F28" s="209">
        <f>C27-F27</f>
        <v>0</v>
      </c>
      <c r="G28" s="209">
        <f>D27-G27</f>
        <v>0</v>
      </c>
      <c r="H28" s="163"/>
      <c r="I28" s="5"/>
      <c r="J28" s="5"/>
      <c r="K28" s="163"/>
    </row>
    <row r="29" spans="1:11" ht="36.700000000000003" customHeight="1" x14ac:dyDescent="0.25">
      <c r="A29" s="159" t="s">
        <v>207</v>
      </c>
      <c r="B29" s="110" t="s">
        <v>228</v>
      </c>
      <c r="C29" s="85">
        <f>'прил 14 '!E396</f>
        <v>20237835.43</v>
      </c>
      <c r="D29" s="85">
        <f>'прил 14 '!F396</f>
        <v>17284021.379999999</v>
      </c>
      <c r="E29" s="209"/>
      <c r="F29" s="209"/>
      <c r="G29" s="209"/>
      <c r="H29" s="163"/>
      <c r="I29" s="5"/>
      <c r="J29" s="5"/>
      <c r="K29" s="163"/>
    </row>
    <row r="30" spans="1:11" ht="32.950000000000003" customHeight="1" x14ac:dyDescent="0.25">
      <c r="A30" s="159" t="s">
        <v>211</v>
      </c>
      <c r="B30" s="110" t="s">
        <v>229</v>
      </c>
      <c r="C30" s="85">
        <f>'прил 14 '!E466+'прил 14 '!E476</f>
        <v>9805094.5800000001</v>
      </c>
      <c r="D30" s="85">
        <f>'прил 14 '!F466+'прил 14 '!F476</f>
        <v>11605969</v>
      </c>
      <c r="E30" s="209"/>
      <c r="F30" s="209"/>
      <c r="G30" s="209"/>
      <c r="H30" s="163"/>
      <c r="I30" s="5"/>
      <c r="J30" s="5"/>
      <c r="K30" s="163"/>
    </row>
    <row r="31" spans="1:11" ht="23.95" hidden="1" customHeight="1" x14ac:dyDescent="0.25">
      <c r="A31" s="121" t="s">
        <v>597</v>
      </c>
      <c r="B31" s="110" t="s">
        <v>598</v>
      </c>
      <c r="C31" s="85">
        <f>'прил 14 '!E403</f>
        <v>0</v>
      </c>
      <c r="D31" s="85">
        <f>'прил 14 '!F403</f>
        <v>0</v>
      </c>
      <c r="E31" s="209"/>
      <c r="F31" s="209"/>
      <c r="G31" s="209"/>
      <c r="H31" s="163"/>
      <c r="I31" s="5"/>
      <c r="J31" s="5"/>
      <c r="K31" s="163"/>
    </row>
    <row r="32" spans="1:11" ht="35.5" customHeight="1" x14ac:dyDescent="0.25">
      <c r="A32" s="159" t="s">
        <v>678</v>
      </c>
      <c r="B32" s="110" t="s">
        <v>677</v>
      </c>
      <c r="C32" s="85">
        <f>'прил 14 '!E453</f>
        <v>27395001.719999999</v>
      </c>
      <c r="D32" s="85">
        <f>'прил 14 '!F453</f>
        <v>25888294.030000001</v>
      </c>
      <c r="E32" s="209"/>
      <c r="F32" s="209"/>
      <c r="G32" s="209"/>
      <c r="H32" s="163"/>
      <c r="I32" s="5"/>
      <c r="J32" s="5"/>
      <c r="K32" s="163"/>
    </row>
    <row r="33" spans="1:11" ht="36.700000000000003" customHeight="1" x14ac:dyDescent="0.25">
      <c r="A33" s="104" t="s">
        <v>841</v>
      </c>
      <c r="B33" s="105" t="s">
        <v>135</v>
      </c>
      <c r="C33" s="128">
        <f>C34+C35</f>
        <v>470000</v>
      </c>
      <c r="D33" s="128">
        <f>D34+D35</f>
        <v>470000</v>
      </c>
      <c r="E33" s="209"/>
      <c r="F33" s="209">
        <f>'прил 14 '!E578</f>
        <v>470000</v>
      </c>
      <c r="G33" s="209">
        <f>'прил 14 '!F578</f>
        <v>470000</v>
      </c>
      <c r="H33" s="163"/>
      <c r="I33" s="5"/>
      <c r="J33" s="5"/>
      <c r="K33" s="163"/>
    </row>
    <row r="34" spans="1:11" ht="55.05" x14ac:dyDescent="0.25">
      <c r="A34" s="159" t="s">
        <v>418</v>
      </c>
      <c r="B34" s="110" t="s">
        <v>392</v>
      </c>
      <c r="C34" s="82">
        <f>'прил 14 '!E300</f>
        <v>440000</v>
      </c>
      <c r="D34" s="82">
        <f>'прил 14 '!F300</f>
        <v>440000</v>
      </c>
      <c r="E34" s="209"/>
      <c r="F34" s="209">
        <f>C33-F33</f>
        <v>0</v>
      </c>
      <c r="G34" s="209">
        <f>D33-G33</f>
        <v>0</v>
      </c>
      <c r="H34" s="163"/>
      <c r="I34" s="5"/>
      <c r="J34" s="5"/>
      <c r="K34" s="163"/>
    </row>
    <row r="35" spans="1:11" ht="49.6" customHeight="1" x14ac:dyDescent="0.25">
      <c r="A35" s="159" t="s">
        <v>248</v>
      </c>
      <c r="B35" s="110" t="s">
        <v>246</v>
      </c>
      <c r="C35" s="85">
        <f>'прил 14 '!E304</f>
        <v>30000</v>
      </c>
      <c r="D35" s="85">
        <f>'прил 14 '!F304</f>
        <v>30000</v>
      </c>
      <c r="E35" s="209"/>
      <c r="F35" s="209"/>
      <c r="G35" s="209"/>
      <c r="H35" s="163"/>
      <c r="I35" s="5"/>
      <c r="J35" s="5"/>
      <c r="K35" s="163"/>
    </row>
    <row r="36" spans="1:11" ht="51.65" customHeight="1" x14ac:dyDescent="0.25">
      <c r="A36" s="104" t="s">
        <v>864</v>
      </c>
      <c r="B36" s="105" t="s">
        <v>200</v>
      </c>
      <c r="C36" s="640">
        <f>C37+C38</f>
        <v>925168.55</v>
      </c>
      <c r="D36" s="128">
        <f>D37+D38</f>
        <v>925729.29</v>
      </c>
      <c r="E36" s="209"/>
      <c r="F36" s="209">
        <f>'прил 14 '!E579</f>
        <v>925168.55</v>
      </c>
      <c r="G36" s="209">
        <f>'прил 14 '!F579</f>
        <v>925729.29</v>
      </c>
      <c r="H36" s="163"/>
      <c r="I36" s="5"/>
      <c r="J36" s="5"/>
      <c r="K36" s="163"/>
    </row>
    <row r="37" spans="1:11" ht="39.25" customHeight="1" x14ac:dyDescent="0.25">
      <c r="A37" s="159" t="s">
        <v>837</v>
      </c>
      <c r="B37" s="110" t="s">
        <v>230</v>
      </c>
      <c r="C37" s="85">
        <f>'прил 14 '!E540</f>
        <v>925168.55</v>
      </c>
      <c r="D37" s="85">
        <f>'прил 14 '!F541</f>
        <v>925729.29</v>
      </c>
      <c r="E37" s="209"/>
      <c r="F37" s="209">
        <f>C36-F36</f>
        <v>0</v>
      </c>
      <c r="G37" s="209">
        <f>D36-G36</f>
        <v>0</v>
      </c>
      <c r="H37" s="163"/>
      <c r="I37" s="5"/>
      <c r="J37" s="5"/>
      <c r="K37" s="163"/>
    </row>
    <row r="38" spans="1:11" ht="39.25" hidden="1" customHeight="1" x14ac:dyDescent="0.25">
      <c r="A38" s="159" t="s">
        <v>305</v>
      </c>
      <c r="B38" s="110" t="s">
        <v>303</v>
      </c>
      <c r="C38" s="85">
        <v>0</v>
      </c>
      <c r="D38" s="85">
        <v>0</v>
      </c>
      <c r="E38" s="209"/>
      <c r="F38" s="209"/>
      <c r="G38" s="209"/>
      <c r="H38" s="163"/>
      <c r="I38" s="5"/>
      <c r="J38" s="5"/>
      <c r="K38" s="163"/>
    </row>
    <row r="39" spans="1:11" ht="45" customHeight="1" x14ac:dyDescent="0.25">
      <c r="A39" s="104" t="s">
        <v>931</v>
      </c>
      <c r="B39" s="105" t="s">
        <v>129</v>
      </c>
      <c r="C39" s="128">
        <f>C40</f>
        <v>150000</v>
      </c>
      <c r="D39" s="128">
        <f>D40</f>
        <v>150000</v>
      </c>
      <c r="E39" s="209"/>
      <c r="F39" s="209">
        <f>'прил 14 '!E580</f>
        <v>150000</v>
      </c>
      <c r="G39" s="209">
        <f>'прил 14 '!F580</f>
        <v>150000</v>
      </c>
      <c r="H39" s="163"/>
      <c r="I39" s="5"/>
      <c r="J39" s="5"/>
      <c r="K39" s="163"/>
    </row>
    <row r="40" spans="1:11" ht="36.700000000000003" x14ac:dyDescent="0.25">
      <c r="A40" s="159" t="s">
        <v>419</v>
      </c>
      <c r="B40" s="110" t="s">
        <v>413</v>
      </c>
      <c r="C40" s="85">
        <f>'прил 14 '!E501</f>
        <v>150000</v>
      </c>
      <c r="D40" s="85">
        <f>'прил 14 '!F501</f>
        <v>150000</v>
      </c>
      <c r="E40" s="209"/>
      <c r="F40" s="209">
        <f>C39-F39</f>
        <v>0</v>
      </c>
      <c r="G40" s="209">
        <f>D39-G39</f>
        <v>0</v>
      </c>
      <c r="H40" s="163"/>
      <c r="I40" s="5"/>
      <c r="J40" s="5"/>
      <c r="K40" s="163"/>
    </row>
    <row r="41" spans="1:11" ht="39.25" customHeight="1" x14ac:dyDescent="0.25">
      <c r="A41" s="104" t="s">
        <v>830</v>
      </c>
      <c r="B41" s="105" t="s">
        <v>128</v>
      </c>
      <c r="C41" s="128">
        <f>C42+C43+C44</f>
        <v>25116707</v>
      </c>
      <c r="D41" s="128">
        <f>D42+D43+D44</f>
        <v>21501531</v>
      </c>
      <c r="E41" s="209"/>
      <c r="F41" s="209">
        <f>'прил 14 '!E581</f>
        <v>25116707</v>
      </c>
      <c r="G41" s="209">
        <f>'прил 14 '!F581</f>
        <v>21501531</v>
      </c>
      <c r="H41" s="163"/>
      <c r="I41" s="5"/>
      <c r="J41" s="5"/>
      <c r="K41" s="163"/>
    </row>
    <row r="42" spans="1:11" ht="51.65" customHeight="1" x14ac:dyDescent="0.25">
      <c r="A42" s="159" t="s">
        <v>835</v>
      </c>
      <c r="B42" s="110" t="s">
        <v>315</v>
      </c>
      <c r="C42" s="213">
        <f>'прил 14 '!E63</f>
        <v>953397</v>
      </c>
      <c r="D42" s="213">
        <f>'прил 14 '!F63</f>
        <v>857721</v>
      </c>
      <c r="E42" s="209"/>
      <c r="F42" s="209">
        <f>C41-F41</f>
        <v>0</v>
      </c>
      <c r="G42" s="209">
        <f>D41-G41</f>
        <v>0</v>
      </c>
      <c r="H42" s="163"/>
      <c r="I42" s="5"/>
      <c r="J42" s="5"/>
      <c r="K42" s="163"/>
    </row>
    <row r="43" spans="1:11" ht="36.700000000000003" x14ac:dyDescent="0.25">
      <c r="A43" s="159" t="s">
        <v>216</v>
      </c>
      <c r="B43" s="110" t="s">
        <v>231</v>
      </c>
      <c r="C43" s="85">
        <f>'прил 14 '!E70</f>
        <v>22712210</v>
      </c>
      <c r="D43" s="85">
        <f>'прил 14 '!F70</f>
        <v>19492710</v>
      </c>
      <c r="E43" s="209"/>
      <c r="F43" s="209"/>
      <c r="G43" s="209"/>
      <c r="H43" s="163"/>
      <c r="I43" s="5"/>
      <c r="J43" s="5"/>
      <c r="K43" s="163"/>
    </row>
    <row r="44" spans="1:11" x14ac:dyDescent="0.25">
      <c r="A44" s="109" t="s">
        <v>748</v>
      </c>
      <c r="B44" s="110" t="s">
        <v>270</v>
      </c>
      <c r="C44" s="85">
        <f>'прил 14 '!E78</f>
        <v>1451100</v>
      </c>
      <c r="D44" s="85">
        <f>'прил 14 '!F78</f>
        <v>1151100</v>
      </c>
      <c r="E44" s="209"/>
      <c r="F44" s="209"/>
      <c r="G44" s="209"/>
      <c r="H44" s="163"/>
      <c r="I44" s="5"/>
      <c r="J44" s="5"/>
      <c r="K44" s="163"/>
    </row>
    <row r="45" spans="1:11" ht="78.8" customHeight="1" x14ac:dyDescent="0.25">
      <c r="A45" s="104" t="s">
        <v>843</v>
      </c>
      <c r="B45" s="105" t="s">
        <v>134</v>
      </c>
      <c r="C45" s="128">
        <f>C46+C47</f>
        <v>5200000</v>
      </c>
      <c r="D45" s="128">
        <f>D46+D47</f>
        <v>600000</v>
      </c>
      <c r="E45" s="209"/>
      <c r="F45" s="209">
        <f>'прил 14 '!E582</f>
        <v>5200000</v>
      </c>
      <c r="G45" s="209">
        <f>'прил 14 '!F582</f>
        <v>600000</v>
      </c>
      <c r="H45" s="163"/>
      <c r="I45" s="5"/>
      <c r="J45" s="5"/>
      <c r="K45" s="163"/>
    </row>
    <row r="46" spans="1:11" ht="45.55" customHeight="1" x14ac:dyDescent="0.25">
      <c r="A46" s="159" t="s">
        <v>865</v>
      </c>
      <c r="B46" s="110" t="s">
        <v>350</v>
      </c>
      <c r="C46" s="85">
        <f>'прил 14 '!E234+'прил 14 '!E293</f>
        <v>4300000</v>
      </c>
      <c r="D46" s="85">
        <f>'прил 14 '!F234+'прил 14 '!F293</f>
        <v>400000</v>
      </c>
      <c r="E46" s="209"/>
      <c r="F46" s="209">
        <f>C45-F45</f>
        <v>0</v>
      </c>
      <c r="G46" s="209">
        <f>D45-G45</f>
        <v>0</v>
      </c>
      <c r="H46" s="163"/>
      <c r="I46" s="5"/>
      <c r="J46" s="5"/>
      <c r="K46" s="163"/>
    </row>
    <row r="47" spans="1:11" ht="18.7" customHeight="1" x14ac:dyDescent="0.25">
      <c r="A47" s="214" t="s">
        <v>218</v>
      </c>
      <c r="B47" s="110" t="s">
        <v>232</v>
      </c>
      <c r="C47" s="85">
        <f>'прил 14 '!E256</f>
        <v>900000</v>
      </c>
      <c r="D47" s="85">
        <f>'прил 14 '!F256</f>
        <v>200000</v>
      </c>
      <c r="E47" s="209"/>
      <c r="F47" s="209"/>
      <c r="G47" s="209"/>
      <c r="H47" s="163"/>
      <c r="I47" s="5"/>
      <c r="J47" s="5"/>
      <c r="K47" s="163"/>
    </row>
    <row r="48" spans="1:11" ht="53.7" customHeight="1" x14ac:dyDescent="0.3">
      <c r="A48" s="215" t="s">
        <v>852</v>
      </c>
      <c r="B48" s="105" t="s">
        <v>131</v>
      </c>
      <c r="C48" s="128">
        <f>C49</f>
        <v>50000</v>
      </c>
      <c r="D48" s="128">
        <f>D49</f>
        <v>50000</v>
      </c>
      <c r="E48" s="209"/>
      <c r="F48" s="209">
        <f>'прил 14 '!E583</f>
        <v>50000</v>
      </c>
      <c r="G48" s="209">
        <f>'прил 14 '!F583</f>
        <v>50000</v>
      </c>
      <c r="H48" s="163"/>
      <c r="I48" s="5"/>
      <c r="J48" s="5"/>
      <c r="K48" s="163"/>
    </row>
    <row r="49" spans="1:11" x14ac:dyDescent="0.25">
      <c r="A49" s="214" t="s">
        <v>324</v>
      </c>
      <c r="B49" s="110" t="s">
        <v>233</v>
      </c>
      <c r="C49" s="85">
        <f>'прил 12'!F91</f>
        <v>50000</v>
      </c>
      <c r="D49" s="85">
        <f>'прил 12'!G91</f>
        <v>50000</v>
      </c>
      <c r="E49" s="209"/>
      <c r="F49" s="209">
        <f>C48-F48</f>
        <v>0</v>
      </c>
      <c r="G49" s="209">
        <f>D48-G48</f>
        <v>0</v>
      </c>
      <c r="H49" s="163"/>
      <c r="I49" s="5"/>
      <c r="J49" s="5"/>
      <c r="K49" s="163"/>
    </row>
    <row r="50" spans="1:11" ht="55.05" x14ac:dyDescent="0.25">
      <c r="A50" s="104" t="s">
        <v>849</v>
      </c>
      <c r="B50" s="105" t="s">
        <v>412</v>
      </c>
      <c r="C50" s="128">
        <f>C51</f>
        <v>100000</v>
      </c>
      <c r="D50" s="128">
        <f>D51</f>
        <v>100000</v>
      </c>
      <c r="E50" s="209"/>
      <c r="F50" s="209"/>
      <c r="G50" s="209"/>
      <c r="H50" s="163"/>
      <c r="I50" s="5"/>
      <c r="J50" s="5"/>
      <c r="K50" s="163"/>
    </row>
    <row r="51" spans="1:11" ht="36.700000000000003" x14ac:dyDescent="0.25">
      <c r="A51" s="109" t="s">
        <v>780</v>
      </c>
      <c r="B51" s="110" t="s">
        <v>414</v>
      </c>
      <c r="C51" s="85">
        <f>'прил 14 '!E207</f>
        <v>100000</v>
      </c>
      <c r="D51" s="85">
        <f>'прил 14 '!F207</f>
        <v>100000</v>
      </c>
      <c r="E51" s="209"/>
      <c r="F51" s="209"/>
      <c r="G51" s="209"/>
      <c r="H51" s="163"/>
      <c r="I51" s="5"/>
      <c r="J51" s="5"/>
      <c r="K51" s="163"/>
    </row>
    <row r="52" spans="1:11" ht="39.75" customHeight="1" x14ac:dyDescent="0.25">
      <c r="A52" s="104" t="s">
        <v>866</v>
      </c>
      <c r="B52" s="105" t="s">
        <v>374</v>
      </c>
      <c r="C52" s="128">
        <f>C53</f>
        <v>788949.7</v>
      </c>
      <c r="D52" s="128">
        <f>D53</f>
        <v>759549.38</v>
      </c>
      <c r="E52" s="209"/>
      <c r="F52" s="209">
        <f>'прил 14 '!E585</f>
        <v>788949.7</v>
      </c>
      <c r="G52" s="209">
        <f>'прил 14 '!F585</f>
        <v>759549.38</v>
      </c>
      <c r="H52" s="163"/>
      <c r="I52" s="5"/>
      <c r="J52" s="5"/>
      <c r="K52" s="163"/>
    </row>
    <row r="53" spans="1:11" s="192" customFormat="1" ht="36.700000000000003" customHeight="1" x14ac:dyDescent="0.25">
      <c r="A53" s="216" t="s">
        <v>422</v>
      </c>
      <c r="B53" s="110" t="s">
        <v>375</v>
      </c>
      <c r="C53" s="85">
        <f>'прил 14 '!E506</f>
        <v>788949.7</v>
      </c>
      <c r="D53" s="85">
        <f>'прил 14 '!F506</f>
        <v>759549.38</v>
      </c>
      <c r="E53" s="217"/>
      <c r="F53" s="217">
        <f>C52-F52</f>
        <v>0</v>
      </c>
      <c r="G53" s="217">
        <f>D52-G52</f>
        <v>0</v>
      </c>
      <c r="H53" s="171"/>
      <c r="I53" s="172"/>
      <c r="J53" s="172"/>
      <c r="K53" s="171"/>
    </row>
    <row r="54" spans="1:11" ht="61.85" customHeight="1" x14ac:dyDescent="0.3">
      <c r="A54" s="215" t="s">
        <v>869</v>
      </c>
      <c r="B54" s="105" t="s">
        <v>317</v>
      </c>
      <c r="C54" s="128">
        <f>C55</f>
        <v>4225733</v>
      </c>
      <c r="D54" s="128">
        <f>D55</f>
        <v>3566675</v>
      </c>
      <c r="E54" s="209"/>
      <c r="F54" s="209">
        <f>'прил 14 '!E586</f>
        <v>4225733</v>
      </c>
      <c r="G54" s="209">
        <f>'прил 14 '!F586</f>
        <v>3566675</v>
      </c>
      <c r="H54" s="163"/>
      <c r="I54" s="5"/>
      <c r="J54" s="5"/>
      <c r="K54" s="163"/>
    </row>
    <row r="55" spans="1:11" ht="36.700000000000003" x14ac:dyDescent="0.25">
      <c r="A55" s="218" t="s">
        <v>249</v>
      </c>
      <c r="B55" s="110" t="s">
        <v>318</v>
      </c>
      <c r="C55" s="85">
        <f>'прил 14 '!E93+'прил 14 '!E567</f>
        <v>4225733</v>
      </c>
      <c r="D55" s="85">
        <f>'прил 14 '!F93+'прил 14 '!F567</f>
        <v>3566675</v>
      </c>
      <c r="E55" s="209"/>
      <c r="F55" s="209">
        <f>C54-F54</f>
        <v>0</v>
      </c>
      <c r="G55" s="209">
        <f>D54-G54</f>
        <v>0</v>
      </c>
      <c r="H55" s="163"/>
      <c r="I55" s="5"/>
      <c r="J55" s="5"/>
      <c r="K55" s="163"/>
    </row>
    <row r="56" spans="1:11" ht="73.400000000000006" x14ac:dyDescent="0.25">
      <c r="A56" s="219" t="s">
        <v>850</v>
      </c>
      <c r="B56" s="105" t="s">
        <v>335</v>
      </c>
      <c r="C56" s="128">
        <f>C57</f>
        <v>14066000</v>
      </c>
      <c r="D56" s="128">
        <f>D57</f>
        <v>14066000</v>
      </c>
      <c r="E56" s="209"/>
      <c r="F56" s="209">
        <f>'прил 14 '!E587</f>
        <v>14066000</v>
      </c>
      <c r="G56" s="209">
        <f>'прил 14 '!F587</f>
        <v>14066000</v>
      </c>
      <c r="H56" s="163"/>
      <c r="I56" s="5"/>
      <c r="J56" s="5"/>
      <c r="K56" s="163"/>
    </row>
    <row r="57" spans="1:11" ht="32.950000000000003" customHeight="1" x14ac:dyDescent="0.25">
      <c r="A57" s="214" t="s">
        <v>217</v>
      </c>
      <c r="B57" s="110" t="s">
        <v>337</v>
      </c>
      <c r="C57" s="85">
        <f>'прил 14 '!E198</f>
        <v>14066000</v>
      </c>
      <c r="D57" s="85">
        <f>'прил 14 '!F198</f>
        <v>14066000</v>
      </c>
      <c r="E57" s="209"/>
      <c r="F57" s="209">
        <f>C56-F56</f>
        <v>0</v>
      </c>
      <c r="G57" s="209">
        <f>D56-G56</f>
        <v>0</v>
      </c>
      <c r="H57" s="163"/>
      <c r="I57" s="5"/>
      <c r="J57" s="5"/>
      <c r="K57" s="163"/>
    </row>
    <row r="58" spans="1:11" ht="76.75" customHeight="1" x14ac:dyDescent="0.25">
      <c r="A58" s="104" t="s">
        <v>870</v>
      </c>
      <c r="B58" s="211" t="s">
        <v>363</v>
      </c>
      <c r="C58" s="84">
        <f>C59</f>
        <v>45000</v>
      </c>
      <c r="D58" s="84">
        <f>D59</f>
        <v>45000</v>
      </c>
      <c r="E58" s="209"/>
      <c r="F58" s="209">
        <f>'прил 14 '!E588</f>
        <v>45000</v>
      </c>
      <c r="G58" s="209">
        <f>'прил 14 '!F588</f>
        <v>45000</v>
      </c>
      <c r="H58" s="163"/>
      <c r="I58" s="5"/>
      <c r="J58" s="5"/>
      <c r="K58" s="163"/>
    </row>
    <row r="59" spans="1:11" ht="36" customHeight="1" x14ac:dyDescent="0.25">
      <c r="A59" s="114" t="s">
        <v>212</v>
      </c>
      <c r="B59" s="110" t="s">
        <v>365</v>
      </c>
      <c r="C59" s="85">
        <f>'прил 14 '!E309</f>
        <v>45000</v>
      </c>
      <c r="D59" s="85">
        <f>'прил 14 '!F309</f>
        <v>45000</v>
      </c>
      <c r="E59" s="209"/>
      <c r="F59" s="209">
        <f>C58-F58</f>
        <v>0</v>
      </c>
      <c r="G59" s="209">
        <f>D58-G58</f>
        <v>0</v>
      </c>
      <c r="H59" s="163"/>
      <c r="I59" s="5"/>
      <c r="J59" s="5"/>
      <c r="K59" s="163"/>
    </row>
    <row r="60" spans="1:11" ht="73.400000000000006" x14ac:dyDescent="0.25">
      <c r="A60" s="220" t="s">
        <v>848</v>
      </c>
      <c r="B60" s="105" t="s">
        <v>340</v>
      </c>
      <c r="C60" s="128">
        <f>C61+C62</f>
        <v>430000</v>
      </c>
      <c r="D60" s="128">
        <f>D61+D62</f>
        <v>230000</v>
      </c>
      <c r="E60" s="209"/>
      <c r="F60" s="209">
        <f>'прил 14 '!E589</f>
        <v>430000</v>
      </c>
      <c r="G60" s="209">
        <f>'прил 14 '!F589</f>
        <v>230000</v>
      </c>
      <c r="H60" s="163"/>
      <c r="I60" s="5"/>
      <c r="J60" s="5"/>
      <c r="K60" s="163"/>
    </row>
    <row r="61" spans="1:11" ht="36.700000000000003" x14ac:dyDescent="0.25">
      <c r="A61" s="159" t="s">
        <v>423</v>
      </c>
      <c r="B61" s="110" t="s">
        <v>341</v>
      </c>
      <c r="C61" s="85">
        <f>'прил 14 '!E212</f>
        <v>300000</v>
      </c>
      <c r="D61" s="85">
        <f>'прил 14 '!F212</f>
        <v>100000</v>
      </c>
      <c r="E61" s="209"/>
      <c r="F61" s="209">
        <f>C60-F60</f>
        <v>0</v>
      </c>
      <c r="G61" s="209">
        <f>D60-G60</f>
        <v>0</v>
      </c>
      <c r="H61" s="163"/>
      <c r="I61" s="5"/>
      <c r="J61" s="5"/>
      <c r="K61" s="163"/>
    </row>
    <row r="62" spans="1:11" ht="36.700000000000003" x14ac:dyDescent="0.25">
      <c r="A62" s="159" t="s">
        <v>388</v>
      </c>
      <c r="B62" s="110" t="s">
        <v>387</v>
      </c>
      <c r="C62" s="85">
        <f>'прил 14 '!E216</f>
        <v>130000</v>
      </c>
      <c r="D62" s="85">
        <f>'прил 14 '!F216</f>
        <v>130000</v>
      </c>
      <c r="F62" s="201"/>
      <c r="G62" s="209"/>
      <c r="H62" s="163"/>
      <c r="I62" s="163"/>
      <c r="J62" s="163"/>
      <c r="K62" s="163"/>
    </row>
    <row r="63" spans="1:11" ht="52.3" customHeight="1" x14ac:dyDescent="0.25">
      <c r="A63" s="220" t="s">
        <v>851</v>
      </c>
      <c r="B63" s="105" t="s">
        <v>331</v>
      </c>
      <c r="C63" s="128">
        <f>C64</f>
        <v>2300000</v>
      </c>
      <c r="D63" s="128">
        <f>D64</f>
        <v>1100000</v>
      </c>
      <c r="E63" s="209"/>
      <c r="F63" s="209">
        <f>'прил 14 '!E590</f>
        <v>2300000</v>
      </c>
      <c r="G63" s="209">
        <f>'прил 14 '!F590</f>
        <v>1100000</v>
      </c>
      <c r="H63" s="5"/>
      <c r="I63" s="163"/>
      <c r="J63" s="5"/>
      <c r="K63" s="163"/>
    </row>
    <row r="64" spans="1:11" ht="36.700000000000003" x14ac:dyDescent="0.25">
      <c r="A64" s="159" t="s">
        <v>215</v>
      </c>
      <c r="B64" s="110" t="s">
        <v>332</v>
      </c>
      <c r="C64" s="85">
        <f>'прил 14 '!E101+'прил 14 '!E223</f>
        <v>2300000</v>
      </c>
      <c r="D64" s="85">
        <f>'прил 14 '!F101+'прил 14 '!F223</f>
        <v>1100000</v>
      </c>
      <c r="E64" s="209"/>
      <c r="F64" s="209">
        <f>C63-F63</f>
        <v>0</v>
      </c>
      <c r="G64" s="209">
        <f>D63-G63</f>
        <v>0</v>
      </c>
      <c r="H64" s="163"/>
      <c r="I64" s="5"/>
      <c r="J64" s="5"/>
      <c r="K64" s="163"/>
    </row>
    <row r="65" spans="1:11" ht="63.7" customHeight="1" x14ac:dyDescent="0.25">
      <c r="A65" s="148" t="s">
        <v>821</v>
      </c>
      <c r="B65" s="105" t="s">
        <v>320</v>
      </c>
      <c r="C65" s="128">
        <f>C66</f>
        <v>100000</v>
      </c>
      <c r="D65" s="128">
        <f>D66</f>
        <v>100000</v>
      </c>
      <c r="E65" s="209"/>
      <c r="F65" s="209">
        <f>'прил 14 '!E591</f>
        <v>100000</v>
      </c>
      <c r="G65" s="209">
        <f>'прил 14 '!F591</f>
        <v>100000</v>
      </c>
      <c r="H65" s="163"/>
      <c r="I65" s="5"/>
      <c r="J65" s="5"/>
      <c r="K65" s="163"/>
    </row>
    <row r="66" spans="1:11" ht="43.5" customHeight="1" x14ac:dyDescent="0.25">
      <c r="A66" s="221" t="s">
        <v>808</v>
      </c>
      <c r="B66" s="110" t="s">
        <v>809</v>
      </c>
      <c r="C66" s="85">
        <f>'прил 14 '!E192</f>
        <v>100000</v>
      </c>
      <c r="D66" s="85">
        <f>'прил 14 '!F192</f>
        <v>100000</v>
      </c>
      <c r="E66" s="209"/>
      <c r="F66" s="209"/>
      <c r="G66" s="209"/>
      <c r="H66" s="163"/>
      <c r="I66" s="5"/>
      <c r="J66" s="5"/>
      <c r="K66" s="163"/>
    </row>
    <row r="67" spans="1:11" ht="39.25" customHeight="1" x14ac:dyDescent="0.25">
      <c r="A67" s="222" t="s">
        <v>828</v>
      </c>
      <c r="B67" s="105" t="s">
        <v>463</v>
      </c>
      <c r="C67" s="128">
        <f>C68</f>
        <v>50000</v>
      </c>
      <c r="D67" s="128">
        <f>D68</f>
        <v>50000</v>
      </c>
      <c r="F67" s="201">
        <f>'прил 14 '!E592</f>
        <v>50000</v>
      </c>
      <c r="G67" s="201">
        <f>'прил 14 '!F592</f>
        <v>50000</v>
      </c>
    </row>
    <row r="68" spans="1:11" x14ac:dyDescent="0.25">
      <c r="A68" s="223" t="s">
        <v>464</v>
      </c>
      <c r="B68" s="110" t="s">
        <v>465</v>
      </c>
      <c r="C68" s="85">
        <f>'прил 14 '!E560</f>
        <v>50000</v>
      </c>
      <c r="D68" s="85">
        <f>'прил 14 '!F560</f>
        <v>50000</v>
      </c>
      <c r="F68" s="201">
        <f>C67-F67</f>
        <v>0</v>
      </c>
      <c r="G68" s="201">
        <f>D67-G67</f>
        <v>0</v>
      </c>
    </row>
    <row r="69" spans="1:11" ht="62.5" customHeight="1" x14ac:dyDescent="0.25">
      <c r="A69" s="104" t="s">
        <v>508</v>
      </c>
      <c r="B69" s="105" t="s">
        <v>509</v>
      </c>
      <c r="C69" s="128">
        <f>C70</f>
        <v>2984900</v>
      </c>
      <c r="D69" s="128">
        <f>D70</f>
        <v>1200900</v>
      </c>
      <c r="F69" s="201">
        <f>'прил 14 '!E593</f>
        <v>2984900</v>
      </c>
      <c r="G69" s="201">
        <f>'прил 14 '!F593</f>
        <v>1200900</v>
      </c>
    </row>
    <row r="70" spans="1:11" ht="36.700000000000003" x14ac:dyDescent="0.25">
      <c r="A70" s="109" t="s">
        <v>510</v>
      </c>
      <c r="B70" s="110">
        <v>1895800000</v>
      </c>
      <c r="C70" s="85">
        <f>'прил 14 '!E267</f>
        <v>2984900</v>
      </c>
      <c r="D70" s="85">
        <f>'прил 14 '!F267</f>
        <v>1200900</v>
      </c>
      <c r="F70" s="201">
        <f>C69-F69</f>
        <v>0</v>
      </c>
      <c r="G70" s="201">
        <f>D69-G69</f>
        <v>0</v>
      </c>
    </row>
    <row r="71" spans="1:11" ht="73.400000000000006" x14ac:dyDescent="0.25">
      <c r="A71" s="104" t="s">
        <v>518</v>
      </c>
      <c r="B71" s="105" t="s">
        <v>519</v>
      </c>
      <c r="C71" s="128">
        <f>C72+C74</f>
        <v>20918768.439999998</v>
      </c>
      <c r="D71" s="128">
        <f>D72+D74</f>
        <v>20918768.439999998</v>
      </c>
      <c r="F71" s="201">
        <f>'прил 14 '!E594</f>
        <v>20918768.439999998</v>
      </c>
      <c r="G71" s="201">
        <f>'прил 14 '!F594</f>
        <v>20918768.439999998</v>
      </c>
    </row>
    <row r="72" spans="1:11" ht="36" customHeight="1" x14ac:dyDescent="0.25">
      <c r="A72" s="224" t="s">
        <v>550</v>
      </c>
      <c r="B72" s="225">
        <v>1910000000</v>
      </c>
      <c r="C72" s="84">
        <f>C73</f>
        <v>7604276.3499999996</v>
      </c>
      <c r="D72" s="84">
        <f>D73</f>
        <v>7604276.3499999996</v>
      </c>
      <c r="F72" s="201"/>
      <c r="G72" s="201"/>
    </row>
    <row r="73" spans="1:11" ht="20.25" customHeight="1" x14ac:dyDescent="0.25">
      <c r="A73" s="226" t="s">
        <v>1128</v>
      </c>
      <c r="B73" s="227" t="s">
        <v>552</v>
      </c>
      <c r="C73" s="85">
        <f>'прил 14 '!E278</f>
        <v>7604276.3499999996</v>
      </c>
      <c r="D73" s="85">
        <f>'прил 14 '!F278</f>
        <v>7604276.3499999996</v>
      </c>
      <c r="F73" s="201"/>
      <c r="G73" s="201"/>
    </row>
    <row r="74" spans="1:11" ht="40.75" customHeight="1" x14ac:dyDescent="0.25">
      <c r="A74" s="224" t="s">
        <v>554</v>
      </c>
      <c r="B74" s="225">
        <v>1920000000</v>
      </c>
      <c r="C74" s="84">
        <f>C75</f>
        <v>13314492.09</v>
      </c>
      <c r="D74" s="84">
        <f>D75</f>
        <v>13314492.09</v>
      </c>
      <c r="F74" s="201"/>
      <c r="G74" s="201"/>
    </row>
    <row r="75" spans="1:11" ht="36.700000000000003" x14ac:dyDescent="0.25">
      <c r="A75" s="159" t="s">
        <v>555</v>
      </c>
      <c r="B75" s="227">
        <v>1925900000</v>
      </c>
      <c r="C75" s="85">
        <f>'прил 14 '!E283</f>
        <v>13314492.09</v>
      </c>
      <c r="D75" s="85">
        <f>'прил 14 '!F283</f>
        <v>13314492.09</v>
      </c>
      <c r="F75" s="201"/>
      <c r="G75" s="201"/>
    </row>
    <row r="76" spans="1:11" ht="55.05" x14ac:dyDescent="0.25">
      <c r="A76" s="104" t="s">
        <v>950</v>
      </c>
      <c r="B76" s="291">
        <v>2100000000</v>
      </c>
      <c r="C76" s="84">
        <f>C77</f>
        <v>30000</v>
      </c>
      <c r="D76" s="84">
        <f>D77</f>
        <v>30000</v>
      </c>
      <c r="F76" s="201"/>
      <c r="G76" s="201"/>
    </row>
    <row r="77" spans="1:11" ht="36.700000000000003" x14ac:dyDescent="0.25">
      <c r="A77" s="109" t="s">
        <v>951</v>
      </c>
      <c r="B77" s="227">
        <v>2193400000</v>
      </c>
      <c r="C77" s="85">
        <f>'прил 14 '!E108</f>
        <v>30000</v>
      </c>
      <c r="D77" s="85">
        <f>'прил 14 '!F111</f>
        <v>30000</v>
      </c>
      <c r="F77" s="201"/>
      <c r="G77" s="201"/>
    </row>
    <row r="78" spans="1:11" x14ac:dyDescent="0.3">
      <c r="A78" s="682" t="s">
        <v>118</v>
      </c>
      <c r="B78" s="682"/>
      <c r="C78" s="193">
        <f>C10+C27+C33+C36+C39+C41+C45+C48+C52+C54+C56+C58+C60+C63+C67+C69+C71+C65+C50+C76</f>
        <v>770706311.42000008</v>
      </c>
      <c r="D78" s="193">
        <f>D10+D27+D33+D36+D39+D41+D45+D48+D52+D54+D56+D58+D60+D63+D67+D69+D71+D65+D50+D76</f>
        <v>770450933.90999985</v>
      </c>
      <c r="F78" s="201">
        <f>'прил 14 '!E648</f>
        <v>770706311.42000008</v>
      </c>
      <c r="G78" s="201">
        <f>'прил 14 '!F648</f>
        <v>770450933.91000009</v>
      </c>
    </row>
    <row r="80" spans="1:11" x14ac:dyDescent="0.3">
      <c r="A80" s="200" t="s">
        <v>51</v>
      </c>
      <c r="D80" s="189"/>
      <c r="E80" s="165"/>
      <c r="F80" s="201">
        <f>F78-C78</f>
        <v>0</v>
      </c>
      <c r="G80" s="201">
        <f>G78-D78</f>
        <v>0</v>
      </c>
    </row>
    <row r="84" spans="3:4" x14ac:dyDescent="0.3">
      <c r="C84" s="198">
        <f>'прил 14 '!E596</f>
        <v>184198404.84</v>
      </c>
      <c r="D84" s="198">
        <f>'прил 14 '!F596</f>
        <v>181860255.98000002</v>
      </c>
    </row>
    <row r="85" spans="3:4" x14ac:dyDescent="0.3">
      <c r="C85" s="198">
        <f>'прил 12'!F684</f>
        <v>898268501.43599999</v>
      </c>
      <c r="D85" s="198">
        <f>'прил 12 (2)'!G697</f>
        <v>952311189.88999999</v>
      </c>
    </row>
    <row r="87" spans="3:4" x14ac:dyDescent="0.3">
      <c r="C87" s="198">
        <f>C78+C84</f>
        <v>954904716.26000011</v>
      </c>
      <c r="D87" s="198">
        <f>D78+D84</f>
        <v>952311189.88999987</v>
      </c>
    </row>
  </sheetData>
  <mergeCells count="4">
    <mergeCell ref="A78:B78"/>
    <mergeCell ref="A5:D5"/>
    <mergeCell ref="A6:D6"/>
    <mergeCell ref="A7:D7"/>
  </mergeCells>
  <pageMargins left="0.70866141732283472" right="0.70866141732283472" top="0.55118110236220474" bottom="0.55118110236220474" header="0.31496062992125984" footer="0.31496062992125984"/>
  <pageSetup paperSize="9" scale="68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803"/>
  <sheetViews>
    <sheetView zoomScaleNormal="100" zoomScaleSheetLayoutView="90" workbookViewId="0">
      <selection activeCell="F46" sqref="F46"/>
    </sheetView>
  </sheetViews>
  <sheetFormatPr defaultRowHeight="18.350000000000001" outlineLevelRow="7" x14ac:dyDescent="0.25"/>
  <cols>
    <col min="1" max="1" width="59.625" style="162" customWidth="1"/>
    <col min="2" max="2" width="6.375" style="311" customWidth="1"/>
    <col min="3" max="3" width="8" style="311" customWidth="1"/>
    <col min="4" max="4" width="15.875" style="311" customWidth="1"/>
    <col min="5" max="5" width="6.875" style="311" customWidth="1"/>
    <col min="6" max="6" width="19.75" style="311" customWidth="1"/>
    <col min="7" max="7" width="20.125" style="338" customWidth="1"/>
    <col min="8" max="8" width="18.75" style="181" customWidth="1"/>
    <col min="9" max="9" width="20" style="338" customWidth="1"/>
    <col min="10" max="10" width="19.75" style="338" customWidth="1"/>
    <col min="11" max="11" width="18.375" style="163" customWidth="1"/>
    <col min="12" max="12" width="16.75" style="5" customWidth="1"/>
    <col min="13" max="13" width="17.375" style="5" customWidth="1"/>
    <col min="14" max="14" width="15.375" style="5" customWidth="1"/>
    <col min="15" max="241" width="9" style="5"/>
    <col min="242" max="242" width="75.875" style="5" customWidth="1"/>
    <col min="243" max="244" width="7.625" style="5" customWidth="1"/>
    <col min="245" max="245" width="9.625" style="5" customWidth="1"/>
    <col min="246" max="246" width="7.625" style="5" customWidth="1"/>
    <col min="247" max="250" width="0" style="5" hidden="1" customWidth="1"/>
    <col min="251" max="251" width="14.375" style="5" customWidth="1"/>
    <col min="252" max="257" width="0" style="5" hidden="1" customWidth="1"/>
    <col min="258" max="258" width="10.125" style="5" bestFit="1" customWidth="1"/>
    <col min="259" max="497" width="9" style="5"/>
    <col min="498" max="498" width="75.875" style="5" customWidth="1"/>
    <col min="499" max="500" width="7.625" style="5" customWidth="1"/>
    <col min="501" max="501" width="9.625" style="5" customWidth="1"/>
    <col min="502" max="502" width="7.625" style="5" customWidth="1"/>
    <col min="503" max="506" width="0" style="5" hidden="1" customWidth="1"/>
    <col min="507" max="507" width="14.375" style="5" customWidth="1"/>
    <col min="508" max="513" width="0" style="5" hidden="1" customWidth="1"/>
    <col min="514" max="514" width="10.125" style="5" bestFit="1" customWidth="1"/>
    <col min="515" max="753" width="9" style="5"/>
    <col min="754" max="754" width="75.875" style="5" customWidth="1"/>
    <col min="755" max="756" width="7.625" style="5" customWidth="1"/>
    <col min="757" max="757" width="9.625" style="5" customWidth="1"/>
    <col min="758" max="758" width="7.625" style="5" customWidth="1"/>
    <col min="759" max="762" width="0" style="5" hidden="1" customWidth="1"/>
    <col min="763" max="763" width="14.375" style="5" customWidth="1"/>
    <col min="764" max="769" width="0" style="5" hidden="1" customWidth="1"/>
    <col min="770" max="770" width="10.125" style="5" bestFit="1" customWidth="1"/>
    <col min="771" max="1009" width="9" style="5"/>
    <col min="1010" max="1010" width="75.875" style="5" customWidth="1"/>
    <col min="1011" max="1012" width="7.625" style="5" customWidth="1"/>
    <col min="1013" max="1013" width="9.625" style="5" customWidth="1"/>
    <col min="1014" max="1014" width="7.625" style="5" customWidth="1"/>
    <col min="1015" max="1018" width="0" style="5" hidden="1" customWidth="1"/>
    <col min="1019" max="1019" width="14.375" style="5" customWidth="1"/>
    <col min="1020" max="1025" width="0" style="5" hidden="1" customWidth="1"/>
    <col min="1026" max="1026" width="10.125" style="5" bestFit="1" customWidth="1"/>
    <col min="1027" max="1265" width="9" style="5"/>
    <col min="1266" max="1266" width="75.875" style="5" customWidth="1"/>
    <col min="1267" max="1268" width="7.625" style="5" customWidth="1"/>
    <col min="1269" max="1269" width="9.625" style="5" customWidth="1"/>
    <col min="1270" max="1270" width="7.625" style="5" customWidth="1"/>
    <col min="1271" max="1274" width="0" style="5" hidden="1" customWidth="1"/>
    <col min="1275" max="1275" width="14.375" style="5" customWidth="1"/>
    <col min="1276" max="1281" width="0" style="5" hidden="1" customWidth="1"/>
    <col min="1282" max="1282" width="10.125" style="5" bestFit="1" customWidth="1"/>
    <col min="1283" max="1521" width="9" style="5"/>
    <col min="1522" max="1522" width="75.875" style="5" customWidth="1"/>
    <col min="1523" max="1524" width="7.625" style="5" customWidth="1"/>
    <col min="1525" max="1525" width="9.625" style="5" customWidth="1"/>
    <col min="1526" max="1526" width="7.625" style="5" customWidth="1"/>
    <col min="1527" max="1530" width="0" style="5" hidden="1" customWidth="1"/>
    <col min="1531" max="1531" width="14.375" style="5" customWidth="1"/>
    <col min="1532" max="1537" width="0" style="5" hidden="1" customWidth="1"/>
    <col min="1538" max="1538" width="10.125" style="5" bestFit="1" customWidth="1"/>
    <col min="1539" max="1777" width="9" style="5"/>
    <col min="1778" max="1778" width="75.875" style="5" customWidth="1"/>
    <col min="1779" max="1780" width="7.625" style="5" customWidth="1"/>
    <col min="1781" max="1781" width="9.625" style="5" customWidth="1"/>
    <col min="1782" max="1782" width="7.625" style="5" customWidth="1"/>
    <col min="1783" max="1786" width="0" style="5" hidden="1" customWidth="1"/>
    <col min="1787" max="1787" width="14.375" style="5" customWidth="1"/>
    <col min="1788" max="1793" width="0" style="5" hidden="1" customWidth="1"/>
    <col min="1794" max="1794" width="10.125" style="5" bestFit="1" customWidth="1"/>
    <col min="1795" max="2033" width="9" style="5"/>
    <col min="2034" max="2034" width="75.875" style="5" customWidth="1"/>
    <col min="2035" max="2036" width="7.625" style="5" customWidth="1"/>
    <col min="2037" max="2037" width="9.625" style="5" customWidth="1"/>
    <col min="2038" max="2038" width="7.625" style="5" customWidth="1"/>
    <col min="2039" max="2042" width="0" style="5" hidden="1" customWidth="1"/>
    <col min="2043" max="2043" width="14.375" style="5" customWidth="1"/>
    <col min="2044" max="2049" width="0" style="5" hidden="1" customWidth="1"/>
    <col min="2050" max="2050" width="10.125" style="5" bestFit="1" customWidth="1"/>
    <col min="2051" max="2289" width="9" style="5"/>
    <col min="2290" max="2290" width="75.875" style="5" customWidth="1"/>
    <col min="2291" max="2292" width="7.625" style="5" customWidth="1"/>
    <col min="2293" max="2293" width="9.625" style="5" customWidth="1"/>
    <col min="2294" max="2294" width="7.625" style="5" customWidth="1"/>
    <col min="2295" max="2298" width="0" style="5" hidden="1" customWidth="1"/>
    <col min="2299" max="2299" width="14.375" style="5" customWidth="1"/>
    <col min="2300" max="2305" width="0" style="5" hidden="1" customWidth="1"/>
    <col min="2306" max="2306" width="10.125" style="5" bestFit="1" customWidth="1"/>
    <col min="2307" max="2545" width="9" style="5"/>
    <col min="2546" max="2546" width="75.875" style="5" customWidth="1"/>
    <col min="2547" max="2548" width="7.625" style="5" customWidth="1"/>
    <col min="2549" max="2549" width="9.625" style="5" customWidth="1"/>
    <col min="2550" max="2550" width="7.625" style="5" customWidth="1"/>
    <col min="2551" max="2554" width="0" style="5" hidden="1" customWidth="1"/>
    <col min="2555" max="2555" width="14.375" style="5" customWidth="1"/>
    <col min="2556" max="2561" width="0" style="5" hidden="1" customWidth="1"/>
    <col min="2562" max="2562" width="10.125" style="5" bestFit="1" customWidth="1"/>
    <col min="2563" max="2801" width="9" style="5"/>
    <col min="2802" max="2802" width="75.875" style="5" customWidth="1"/>
    <col min="2803" max="2804" width="7.625" style="5" customWidth="1"/>
    <col min="2805" max="2805" width="9.625" style="5" customWidth="1"/>
    <col min="2806" max="2806" width="7.625" style="5" customWidth="1"/>
    <col min="2807" max="2810" width="0" style="5" hidden="1" customWidth="1"/>
    <col min="2811" max="2811" width="14.375" style="5" customWidth="1"/>
    <col min="2812" max="2817" width="0" style="5" hidden="1" customWidth="1"/>
    <col min="2818" max="2818" width="10.125" style="5" bestFit="1" customWidth="1"/>
    <col min="2819" max="3057" width="9" style="5"/>
    <col min="3058" max="3058" width="75.875" style="5" customWidth="1"/>
    <col min="3059" max="3060" width="7.625" style="5" customWidth="1"/>
    <col min="3061" max="3061" width="9.625" style="5" customWidth="1"/>
    <col min="3062" max="3062" width="7.625" style="5" customWidth="1"/>
    <col min="3063" max="3066" width="0" style="5" hidden="1" customWidth="1"/>
    <col min="3067" max="3067" width="14.375" style="5" customWidth="1"/>
    <col min="3068" max="3073" width="0" style="5" hidden="1" customWidth="1"/>
    <col min="3074" max="3074" width="10.125" style="5" bestFit="1" customWidth="1"/>
    <col min="3075" max="3313" width="9" style="5"/>
    <col min="3314" max="3314" width="75.875" style="5" customWidth="1"/>
    <col min="3315" max="3316" width="7.625" style="5" customWidth="1"/>
    <col min="3317" max="3317" width="9.625" style="5" customWidth="1"/>
    <col min="3318" max="3318" width="7.625" style="5" customWidth="1"/>
    <col min="3319" max="3322" width="0" style="5" hidden="1" customWidth="1"/>
    <col min="3323" max="3323" width="14.375" style="5" customWidth="1"/>
    <col min="3324" max="3329" width="0" style="5" hidden="1" customWidth="1"/>
    <col min="3330" max="3330" width="10.125" style="5" bestFit="1" customWidth="1"/>
    <col min="3331" max="3569" width="9" style="5"/>
    <col min="3570" max="3570" width="75.875" style="5" customWidth="1"/>
    <col min="3571" max="3572" width="7.625" style="5" customWidth="1"/>
    <col min="3573" max="3573" width="9.625" style="5" customWidth="1"/>
    <col min="3574" max="3574" width="7.625" style="5" customWidth="1"/>
    <col min="3575" max="3578" width="0" style="5" hidden="1" customWidth="1"/>
    <col min="3579" max="3579" width="14.375" style="5" customWidth="1"/>
    <col min="3580" max="3585" width="0" style="5" hidden="1" customWidth="1"/>
    <col min="3586" max="3586" width="10.125" style="5" bestFit="1" customWidth="1"/>
    <col min="3587" max="3825" width="9" style="5"/>
    <col min="3826" max="3826" width="75.875" style="5" customWidth="1"/>
    <col min="3827" max="3828" width="7.625" style="5" customWidth="1"/>
    <col min="3829" max="3829" width="9.625" style="5" customWidth="1"/>
    <col min="3830" max="3830" width="7.625" style="5" customWidth="1"/>
    <col min="3831" max="3834" width="0" style="5" hidden="1" customWidth="1"/>
    <col min="3835" max="3835" width="14.375" style="5" customWidth="1"/>
    <col min="3836" max="3841" width="0" style="5" hidden="1" customWidth="1"/>
    <col min="3842" max="3842" width="10.125" style="5" bestFit="1" customWidth="1"/>
    <col min="3843" max="4081" width="9" style="5"/>
    <col min="4082" max="4082" width="75.875" style="5" customWidth="1"/>
    <col min="4083" max="4084" width="7.625" style="5" customWidth="1"/>
    <col min="4085" max="4085" width="9.625" style="5" customWidth="1"/>
    <col min="4086" max="4086" width="7.625" style="5" customWidth="1"/>
    <col min="4087" max="4090" width="0" style="5" hidden="1" customWidth="1"/>
    <col min="4091" max="4091" width="14.375" style="5" customWidth="1"/>
    <col min="4092" max="4097" width="0" style="5" hidden="1" customWidth="1"/>
    <col min="4098" max="4098" width="10.125" style="5" bestFit="1" customWidth="1"/>
    <col min="4099" max="4337" width="9" style="5"/>
    <col min="4338" max="4338" width="75.875" style="5" customWidth="1"/>
    <col min="4339" max="4340" width="7.625" style="5" customWidth="1"/>
    <col min="4341" max="4341" width="9.625" style="5" customWidth="1"/>
    <col min="4342" max="4342" width="7.625" style="5" customWidth="1"/>
    <col min="4343" max="4346" width="0" style="5" hidden="1" customWidth="1"/>
    <col min="4347" max="4347" width="14.375" style="5" customWidth="1"/>
    <col min="4348" max="4353" width="0" style="5" hidden="1" customWidth="1"/>
    <col min="4354" max="4354" width="10.125" style="5" bestFit="1" customWidth="1"/>
    <col min="4355" max="4593" width="9" style="5"/>
    <col min="4594" max="4594" width="75.875" style="5" customWidth="1"/>
    <col min="4595" max="4596" width="7.625" style="5" customWidth="1"/>
    <col min="4597" max="4597" width="9.625" style="5" customWidth="1"/>
    <col min="4598" max="4598" width="7.625" style="5" customWidth="1"/>
    <col min="4599" max="4602" width="0" style="5" hidden="1" customWidth="1"/>
    <col min="4603" max="4603" width="14.375" style="5" customWidth="1"/>
    <col min="4604" max="4609" width="0" style="5" hidden="1" customWidth="1"/>
    <col min="4610" max="4610" width="10.125" style="5" bestFit="1" customWidth="1"/>
    <col min="4611" max="4849" width="9" style="5"/>
    <col min="4850" max="4850" width="75.875" style="5" customWidth="1"/>
    <col min="4851" max="4852" width="7.625" style="5" customWidth="1"/>
    <col min="4853" max="4853" width="9.625" style="5" customWidth="1"/>
    <col min="4854" max="4854" width="7.625" style="5" customWidth="1"/>
    <col min="4855" max="4858" width="0" style="5" hidden="1" customWidth="1"/>
    <col min="4859" max="4859" width="14.375" style="5" customWidth="1"/>
    <col min="4860" max="4865" width="0" style="5" hidden="1" customWidth="1"/>
    <col min="4866" max="4866" width="10.125" style="5" bestFit="1" customWidth="1"/>
    <col min="4867" max="5105" width="9" style="5"/>
    <col min="5106" max="5106" width="75.875" style="5" customWidth="1"/>
    <col min="5107" max="5108" width="7.625" style="5" customWidth="1"/>
    <col min="5109" max="5109" width="9.625" style="5" customWidth="1"/>
    <col min="5110" max="5110" width="7.625" style="5" customWidth="1"/>
    <col min="5111" max="5114" width="0" style="5" hidden="1" customWidth="1"/>
    <col min="5115" max="5115" width="14.375" style="5" customWidth="1"/>
    <col min="5116" max="5121" width="0" style="5" hidden="1" customWidth="1"/>
    <col min="5122" max="5122" width="10.125" style="5" bestFit="1" customWidth="1"/>
    <col min="5123" max="5361" width="9" style="5"/>
    <col min="5362" max="5362" width="75.875" style="5" customWidth="1"/>
    <col min="5363" max="5364" width="7.625" style="5" customWidth="1"/>
    <col min="5365" max="5365" width="9.625" style="5" customWidth="1"/>
    <col min="5366" max="5366" width="7.625" style="5" customWidth="1"/>
    <col min="5367" max="5370" width="0" style="5" hidden="1" customWidth="1"/>
    <col min="5371" max="5371" width="14.375" style="5" customWidth="1"/>
    <col min="5372" max="5377" width="0" style="5" hidden="1" customWidth="1"/>
    <col min="5378" max="5378" width="10.125" style="5" bestFit="1" customWidth="1"/>
    <col min="5379" max="5617" width="9" style="5"/>
    <col min="5618" max="5618" width="75.875" style="5" customWidth="1"/>
    <col min="5619" max="5620" width="7.625" style="5" customWidth="1"/>
    <col min="5621" max="5621" width="9.625" style="5" customWidth="1"/>
    <col min="5622" max="5622" width="7.625" style="5" customWidth="1"/>
    <col min="5623" max="5626" width="0" style="5" hidden="1" customWidth="1"/>
    <col min="5627" max="5627" width="14.375" style="5" customWidth="1"/>
    <col min="5628" max="5633" width="0" style="5" hidden="1" customWidth="1"/>
    <col min="5634" max="5634" width="10.125" style="5" bestFit="1" customWidth="1"/>
    <col min="5635" max="5873" width="9" style="5"/>
    <col min="5874" max="5874" width="75.875" style="5" customWidth="1"/>
    <col min="5875" max="5876" width="7.625" style="5" customWidth="1"/>
    <col min="5877" max="5877" width="9.625" style="5" customWidth="1"/>
    <col min="5878" max="5878" width="7.625" style="5" customWidth="1"/>
    <col min="5879" max="5882" width="0" style="5" hidden="1" customWidth="1"/>
    <col min="5883" max="5883" width="14.375" style="5" customWidth="1"/>
    <col min="5884" max="5889" width="0" style="5" hidden="1" customWidth="1"/>
    <col min="5890" max="5890" width="10.125" style="5" bestFit="1" customWidth="1"/>
    <col min="5891" max="6129" width="9" style="5"/>
    <col min="6130" max="6130" width="75.875" style="5" customWidth="1"/>
    <col min="6131" max="6132" width="7.625" style="5" customWidth="1"/>
    <col min="6133" max="6133" width="9.625" style="5" customWidth="1"/>
    <col min="6134" max="6134" width="7.625" style="5" customWidth="1"/>
    <col min="6135" max="6138" width="0" style="5" hidden="1" customWidth="1"/>
    <col min="6139" max="6139" width="14.375" style="5" customWidth="1"/>
    <col min="6140" max="6145" width="0" style="5" hidden="1" customWidth="1"/>
    <col min="6146" max="6146" width="10.125" style="5" bestFit="1" customWidth="1"/>
    <col min="6147" max="6385" width="9" style="5"/>
    <col min="6386" max="6386" width="75.875" style="5" customWidth="1"/>
    <col min="6387" max="6388" width="7.625" style="5" customWidth="1"/>
    <col min="6389" max="6389" width="9.625" style="5" customWidth="1"/>
    <col min="6390" max="6390" width="7.625" style="5" customWidth="1"/>
    <col min="6391" max="6394" width="0" style="5" hidden="1" customWidth="1"/>
    <col min="6395" max="6395" width="14.375" style="5" customWidth="1"/>
    <col min="6396" max="6401" width="0" style="5" hidden="1" customWidth="1"/>
    <col min="6402" max="6402" width="10.125" style="5" bestFit="1" customWidth="1"/>
    <col min="6403" max="6641" width="9" style="5"/>
    <col min="6642" max="6642" width="75.875" style="5" customWidth="1"/>
    <col min="6643" max="6644" width="7.625" style="5" customWidth="1"/>
    <col min="6645" max="6645" width="9.625" style="5" customWidth="1"/>
    <col min="6646" max="6646" width="7.625" style="5" customWidth="1"/>
    <col min="6647" max="6650" width="0" style="5" hidden="1" customWidth="1"/>
    <col min="6651" max="6651" width="14.375" style="5" customWidth="1"/>
    <col min="6652" max="6657" width="0" style="5" hidden="1" customWidth="1"/>
    <col min="6658" max="6658" width="10.125" style="5" bestFit="1" customWidth="1"/>
    <col min="6659" max="6897" width="9" style="5"/>
    <col min="6898" max="6898" width="75.875" style="5" customWidth="1"/>
    <col min="6899" max="6900" width="7.625" style="5" customWidth="1"/>
    <col min="6901" max="6901" width="9.625" style="5" customWidth="1"/>
    <col min="6902" max="6902" width="7.625" style="5" customWidth="1"/>
    <col min="6903" max="6906" width="0" style="5" hidden="1" customWidth="1"/>
    <col min="6907" max="6907" width="14.375" style="5" customWidth="1"/>
    <col min="6908" max="6913" width="0" style="5" hidden="1" customWidth="1"/>
    <col min="6914" max="6914" width="10.125" style="5" bestFit="1" customWidth="1"/>
    <col min="6915" max="7153" width="9" style="5"/>
    <col min="7154" max="7154" width="75.875" style="5" customWidth="1"/>
    <col min="7155" max="7156" width="7.625" style="5" customWidth="1"/>
    <col min="7157" max="7157" width="9.625" style="5" customWidth="1"/>
    <col min="7158" max="7158" width="7.625" style="5" customWidth="1"/>
    <col min="7159" max="7162" width="0" style="5" hidden="1" customWidth="1"/>
    <col min="7163" max="7163" width="14.375" style="5" customWidth="1"/>
    <col min="7164" max="7169" width="0" style="5" hidden="1" customWidth="1"/>
    <col min="7170" max="7170" width="10.125" style="5" bestFit="1" customWidth="1"/>
    <col min="7171" max="7409" width="9" style="5"/>
    <col min="7410" max="7410" width="75.875" style="5" customWidth="1"/>
    <col min="7411" max="7412" width="7.625" style="5" customWidth="1"/>
    <col min="7413" max="7413" width="9.625" style="5" customWidth="1"/>
    <col min="7414" max="7414" width="7.625" style="5" customWidth="1"/>
    <col min="7415" max="7418" width="0" style="5" hidden="1" customWidth="1"/>
    <col min="7419" max="7419" width="14.375" style="5" customWidth="1"/>
    <col min="7420" max="7425" width="0" style="5" hidden="1" customWidth="1"/>
    <col min="7426" max="7426" width="10.125" style="5" bestFit="1" customWidth="1"/>
    <col min="7427" max="7665" width="9" style="5"/>
    <col min="7666" max="7666" width="75.875" style="5" customWidth="1"/>
    <col min="7667" max="7668" width="7.625" style="5" customWidth="1"/>
    <col min="7669" max="7669" width="9.625" style="5" customWidth="1"/>
    <col min="7670" max="7670" width="7.625" style="5" customWidth="1"/>
    <col min="7671" max="7674" width="0" style="5" hidden="1" customWidth="1"/>
    <col min="7675" max="7675" width="14.375" style="5" customWidth="1"/>
    <col min="7676" max="7681" width="0" style="5" hidden="1" customWidth="1"/>
    <col min="7682" max="7682" width="10.125" style="5" bestFit="1" customWidth="1"/>
    <col min="7683" max="7921" width="9" style="5"/>
    <col min="7922" max="7922" width="75.875" style="5" customWidth="1"/>
    <col min="7923" max="7924" width="7.625" style="5" customWidth="1"/>
    <col min="7925" max="7925" width="9.625" style="5" customWidth="1"/>
    <col min="7926" max="7926" width="7.625" style="5" customWidth="1"/>
    <col min="7927" max="7930" width="0" style="5" hidden="1" customWidth="1"/>
    <col min="7931" max="7931" width="14.375" style="5" customWidth="1"/>
    <col min="7932" max="7937" width="0" style="5" hidden="1" customWidth="1"/>
    <col min="7938" max="7938" width="10.125" style="5" bestFit="1" customWidth="1"/>
    <col min="7939" max="8177" width="9" style="5"/>
    <col min="8178" max="8178" width="75.875" style="5" customWidth="1"/>
    <col min="8179" max="8180" width="7.625" style="5" customWidth="1"/>
    <col min="8181" max="8181" width="9.625" style="5" customWidth="1"/>
    <col min="8182" max="8182" width="7.625" style="5" customWidth="1"/>
    <col min="8183" max="8186" width="0" style="5" hidden="1" customWidth="1"/>
    <col min="8187" max="8187" width="14.375" style="5" customWidth="1"/>
    <col min="8188" max="8193" width="0" style="5" hidden="1" customWidth="1"/>
    <col min="8194" max="8194" width="10.125" style="5" bestFit="1" customWidth="1"/>
    <col min="8195" max="8433" width="9" style="5"/>
    <col min="8434" max="8434" width="75.875" style="5" customWidth="1"/>
    <col min="8435" max="8436" width="7.625" style="5" customWidth="1"/>
    <col min="8437" max="8437" width="9.625" style="5" customWidth="1"/>
    <col min="8438" max="8438" width="7.625" style="5" customWidth="1"/>
    <col min="8439" max="8442" width="0" style="5" hidden="1" customWidth="1"/>
    <col min="8443" max="8443" width="14.375" style="5" customWidth="1"/>
    <col min="8444" max="8449" width="0" style="5" hidden="1" customWidth="1"/>
    <col min="8450" max="8450" width="10.125" style="5" bestFit="1" customWidth="1"/>
    <col min="8451" max="8689" width="9" style="5"/>
    <col min="8690" max="8690" width="75.875" style="5" customWidth="1"/>
    <col min="8691" max="8692" width="7.625" style="5" customWidth="1"/>
    <col min="8693" max="8693" width="9.625" style="5" customWidth="1"/>
    <col min="8694" max="8694" width="7.625" style="5" customWidth="1"/>
    <col min="8695" max="8698" width="0" style="5" hidden="1" customWidth="1"/>
    <col min="8699" max="8699" width="14.375" style="5" customWidth="1"/>
    <col min="8700" max="8705" width="0" style="5" hidden="1" customWidth="1"/>
    <col min="8706" max="8706" width="10.125" style="5" bestFit="1" customWidth="1"/>
    <col min="8707" max="8945" width="9" style="5"/>
    <col min="8946" max="8946" width="75.875" style="5" customWidth="1"/>
    <col min="8947" max="8948" width="7.625" style="5" customWidth="1"/>
    <col min="8949" max="8949" width="9.625" style="5" customWidth="1"/>
    <col min="8950" max="8950" width="7.625" style="5" customWidth="1"/>
    <col min="8951" max="8954" width="0" style="5" hidden="1" customWidth="1"/>
    <col min="8955" max="8955" width="14.375" style="5" customWidth="1"/>
    <col min="8956" max="8961" width="0" style="5" hidden="1" customWidth="1"/>
    <col min="8962" max="8962" width="10.125" style="5" bestFit="1" customWidth="1"/>
    <col min="8963" max="9201" width="9" style="5"/>
    <col min="9202" max="9202" width="75.875" style="5" customWidth="1"/>
    <col min="9203" max="9204" width="7.625" style="5" customWidth="1"/>
    <col min="9205" max="9205" width="9.625" style="5" customWidth="1"/>
    <col min="9206" max="9206" width="7.625" style="5" customWidth="1"/>
    <col min="9207" max="9210" width="0" style="5" hidden="1" customWidth="1"/>
    <col min="9211" max="9211" width="14.375" style="5" customWidth="1"/>
    <col min="9212" max="9217" width="0" style="5" hidden="1" customWidth="1"/>
    <col min="9218" max="9218" width="10.125" style="5" bestFit="1" customWidth="1"/>
    <col min="9219" max="9457" width="9" style="5"/>
    <col min="9458" max="9458" width="75.875" style="5" customWidth="1"/>
    <col min="9459" max="9460" width="7.625" style="5" customWidth="1"/>
    <col min="9461" max="9461" width="9.625" style="5" customWidth="1"/>
    <col min="9462" max="9462" width="7.625" style="5" customWidth="1"/>
    <col min="9463" max="9466" width="0" style="5" hidden="1" customWidth="1"/>
    <col min="9467" max="9467" width="14.375" style="5" customWidth="1"/>
    <col min="9468" max="9473" width="0" style="5" hidden="1" customWidth="1"/>
    <col min="9474" max="9474" width="10.125" style="5" bestFit="1" customWidth="1"/>
    <col min="9475" max="9713" width="9" style="5"/>
    <col min="9714" max="9714" width="75.875" style="5" customWidth="1"/>
    <col min="9715" max="9716" width="7.625" style="5" customWidth="1"/>
    <col min="9717" max="9717" width="9.625" style="5" customWidth="1"/>
    <col min="9718" max="9718" width="7.625" style="5" customWidth="1"/>
    <col min="9719" max="9722" width="0" style="5" hidden="1" customWidth="1"/>
    <col min="9723" max="9723" width="14.375" style="5" customWidth="1"/>
    <col min="9724" max="9729" width="0" style="5" hidden="1" customWidth="1"/>
    <col min="9730" max="9730" width="10.125" style="5" bestFit="1" customWidth="1"/>
    <col min="9731" max="9969" width="9" style="5"/>
    <col min="9970" max="9970" width="75.875" style="5" customWidth="1"/>
    <col min="9971" max="9972" width="7.625" style="5" customWidth="1"/>
    <col min="9973" max="9973" width="9.625" style="5" customWidth="1"/>
    <col min="9974" max="9974" width="7.625" style="5" customWidth="1"/>
    <col min="9975" max="9978" width="0" style="5" hidden="1" customWidth="1"/>
    <col min="9979" max="9979" width="14.375" style="5" customWidth="1"/>
    <col min="9980" max="9985" width="0" style="5" hidden="1" customWidth="1"/>
    <col min="9986" max="9986" width="10.125" style="5" bestFit="1" customWidth="1"/>
    <col min="9987" max="10225" width="9" style="5"/>
    <col min="10226" max="10226" width="75.875" style="5" customWidth="1"/>
    <col min="10227" max="10228" width="7.625" style="5" customWidth="1"/>
    <col min="10229" max="10229" width="9.625" style="5" customWidth="1"/>
    <col min="10230" max="10230" width="7.625" style="5" customWidth="1"/>
    <col min="10231" max="10234" width="0" style="5" hidden="1" customWidth="1"/>
    <col min="10235" max="10235" width="14.375" style="5" customWidth="1"/>
    <col min="10236" max="10241" width="0" style="5" hidden="1" customWidth="1"/>
    <col min="10242" max="10242" width="10.125" style="5" bestFit="1" customWidth="1"/>
    <col min="10243" max="10481" width="9" style="5"/>
    <col min="10482" max="10482" width="75.875" style="5" customWidth="1"/>
    <col min="10483" max="10484" width="7.625" style="5" customWidth="1"/>
    <col min="10485" max="10485" width="9.625" style="5" customWidth="1"/>
    <col min="10486" max="10486" width="7.625" style="5" customWidth="1"/>
    <col min="10487" max="10490" width="0" style="5" hidden="1" customWidth="1"/>
    <col min="10491" max="10491" width="14.375" style="5" customWidth="1"/>
    <col min="10492" max="10497" width="0" style="5" hidden="1" customWidth="1"/>
    <col min="10498" max="10498" width="10.125" style="5" bestFit="1" customWidth="1"/>
    <col min="10499" max="10737" width="9" style="5"/>
    <col min="10738" max="10738" width="75.875" style="5" customWidth="1"/>
    <col min="10739" max="10740" width="7.625" style="5" customWidth="1"/>
    <col min="10741" max="10741" width="9.625" style="5" customWidth="1"/>
    <col min="10742" max="10742" width="7.625" style="5" customWidth="1"/>
    <col min="10743" max="10746" width="0" style="5" hidden="1" customWidth="1"/>
    <col min="10747" max="10747" width="14.375" style="5" customWidth="1"/>
    <col min="10748" max="10753" width="0" style="5" hidden="1" customWidth="1"/>
    <col min="10754" max="10754" width="10.125" style="5" bestFit="1" customWidth="1"/>
    <col min="10755" max="10993" width="9" style="5"/>
    <col min="10994" max="10994" width="75.875" style="5" customWidth="1"/>
    <col min="10995" max="10996" width="7.625" style="5" customWidth="1"/>
    <col min="10997" max="10997" width="9.625" style="5" customWidth="1"/>
    <col min="10998" max="10998" width="7.625" style="5" customWidth="1"/>
    <col min="10999" max="11002" width="0" style="5" hidden="1" customWidth="1"/>
    <col min="11003" max="11003" width="14.375" style="5" customWidth="1"/>
    <col min="11004" max="11009" width="0" style="5" hidden="1" customWidth="1"/>
    <col min="11010" max="11010" width="10.125" style="5" bestFit="1" customWidth="1"/>
    <col min="11011" max="11249" width="9" style="5"/>
    <col min="11250" max="11250" width="75.875" style="5" customWidth="1"/>
    <col min="11251" max="11252" width="7.625" style="5" customWidth="1"/>
    <col min="11253" max="11253" width="9.625" style="5" customWidth="1"/>
    <col min="11254" max="11254" width="7.625" style="5" customWidth="1"/>
    <col min="11255" max="11258" width="0" style="5" hidden="1" customWidth="1"/>
    <col min="11259" max="11259" width="14.375" style="5" customWidth="1"/>
    <col min="11260" max="11265" width="0" style="5" hidden="1" customWidth="1"/>
    <col min="11266" max="11266" width="10.125" style="5" bestFit="1" customWidth="1"/>
    <col min="11267" max="11505" width="9" style="5"/>
    <col min="11506" max="11506" width="75.875" style="5" customWidth="1"/>
    <col min="11507" max="11508" width="7.625" style="5" customWidth="1"/>
    <col min="11509" max="11509" width="9.625" style="5" customWidth="1"/>
    <col min="11510" max="11510" width="7.625" style="5" customWidth="1"/>
    <col min="11511" max="11514" width="0" style="5" hidden="1" customWidth="1"/>
    <col min="11515" max="11515" width="14.375" style="5" customWidth="1"/>
    <col min="11516" max="11521" width="0" style="5" hidden="1" customWidth="1"/>
    <col min="11522" max="11522" width="10.125" style="5" bestFit="1" customWidth="1"/>
    <col min="11523" max="11761" width="9" style="5"/>
    <col min="11762" max="11762" width="75.875" style="5" customWidth="1"/>
    <col min="11763" max="11764" width="7.625" style="5" customWidth="1"/>
    <col min="11765" max="11765" width="9.625" style="5" customWidth="1"/>
    <col min="11766" max="11766" width="7.625" style="5" customWidth="1"/>
    <col min="11767" max="11770" width="0" style="5" hidden="1" customWidth="1"/>
    <col min="11771" max="11771" width="14.375" style="5" customWidth="1"/>
    <col min="11772" max="11777" width="0" style="5" hidden="1" customWidth="1"/>
    <col min="11778" max="11778" width="10.125" style="5" bestFit="1" customWidth="1"/>
    <col min="11779" max="12017" width="9" style="5"/>
    <col min="12018" max="12018" width="75.875" style="5" customWidth="1"/>
    <col min="12019" max="12020" width="7.625" style="5" customWidth="1"/>
    <col min="12021" max="12021" width="9.625" style="5" customWidth="1"/>
    <col min="12022" max="12022" width="7.625" style="5" customWidth="1"/>
    <col min="12023" max="12026" width="0" style="5" hidden="1" customWidth="1"/>
    <col min="12027" max="12027" width="14.375" style="5" customWidth="1"/>
    <col min="12028" max="12033" width="0" style="5" hidden="1" customWidth="1"/>
    <col min="12034" max="12034" width="10.125" style="5" bestFit="1" customWidth="1"/>
    <col min="12035" max="12273" width="9" style="5"/>
    <col min="12274" max="12274" width="75.875" style="5" customWidth="1"/>
    <col min="12275" max="12276" width="7.625" style="5" customWidth="1"/>
    <col min="12277" max="12277" width="9.625" style="5" customWidth="1"/>
    <col min="12278" max="12278" width="7.625" style="5" customWidth="1"/>
    <col min="12279" max="12282" width="0" style="5" hidden="1" customWidth="1"/>
    <col min="12283" max="12283" width="14.375" style="5" customWidth="1"/>
    <col min="12284" max="12289" width="0" style="5" hidden="1" customWidth="1"/>
    <col min="12290" max="12290" width="10.125" style="5" bestFit="1" customWidth="1"/>
    <col min="12291" max="12529" width="9" style="5"/>
    <col min="12530" max="12530" width="75.875" style="5" customWidth="1"/>
    <col min="12531" max="12532" width="7.625" style="5" customWidth="1"/>
    <col min="12533" max="12533" width="9.625" style="5" customWidth="1"/>
    <col min="12534" max="12534" width="7.625" style="5" customWidth="1"/>
    <col min="12535" max="12538" width="0" style="5" hidden="1" customWidth="1"/>
    <col min="12539" max="12539" width="14.375" style="5" customWidth="1"/>
    <col min="12540" max="12545" width="0" style="5" hidden="1" customWidth="1"/>
    <col min="12546" max="12546" width="10.125" style="5" bestFit="1" customWidth="1"/>
    <col min="12547" max="12785" width="9" style="5"/>
    <col min="12786" max="12786" width="75.875" style="5" customWidth="1"/>
    <col min="12787" max="12788" width="7.625" style="5" customWidth="1"/>
    <col min="12789" max="12789" width="9.625" style="5" customWidth="1"/>
    <col min="12790" max="12790" width="7.625" style="5" customWidth="1"/>
    <col min="12791" max="12794" width="0" style="5" hidden="1" customWidth="1"/>
    <col min="12795" max="12795" width="14.375" style="5" customWidth="1"/>
    <col min="12796" max="12801" width="0" style="5" hidden="1" customWidth="1"/>
    <col min="12802" max="12802" width="10.125" style="5" bestFit="1" customWidth="1"/>
    <col min="12803" max="13041" width="9" style="5"/>
    <col min="13042" max="13042" width="75.875" style="5" customWidth="1"/>
    <col min="13043" max="13044" width="7.625" style="5" customWidth="1"/>
    <col min="13045" max="13045" width="9.625" style="5" customWidth="1"/>
    <col min="13046" max="13046" width="7.625" style="5" customWidth="1"/>
    <col min="13047" max="13050" width="0" style="5" hidden="1" customWidth="1"/>
    <col min="13051" max="13051" width="14.375" style="5" customWidth="1"/>
    <col min="13052" max="13057" width="0" style="5" hidden="1" customWidth="1"/>
    <col min="13058" max="13058" width="10.125" style="5" bestFit="1" customWidth="1"/>
    <col min="13059" max="13297" width="9" style="5"/>
    <col min="13298" max="13298" width="75.875" style="5" customWidth="1"/>
    <col min="13299" max="13300" width="7.625" style="5" customWidth="1"/>
    <col min="13301" max="13301" width="9.625" style="5" customWidth="1"/>
    <col min="13302" max="13302" width="7.625" style="5" customWidth="1"/>
    <col min="13303" max="13306" width="0" style="5" hidden="1" customWidth="1"/>
    <col min="13307" max="13307" width="14.375" style="5" customWidth="1"/>
    <col min="13308" max="13313" width="0" style="5" hidden="1" customWidth="1"/>
    <col min="13314" max="13314" width="10.125" style="5" bestFit="1" customWidth="1"/>
    <col min="13315" max="13553" width="9" style="5"/>
    <col min="13554" max="13554" width="75.875" style="5" customWidth="1"/>
    <col min="13555" max="13556" width="7.625" style="5" customWidth="1"/>
    <col min="13557" max="13557" width="9.625" style="5" customWidth="1"/>
    <col min="13558" max="13558" width="7.625" style="5" customWidth="1"/>
    <col min="13559" max="13562" width="0" style="5" hidden="1" customWidth="1"/>
    <col min="13563" max="13563" width="14.375" style="5" customWidth="1"/>
    <col min="13564" max="13569" width="0" style="5" hidden="1" customWidth="1"/>
    <col min="13570" max="13570" width="10.125" style="5" bestFit="1" customWidth="1"/>
    <col min="13571" max="13809" width="9" style="5"/>
    <col min="13810" max="13810" width="75.875" style="5" customWidth="1"/>
    <col min="13811" max="13812" width="7.625" style="5" customWidth="1"/>
    <col min="13813" max="13813" width="9.625" style="5" customWidth="1"/>
    <col min="13814" max="13814" width="7.625" style="5" customWidth="1"/>
    <col min="13815" max="13818" width="0" style="5" hidden="1" customWidth="1"/>
    <col min="13819" max="13819" width="14.375" style="5" customWidth="1"/>
    <col min="13820" max="13825" width="0" style="5" hidden="1" customWidth="1"/>
    <col min="13826" max="13826" width="10.125" style="5" bestFit="1" customWidth="1"/>
    <col min="13827" max="14065" width="9" style="5"/>
    <col min="14066" max="14066" width="75.875" style="5" customWidth="1"/>
    <col min="14067" max="14068" width="7.625" style="5" customWidth="1"/>
    <col min="14069" max="14069" width="9.625" style="5" customWidth="1"/>
    <col min="14070" max="14070" width="7.625" style="5" customWidth="1"/>
    <col min="14071" max="14074" width="0" style="5" hidden="1" customWidth="1"/>
    <col min="14075" max="14075" width="14.375" style="5" customWidth="1"/>
    <col min="14076" max="14081" width="0" style="5" hidden="1" customWidth="1"/>
    <col min="14082" max="14082" width="10.125" style="5" bestFit="1" customWidth="1"/>
    <col min="14083" max="14321" width="9" style="5"/>
    <col min="14322" max="14322" width="75.875" style="5" customWidth="1"/>
    <col min="14323" max="14324" width="7.625" style="5" customWidth="1"/>
    <col min="14325" max="14325" width="9.625" style="5" customWidth="1"/>
    <col min="14326" max="14326" width="7.625" style="5" customWidth="1"/>
    <col min="14327" max="14330" width="0" style="5" hidden="1" customWidth="1"/>
    <col min="14331" max="14331" width="14.375" style="5" customWidth="1"/>
    <col min="14332" max="14337" width="0" style="5" hidden="1" customWidth="1"/>
    <col min="14338" max="14338" width="10.125" style="5" bestFit="1" customWidth="1"/>
    <col min="14339" max="14577" width="9" style="5"/>
    <col min="14578" max="14578" width="75.875" style="5" customWidth="1"/>
    <col min="14579" max="14580" width="7.625" style="5" customWidth="1"/>
    <col min="14581" max="14581" width="9.625" style="5" customWidth="1"/>
    <col min="14582" max="14582" width="7.625" style="5" customWidth="1"/>
    <col min="14583" max="14586" width="0" style="5" hidden="1" customWidth="1"/>
    <col min="14587" max="14587" width="14.375" style="5" customWidth="1"/>
    <col min="14588" max="14593" width="0" style="5" hidden="1" customWidth="1"/>
    <col min="14594" max="14594" width="10.125" style="5" bestFit="1" customWidth="1"/>
    <col min="14595" max="14833" width="9" style="5"/>
    <col min="14834" max="14834" width="75.875" style="5" customWidth="1"/>
    <col min="14835" max="14836" width="7.625" style="5" customWidth="1"/>
    <col min="14837" max="14837" width="9.625" style="5" customWidth="1"/>
    <col min="14838" max="14838" width="7.625" style="5" customWidth="1"/>
    <col min="14839" max="14842" width="0" style="5" hidden="1" customWidth="1"/>
    <col min="14843" max="14843" width="14.375" style="5" customWidth="1"/>
    <col min="14844" max="14849" width="0" style="5" hidden="1" customWidth="1"/>
    <col min="14850" max="14850" width="10.125" style="5" bestFit="1" customWidth="1"/>
    <col min="14851" max="15089" width="9" style="5"/>
    <col min="15090" max="15090" width="75.875" style="5" customWidth="1"/>
    <col min="15091" max="15092" width="7.625" style="5" customWidth="1"/>
    <col min="15093" max="15093" width="9.625" style="5" customWidth="1"/>
    <col min="15094" max="15094" width="7.625" style="5" customWidth="1"/>
    <col min="15095" max="15098" width="0" style="5" hidden="1" customWidth="1"/>
    <col min="15099" max="15099" width="14.375" style="5" customWidth="1"/>
    <col min="15100" max="15105" width="0" style="5" hidden="1" customWidth="1"/>
    <col min="15106" max="15106" width="10.125" style="5" bestFit="1" customWidth="1"/>
    <col min="15107" max="15345" width="9" style="5"/>
    <col min="15346" max="15346" width="75.875" style="5" customWidth="1"/>
    <col min="15347" max="15348" width="7.625" style="5" customWidth="1"/>
    <col min="15349" max="15349" width="9.625" style="5" customWidth="1"/>
    <col min="15350" max="15350" width="7.625" style="5" customWidth="1"/>
    <col min="15351" max="15354" width="0" style="5" hidden="1" customWidth="1"/>
    <col min="15355" max="15355" width="14.375" style="5" customWidth="1"/>
    <col min="15356" max="15361" width="0" style="5" hidden="1" customWidth="1"/>
    <col min="15362" max="15362" width="10.125" style="5" bestFit="1" customWidth="1"/>
    <col min="15363" max="15601" width="9" style="5"/>
    <col min="15602" max="15602" width="75.875" style="5" customWidth="1"/>
    <col min="15603" max="15604" width="7.625" style="5" customWidth="1"/>
    <col min="15605" max="15605" width="9.625" style="5" customWidth="1"/>
    <col min="15606" max="15606" width="7.625" style="5" customWidth="1"/>
    <col min="15607" max="15610" width="0" style="5" hidden="1" customWidth="1"/>
    <col min="15611" max="15611" width="14.375" style="5" customWidth="1"/>
    <col min="15612" max="15617" width="0" style="5" hidden="1" customWidth="1"/>
    <col min="15618" max="15618" width="10.125" style="5" bestFit="1" customWidth="1"/>
    <col min="15619" max="15857" width="9" style="5"/>
    <col min="15858" max="15858" width="75.875" style="5" customWidth="1"/>
    <col min="15859" max="15860" width="7.625" style="5" customWidth="1"/>
    <col min="15861" max="15861" width="9.625" style="5" customWidth="1"/>
    <col min="15862" max="15862" width="7.625" style="5" customWidth="1"/>
    <col min="15863" max="15866" width="0" style="5" hidden="1" customWidth="1"/>
    <col min="15867" max="15867" width="14.375" style="5" customWidth="1"/>
    <col min="15868" max="15873" width="0" style="5" hidden="1" customWidth="1"/>
    <col min="15874" max="15874" width="10.125" style="5" bestFit="1" customWidth="1"/>
    <col min="15875" max="16113" width="9" style="5"/>
    <col min="16114" max="16114" width="75.875" style="5" customWidth="1"/>
    <col min="16115" max="16116" width="7.625" style="5" customWidth="1"/>
    <col min="16117" max="16117" width="9.625" style="5" customWidth="1"/>
    <col min="16118" max="16118" width="7.625" style="5" customWidth="1"/>
    <col min="16119" max="16122" width="0" style="5" hidden="1" customWidth="1"/>
    <col min="16123" max="16123" width="14.375" style="5" customWidth="1"/>
    <col min="16124" max="16129" width="0" style="5" hidden="1" customWidth="1"/>
    <col min="16130" max="16130" width="10.125" style="5" bestFit="1" customWidth="1"/>
    <col min="16131" max="16384" width="9" style="5"/>
  </cols>
  <sheetData>
    <row r="1" spans="1:14" x14ac:dyDescent="0.3">
      <c r="G1" s="311"/>
      <c r="H1" s="162"/>
      <c r="I1" s="311"/>
      <c r="J1" s="311"/>
      <c r="K1" s="7"/>
      <c r="L1" s="7"/>
      <c r="M1" s="7"/>
      <c r="N1" s="299" t="s">
        <v>901</v>
      </c>
    </row>
    <row r="2" spans="1:14" s="165" customFormat="1" x14ac:dyDescent="0.3">
      <c r="A2" s="678" t="s">
        <v>240</v>
      </c>
      <c r="B2" s="678"/>
      <c r="C2" s="678"/>
      <c r="D2" s="678"/>
      <c r="E2" s="678"/>
      <c r="F2" s="678"/>
      <c r="G2" s="678"/>
      <c r="H2" s="200"/>
      <c r="I2" s="273"/>
      <c r="J2" s="312"/>
      <c r="K2" s="164"/>
    </row>
    <row r="3" spans="1:14" s="165" customFormat="1" x14ac:dyDescent="0.3">
      <c r="A3" s="677" t="s">
        <v>965</v>
      </c>
      <c r="B3" s="677"/>
      <c r="C3" s="677"/>
      <c r="D3" s="677"/>
      <c r="E3" s="677"/>
      <c r="F3" s="677"/>
      <c r="G3" s="677"/>
      <c r="H3" s="119"/>
      <c r="I3" s="166"/>
      <c r="J3" s="312"/>
      <c r="K3" s="164"/>
    </row>
    <row r="4" spans="1:14" s="165" customFormat="1" x14ac:dyDescent="0.3">
      <c r="A4" s="677" t="s">
        <v>472</v>
      </c>
      <c r="B4" s="677"/>
      <c r="C4" s="677"/>
      <c r="D4" s="677"/>
      <c r="E4" s="677"/>
      <c r="F4" s="677"/>
      <c r="G4" s="677"/>
      <c r="H4" s="119"/>
      <c r="I4" s="166"/>
      <c r="J4" s="312"/>
      <c r="K4" s="164"/>
    </row>
    <row r="5" spans="1:14" s="165" customFormat="1" x14ac:dyDescent="0.25">
      <c r="A5" s="166"/>
      <c r="B5" s="166"/>
      <c r="C5" s="166"/>
      <c r="D5" s="166"/>
      <c r="E5" s="166"/>
      <c r="F5" s="166"/>
      <c r="G5" s="312" t="s">
        <v>408</v>
      </c>
      <c r="H5" s="358"/>
      <c r="I5" s="312"/>
      <c r="J5" s="312"/>
      <c r="K5" s="164"/>
    </row>
    <row r="6" spans="1:14" ht="73.400000000000006" x14ac:dyDescent="0.25">
      <c r="A6" s="342" t="s">
        <v>0</v>
      </c>
      <c r="B6" s="342" t="s">
        <v>1</v>
      </c>
      <c r="C6" s="342" t="s">
        <v>2</v>
      </c>
      <c r="D6" s="342" t="s">
        <v>3</v>
      </c>
      <c r="E6" s="342" t="s">
        <v>4</v>
      </c>
      <c r="F6" s="342" t="s">
        <v>975</v>
      </c>
      <c r="G6" s="343" t="s">
        <v>966</v>
      </c>
      <c r="H6" s="359" t="s">
        <v>979</v>
      </c>
      <c r="I6" s="343" t="s">
        <v>967</v>
      </c>
      <c r="J6" s="313" t="s">
        <v>962</v>
      </c>
      <c r="K6" s="301" t="s">
        <v>963</v>
      </c>
      <c r="L6" s="135" t="s">
        <v>758</v>
      </c>
      <c r="M6" s="302" t="s">
        <v>787</v>
      </c>
      <c r="N6" s="303" t="s">
        <v>964</v>
      </c>
    </row>
    <row r="7" spans="1:14" s="170" customFormat="1" ht="55.05" x14ac:dyDescent="0.25">
      <c r="A7" s="104" t="s">
        <v>493</v>
      </c>
      <c r="B7" s="105" t="s">
        <v>499</v>
      </c>
      <c r="C7" s="105" t="s">
        <v>5</v>
      </c>
      <c r="D7" s="105" t="s">
        <v>126</v>
      </c>
      <c r="E7" s="105" t="s">
        <v>6</v>
      </c>
      <c r="F7" s="314">
        <v>7431987.3099999996</v>
      </c>
      <c r="G7" s="315">
        <f>G8</f>
        <v>7668127.0300000003</v>
      </c>
      <c r="H7" s="365">
        <v>5396024.0800000001</v>
      </c>
      <c r="I7" s="315">
        <f>I8</f>
        <v>8050477.2300000004</v>
      </c>
      <c r="J7" s="315">
        <f>J8</f>
        <v>8752490</v>
      </c>
      <c r="K7" s="294"/>
      <c r="L7" s="295"/>
      <c r="M7" s="295"/>
      <c r="N7" s="295"/>
    </row>
    <row r="8" spans="1:14" outlineLevel="1" x14ac:dyDescent="0.25">
      <c r="A8" s="81" t="s">
        <v>7</v>
      </c>
      <c r="B8" s="80" t="s">
        <v>499</v>
      </c>
      <c r="C8" s="80" t="s">
        <v>8</v>
      </c>
      <c r="D8" s="80" t="s">
        <v>126</v>
      </c>
      <c r="E8" s="80" t="s">
        <v>6</v>
      </c>
      <c r="F8" s="316">
        <v>7431987.3099999996</v>
      </c>
      <c r="G8" s="317">
        <f>G9+G18</f>
        <v>7668127.0300000003</v>
      </c>
      <c r="H8" s="366">
        <v>5396024.0800000001</v>
      </c>
      <c r="I8" s="317">
        <f>I9+I18</f>
        <v>8050477.2300000004</v>
      </c>
      <c r="J8" s="317">
        <f>J9+J18</f>
        <v>8752490</v>
      </c>
      <c r="K8" s="296"/>
      <c r="L8" s="232"/>
      <c r="M8" s="232"/>
      <c r="N8" s="232"/>
    </row>
    <row r="9" spans="1:14" ht="39.25" customHeight="1" outlineLevel="2" x14ac:dyDescent="0.25">
      <c r="A9" s="81" t="s">
        <v>9</v>
      </c>
      <c r="B9" s="80" t="s">
        <v>499</v>
      </c>
      <c r="C9" s="80" t="s">
        <v>10</v>
      </c>
      <c r="D9" s="80" t="s">
        <v>126</v>
      </c>
      <c r="E9" s="80" t="s">
        <v>6</v>
      </c>
      <c r="F9" s="316">
        <v>6921278.3099999996</v>
      </c>
      <c r="G9" s="317">
        <f t="shared" ref="G9:J10" si="0">G10</f>
        <v>7132671.0300000003</v>
      </c>
      <c r="H9" s="366">
        <v>5352630.08</v>
      </c>
      <c r="I9" s="317">
        <f t="shared" si="0"/>
        <v>7515021.2300000004</v>
      </c>
      <c r="J9" s="317">
        <f t="shared" si="0"/>
        <v>7594703</v>
      </c>
      <c r="K9" s="296"/>
      <c r="L9" s="232"/>
      <c r="M9" s="232"/>
      <c r="N9" s="232"/>
    </row>
    <row r="10" spans="1:14" ht="36.700000000000003" outlineLevel="4" x14ac:dyDescent="0.25">
      <c r="A10" s="81" t="s">
        <v>132</v>
      </c>
      <c r="B10" s="80" t="s">
        <v>499</v>
      </c>
      <c r="C10" s="80" t="s">
        <v>10</v>
      </c>
      <c r="D10" s="80" t="s">
        <v>127</v>
      </c>
      <c r="E10" s="80" t="s">
        <v>6</v>
      </c>
      <c r="F10" s="316">
        <v>6921278.3099999996</v>
      </c>
      <c r="G10" s="317">
        <f t="shared" si="0"/>
        <v>7132671.0300000003</v>
      </c>
      <c r="H10" s="360">
        <f t="shared" si="0"/>
        <v>5352630.08</v>
      </c>
      <c r="I10" s="317">
        <f t="shared" si="0"/>
        <v>7515021.2300000004</v>
      </c>
      <c r="J10" s="317">
        <f t="shared" si="0"/>
        <v>7594703</v>
      </c>
      <c r="K10" s="296"/>
      <c r="L10" s="232"/>
      <c r="M10" s="232"/>
      <c r="N10" s="232"/>
    </row>
    <row r="11" spans="1:14" ht="40.75" customHeight="1" outlineLevel="5" x14ac:dyDescent="0.25">
      <c r="A11" s="81" t="s">
        <v>494</v>
      </c>
      <c r="B11" s="80" t="s">
        <v>499</v>
      </c>
      <c r="C11" s="80" t="s">
        <v>10</v>
      </c>
      <c r="D11" s="80" t="s">
        <v>495</v>
      </c>
      <c r="E11" s="80" t="s">
        <v>6</v>
      </c>
      <c r="F11" s="316">
        <v>6921278.3099999996</v>
      </c>
      <c r="G11" s="317">
        <f>G12+G14+G16</f>
        <v>7132671.0300000003</v>
      </c>
      <c r="H11" s="360">
        <f>H12+H14+H16</f>
        <v>5352630.08</v>
      </c>
      <c r="I11" s="317">
        <f>I12+I14+I16</f>
        <v>7515021.2300000004</v>
      </c>
      <c r="J11" s="317">
        <f>J12+J14+J16</f>
        <v>7594703</v>
      </c>
      <c r="K11" s="296"/>
      <c r="L11" s="232"/>
      <c r="M11" s="232"/>
      <c r="N11" s="232"/>
    </row>
    <row r="12" spans="1:14" ht="76.75" customHeight="1" outlineLevel="6" x14ac:dyDescent="0.25">
      <c r="A12" s="81" t="s">
        <v>11</v>
      </c>
      <c r="B12" s="80" t="s">
        <v>499</v>
      </c>
      <c r="C12" s="80" t="s">
        <v>10</v>
      </c>
      <c r="D12" s="80" t="s">
        <v>495</v>
      </c>
      <c r="E12" s="80" t="s">
        <v>12</v>
      </c>
      <c r="F12" s="316">
        <v>6756822.3099999996</v>
      </c>
      <c r="G12" s="317">
        <f>G13</f>
        <v>6786101.0300000003</v>
      </c>
      <c r="H12" s="367">
        <v>5151988.76</v>
      </c>
      <c r="I12" s="317">
        <f>I13</f>
        <v>7264821.2300000004</v>
      </c>
      <c r="J12" s="318">
        <v>7311139</v>
      </c>
      <c r="K12" s="296"/>
      <c r="L12" s="232"/>
      <c r="M12" s="232"/>
      <c r="N12" s="232"/>
    </row>
    <row r="13" spans="1:14" ht="36.700000000000003" outlineLevel="7" x14ac:dyDescent="0.25">
      <c r="A13" s="81" t="s">
        <v>13</v>
      </c>
      <c r="B13" s="80" t="s">
        <v>499</v>
      </c>
      <c r="C13" s="80" t="s">
        <v>10</v>
      </c>
      <c r="D13" s="80" t="s">
        <v>495</v>
      </c>
      <c r="E13" s="80" t="s">
        <v>14</v>
      </c>
      <c r="F13" s="316">
        <v>6756822.3099999996</v>
      </c>
      <c r="G13" s="318">
        <f>потребность!I20-199304</f>
        <v>6786101.0300000003</v>
      </c>
      <c r="H13" s="367">
        <v>5151988.76</v>
      </c>
      <c r="I13" s="318">
        <f>'прил 12'!F20</f>
        <v>7264821.2300000004</v>
      </c>
      <c r="J13" s="319">
        <v>7311139</v>
      </c>
      <c r="K13" s="296"/>
      <c r="L13" s="232"/>
      <c r="M13" s="232"/>
      <c r="N13" s="232"/>
    </row>
    <row r="14" spans="1:14" ht="36.700000000000003" outlineLevel="6" x14ac:dyDescent="0.25">
      <c r="A14" s="81" t="s">
        <v>15</v>
      </c>
      <c r="B14" s="80" t="s">
        <v>499</v>
      </c>
      <c r="C14" s="80" t="s">
        <v>10</v>
      </c>
      <c r="D14" s="80" t="s">
        <v>495</v>
      </c>
      <c r="E14" s="80" t="s">
        <v>16</v>
      </c>
      <c r="F14" s="316">
        <v>164456</v>
      </c>
      <c r="G14" s="317">
        <f>G15</f>
        <v>346570</v>
      </c>
      <c r="H14" s="367">
        <v>200641.32</v>
      </c>
      <c r="I14" s="317">
        <f>I15</f>
        <v>250200</v>
      </c>
      <c r="J14" s="319">
        <f>J15</f>
        <v>282564</v>
      </c>
      <c r="K14" s="296"/>
      <c r="L14" s="232"/>
      <c r="M14" s="232"/>
      <c r="N14" s="232"/>
    </row>
    <row r="15" spans="1:14" ht="22.75" customHeight="1" outlineLevel="7" x14ac:dyDescent="0.25">
      <c r="A15" s="81" t="s">
        <v>17</v>
      </c>
      <c r="B15" s="80" t="s">
        <v>499</v>
      </c>
      <c r="C15" s="80" t="s">
        <v>10</v>
      </c>
      <c r="D15" s="80" t="s">
        <v>495</v>
      </c>
      <c r="E15" s="80" t="s">
        <v>18</v>
      </c>
      <c r="F15" s="316">
        <v>164456</v>
      </c>
      <c r="G15" s="318">
        <f>250200+53570+42800</f>
        <v>346570</v>
      </c>
      <c r="H15" s="367">
        <v>200641.32</v>
      </c>
      <c r="I15" s="318">
        <f>'прил 12'!F22</f>
        <v>250200</v>
      </c>
      <c r="J15" s="319">
        <v>282564</v>
      </c>
      <c r="K15" s="296"/>
      <c r="L15" s="232"/>
      <c r="M15" s="232"/>
      <c r="N15" s="232"/>
    </row>
    <row r="16" spans="1:14" outlineLevel="6" x14ac:dyDescent="0.25">
      <c r="A16" s="81" t="s">
        <v>19</v>
      </c>
      <c r="B16" s="80" t="s">
        <v>499</v>
      </c>
      <c r="C16" s="80" t="s">
        <v>10</v>
      </c>
      <c r="D16" s="80" t="s">
        <v>495</v>
      </c>
      <c r="E16" s="80" t="s">
        <v>20</v>
      </c>
      <c r="F16" s="80" t="s">
        <v>976</v>
      </c>
      <c r="G16" s="317">
        <f>G17</f>
        <v>0</v>
      </c>
      <c r="H16" s="360">
        <f>H17</f>
        <v>0</v>
      </c>
      <c r="I16" s="317">
        <v>0</v>
      </c>
      <c r="J16" s="319">
        <f>J17</f>
        <v>1000</v>
      </c>
      <c r="K16" s="296"/>
      <c r="L16" s="232"/>
      <c r="M16" s="232"/>
      <c r="N16" s="232"/>
    </row>
    <row r="17" spans="1:14" outlineLevel="7" x14ac:dyDescent="0.25">
      <c r="A17" s="81" t="s">
        <v>21</v>
      </c>
      <c r="B17" s="80" t="s">
        <v>499</v>
      </c>
      <c r="C17" s="80" t="s">
        <v>10</v>
      </c>
      <c r="D17" s="80" t="s">
        <v>495</v>
      </c>
      <c r="E17" s="80" t="s">
        <v>22</v>
      </c>
      <c r="F17" s="80" t="s">
        <v>976</v>
      </c>
      <c r="G17" s="318">
        <v>0</v>
      </c>
      <c r="H17" s="131">
        <v>0</v>
      </c>
      <c r="I17" s="318">
        <v>0</v>
      </c>
      <c r="J17" s="319">
        <v>1000</v>
      </c>
      <c r="K17" s="296"/>
      <c r="L17" s="232"/>
      <c r="M17" s="232"/>
      <c r="N17" s="232"/>
    </row>
    <row r="18" spans="1:14" outlineLevel="2" x14ac:dyDescent="0.25">
      <c r="A18" s="81" t="s">
        <v>23</v>
      </c>
      <c r="B18" s="80" t="s">
        <v>499</v>
      </c>
      <c r="C18" s="80" t="s">
        <v>24</v>
      </c>
      <c r="D18" s="80" t="s">
        <v>126</v>
      </c>
      <c r="E18" s="80" t="s">
        <v>6</v>
      </c>
      <c r="F18" s="316">
        <v>510709</v>
      </c>
      <c r="G18" s="317">
        <f>G19+G24</f>
        <v>535456</v>
      </c>
      <c r="H18" s="367">
        <v>43394</v>
      </c>
      <c r="I18" s="317">
        <f>I19+I24</f>
        <v>535456</v>
      </c>
      <c r="J18" s="317">
        <f>J19+J24</f>
        <v>1157787</v>
      </c>
      <c r="K18" s="296"/>
      <c r="L18" s="232"/>
      <c r="M18" s="232"/>
      <c r="N18" s="232"/>
    </row>
    <row r="19" spans="1:14" s="172" customFormat="1" ht="39.75" customHeight="1" outlineLevel="3" x14ac:dyDescent="0.25">
      <c r="A19" s="109" t="s">
        <v>830</v>
      </c>
      <c r="B19" s="110" t="s">
        <v>499</v>
      </c>
      <c r="C19" s="110" t="s">
        <v>24</v>
      </c>
      <c r="D19" s="110" t="s">
        <v>128</v>
      </c>
      <c r="E19" s="110" t="s">
        <v>6</v>
      </c>
      <c r="F19" s="320">
        <v>37620</v>
      </c>
      <c r="G19" s="321">
        <f t="shared" ref="G19:I22" si="1">G20</f>
        <v>58240</v>
      </c>
      <c r="H19" s="361">
        <f t="shared" si="1"/>
        <v>850</v>
      </c>
      <c r="I19" s="321">
        <f t="shared" si="1"/>
        <v>58240</v>
      </c>
      <c r="J19" s="322">
        <f>J20</f>
        <v>60571</v>
      </c>
      <c r="K19" s="297"/>
      <c r="L19" s="233"/>
      <c r="M19" s="233"/>
      <c r="N19" s="233"/>
    </row>
    <row r="20" spans="1:14" ht="39.25" customHeight="1" outlineLevel="4" x14ac:dyDescent="0.25">
      <c r="A20" s="81" t="s">
        <v>854</v>
      </c>
      <c r="B20" s="80" t="s">
        <v>499</v>
      </c>
      <c r="C20" s="80" t="s">
        <v>24</v>
      </c>
      <c r="D20" s="80" t="s">
        <v>315</v>
      </c>
      <c r="E20" s="80" t="s">
        <v>6</v>
      </c>
      <c r="F20" s="316">
        <v>37620</v>
      </c>
      <c r="G20" s="317">
        <f t="shared" si="1"/>
        <v>58240</v>
      </c>
      <c r="H20" s="360">
        <f t="shared" si="1"/>
        <v>850</v>
      </c>
      <c r="I20" s="317">
        <f t="shared" si="1"/>
        <v>58240</v>
      </c>
      <c r="J20" s="319">
        <f>J21</f>
        <v>60571</v>
      </c>
      <c r="K20" s="296"/>
      <c r="L20" s="232"/>
      <c r="M20" s="232"/>
      <c r="N20" s="232"/>
    </row>
    <row r="21" spans="1:14" outlineLevel="5" x14ac:dyDescent="0.25">
      <c r="A21" s="113" t="s">
        <v>321</v>
      </c>
      <c r="B21" s="80" t="s">
        <v>499</v>
      </c>
      <c r="C21" s="80" t="s">
        <v>24</v>
      </c>
      <c r="D21" s="80" t="s">
        <v>316</v>
      </c>
      <c r="E21" s="80" t="s">
        <v>6</v>
      </c>
      <c r="F21" s="316">
        <v>37620</v>
      </c>
      <c r="G21" s="317">
        <f t="shared" si="1"/>
        <v>58240</v>
      </c>
      <c r="H21" s="360">
        <f t="shared" si="1"/>
        <v>850</v>
      </c>
      <c r="I21" s="317">
        <f t="shared" si="1"/>
        <v>58240</v>
      </c>
      <c r="J21" s="319">
        <f>J22</f>
        <v>60571</v>
      </c>
      <c r="K21" s="296"/>
      <c r="L21" s="232"/>
      <c r="M21" s="232"/>
      <c r="N21" s="232"/>
    </row>
    <row r="22" spans="1:14" ht="36.700000000000003" outlineLevel="6" x14ac:dyDescent="0.25">
      <c r="A22" s="81" t="s">
        <v>15</v>
      </c>
      <c r="B22" s="80" t="s">
        <v>499</v>
      </c>
      <c r="C22" s="80" t="s">
        <v>24</v>
      </c>
      <c r="D22" s="80" t="s">
        <v>316</v>
      </c>
      <c r="E22" s="80" t="s">
        <v>16</v>
      </c>
      <c r="F22" s="316">
        <v>37620</v>
      </c>
      <c r="G22" s="317">
        <f t="shared" si="1"/>
        <v>58240</v>
      </c>
      <c r="H22" s="360">
        <f t="shared" si="1"/>
        <v>850</v>
      </c>
      <c r="I22" s="317">
        <f t="shared" si="1"/>
        <v>58240</v>
      </c>
      <c r="J22" s="319">
        <f>J23</f>
        <v>60571</v>
      </c>
      <c r="K22" s="296"/>
      <c r="L22" s="232"/>
      <c r="M22" s="232"/>
      <c r="N22" s="232"/>
    </row>
    <row r="23" spans="1:14" ht="19.55" customHeight="1" outlineLevel="7" x14ac:dyDescent="0.25">
      <c r="A23" s="81" t="s">
        <v>17</v>
      </c>
      <c r="B23" s="80" t="s">
        <v>499</v>
      </c>
      <c r="C23" s="80" t="s">
        <v>24</v>
      </c>
      <c r="D23" s="80" t="s">
        <v>316</v>
      </c>
      <c r="E23" s="80" t="s">
        <v>18</v>
      </c>
      <c r="F23" s="316">
        <v>37620</v>
      </c>
      <c r="G23" s="318">
        <v>58240</v>
      </c>
      <c r="H23" s="367">
        <v>850</v>
      </c>
      <c r="I23" s="318">
        <f>'прил 12'!F30</f>
        <v>58240</v>
      </c>
      <c r="J23" s="319">
        <v>60571</v>
      </c>
      <c r="K23" s="296"/>
      <c r="L23" s="232"/>
      <c r="M23" s="232"/>
      <c r="N23" s="232"/>
    </row>
    <row r="24" spans="1:14" s="172" customFormat="1" ht="36.700000000000003" customHeight="1" outlineLevel="7" x14ac:dyDescent="0.25">
      <c r="A24" s="114" t="s">
        <v>829</v>
      </c>
      <c r="B24" s="110" t="s">
        <v>499</v>
      </c>
      <c r="C24" s="80" t="s">
        <v>24</v>
      </c>
      <c r="D24" s="110" t="s">
        <v>317</v>
      </c>
      <c r="E24" s="110" t="s">
        <v>6</v>
      </c>
      <c r="F24" s="320">
        <v>473089</v>
      </c>
      <c r="G24" s="323">
        <f t="shared" ref="G24:I27" si="2">G25</f>
        <v>477216</v>
      </c>
      <c r="H24" s="133">
        <f t="shared" si="2"/>
        <v>42544</v>
      </c>
      <c r="I24" s="323">
        <f t="shared" si="2"/>
        <v>477216</v>
      </c>
      <c r="J24" s="322">
        <f>J25</f>
        <v>1097216</v>
      </c>
      <c r="K24" s="297"/>
      <c r="L24" s="233"/>
      <c r="M24" s="233"/>
      <c r="N24" s="233"/>
    </row>
    <row r="25" spans="1:14" ht="36.700000000000003" outlineLevel="7" x14ac:dyDescent="0.25">
      <c r="A25" s="113" t="s">
        <v>249</v>
      </c>
      <c r="B25" s="80" t="s">
        <v>499</v>
      </c>
      <c r="C25" s="80" t="s">
        <v>24</v>
      </c>
      <c r="D25" s="80" t="s">
        <v>318</v>
      </c>
      <c r="E25" s="80" t="s">
        <v>6</v>
      </c>
      <c r="F25" s="316">
        <v>473089</v>
      </c>
      <c r="G25" s="318">
        <f t="shared" si="2"/>
        <v>477216</v>
      </c>
      <c r="H25" s="131">
        <f t="shared" si="2"/>
        <v>42544</v>
      </c>
      <c r="I25" s="318">
        <f t="shared" si="2"/>
        <v>477216</v>
      </c>
      <c r="J25" s="319">
        <f>J26</f>
        <v>1097216</v>
      </c>
      <c r="K25" s="296"/>
      <c r="L25" s="232"/>
      <c r="M25" s="232"/>
      <c r="N25" s="232"/>
    </row>
    <row r="26" spans="1:14" ht="39.75" customHeight="1" outlineLevel="5" x14ac:dyDescent="0.25">
      <c r="A26" s="81" t="s">
        <v>25</v>
      </c>
      <c r="B26" s="80" t="s">
        <v>499</v>
      </c>
      <c r="C26" s="80" t="s">
        <v>24</v>
      </c>
      <c r="D26" s="80" t="s">
        <v>329</v>
      </c>
      <c r="E26" s="80" t="s">
        <v>6</v>
      </c>
      <c r="F26" s="316">
        <v>473089</v>
      </c>
      <c r="G26" s="317">
        <f t="shared" si="2"/>
        <v>477216</v>
      </c>
      <c r="H26" s="360">
        <f t="shared" si="2"/>
        <v>42544</v>
      </c>
      <c r="I26" s="317">
        <f t="shared" si="2"/>
        <v>477216</v>
      </c>
      <c r="J26" s="319">
        <f>J27</f>
        <v>1097216</v>
      </c>
      <c r="K26" s="296"/>
      <c r="L26" s="232"/>
      <c r="M26" s="232"/>
      <c r="N26" s="232"/>
    </row>
    <row r="27" spans="1:14" ht="36.700000000000003" outlineLevel="6" x14ac:dyDescent="0.25">
      <c r="A27" s="81" t="s">
        <v>15</v>
      </c>
      <c r="B27" s="80" t="s">
        <v>499</v>
      </c>
      <c r="C27" s="80" t="s">
        <v>24</v>
      </c>
      <c r="D27" s="80" t="s">
        <v>329</v>
      </c>
      <c r="E27" s="80" t="s">
        <v>16</v>
      </c>
      <c r="F27" s="316">
        <v>473089</v>
      </c>
      <c r="G27" s="317">
        <f t="shared" si="2"/>
        <v>477216</v>
      </c>
      <c r="H27" s="360">
        <f t="shared" si="2"/>
        <v>42544</v>
      </c>
      <c r="I27" s="317">
        <f t="shared" si="2"/>
        <v>477216</v>
      </c>
      <c r="J27" s="319">
        <f>J28</f>
        <v>1097216</v>
      </c>
      <c r="K27" s="296"/>
      <c r="L27" s="232"/>
      <c r="M27" s="232"/>
      <c r="N27" s="232"/>
    </row>
    <row r="28" spans="1:14" ht="21.25" customHeight="1" outlineLevel="7" x14ac:dyDescent="0.25">
      <c r="A28" s="81" t="s">
        <v>17</v>
      </c>
      <c r="B28" s="80" t="s">
        <v>499</v>
      </c>
      <c r="C28" s="80" t="s">
        <v>24</v>
      </c>
      <c r="D28" s="80" t="s">
        <v>329</v>
      </c>
      <c r="E28" s="80" t="s">
        <v>18</v>
      </c>
      <c r="F28" s="316">
        <v>473089</v>
      </c>
      <c r="G28" s="317">
        <v>477216</v>
      </c>
      <c r="H28" s="367">
        <v>42544</v>
      </c>
      <c r="I28" s="317">
        <f>'прил 12'!F35</f>
        <v>477216</v>
      </c>
      <c r="J28" s="319">
        <v>1097216</v>
      </c>
      <c r="K28" s="296"/>
      <c r="L28" s="232"/>
      <c r="M28" s="232"/>
      <c r="N28" s="232"/>
    </row>
    <row r="29" spans="1:14" s="170" customFormat="1" ht="36.700000000000003" x14ac:dyDescent="0.25">
      <c r="A29" s="104" t="s">
        <v>27</v>
      </c>
      <c r="B29" s="105" t="s">
        <v>500</v>
      </c>
      <c r="C29" s="105" t="s">
        <v>5</v>
      </c>
      <c r="D29" s="105" t="s">
        <v>126</v>
      </c>
      <c r="E29" s="105" t="s">
        <v>6</v>
      </c>
      <c r="F29" s="314">
        <v>434475577.67000002</v>
      </c>
      <c r="G29" s="315">
        <f>G30+G162+G172+G228+G333+G349+G370+G415+G493+G451+G183</f>
        <v>397671497.94999999</v>
      </c>
      <c r="H29" s="368">
        <v>262532003.14999998</v>
      </c>
      <c r="I29" s="315">
        <f>I30+I162+I172+I228+I333+I349+I370+I415+I493+I451+I183</f>
        <v>297548820.16600001</v>
      </c>
      <c r="J29" s="315">
        <f>J30+J162+J172+J228+J333+J349+J370+J415+J493+J451+J183</f>
        <v>261606289.91999999</v>
      </c>
      <c r="K29" s="298"/>
      <c r="L29" s="295"/>
      <c r="M29" s="295"/>
      <c r="N29" s="295"/>
    </row>
    <row r="30" spans="1:14" s="172" customFormat="1" outlineLevel="1" x14ac:dyDescent="0.25">
      <c r="A30" s="109" t="s">
        <v>7</v>
      </c>
      <c r="B30" s="110" t="s">
        <v>500</v>
      </c>
      <c r="C30" s="110" t="s">
        <v>8</v>
      </c>
      <c r="D30" s="110" t="s">
        <v>126</v>
      </c>
      <c r="E30" s="110" t="s">
        <v>6</v>
      </c>
      <c r="F30" s="316">
        <v>94220120.439999998</v>
      </c>
      <c r="G30" s="321">
        <f>G31+G36+G43+G49+G59+G54</f>
        <v>108875809.69</v>
      </c>
      <c r="H30" s="367">
        <v>77521805.720000014</v>
      </c>
      <c r="I30" s="321">
        <f>I31+I36+I43+I49+I59+I54</f>
        <v>98730538.969999999</v>
      </c>
      <c r="J30" s="321">
        <f>J31+J36+J43+J49+J59+J54</f>
        <v>123744043</v>
      </c>
      <c r="K30" s="297"/>
      <c r="L30" s="233"/>
      <c r="M30" s="233"/>
      <c r="N30" s="233"/>
    </row>
    <row r="31" spans="1:14" ht="55.05" outlineLevel="2" x14ac:dyDescent="0.25">
      <c r="A31" s="81" t="s">
        <v>28</v>
      </c>
      <c r="B31" s="80" t="s">
        <v>500</v>
      </c>
      <c r="C31" s="80" t="s">
        <v>29</v>
      </c>
      <c r="D31" s="80" t="s">
        <v>126</v>
      </c>
      <c r="E31" s="80" t="s">
        <v>6</v>
      </c>
      <c r="F31" s="316">
        <v>2580816.7200000002</v>
      </c>
      <c r="G31" s="317">
        <f t="shared" ref="G31:J34" si="3">G32</f>
        <v>2681000</v>
      </c>
      <c r="H31" s="367">
        <v>2133514.06</v>
      </c>
      <c r="I31" s="317">
        <f t="shared" si="3"/>
        <v>2846266</v>
      </c>
      <c r="J31" s="317">
        <f t="shared" si="3"/>
        <v>3046120</v>
      </c>
      <c r="K31" s="296"/>
      <c r="L31" s="232"/>
      <c r="M31" s="232"/>
      <c r="N31" s="232"/>
    </row>
    <row r="32" spans="1:14" ht="36.700000000000003" outlineLevel="3" x14ac:dyDescent="0.25">
      <c r="A32" s="81" t="s">
        <v>132</v>
      </c>
      <c r="B32" s="80" t="s">
        <v>500</v>
      </c>
      <c r="C32" s="80" t="s">
        <v>29</v>
      </c>
      <c r="D32" s="80" t="s">
        <v>127</v>
      </c>
      <c r="E32" s="80" t="s">
        <v>6</v>
      </c>
      <c r="F32" s="316">
        <v>2580816.7200000002</v>
      </c>
      <c r="G32" s="317">
        <f t="shared" si="3"/>
        <v>2681000</v>
      </c>
      <c r="H32" s="360">
        <f t="shared" si="3"/>
        <v>2133514.06</v>
      </c>
      <c r="I32" s="317">
        <f t="shared" si="3"/>
        <v>2846266</v>
      </c>
      <c r="J32" s="317">
        <f t="shared" si="3"/>
        <v>3046120</v>
      </c>
      <c r="K32" s="296"/>
      <c r="L32" s="232"/>
      <c r="M32" s="232"/>
      <c r="N32" s="232"/>
    </row>
    <row r="33" spans="1:14" outlineLevel="5" x14ac:dyDescent="0.25">
      <c r="A33" s="81" t="s">
        <v>496</v>
      </c>
      <c r="B33" s="80" t="s">
        <v>500</v>
      </c>
      <c r="C33" s="80" t="s">
        <v>29</v>
      </c>
      <c r="D33" s="80" t="s">
        <v>497</v>
      </c>
      <c r="E33" s="80" t="s">
        <v>6</v>
      </c>
      <c r="F33" s="316">
        <v>2580816.7200000002</v>
      </c>
      <c r="G33" s="317">
        <f t="shared" si="3"/>
        <v>2681000</v>
      </c>
      <c r="H33" s="360">
        <f t="shared" si="3"/>
        <v>2133514.06</v>
      </c>
      <c r="I33" s="317">
        <f t="shared" si="3"/>
        <v>2846266</v>
      </c>
      <c r="J33" s="317">
        <f t="shared" si="3"/>
        <v>3046120</v>
      </c>
      <c r="K33" s="296"/>
      <c r="L33" s="232"/>
      <c r="M33" s="232"/>
      <c r="N33" s="232"/>
    </row>
    <row r="34" spans="1:14" ht="91.7" outlineLevel="6" x14ac:dyDescent="0.25">
      <c r="A34" s="81" t="s">
        <v>11</v>
      </c>
      <c r="B34" s="80" t="s">
        <v>500</v>
      </c>
      <c r="C34" s="80" t="s">
        <v>29</v>
      </c>
      <c r="D34" s="80" t="s">
        <v>497</v>
      </c>
      <c r="E34" s="80" t="s">
        <v>12</v>
      </c>
      <c r="F34" s="316">
        <v>2580816.7200000002</v>
      </c>
      <c r="G34" s="317">
        <f t="shared" si="3"/>
        <v>2681000</v>
      </c>
      <c r="H34" s="367">
        <v>2133514.06</v>
      </c>
      <c r="I34" s="317">
        <f t="shared" si="3"/>
        <v>2846266</v>
      </c>
      <c r="J34" s="317">
        <f t="shared" si="3"/>
        <v>3046120</v>
      </c>
      <c r="K34" s="296"/>
      <c r="L34" s="232"/>
      <c r="M34" s="232"/>
      <c r="N34" s="232"/>
    </row>
    <row r="35" spans="1:14" ht="36.700000000000003" outlineLevel="7" x14ac:dyDescent="0.25">
      <c r="A35" s="81" t="s">
        <v>13</v>
      </c>
      <c r="B35" s="80" t="s">
        <v>500</v>
      </c>
      <c r="C35" s="80" t="s">
        <v>29</v>
      </c>
      <c r="D35" s="80" t="s">
        <v>497</v>
      </c>
      <c r="E35" s="80" t="s">
        <v>14</v>
      </c>
      <c r="F35" s="316">
        <v>2580816.7200000002</v>
      </c>
      <c r="G35" s="317">
        <f>2846266-165266</f>
        <v>2681000</v>
      </c>
      <c r="H35" s="367">
        <v>2133514.06</v>
      </c>
      <c r="I35" s="317">
        <f>'прил 12'!F42</f>
        <v>2846266</v>
      </c>
      <c r="J35" s="318">
        <v>3046120</v>
      </c>
      <c r="K35" s="296"/>
      <c r="L35" s="232"/>
      <c r="M35" s="232"/>
      <c r="N35" s="232"/>
    </row>
    <row r="36" spans="1:14" ht="57.75" customHeight="1" outlineLevel="2" x14ac:dyDescent="0.25">
      <c r="A36" s="81" t="s">
        <v>30</v>
      </c>
      <c r="B36" s="80" t="s">
        <v>500</v>
      </c>
      <c r="C36" s="80" t="s">
        <v>31</v>
      </c>
      <c r="D36" s="80" t="s">
        <v>126</v>
      </c>
      <c r="E36" s="80" t="s">
        <v>6</v>
      </c>
      <c r="F36" s="316">
        <v>20028152.170000002</v>
      </c>
      <c r="G36" s="317">
        <f t="shared" ref="G36:J37" si="4">G37</f>
        <v>21208806</v>
      </c>
      <c r="H36" s="367">
        <v>14506752.189999999</v>
      </c>
      <c r="I36" s="317">
        <f t="shared" si="4"/>
        <v>22524109.440000001</v>
      </c>
      <c r="J36" s="317">
        <f t="shared" si="4"/>
        <v>24446850</v>
      </c>
      <c r="K36" s="296"/>
      <c r="L36" s="232"/>
      <c r="M36" s="232"/>
      <c r="N36" s="232"/>
    </row>
    <row r="37" spans="1:14" ht="36.700000000000003" outlineLevel="3" x14ac:dyDescent="0.25">
      <c r="A37" s="81" t="s">
        <v>132</v>
      </c>
      <c r="B37" s="80" t="s">
        <v>500</v>
      </c>
      <c r="C37" s="80" t="s">
        <v>31</v>
      </c>
      <c r="D37" s="80" t="s">
        <v>127</v>
      </c>
      <c r="E37" s="80" t="s">
        <v>6</v>
      </c>
      <c r="F37" s="316">
        <v>20028152.170000002</v>
      </c>
      <c r="G37" s="317">
        <f t="shared" si="4"/>
        <v>21208806</v>
      </c>
      <c r="H37" s="367">
        <v>14506752.189999999</v>
      </c>
      <c r="I37" s="317">
        <f t="shared" si="4"/>
        <v>22524109.440000001</v>
      </c>
      <c r="J37" s="317">
        <f t="shared" si="4"/>
        <v>24446850</v>
      </c>
      <c r="K37" s="296"/>
      <c r="L37" s="232"/>
      <c r="M37" s="232"/>
      <c r="N37" s="232"/>
    </row>
    <row r="38" spans="1:14" ht="46.55" customHeight="1" outlineLevel="5" x14ac:dyDescent="0.25">
      <c r="A38" s="81" t="s">
        <v>494</v>
      </c>
      <c r="B38" s="80" t="s">
        <v>500</v>
      </c>
      <c r="C38" s="80" t="s">
        <v>31</v>
      </c>
      <c r="D38" s="80" t="s">
        <v>495</v>
      </c>
      <c r="E38" s="80" t="s">
        <v>6</v>
      </c>
      <c r="F38" s="316">
        <v>20028152.170000002</v>
      </c>
      <c r="G38" s="317">
        <f>G39+G41</f>
        <v>21208806</v>
      </c>
      <c r="H38" s="367">
        <v>14506752.189999999</v>
      </c>
      <c r="I38" s="317">
        <f>I39+I41</f>
        <v>22524109.440000001</v>
      </c>
      <c r="J38" s="317">
        <f>J39+J41</f>
        <v>24446850</v>
      </c>
      <c r="K38" s="296"/>
      <c r="L38" s="232"/>
      <c r="M38" s="232"/>
      <c r="N38" s="232"/>
    </row>
    <row r="39" spans="1:14" ht="91.7" outlineLevel="6" x14ac:dyDescent="0.25">
      <c r="A39" s="81" t="s">
        <v>11</v>
      </c>
      <c r="B39" s="80" t="s">
        <v>500</v>
      </c>
      <c r="C39" s="80" t="s">
        <v>31</v>
      </c>
      <c r="D39" s="80" t="s">
        <v>495</v>
      </c>
      <c r="E39" s="80" t="s">
        <v>12</v>
      </c>
      <c r="F39" s="316">
        <v>19944570.670000002</v>
      </c>
      <c r="G39" s="317">
        <f>G40</f>
        <v>21116806</v>
      </c>
      <c r="H39" s="367">
        <v>14437454.199999999</v>
      </c>
      <c r="I39" s="317">
        <f>I40</f>
        <v>22432109.440000001</v>
      </c>
      <c r="J39" s="317">
        <f>J40</f>
        <v>24344850</v>
      </c>
      <c r="K39" s="296"/>
      <c r="L39" s="232"/>
      <c r="M39" s="232"/>
      <c r="N39" s="232"/>
    </row>
    <row r="40" spans="1:14" ht="36.700000000000003" outlineLevel="7" x14ac:dyDescent="0.25">
      <c r="A40" s="81" t="s">
        <v>13</v>
      </c>
      <c r="B40" s="80" t="s">
        <v>500</v>
      </c>
      <c r="C40" s="80" t="s">
        <v>31</v>
      </c>
      <c r="D40" s="80" t="s">
        <v>495</v>
      </c>
      <c r="E40" s="80" t="s">
        <v>14</v>
      </c>
      <c r="F40" s="316">
        <v>19944570.670000002</v>
      </c>
      <c r="G40" s="318">
        <f>потребность!I47+165266-617796</f>
        <v>21116806</v>
      </c>
      <c r="H40" s="367">
        <v>14437454.199999999</v>
      </c>
      <c r="I40" s="318">
        <f>'прил 12'!F47</f>
        <v>22432109.440000001</v>
      </c>
      <c r="J40" s="318">
        <v>24344850</v>
      </c>
      <c r="K40" s="296"/>
      <c r="L40" s="232"/>
      <c r="M40" s="232"/>
      <c r="N40" s="232"/>
    </row>
    <row r="41" spans="1:14" ht="36.700000000000003" outlineLevel="6" x14ac:dyDescent="0.25">
      <c r="A41" s="81" t="s">
        <v>15</v>
      </c>
      <c r="B41" s="80" t="s">
        <v>500</v>
      </c>
      <c r="C41" s="80" t="s">
        <v>31</v>
      </c>
      <c r="D41" s="80" t="s">
        <v>495</v>
      </c>
      <c r="E41" s="80" t="s">
        <v>16</v>
      </c>
      <c r="F41" s="316">
        <v>83581.5</v>
      </c>
      <c r="G41" s="317">
        <f>G42</f>
        <v>92000</v>
      </c>
      <c r="H41" s="367">
        <v>69297.990000000005</v>
      </c>
      <c r="I41" s="317">
        <f>I42</f>
        <v>92000</v>
      </c>
      <c r="J41" s="317">
        <f>J42</f>
        <v>102000</v>
      </c>
      <c r="K41" s="296"/>
      <c r="L41" s="232"/>
      <c r="M41" s="232"/>
      <c r="N41" s="232"/>
    </row>
    <row r="42" spans="1:14" ht="21.25" customHeight="1" outlineLevel="7" x14ac:dyDescent="0.25">
      <c r="A42" s="81" t="s">
        <v>17</v>
      </c>
      <c r="B42" s="80" t="s">
        <v>500</v>
      </c>
      <c r="C42" s="80" t="s">
        <v>31</v>
      </c>
      <c r="D42" s="80" t="s">
        <v>495</v>
      </c>
      <c r="E42" s="80" t="s">
        <v>18</v>
      </c>
      <c r="F42" s="316">
        <v>83581.5</v>
      </c>
      <c r="G42" s="318">
        <v>92000</v>
      </c>
      <c r="H42" s="367">
        <v>69297.990000000005</v>
      </c>
      <c r="I42" s="318">
        <f>'прил 12'!F49</f>
        <v>92000</v>
      </c>
      <c r="J42" s="318">
        <v>102000</v>
      </c>
      <c r="K42" s="296"/>
      <c r="L42" s="232"/>
      <c r="M42" s="232"/>
      <c r="N42" s="232"/>
    </row>
    <row r="43" spans="1:14" outlineLevel="7" x14ac:dyDescent="0.25">
      <c r="A43" s="81" t="s">
        <v>260</v>
      </c>
      <c r="B43" s="80" t="s">
        <v>500</v>
      </c>
      <c r="C43" s="80" t="s">
        <v>261</v>
      </c>
      <c r="D43" s="80" t="s">
        <v>126</v>
      </c>
      <c r="E43" s="80" t="s">
        <v>6</v>
      </c>
      <c r="F43" s="316">
        <v>5100</v>
      </c>
      <c r="G43" s="318">
        <f>G44</f>
        <v>219244</v>
      </c>
      <c r="H43" s="367">
        <v>183414</v>
      </c>
      <c r="I43" s="318">
        <f>I44</f>
        <v>13010</v>
      </c>
      <c r="J43" s="318">
        <f>J44</f>
        <v>0</v>
      </c>
      <c r="K43" s="296"/>
      <c r="L43" s="232"/>
      <c r="M43" s="232"/>
      <c r="N43" s="232"/>
    </row>
    <row r="44" spans="1:14" ht="36.700000000000003" outlineLevel="7" x14ac:dyDescent="0.25">
      <c r="A44" s="81" t="s">
        <v>132</v>
      </c>
      <c r="B44" s="80" t="s">
        <v>500</v>
      </c>
      <c r="C44" s="80" t="s">
        <v>261</v>
      </c>
      <c r="D44" s="80" t="s">
        <v>127</v>
      </c>
      <c r="E44" s="80" t="s">
        <v>6</v>
      </c>
      <c r="F44" s="316">
        <v>5100</v>
      </c>
      <c r="G44" s="318">
        <f>G46</f>
        <v>219244</v>
      </c>
      <c r="H44" s="367">
        <v>183414</v>
      </c>
      <c r="I44" s="318">
        <f t="shared" ref="I44:J47" si="5">I45</f>
        <v>13010</v>
      </c>
      <c r="J44" s="318">
        <f t="shared" si="5"/>
        <v>0</v>
      </c>
      <c r="K44" s="296"/>
      <c r="L44" s="232"/>
      <c r="M44" s="232"/>
      <c r="N44" s="232"/>
    </row>
    <row r="45" spans="1:14" outlineLevel="7" x14ac:dyDescent="0.25">
      <c r="A45" s="81" t="s">
        <v>277</v>
      </c>
      <c r="B45" s="80" t="s">
        <v>500</v>
      </c>
      <c r="C45" s="80" t="s">
        <v>261</v>
      </c>
      <c r="D45" s="80" t="s">
        <v>276</v>
      </c>
      <c r="E45" s="80" t="s">
        <v>6</v>
      </c>
      <c r="F45" s="316">
        <v>5100</v>
      </c>
      <c r="G45" s="318">
        <f>G46</f>
        <v>219244</v>
      </c>
      <c r="H45" s="367">
        <v>183414</v>
      </c>
      <c r="I45" s="318">
        <f t="shared" si="5"/>
        <v>13010</v>
      </c>
      <c r="J45" s="318">
        <f t="shared" si="5"/>
        <v>0</v>
      </c>
      <c r="K45" s="296"/>
      <c r="L45" s="232"/>
      <c r="M45" s="232"/>
      <c r="N45" s="232"/>
    </row>
    <row r="46" spans="1:14" ht="95.3" customHeight="1" outlineLevel="7" x14ac:dyDescent="0.25">
      <c r="A46" s="276" t="s">
        <v>410</v>
      </c>
      <c r="B46" s="80" t="s">
        <v>500</v>
      </c>
      <c r="C46" s="80" t="s">
        <v>261</v>
      </c>
      <c r="D46" s="80" t="s">
        <v>285</v>
      </c>
      <c r="E46" s="80" t="s">
        <v>6</v>
      </c>
      <c r="F46" s="316">
        <v>5100</v>
      </c>
      <c r="G46" s="318">
        <f>G47</f>
        <v>219244</v>
      </c>
      <c r="H46" s="367">
        <v>183414</v>
      </c>
      <c r="I46" s="318">
        <f t="shared" si="5"/>
        <v>13010</v>
      </c>
      <c r="J46" s="318">
        <f t="shared" si="5"/>
        <v>0</v>
      </c>
      <c r="K46" s="296"/>
      <c r="L46" s="232"/>
      <c r="M46" s="232"/>
      <c r="N46" s="232"/>
    </row>
    <row r="47" spans="1:14" ht="36.700000000000003" outlineLevel="7" x14ac:dyDescent="0.25">
      <c r="A47" s="81" t="s">
        <v>15</v>
      </c>
      <c r="B47" s="80" t="s">
        <v>500</v>
      </c>
      <c r="C47" s="80" t="s">
        <v>261</v>
      </c>
      <c r="D47" s="80" t="s">
        <v>285</v>
      </c>
      <c r="E47" s="80" t="s">
        <v>16</v>
      </c>
      <c r="F47" s="316">
        <v>5100</v>
      </c>
      <c r="G47" s="318">
        <f>G48</f>
        <v>219244</v>
      </c>
      <c r="H47" s="367">
        <v>183414</v>
      </c>
      <c r="I47" s="318">
        <f t="shared" si="5"/>
        <v>13010</v>
      </c>
      <c r="J47" s="318">
        <f t="shared" si="5"/>
        <v>0</v>
      </c>
      <c r="K47" s="296"/>
      <c r="L47" s="232"/>
      <c r="M47" s="232"/>
      <c r="N47" s="232"/>
    </row>
    <row r="48" spans="1:14" ht="19.55" customHeight="1" outlineLevel="7" x14ac:dyDescent="0.25">
      <c r="A48" s="81" t="s">
        <v>17</v>
      </c>
      <c r="B48" s="80" t="s">
        <v>500</v>
      </c>
      <c r="C48" s="80" t="s">
        <v>261</v>
      </c>
      <c r="D48" s="80" t="s">
        <v>285</v>
      </c>
      <c r="E48" s="80" t="s">
        <v>18</v>
      </c>
      <c r="F48" s="316">
        <v>5100</v>
      </c>
      <c r="G48" s="317">
        <v>219244</v>
      </c>
      <c r="H48" s="367">
        <v>183414</v>
      </c>
      <c r="I48" s="317">
        <v>13010</v>
      </c>
      <c r="J48" s="324"/>
      <c r="K48" s="296"/>
      <c r="L48" s="232"/>
      <c r="M48" s="232"/>
      <c r="N48" s="232"/>
    </row>
    <row r="49" spans="1:14" ht="36.700000000000003" customHeight="1" outlineLevel="2" x14ac:dyDescent="0.25">
      <c r="A49" s="81" t="s">
        <v>9</v>
      </c>
      <c r="B49" s="80" t="s">
        <v>500</v>
      </c>
      <c r="C49" s="80" t="s">
        <v>10</v>
      </c>
      <c r="D49" s="80" t="s">
        <v>126</v>
      </c>
      <c r="E49" s="80" t="s">
        <v>6</v>
      </c>
      <c r="F49" s="316">
        <v>703771.03</v>
      </c>
      <c r="G49" s="317">
        <f t="shared" ref="G49:J52" si="6">G50</f>
        <v>799829</v>
      </c>
      <c r="H49" s="367">
        <v>493755.27</v>
      </c>
      <c r="I49" s="317">
        <f t="shared" si="6"/>
        <v>825175</v>
      </c>
      <c r="J49" s="317">
        <f t="shared" si="6"/>
        <v>845370</v>
      </c>
      <c r="K49" s="296"/>
      <c r="L49" s="232"/>
      <c r="M49" s="232"/>
      <c r="N49" s="232"/>
    </row>
    <row r="50" spans="1:14" ht="36.700000000000003" outlineLevel="4" x14ac:dyDescent="0.25">
      <c r="A50" s="81" t="s">
        <v>132</v>
      </c>
      <c r="B50" s="80" t="s">
        <v>500</v>
      </c>
      <c r="C50" s="80" t="s">
        <v>10</v>
      </c>
      <c r="D50" s="80" t="s">
        <v>127</v>
      </c>
      <c r="E50" s="80" t="s">
        <v>6</v>
      </c>
      <c r="F50" s="316">
        <v>703771.03</v>
      </c>
      <c r="G50" s="317">
        <f t="shared" si="6"/>
        <v>799829</v>
      </c>
      <c r="H50" s="367">
        <v>493755.27</v>
      </c>
      <c r="I50" s="317">
        <f t="shared" si="6"/>
        <v>825175</v>
      </c>
      <c r="J50" s="317">
        <f t="shared" si="6"/>
        <v>845370</v>
      </c>
      <c r="K50" s="296"/>
      <c r="L50" s="232"/>
      <c r="M50" s="232"/>
      <c r="N50" s="232"/>
    </row>
    <row r="51" spans="1:14" ht="36.700000000000003" outlineLevel="5" x14ac:dyDescent="0.25">
      <c r="A51" s="81" t="s">
        <v>498</v>
      </c>
      <c r="B51" s="80" t="s">
        <v>500</v>
      </c>
      <c r="C51" s="80" t="s">
        <v>10</v>
      </c>
      <c r="D51" s="80" t="s">
        <v>537</v>
      </c>
      <c r="E51" s="80" t="s">
        <v>6</v>
      </c>
      <c r="F51" s="316">
        <v>703771.03</v>
      </c>
      <c r="G51" s="317">
        <f t="shared" si="6"/>
        <v>799829</v>
      </c>
      <c r="H51" s="367">
        <v>493755.27</v>
      </c>
      <c r="I51" s="317">
        <f t="shared" si="6"/>
        <v>825175</v>
      </c>
      <c r="J51" s="317">
        <f t="shared" si="6"/>
        <v>845370</v>
      </c>
      <c r="K51" s="296"/>
      <c r="L51" s="232"/>
      <c r="M51" s="232"/>
      <c r="N51" s="232"/>
    </row>
    <row r="52" spans="1:14" ht="91.7" outlineLevel="6" x14ac:dyDescent="0.25">
      <c r="A52" s="81" t="s">
        <v>11</v>
      </c>
      <c r="B52" s="80" t="s">
        <v>500</v>
      </c>
      <c r="C52" s="80" t="s">
        <v>10</v>
      </c>
      <c r="D52" s="80" t="s">
        <v>537</v>
      </c>
      <c r="E52" s="80" t="s">
        <v>12</v>
      </c>
      <c r="F52" s="316">
        <v>703771.03</v>
      </c>
      <c r="G52" s="317">
        <f t="shared" si="6"/>
        <v>799829</v>
      </c>
      <c r="H52" s="367">
        <v>493755.27</v>
      </c>
      <c r="I52" s="317">
        <f t="shared" si="6"/>
        <v>825175</v>
      </c>
      <c r="J52" s="317">
        <f t="shared" si="6"/>
        <v>845370</v>
      </c>
      <c r="K52" s="296"/>
      <c r="L52" s="232"/>
      <c r="M52" s="232"/>
      <c r="N52" s="232"/>
    </row>
    <row r="53" spans="1:14" ht="36.700000000000003" outlineLevel="7" x14ac:dyDescent="0.25">
      <c r="A53" s="81" t="s">
        <v>13</v>
      </c>
      <c r="B53" s="80" t="s">
        <v>500</v>
      </c>
      <c r="C53" s="80" t="s">
        <v>10</v>
      </c>
      <c r="D53" s="80" t="s">
        <v>537</v>
      </c>
      <c r="E53" s="80" t="s">
        <v>14</v>
      </c>
      <c r="F53" s="316">
        <v>703771.03</v>
      </c>
      <c r="G53" s="317">
        <f>825175-25346</f>
        <v>799829</v>
      </c>
      <c r="H53" s="367">
        <v>493755.27</v>
      </c>
      <c r="I53" s="317">
        <f>'прил 12'!F60</f>
        <v>825175</v>
      </c>
      <c r="J53" s="318">
        <v>845370</v>
      </c>
      <c r="K53" s="296"/>
      <c r="L53" s="232"/>
      <c r="M53" s="232"/>
      <c r="N53" s="232"/>
    </row>
    <row r="54" spans="1:14" outlineLevel="7" x14ac:dyDescent="0.25">
      <c r="A54" s="81" t="s">
        <v>698</v>
      </c>
      <c r="B54" s="80" t="s">
        <v>500</v>
      </c>
      <c r="C54" s="80" t="s">
        <v>695</v>
      </c>
      <c r="D54" s="80" t="s">
        <v>126</v>
      </c>
      <c r="E54" s="80" t="s">
        <v>6</v>
      </c>
      <c r="F54" s="316">
        <v>0</v>
      </c>
      <c r="G54" s="317">
        <f t="shared" ref="G54:J57" si="7">G55</f>
        <v>1644227.3600000031</v>
      </c>
      <c r="H54" s="367"/>
      <c r="I54" s="317">
        <f t="shared" si="7"/>
        <v>0</v>
      </c>
      <c r="J54" s="317">
        <f t="shared" si="7"/>
        <v>12000000</v>
      </c>
      <c r="K54" s="296"/>
      <c r="L54" s="232"/>
      <c r="M54" s="232"/>
      <c r="N54" s="232"/>
    </row>
    <row r="55" spans="1:14" ht="36.700000000000003" outlineLevel="7" x14ac:dyDescent="0.25">
      <c r="A55" s="81" t="s">
        <v>132</v>
      </c>
      <c r="B55" s="80" t="s">
        <v>500</v>
      </c>
      <c r="C55" s="80" t="s">
        <v>695</v>
      </c>
      <c r="D55" s="80" t="s">
        <v>127</v>
      </c>
      <c r="E55" s="80" t="s">
        <v>6</v>
      </c>
      <c r="F55" s="316">
        <v>0</v>
      </c>
      <c r="G55" s="317">
        <f t="shared" si="7"/>
        <v>1644227.3600000031</v>
      </c>
      <c r="H55" s="360"/>
      <c r="I55" s="317">
        <f t="shared" si="7"/>
        <v>0</v>
      </c>
      <c r="J55" s="317">
        <f t="shared" si="7"/>
        <v>12000000</v>
      </c>
      <c r="K55" s="296"/>
      <c r="L55" s="232"/>
      <c r="M55" s="232"/>
      <c r="N55" s="232"/>
    </row>
    <row r="56" spans="1:14" ht="36.700000000000003" outlineLevel="7" x14ac:dyDescent="0.25">
      <c r="A56" s="81" t="s">
        <v>526</v>
      </c>
      <c r="B56" s="80" t="s">
        <v>500</v>
      </c>
      <c r="C56" s="80" t="s">
        <v>695</v>
      </c>
      <c r="D56" s="80" t="s">
        <v>539</v>
      </c>
      <c r="E56" s="80" t="s">
        <v>6</v>
      </c>
      <c r="F56" s="316">
        <v>0</v>
      </c>
      <c r="G56" s="317">
        <f t="shared" si="7"/>
        <v>1644227.3600000031</v>
      </c>
      <c r="H56" s="360"/>
      <c r="I56" s="317">
        <f t="shared" si="7"/>
        <v>0</v>
      </c>
      <c r="J56" s="317">
        <f t="shared" si="7"/>
        <v>12000000</v>
      </c>
      <c r="K56" s="296"/>
      <c r="L56" s="232"/>
      <c r="M56" s="232"/>
      <c r="N56" s="232"/>
    </row>
    <row r="57" spans="1:14" outlineLevel="7" x14ac:dyDescent="0.25">
      <c r="A57" s="81" t="s">
        <v>19</v>
      </c>
      <c r="B57" s="80" t="s">
        <v>500</v>
      </c>
      <c r="C57" s="80" t="s">
        <v>695</v>
      </c>
      <c r="D57" s="80" t="s">
        <v>539</v>
      </c>
      <c r="E57" s="80" t="s">
        <v>20</v>
      </c>
      <c r="F57" s="316">
        <v>0</v>
      </c>
      <c r="G57" s="317">
        <f t="shared" si="7"/>
        <v>1644227.3600000031</v>
      </c>
      <c r="H57" s="360"/>
      <c r="I57" s="317">
        <f t="shared" si="7"/>
        <v>0</v>
      </c>
      <c r="J57" s="317">
        <f t="shared" si="7"/>
        <v>12000000</v>
      </c>
      <c r="K57" s="296"/>
      <c r="L57" s="232"/>
      <c r="M57" s="232"/>
      <c r="N57" s="232"/>
    </row>
    <row r="58" spans="1:14" outlineLevel="7" x14ac:dyDescent="0.25">
      <c r="A58" s="81" t="s">
        <v>696</v>
      </c>
      <c r="B58" s="80" t="s">
        <v>500</v>
      </c>
      <c r="C58" s="80" t="s">
        <v>695</v>
      </c>
      <c r="D58" s="80" t="s">
        <v>539</v>
      </c>
      <c r="E58" s="80" t="s">
        <v>694</v>
      </c>
      <c r="F58" s="316">
        <v>0</v>
      </c>
      <c r="G58" s="317">
        <f>потребность!L65-247000-26399.58-22900478.19+1393.94-72913.58-143709.27+5012765.36+3173352.2-8884417.62+502896.1-2456240-183872</f>
        <v>1644227.3600000031</v>
      </c>
      <c r="H58" s="360"/>
      <c r="I58" s="317">
        <v>0</v>
      </c>
      <c r="J58" s="317">
        <v>12000000</v>
      </c>
      <c r="K58" s="296"/>
      <c r="L58" s="232"/>
      <c r="M58" s="232"/>
      <c r="N58" s="232"/>
    </row>
    <row r="59" spans="1:14" outlineLevel="2" x14ac:dyDescent="0.25">
      <c r="A59" s="81" t="s">
        <v>23</v>
      </c>
      <c r="B59" s="80" t="s">
        <v>500</v>
      </c>
      <c r="C59" s="80" t="s">
        <v>24</v>
      </c>
      <c r="D59" s="80" t="s">
        <v>126</v>
      </c>
      <c r="E59" s="80" t="s">
        <v>6</v>
      </c>
      <c r="F59" s="316">
        <v>70902280.519999996</v>
      </c>
      <c r="G59" s="317">
        <f>G60+G85+G98+G90+G110+G105</f>
        <v>82322703.329999998</v>
      </c>
      <c r="H59" s="369">
        <v>60204370.20000001</v>
      </c>
      <c r="I59" s="317">
        <f>I60+I85+I98+I90+I110+I105</f>
        <v>72521978.530000001</v>
      </c>
      <c r="J59" s="317">
        <f>J60+J85+J98+J90+J110+J105</f>
        <v>83405703</v>
      </c>
      <c r="K59" s="296"/>
      <c r="L59" s="232"/>
      <c r="M59" s="232"/>
      <c r="N59" s="232"/>
    </row>
    <row r="60" spans="1:14" s="172" customFormat="1" ht="37.549999999999997" customHeight="1" outlineLevel="3" x14ac:dyDescent="0.25">
      <c r="A60" s="109" t="s">
        <v>853</v>
      </c>
      <c r="B60" s="110" t="s">
        <v>500</v>
      </c>
      <c r="C60" s="110" t="s">
        <v>24</v>
      </c>
      <c r="D60" s="110" t="s">
        <v>128</v>
      </c>
      <c r="E60" s="110" t="s">
        <v>6</v>
      </c>
      <c r="F60" s="320">
        <v>22886854.309999999</v>
      </c>
      <c r="G60" s="321">
        <f>G61+G68+G76</f>
        <v>23474335</v>
      </c>
      <c r="H60" s="361">
        <f>H61+H68+H76</f>
        <v>14784021.529999999</v>
      </c>
      <c r="I60" s="321">
        <f>I61+I68+I76</f>
        <v>25030881.030000001</v>
      </c>
      <c r="J60" s="321">
        <f>J61+J68+J76</f>
        <v>26583813</v>
      </c>
      <c r="K60" s="297"/>
      <c r="L60" s="233"/>
      <c r="M60" s="233"/>
      <c r="N60" s="233"/>
    </row>
    <row r="61" spans="1:14" ht="39.25" customHeight="1" outlineLevel="7" x14ac:dyDescent="0.25">
      <c r="A61" s="81" t="s">
        <v>835</v>
      </c>
      <c r="B61" s="80" t="s">
        <v>500</v>
      </c>
      <c r="C61" s="80" t="s">
        <v>24</v>
      </c>
      <c r="D61" s="80" t="s">
        <v>315</v>
      </c>
      <c r="E61" s="80" t="s">
        <v>6</v>
      </c>
      <c r="F61" s="316">
        <v>796387</v>
      </c>
      <c r="G61" s="318">
        <f>G62+G65</f>
        <v>845385</v>
      </c>
      <c r="H61" s="318">
        <f>H62+H65</f>
        <v>20900</v>
      </c>
      <c r="I61" s="318">
        <f>I62+I65</f>
        <v>795385</v>
      </c>
      <c r="J61" s="318">
        <f>J62+J65</f>
        <v>845385</v>
      </c>
      <c r="K61" s="296"/>
      <c r="L61" s="232"/>
      <c r="M61" s="232"/>
      <c r="N61" s="232"/>
    </row>
    <row r="62" spans="1:14" outlineLevel="7" x14ac:dyDescent="0.25">
      <c r="A62" s="81" t="s">
        <v>321</v>
      </c>
      <c r="B62" s="80" t="s">
        <v>500</v>
      </c>
      <c r="C62" s="80" t="s">
        <v>24</v>
      </c>
      <c r="D62" s="80" t="s">
        <v>316</v>
      </c>
      <c r="E62" s="80" t="s">
        <v>6</v>
      </c>
      <c r="F62" s="316">
        <v>628897</v>
      </c>
      <c r="G62" s="318">
        <f t="shared" ref="G62:J63" si="8">G63</f>
        <v>745385</v>
      </c>
      <c r="H62" s="318">
        <v>5100</v>
      </c>
      <c r="I62" s="318">
        <f t="shared" si="8"/>
        <v>745385</v>
      </c>
      <c r="J62" s="318">
        <f t="shared" si="8"/>
        <v>745385</v>
      </c>
      <c r="K62" s="296"/>
      <c r="L62" s="232"/>
      <c r="M62" s="232"/>
      <c r="N62" s="232"/>
    </row>
    <row r="63" spans="1:14" ht="36.700000000000003" outlineLevel="7" x14ac:dyDescent="0.25">
      <c r="A63" s="81" t="s">
        <v>15</v>
      </c>
      <c r="B63" s="80" t="s">
        <v>500</v>
      </c>
      <c r="C63" s="80" t="s">
        <v>24</v>
      </c>
      <c r="D63" s="80" t="s">
        <v>316</v>
      </c>
      <c r="E63" s="80" t="s">
        <v>16</v>
      </c>
      <c r="F63" s="316">
        <v>628897</v>
      </c>
      <c r="G63" s="317">
        <f t="shared" si="8"/>
        <v>745385</v>
      </c>
      <c r="H63" s="370">
        <v>5100</v>
      </c>
      <c r="I63" s="317">
        <f t="shared" si="8"/>
        <v>745385</v>
      </c>
      <c r="J63" s="317">
        <f t="shared" si="8"/>
        <v>745385</v>
      </c>
      <c r="K63" s="296"/>
      <c r="L63" s="232"/>
      <c r="M63" s="232"/>
      <c r="N63" s="232"/>
    </row>
    <row r="64" spans="1:14" ht="21.25" customHeight="1" outlineLevel="7" x14ac:dyDescent="0.25">
      <c r="A64" s="81" t="s">
        <v>17</v>
      </c>
      <c r="B64" s="80" t="s">
        <v>500</v>
      </c>
      <c r="C64" s="80" t="s">
        <v>24</v>
      </c>
      <c r="D64" s="80" t="s">
        <v>316</v>
      </c>
      <c r="E64" s="80" t="s">
        <v>18</v>
      </c>
      <c r="F64" s="316">
        <v>628897</v>
      </c>
      <c r="G64" s="318">
        <v>745385</v>
      </c>
      <c r="H64" s="370">
        <v>5100</v>
      </c>
      <c r="I64" s="318">
        <f>'прил 12'!F71</f>
        <v>745385</v>
      </c>
      <c r="J64" s="318">
        <v>745385</v>
      </c>
      <c r="K64" s="296"/>
      <c r="L64" s="232"/>
      <c r="M64" s="232"/>
      <c r="N64" s="232"/>
    </row>
    <row r="65" spans="1:14" ht="36.700000000000003" outlineLevel="7" x14ac:dyDescent="0.25">
      <c r="A65" s="81" t="s">
        <v>322</v>
      </c>
      <c r="B65" s="80" t="s">
        <v>500</v>
      </c>
      <c r="C65" s="80" t="s">
        <v>24</v>
      </c>
      <c r="D65" s="80" t="s">
        <v>323</v>
      </c>
      <c r="E65" s="80" t="s">
        <v>6</v>
      </c>
      <c r="F65" s="316">
        <v>167490</v>
      </c>
      <c r="G65" s="318">
        <f t="shared" ref="G65:J66" si="9">G66</f>
        <v>100000</v>
      </c>
      <c r="H65" s="370">
        <v>15800</v>
      </c>
      <c r="I65" s="318">
        <f t="shared" si="9"/>
        <v>50000</v>
      </c>
      <c r="J65" s="325">
        <f t="shared" si="9"/>
        <v>100000</v>
      </c>
      <c r="K65" s="296"/>
      <c r="L65" s="232"/>
      <c r="M65" s="232"/>
      <c r="N65" s="232"/>
    </row>
    <row r="66" spans="1:14" ht="36.700000000000003" outlineLevel="7" x14ac:dyDescent="0.25">
      <c r="A66" s="81" t="s">
        <v>15</v>
      </c>
      <c r="B66" s="80" t="s">
        <v>500</v>
      </c>
      <c r="C66" s="80" t="s">
        <v>24</v>
      </c>
      <c r="D66" s="80" t="s">
        <v>323</v>
      </c>
      <c r="E66" s="80" t="s">
        <v>16</v>
      </c>
      <c r="F66" s="316">
        <v>167490</v>
      </c>
      <c r="G66" s="317">
        <f t="shared" si="9"/>
        <v>100000</v>
      </c>
      <c r="H66" s="370">
        <v>15800</v>
      </c>
      <c r="I66" s="317">
        <f t="shared" si="9"/>
        <v>50000</v>
      </c>
      <c r="J66" s="317">
        <f t="shared" si="9"/>
        <v>100000</v>
      </c>
      <c r="K66" s="296"/>
      <c r="L66" s="232"/>
      <c r="M66" s="232"/>
      <c r="N66" s="232"/>
    </row>
    <row r="67" spans="1:14" ht="19.55" customHeight="1" outlineLevel="7" x14ac:dyDescent="0.25">
      <c r="A67" s="81" t="s">
        <v>17</v>
      </c>
      <c r="B67" s="80" t="s">
        <v>500</v>
      </c>
      <c r="C67" s="80" t="s">
        <v>24</v>
      </c>
      <c r="D67" s="80" t="s">
        <v>323</v>
      </c>
      <c r="E67" s="80" t="s">
        <v>18</v>
      </c>
      <c r="F67" s="316">
        <v>167490</v>
      </c>
      <c r="G67" s="317">
        <f>50000+50000</f>
        <v>100000</v>
      </c>
      <c r="H67" s="317">
        <v>15800</v>
      </c>
      <c r="I67" s="317">
        <f>'прил 12'!F74</f>
        <v>50000</v>
      </c>
      <c r="J67" s="317">
        <f>50000+50000</f>
        <v>100000</v>
      </c>
      <c r="K67" s="296"/>
      <c r="L67" s="232"/>
      <c r="M67" s="232"/>
      <c r="N67" s="232"/>
    </row>
    <row r="68" spans="1:14" ht="42.45" customHeight="1" outlineLevel="7" x14ac:dyDescent="0.25">
      <c r="A68" s="81" t="s">
        <v>216</v>
      </c>
      <c r="B68" s="80" t="s">
        <v>500</v>
      </c>
      <c r="C68" s="80" t="s">
        <v>24</v>
      </c>
      <c r="D68" s="80" t="s">
        <v>231</v>
      </c>
      <c r="E68" s="80" t="s">
        <v>6</v>
      </c>
      <c r="F68" s="316">
        <v>19431974.879999999</v>
      </c>
      <c r="G68" s="318">
        <f>G69</f>
        <v>21177850</v>
      </c>
      <c r="H68" s="131">
        <f>H69</f>
        <v>13917675.359999999</v>
      </c>
      <c r="I68" s="318">
        <f>I69</f>
        <v>22135496.030000001</v>
      </c>
      <c r="J68" s="318">
        <f>J69</f>
        <v>24287328</v>
      </c>
      <c r="K68" s="296"/>
      <c r="L68" s="232"/>
      <c r="M68" s="232"/>
      <c r="N68" s="232"/>
    </row>
    <row r="69" spans="1:14" ht="55.05" outlineLevel="5" x14ac:dyDescent="0.25">
      <c r="A69" s="81" t="s">
        <v>33</v>
      </c>
      <c r="B69" s="80" t="s">
        <v>500</v>
      </c>
      <c r="C69" s="80" t="s">
        <v>24</v>
      </c>
      <c r="D69" s="80" t="s">
        <v>130</v>
      </c>
      <c r="E69" s="80" t="s">
        <v>6</v>
      </c>
      <c r="F69" s="316">
        <v>19431974.879999999</v>
      </c>
      <c r="G69" s="317">
        <f>G70+G72+G74</f>
        <v>21177850</v>
      </c>
      <c r="H69" s="360">
        <f>H70+H72+H74</f>
        <v>13917675.359999999</v>
      </c>
      <c r="I69" s="317">
        <f>I70+I72+I74</f>
        <v>22135496.030000001</v>
      </c>
      <c r="J69" s="317">
        <f>J70+J72+J74</f>
        <v>24287328</v>
      </c>
      <c r="K69" s="296"/>
      <c r="L69" s="232"/>
      <c r="M69" s="232"/>
      <c r="N69" s="232"/>
    </row>
    <row r="70" spans="1:14" ht="91.7" outlineLevel="6" x14ac:dyDescent="0.25">
      <c r="A70" s="81" t="s">
        <v>11</v>
      </c>
      <c r="B70" s="80" t="s">
        <v>500</v>
      </c>
      <c r="C70" s="80" t="s">
        <v>24</v>
      </c>
      <c r="D70" s="80" t="s">
        <v>130</v>
      </c>
      <c r="E70" s="80" t="s">
        <v>12</v>
      </c>
      <c r="F70" s="316">
        <v>9763033.2200000007</v>
      </c>
      <c r="G70" s="317">
        <f>G71</f>
        <v>11340000</v>
      </c>
      <c r="H70" s="370">
        <v>8110814.9500000002</v>
      </c>
      <c r="I70" s="317">
        <f>I71</f>
        <v>11334046.030000001</v>
      </c>
      <c r="J70" s="317">
        <f>J71</f>
        <v>11899000</v>
      </c>
      <c r="K70" s="296"/>
      <c r="L70" s="232"/>
      <c r="M70" s="232"/>
      <c r="N70" s="232"/>
    </row>
    <row r="71" spans="1:14" ht="36.700000000000003" outlineLevel="7" x14ac:dyDescent="0.25">
      <c r="A71" s="81" t="s">
        <v>34</v>
      </c>
      <c r="B71" s="80" t="s">
        <v>500</v>
      </c>
      <c r="C71" s="80" t="s">
        <v>24</v>
      </c>
      <c r="D71" s="80" t="s">
        <v>130</v>
      </c>
      <c r="E71" s="80" t="s">
        <v>35</v>
      </c>
      <c r="F71" s="316">
        <v>9763033.2200000007</v>
      </c>
      <c r="G71" s="318">
        <f>потребность!I78+340000</f>
        <v>11340000</v>
      </c>
      <c r="H71" s="370">
        <v>8110814.9500000002</v>
      </c>
      <c r="I71" s="318">
        <f>'прил 12'!F78</f>
        <v>11334046.030000001</v>
      </c>
      <c r="J71" s="318">
        <v>11899000</v>
      </c>
      <c r="K71" s="296"/>
      <c r="L71" s="232"/>
      <c r="M71" s="232"/>
      <c r="N71" s="232"/>
    </row>
    <row r="72" spans="1:14" ht="36.700000000000003" outlineLevel="6" x14ac:dyDescent="0.25">
      <c r="A72" s="81" t="s">
        <v>15</v>
      </c>
      <c r="B72" s="80" t="s">
        <v>500</v>
      </c>
      <c r="C72" s="80" t="s">
        <v>24</v>
      </c>
      <c r="D72" s="80" t="s">
        <v>130</v>
      </c>
      <c r="E72" s="80" t="s">
        <v>16</v>
      </c>
      <c r="F72" s="316">
        <v>8912074.9000000004</v>
      </c>
      <c r="G72" s="317">
        <f>G73</f>
        <v>9036400</v>
      </c>
      <c r="H72" s="370">
        <v>5501055.75</v>
      </c>
      <c r="I72" s="317">
        <f>I73</f>
        <v>10000000</v>
      </c>
      <c r="J72" s="317">
        <f>J73</f>
        <v>11619820</v>
      </c>
      <c r="K72" s="296"/>
      <c r="L72" s="232"/>
      <c r="M72" s="232"/>
      <c r="N72" s="232"/>
    </row>
    <row r="73" spans="1:14" ht="21.25" customHeight="1" outlineLevel="7" x14ac:dyDescent="0.25">
      <c r="A73" s="81" t="s">
        <v>17</v>
      </c>
      <c r="B73" s="80" t="s">
        <v>500</v>
      </c>
      <c r="C73" s="80" t="s">
        <v>24</v>
      </c>
      <c r="D73" s="80" t="s">
        <v>130</v>
      </c>
      <c r="E73" s="80" t="s">
        <v>18</v>
      </c>
      <c r="F73" s="316">
        <v>8912074.9000000004</v>
      </c>
      <c r="G73" s="318">
        <f>потребность!I80+36400</f>
        <v>9036400</v>
      </c>
      <c r="H73" s="370">
        <v>5501055.75</v>
      </c>
      <c r="I73" s="318">
        <f>'прил 12'!F80</f>
        <v>10000000</v>
      </c>
      <c r="J73" s="317">
        <v>11619820</v>
      </c>
      <c r="K73" s="296"/>
      <c r="L73" s="232"/>
      <c r="M73" s="232"/>
      <c r="N73" s="232"/>
    </row>
    <row r="74" spans="1:14" outlineLevel="6" x14ac:dyDescent="0.25">
      <c r="A74" s="81" t="s">
        <v>19</v>
      </c>
      <c r="B74" s="80" t="s">
        <v>500</v>
      </c>
      <c r="C74" s="80" t="s">
        <v>24</v>
      </c>
      <c r="D74" s="80" t="s">
        <v>130</v>
      </c>
      <c r="E74" s="80" t="s">
        <v>20</v>
      </c>
      <c r="F74" s="316">
        <v>756866.76</v>
      </c>
      <c r="G74" s="317">
        <f>G75</f>
        <v>801450</v>
      </c>
      <c r="H74" s="370">
        <v>305804.65999999997</v>
      </c>
      <c r="I74" s="317">
        <f>I75</f>
        <v>801450</v>
      </c>
      <c r="J74" s="318">
        <v>768508</v>
      </c>
      <c r="K74" s="296"/>
      <c r="L74" s="232"/>
      <c r="M74" s="232"/>
      <c r="N74" s="232"/>
    </row>
    <row r="75" spans="1:14" outlineLevel="7" x14ac:dyDescent="0.25">
      <c r="A75" s="81" t="s">
        <v>21</v>
      </c>
      <c r="B75" s="80" t="s">
        <v>500</v>
      </c>
      <c r="C75" s="80" t="s">
        <v>24</v>
      </c>
      <c r="D75" s="80" t="s">
        <v>130</v>
      </c>
      <c r="E75" s="80" t="s">
        <v>22</v>
      </c>
      <c r="F75" s="326">
        <v>756866.76</v>
      </c>
      <c r="G75" s="318">
        <v>801450</v>
      </c>
      <c r="H75" s="370">
        <v>305804.65999999997</v>
      </c>
      <c r="I75" s="318">
        <f>'прил 12'!F82</f>
        <v>801450</v>
      </c>
      <c r="J75" s="318">
        <v>768508</v>
      </c>
      <c r="K75" s="296"/>
      <c r="L75" s="232"/>
      <c r="M75" s="232"/>
      <c r="N75" s="232"/>
    </row>
    <row r="76" spans="1:14" ht="17.5" customHeight="1" outlineLevel="7" x14ac:dyDescent="0.25">
      <c r="A76" s="81" t="s">
        <v>748</v>
      </c>
      <c r="B76" s="80" t="s">
        <v>500</v>
      </c>
      <c r="C76" s="80" t="s">
        <v>24</v>
      </c>
      <c r="D76" s="80" t="s">
        <v>692</v>
      </c>
      <c r="E76" s="80" t="s">
        <v>6</v>
      </c>
      <c r="F76" s="316">
        <v>2692560</v>
      </c>
      <c r="G76" s="317">
        <f>G77+G80</f>
        <v>1451100</v>
      </c>
      <c r="H76" s="360">
        <f>H77+H80</f>
        <v>845446.17</v>
      </c>
      <c r="I76" s="317">
        <f>I77+I80</f>
        <v>2100000</v>
      </c>
      <c r="J76" s="317">
        <f>J77+J80</f>
        <v>1451100</v>
      </c>
      <c r="K76" s="296"/>
      <c r="L76" s="232"/>
      <c r="M76" s="232"/>
      <c r="N76" s="232"/>
    </row>
    <row r="77" spans="1:14" ht="36.700000000000003" outlineLevel="7" x14ac:dyDescent="0.25">
      <c r="A77" s="25" t="s">
        <v>717</v>
      </c>
      <c r="B77" s="80" t="s">
        <v>500</v>
      </c>
      <c r="C77" s="80" t="s">
        <v>24</v>
      </c>
      <c r="D77" s="80" t="s">
        <v>691</v>
      </c>
      <c r="E77" s="80" t="s">
        <v>6</v>
      </c>
      <c r="F77" s="316">
        <v>1601460</v>
      </c>
      <c r="G77" s="317">
        <f t="shared" ref="G77:J78" si="10">G78</f>
        <v>0</v>
      </c>
      <c r="H77" s="360">
        <f t="shared" si="10"/>
        <v>0</v>
      </c>
      <c r="I77" s="317">
        <f t="shared" si="10"/>
        <v>500000</v>
      </c>
      <c r="J77" s="317">
        <f t="shared" si="10"/>
        <v>0</v>
      </c>
      <c r="K77" s="296"/>
      <c r="L77" s="232"/>
      <c r="M77" s="232"/>
      <c r="N77" s="232"/>
    </row>
    <row r="78" spans="1:14" ht="36.700000000000003" outlineLevel="7" x14ac:dyDescent="0.25">
      <c r="A78" s="81" t="s">
        <v>15</v>
      </c>
      <c r="B78" s="80" t="s">
        <v>500</v>
      </c>
      <c r="C78" s="80" t="s">
        <v>24</v>
      </c>
      <c r="D78" s="80" t="s">
        <v>691</v>
      </c>
      <c r="E78" s="80" t="s">
        <v>16</v>
      </c>
      <c r="F78" s="316">
        <v>1601460</v>
      </c>
      <c r="G78" s="317">
        <f t="shared" si="10"/>
        <v>0</v>
      </c>
      <c r="H78" s="360">
        <f t="shared" si="10"/>
        <v>0</v>
      </c>
      <c r="I78" s="317">
        <f t="shared" si="10"/>
        <v>500000</v>
      </c>
      <c r="J78" s="317">
        <f t="shared" si="10"/>
        <v>0</v>
      </c>
      <c r="K78" s="296"/>
      <c r="L78" s="232"/>
      <c r="M78" s="232"/>
      <c r="N78" s="232"/>
    </row>
    <row r="79" spans="1:14" ht="55.05" outlineLevel="7" x14ac:dyDescent="0.25">
      <c r="A79" s="81" t="s">
        <v>17</v>
      </c>
      <c r="B79" s="80" t="s">
        <v>500</v>
      </c>
      <c r="C79" s="80" t="s">
        <v>24</v>
      </c>
      <c r="D79" s="80" t="s">
        <v>691</v>
      </c>
      <c r="E79" s="80" t="s">
        <v>18</v>
      </c>
      <c r="F79" s="316">
        <v>1601460</v>
      </c>
      <c r="G79" s="318">
        <v>0</v>
      </c>
      <c r="H79" s="131">
        <v>0</v>
      </c>
      <c r="I79" s="318">
        <f>'прил 12'!F86</f>
        <v>500000</v>
      </c>
      <c r="J79" s="318">
        <v>0</v>
      </c>
      <c r="K79" s="296"/>
      <c r="L79" s="232"/>
      <c r="M79" s="232"/>
      <c r="N79" s="232"/>
    </row>
    <row r="80" spans="1:14" ht="36.700000000000003" outlineLevel="7" x14ac:dyDescent="0.25">
      <c r="A80" s="81" t="s">
        <v>690</v>
      </c>
      <c r="B80" s="80" t="s">
        <v>500</v>
      </c>
      <c r="C80" s="80" t="s">
        <v>24</v>
      </c>
      <c r="D80" s="80" t="s">
        <v>689</v>
      </c>
      <c r="E80" s="80" t="s">
        <v>6</v>
      </c>
      <c r="F80" s="316">
        <v>1091100</v>
      </c>
      <c r="G80" s="317">
        <f>G83+G81</f>
        <v>1451100</v>
      </c>
      <c r="H80" s="360">
        <f>H83+H81</f>
        <v>845446.17</v>
      </c>
      <c r="I80" s="317">
        <f>I83+I81</f>
        <v>1600000</v>
      </c>
      <c r="J80" s="317">
        <f>J83+J81</f>
        <v>1451100</v>
      </c>
      <c r="K80" s="296"/>
      <c r="L80" s="232"/>
      <c r="M80" s="232"/>
      <c r="N80" s="232"/>
    </row>
    <row r="81" spans="1:14" ht="91.7" outlineLevel="7" x14ac:dyDescent="0.25">
      <c r="A81" s="81" t="s">
        <v>11</v>
      </c>
      <c r="B81" s="80" t="s">
        <v>500</v>
      </c>
      <c r="C81" s="80" t="s">
        <v>24</v>
      </c>
      <c r="D81" s="80" t="s">
        <v>689</v>
      </c>
      <c r="E81" s="80" t="s">
        <v>12</v>
      </c>
      <c r="F81" s="316">
        <v>29000</v>
      </c>
      <c r="G81" s="317">
        <f>G82</f>
        <v>116000</v>
      </c>
      <c r="H81" s="370">
        <v>58000</v>
      </c>
      <c r="I81" s="317">
        <v>0</v>
      </c>
      <c r="J81" s="317">
        <f>J82</f>
        <v>116000</v>
      </c>
      <c r="K81" s="296"/>
      <c r="L81" s="232"/>
      <c r="M81" s="232"/>
      <c r="N81" s="232"/>
    </row>
    <row r="82" spans="1:14" ht="36.700000000000003" outlineLevel="7" x14ac:dyDescent="0.25">
      <c r="A82" s="81" t="s">
        <v>13</v>
      </c>
      <c r="B82" s="80" t="s">
        <v>500</v>
      </c>
      <c r="C82" s="80" t="s">
        <v>24</v>
      </c>
      <c r="D82" s="80" t="s">
        <v>689</v>
      </c>
      <c r="E82" s="80" t="s">
        <v>14</v>
      </c>
      <c r="F82" s="316">
        <v>29000</v>
      </c>
      <c r="G82" s="317">
        <v>116000</v>
      </c>
      <c r="H82" s="370">
        <v>58000</v>
      </c>
      <c r="I82" s="317">
        <v>0</v>
      </c>
      <c r="J82" s="317">
        <v>116000</v>
      </c>
      <c r="K82" s="296"/>
      <c r="L82" s="232"/>
      <c r="M82" s="232"/>
      <c r="N82" s="232"/>
    </row>
    <row r="83" spans="1:14" ht="36.700000000000003" outlineLevel="7" x14ac:dyDescent="0.25">
      <c r="A83" s="81" t="s">
        <v>15</v>
      </c>
      <c r="B83" s="80" t="s">
        <v>500</v>
      </c>
      <c r="C83" s="80" t="s">
        <v>24</v>
      </c>
      <c r="D83" s="80" t="s">
        <v>689</v>
      </c>
      <c r="E83" s="80" t="s">
        <v>16</v>
      </c>
      <c r="F83" s="316">
        <v>1062100</v>
      </c>
      <c r="G83" s="317">
        <f>G84</f>
        <v>1335100</v>
      </c>
      <c r="H83" s="370">
        <v>787446.17</v>
      </c>
      <c r="I83" s="317">
        <f>I84</f>
        <v>1600000</v>
      </c>
      <c r="J83" s="317">
        <f>J84</f>
        <v>1335100</v>
      </c>
      <c r="K83" s="296"/>
      <c r="L83" s="232"/>
      <c r="M83" s="232"/>
      <c r="N83" s="232"/>
    </row>
    <row r="84" spans="1:14" ht="55.05" outlineLevel="7" x14ac:dyDescent="0.25">
      <c r="A84" s="81" t="s">
        <v>17</v>
      </c>
      <c r="B84" s="80" t="s">
        <v>500</v>
      </c>
      <c r="C84" s="80" t="s">
        <v>24</v>
      </c>
      <c r="D84" s="80" t="s">
        <v>689</v>
      </c>
      <c r="E84" s="80" t="s">
        <v>18</v>
      </c>
      <c r="F84" s="316">
        <v>1062100</v>
      </c>
      <c r="G84" s="318">
        <f>1451100-116000</f>
        <v>1335100</v>
      </c>
      <c r="H84" s="370">
        <v>787446.17</v>
      </c>
      <c r="I84" s="318">
        <f>'прил 12'!F89</f>
        <v>1600000</v>
      </c>
      <c r="J84" s="318">
        <v>1335100</v>
      </c>
      <c r="K84" s="296"/>
      <c r="L84" s="232"/>
      <c r="M84" s="232"/>
      <c r="N84" s="232"/>
    </row>
    <row r="85" spans="1:14" s="172" customFormat="1" ht="55.05" outlineLevel="7" x14ac:dyDescent="0.25">
      <c r="A85" s="109" t="s">
        <v>852</v>
      </c>
      <c r="B85" s="110" t="s">
        <v>500</v>
      </c>
      <c r="C85" s="110" t="s">
        <v>24</v>
      </c>
      <c r="D85" s="110" t="s">
        <v>131</v>
      </c>
      <c r="E85" s="110" t="s">
        <v>6</v>
      </c>
      <c r="F85" s="320">
        <v>64753.57</v>
      </c>
      <c r="G85" s="321">
        <f t="shared" ref="G85:J88" si="11">G86</f>
        <v>50000</v>
      </c>
      <c r="H85" s="321">
        <f t="shared" si="11"/>
        <v>49993.440000000002</v>
      </c>
      <c r="I85" s="321">
        <f t="shared" si="11"/>
        <v>50000</v>
      </c>
      <c r="J85" s="321">
        <f t="shared" si="11"/>
        <v>50000</v>
      </c>
      <c r="K85" s="297"/>
      <c r="L85" s="233"/>
      <c r="M85" s="233"/>
      <c r="N85" s="233"/>
    </row>
    <row r="86" spans="1:14" outlineLevel="7" x14ac:dyDescent="0.25">
      <c r="A86" s="81" t="s">
        <v>324</v>
      </c>
      <c r="B86" s="80" t="s">
        <v>500</v>
      </c>
      <c r="C86" s="80" t="s">
        <v>24</v>
      </c>
      <c r="D86" s="80" t="s">
        <v>233</v>
      </c>
      <c r="E86" s="80" t="s">
        <v>6</v>
      </c>
      <c r="F86" s="316">
        <v>64753.57</v>
      </c>
      <c r="G86" s="317">
        <f t="shared" si="11"/>
        <v>50000</v>
      </c>
      <c r="H86" s="317">
        <f t="shared" si="11"/>
        <v>49993.440000000002</v>
      </c>
      <c r="I86" s="317">
        <f t="shared" si="11"/>
        <v>50000</v>
      </c>
      <c r="J86" s="317">
        <f t="shared" si="11"/>
        <v>50000</v>
      </c>
      <c r="K86" s="296"/>
      <c r="L86" s="232"/>
      <c r="M86" s="232"/>
      <c r="N86" s="232"/>
    </row>
    <row r="87" spans="1:14" ht="36.700000000000003" outlineLevel="7" x14ac:dyDescent="0.25">
      <c r="A87" s="81" t="s">
        <v>325</v>
      </c>
      <c r="B87" s="80" t="s">
        <v>500</v>
      </c>
      <c r="C87" s="80" t="s">
        <v>24</v>
      </c>
      <c r="D87" s="80" t="s">
        <v>326</v>
      </c>
      <c r="E87" s="80" t="s">
        <v>6</v>
      </c>
      <c r="F87" s="316">
        <v>64753.57</v>
      </c>
      <c r="G87" s="317">
        <f t="shared" si="11"/>
        <v>50000</v>
      </c>
      <c r="H87" s="317">
        <f t="shared" si="11"/>
        <v>49993.440000000002</v>
      </c>
      <c r="I87" s="317">
        <f t="shared" si="11"/>
        <v>50000</v>
      </c>
      <c r="J87" s="317">
        <f t="shared" si="11"/>
        <v>50000</v>
      </c>
      <c r="K87" s="296"/>
      <c r="L87" s="232"/>
      <c r="M87" s="232"/>
      <c r="N87" s="232"/>
    </row>
    <row r="88" spans="1:14" ht="36.700000000000003" outlineLevel="7" x14ac:dyDescent="0.25">
      <c r="A88" s="81" t="s">
        <v>15</v>
      </c>
      <c r="B88" s="80" t="s">
        <v>500</v>
      </c>
      <c r="C88" s="80" t="s">
        <v>24</v>
      </c>
      <c r="D88" s="80" t="s">
        <v>326</v>
      </c>
      <c r="E88" s="80" t="s">
        <v>16</v>
      </c>
      <c r="F88" s="316">
        <v>64753.57</v>
      </c>
      <c r="G88" s="317">
        <f t="shared" si="11"/>
        <v>50000</v>
      </c>
      <c r="H88" s="370">
        <v>49993.440000000002</v>
      </c>
      <c r="I88" s="317">
        <f t="shared" si="11"/>
        <v>50000</v>
      </c>
      <c r="J88" s="317">
        <f t="shared" si="11"/>
        <v>50000</v>
      </c>
      <c r="K88" s="296"/>
      <c r="L88" s="232"/>
      <c r="M88" s="232"/>
      <c r="N88" s="232"/>
    </row>
    <row r="89" spans="1:14" ht="21.25" customHeight="1" outlineLevel="7" x14ac:dyDescent="0.25">
      <c r="A89" s="81" t="s">
        <v>17</v>
      </c>
      <c r="B89" s="80" t="s">
        <v>500</v>
      </c>
      <c r="C89" s="80" t="s">
        <v>24</v>
      </c>
      <c r="D89" s="80" t="s">
        <v>326</v>
      </c>
      <c r="E89" s="80" t="s">
        <v>18</v>
      </c>
      <c r="F89" s="316">
        <v>64753.57</v>
      </c>
      <c r="G89" s="318">
        <v>50000</v>
      </c>
      <c r="H89" s="370">
        <v>49993.440000000002</v>
      </c>
      <c r="I89" s="318">
        <f>'прил 12'!F94</f>
        <v>50000</v>
      </c>
      <c r="J89" s="318">
        <f>'прил 12'!G94</f>
        <v>50000</v>
      </c>
      <c r="K89" s="296"/>
      <c r="L89" s="232"/>
      <c r="M89" s="232"/>
      <c r="N89" s="232"/>
    </row>
    <row r="90" spans="1:14" s="172" customFormat="1" ht="38.25" customHeight="1" outlineLevel="7" x14ac:dyDescent="0.25">
      <c r="A90" s="109" t="s">
        <v>829</v>
      </c>
      <c r="B90" s="110" t="s">
        <v>500</v>
      </c>
      <c r="C90" s="110" t="s">
        <v>24</v>
      </c>
      <c r="D90" s="110" t="s">
        <v>317</v>
      </c>
      <c r="E90" s="110" t="s">
        <v>6</v>
      </c>
      <c r="F90" s="320">
        <v>1741444.5</v>
      </c>
      <c r="G90" s="321">
        <f>G91</f>
        <v>2144838</v>
      </c>
      <c r="H90" s="361">
        <f>H91</f>
        <v>1516751.94</v>
      </c>
      <c r="I90" s="321">
        <f>I91</f>
        <v>1544157.5</v>
      </c>
      <c r="J90" s="321">
        <f>J91</f>
        <v>6596010</v>
      </c>
      <c r="K90" s="297"/>
      <c r="L90" s="233"/>
      <c r="M90" s="233"/>
      <c r="N90" s="233"/>
    </row>
    <row r="91" spans="1:14" ht="21.25" customHeight="1" outlineLevel="7" x14ac:dyDescent="0.25">
      <c r="A91" s="113" t="s">
        <v>327</v>
      </c>
      <c r="B91" s="80" t="s">
        <v>500</v>
      </c>
      <c r="C91" s="80" t="s">
        <v>24</v>
      </c>
      <c r="D91" s="80" t="s">
        <v>318</v>
      </c>
      <c r="E91" s="80" t="s">
        <v>6</v>
      </c>
      <c r="F91" s="316">
        <v>1741444.5</v>
      </c>
      <c r="G91" s="317">
        <f>G92+G95</f>
        <v>2144838</v>
      </c>
      <c r="H91" s="360">
        <f>H92+H95</f>
        <v>1516751.94</v>
      </c>
      <c r="I91" s="317">
        <f>I92+I95</f>
        <v>1544157.5</v>
      </c>
      <c r="J91" s="317">
        <f>J92+J95</f>
        <v>6596010</v>
      </c>
      <c r="K91" s="296"/>
      <c r="L91" s="232"/>
      <c r="M91" s="232"/>
      <c r="N91" s="232"/>
    </row>
    <row r="92" spans="1:14" ht="37.549999999999997" customHeight="1" outlineLevel="7" x14ac:dyDescent="0.25">
      <c r="A92" s="113" t="s">
        <v>328</v>
      </c>
      <c r="B92" s="80" t="s">
        <v>500</v>
      </c>
      <c r="C92" s="80" t="s">
        <v>24</v>
      </c>
      <c r="D92" s="80" t="s">
        <v>329</v>
      </c>
      <c r="E92" s="80" t="s">
        <v>6</v>
      </c>
      <c r="F92" s="316">
        <v>1700874.5</v>
      </c>
      <c r="G92" s="317">
        <f t="shared" ref="G92:J93" si="12">G93</f>
        <v>2100680.5</v>
      </c>
      <c r="H92" s="360">
        <f t="shared" si="12"/>
        <v>1496951.94</v>
      </c>
      <c r="I92" s="317">
        <f t="shared" si="12"/>
        <v>1500000</v>
      </c>
      <c r="J92" s="317">
        <f t="shared" si="12"/>
        <v>6550080</v>
      </c>
      <c r="K92" s="296"/>
      <c r="L92" s="232"/>
      <c r="M92" s="232"/>
      <c r="N92" s="232"/>
    </row>
    <row r="93" spans="1:14" ht="36.700000000000003" outlineLevel="7" x14ac:dyDescent="0.25">
      <c r="A93" s="81" t="s">
        <v>15</v>
      </c>
      <c r="B93" s="80" t="s">
        <v>500</v>
      </c>
      <c r="C93" s="80" t="s">
        <v>24</v>
      </c>
      <c r="D93" s="80" t="s">
        <v>329</v>
      </c>
      <c r="E93" s="80" t="s">
        <v>16</v>
      </c>
      <c r="F93" s="316">
        <v>1700874.5</v>
      </c>
      <c r="G93" s="317">
        <f t="shared" si="12"/>
        <v>2100680.5</v>
      </c>
      <c r="H93" s="370">
        <v>1496951.94</v>
      </c>
      <c r="I93" s="317">
        <f t="shared" si="12"/>
        <v>1500000</v>
      </c>
      <c r="J93" s="317">
        <f t="shared" si="12"/>
        <v>6550080</v>
      </c>
      <c r="K93" s="296"/>
      <c r="L93" s="232"/>
      <c r="M93" s="232"/>
      <c r="N93" s="232"/>
    </row>
    <row r="94" spans="1:14" ht="18.7" customHeight="1" outlineLevel="7" x14ac:dyDescent="0.25">
      <c r="A94" s="81" t="s">
        <v>17</v>
      </c>
      <c r="B94" s="80" t="s">
        <v>500</v>
      </c>
      <c r="C94" s="80" t="s">
        <v>24</v>
      </c>
      <c r="D94" s="80" t="s">
        <v>329</v>
      </c>
      <c r="E94" s="80" t="s">
        <v>18</v>
      </c>
      <c r="F94" s="316">
        <v>1700874.5</v>
      </c>
      <c r="G94" s="318">
        <f>потребность!I99+659300+149040</f>
        <v>2100680.5</v>
      </c>
      <c r="H94" s="370">
        <v>1496951.94</v>
      </c>
      <c r="I94" s="318">
        <f>'прил 12'!F99</f>
        <v>1500000</v>
      </c>
      <c r="J94" s="318">
        <v>6550080</v>
      </c>
      <c r="K94" s="296"/>
      <c r="L94" s="232"/>
      <c r="M94" s="232"/>
      <c r="N94" s="232"/>
    </row>
    <row r="95" spans="1:14" ht="36.700000000000003" outlineLevel="7" x14ac:dyDescent="0.25">
      <c r="A95" s="113" t="s">
        <v>330</v>
      </c>
      <c r="B95" s="80" t="s">
        <v>500</v>
      </c>
      <c r="C95" s="80" t="s">
        <v>24</v>
      </c>
      <c r="D95" s="80" t="s">
        <v>319</v>
      </c>
      <c r="E95" s="80" t="s">
        <v>6</v>
      </c>
      <c r="F95" s="316">
        <v>40570</v>
      </c>
      <c r="G95" s="317">
        <f t="shared" ref="G95:J96" si="13">G96</f>
        <v>44157.5</v>
      </c>
      <c r="H95" s="317">
        <f t="shared" si="13"/>
        <v>19800</v>
      </c>
      <c r="I95" s="317">
        <f t="shared" si="13"/>
        <v>44157.5</v>
      </c>
      <c r="J95" s="317">
        <f t="shared" si="13"/>
        <v>45930</v>
      </c>
      <c r="K95" s="296"/>
      <c r="L95" s="232"/>
      <c r="M95" s="232"/>
      <c r="N95" s="232"/>
    </row>
    <row r="96" spans="1:14" ht="36.700000000000003" outlineLevel="7" x14ac:dyDescent="0.25">
      <c r="A96" s="81" t="s">
        <v>15</v>
      </c>
      <c r="B96" s="80" t="s">
        <v>500</v>
      </c>
      <c r="C96" s="80" t="s">
        <v>24</v>
      </c>
      <c r="D96" s="80" t="s">
        <v>319</v>
      </c>
      <c r="E96" s="80" t="s">
        <v>16</v>
      </c>
      <c r="F96" s="316">
        <v>40570</v>
      </c>
      <c r="G96" s="317">
        <f t="shared" si="13"/>
        <v>44157.5</v>
      </c>
      <c r="H96" s="370">
        <v>19800</v>
      </c>
      <c r="I96" s="317">
        <f t="shared" si="13"/>
        <v>44157.5</v>
      </c>
      <c r="J96" s="317">
        <f t="shared" si="13"/>
        <v>45930</v>
      </c>
      <c r="K96" s="296"/>
      <c r="L96" s="232"/>
      <c r="M96" s="232"/>
      <c r="N96" s="232"/>
    </row>
    <row r="97" spans="1:14" ht="19.55" customHeight="1" outlineLevel="7" x14ac:dyDescent="0.25">
      <c r="A97" s="81" t="s">
        <v>17</v>
      </c>
      <c r="B97" s="80" t="s">
        <v>500</v>
      </c>
      <c r="C97" s="80" t="s">
        <v>24</v>
      </c>
      <c r="D97" s="80" t="s">
        <v>319</v>
      </c>
      <c r="E97" s="80" t="s">
        <v>18</v>
      </c>
      <c r="F97" s="316">
        <v>40570</v>
      </c>
      <c r="G97" s="317">
        <v>44157.5</v>
      </c>
      <c r="H97" s="370">
        <v>19800</v>
      </c>
      <c r="I97" s="317">
        <f>'прил 12'!F102</f>
        <v>44157.5</v>
      </c>
      <c r="J97" s="318">
        <v>45930</v>
      </c>
      <c r="K97" s="296"/>
      <c r="L97" s="232"/>
      <c r="M97" s="232"/>
      <c r="N97" s="232"/>
    </row>
    <row r="98" spans="1:14" s="172" customFormat="1" ht="55.05" outlineLevel="7" x14ac:dyDescent="0.25">
      <c r="A98" s="109" t="s">
        <v>851</v>
      </c>
      <c r="B98" s="110" t="s">
        <v>500</v>
      </c>
      <c r="C98" s="110" t="s">
        <v>24</v>
      </c>
      <c r="D98" s="110" t="s">
        <v>331</v>
      </c>
      <c r="E98" s="110" t="s">
        <v>6</v>
      </c>
      <c r="F98" s="320">
        <v>4246490.3</v>
      </c>
      <c r="G98" s="321">
        <f t="shared" ref="G98:J99" si="14">G99</f>
        <v>3440000</v>
      </c>
      <c r="H98" s="361">
        <f t="shared" si="14"/>
        <v>2212084.09</v>
      </c>
      <c r="I98" s="321">
        <f t="shared" si="14"/>
        <v>1600000</v>
      </c>
      <c r="J98" s="321">
        <f t="shared" si="14"/>
        <v>3717000</v>
      </c>
      <c r="K98" s="297"/>
      <c r="L98" s="233"/>
      <c r="M98" s="233"/>
      <c r="N98" s="233"/>
    </row>
    <row r="99" spans="1:14" ht="55.05" outlineLevel="7" x14ac:dyDescent="0.25">
      <c r="A99" s="81" t="s">
        <v>215</v>
      </c>
      <c r="B99" s="80" t="s">
        <v>500</v>
      </c>
      <c r="C99" s="80" t="s">
        <v>24</v>
      </c>
      <c r="D99" s="80" t="s">
        <v>332</v>
      </c>
      <c r="E99" s="80" t="s">
        <v>6</v>
      </c>
      <c r="F99" s="316">
        <v>4246490.3</v>
      </c>
      <c r="G99" s="317">
        <f t="shared" si="14"/>
        <v>3440000</v>
      </c>
      <c r="H99" s="360">
        <f t="shared" si="14"/>
        <v>2212084.09</v>
      </c>
      <c r="I99" s="317">
        <f t="shared" si="14"/>
        <v>1600000</v>
      </c>
      <c r="J99" s="317">
        <f t="shared" si="14"/>
        <v>3717000</v>
      </c>
      <c r="K99" s="296"/>
      <c r="L99" s="232"/>
      <c r="M99" s="232"/>
      <c r="N99" s="232"/>
    </row>
    <row r="100" spans="1:14" ht="73.400000000000006" outlineLevel="5" x14ac:dyDescent="0.25">
      <c r="A100" s="81" t="s">
        <v>32</v>
      </c>
      <c r="B100" s="80" t="s">
        <v>500</v>
      </c>
      <c r="C100" s="80" t="s">
        <v>24</v>
      </c>
      <c r="D100" s="80" t="s">
        <v>333</v>
      </c>
      <c r="E100" s="80" t="s">
        <v>6</v>
      </c>
      <c r="F100" s="316">
        <v>4246490.3</v>
      </c>
      <c r="G100" s="317">
        <f>G101+G103</f>
        <v>3440000</v>
      </c>
      <c r="H100" s="360">
        <f>H101+H103</f>
        <v>2212084.09</v>
      </c>
      <c r="I100" s="317">
        <f>I101+I103</f>
        <v>1600000</v>
      </c>
      <c r="J100" s="317">
        <f>J101+J103</f>
        <v>3717000</v>
      </c>
      <c r="K100" s="296"/>
      <c r="L100" s="232"/>
      <c r="M100" s="232"/>
      <c r="N100" s="232"/>
    </row>
    <row r="101" spans="1:14" ht="36.700000000000003" outlineLevel="6" x14ac:dyDescent="0.25">
      <c r="A101" s="81" t="s">
        <v>15</v>
      </c>
      <c r="B101" s="80" t="s">
        <v>500</v>
      </c>
      <c r="C101" s="80" t="s">
        <v>24</v>
      </c>
      <c r="D101" s="80" t="s">
        <v>333</v>
      </c>
      <c r="E101" s="80" t="s">
        <v>16</v>
      </c>
      <c r="F101" s="316">
        <v>4146490.3</v>
      </c>
      <c r="G101" s="317">
        <f>G102</f>
        <v>3300000</v>
      </c>
      <c r="H101" s="367">
        <v>2212084.09</v>
      </c>
      <c r="I101" s="317">
        <f>I102</f>
        <v>1460000</v>
      </c>
      <c r="J101" s="317">
        <f>J102</f>
        <v>3577000</v>
      </c>
      <c r="K101" s="296"/>
      <c r="L101" s="232"/>
      <c r="M101" s="232"/>
      <c r="N101" s="232"/>
    </row>
    <row r="102" spans="1:14" ht="20.25" customHeight="1" outlineLevel="7" x14ac:dyDescent="0.25">
      <c r="A102" s="81" t="s">
        <v>17</v>
      </c>
      <c r="B102" s="80" t="s">
        <v>500</v>
      </c>
      <c r="C102" s="80" t="s">
        <v>24</v>
      </c>
      <c r="D102" s="80" t="s">
        <v>333</v>
      </c>
      <c r="E102" s="80" t="s">
        <v>18</v>
      </c>
      <c r="F102" s="316">
        <v>4146490.3</v>
      </c>
      <c r="G102" s="317">
        <f>2460000+315000+220000+305000</f>
        <v>3300000</v>
      </c>
      <c r="H102" s="367">
        <v>2212084.09</v>
      </c>
      <c r="I102" s="317">
        <f>'прил 12'!F107</f>
        <v>1460000</v>
      </c>
      <c r="J102" s="318">
        <v>3577000</v>
      </c>
      <c r="K102" s="296"/>
      <c r="L102" s="232"/>
      <c r="M102" s="232"/>
      <c r="N102" s="232"/>
    </row>
    <row r="103" spans="1:14" outlineLevel="6" x14ac:dyDescent="0.25">
      <c r="A103" s="81" t="s">
        <v>19</v>
      </c>
      <c r="B103" s="80" t="s">
        <v>500</v>
      </c>
      <c r="C103" s="80" t="s">
        <v>24</v>
      </c>
      <c r="D103" s="80" t="s">
        <v>333</v>
      </c>
      <c r="E103" s="80" t="s">
        <v>20</v>
      </c>
      <c r="F103" s="316">
        <v>100000</v>
      </c>
      <c r="G103" s="317">
        <f>G104</f>
        <v>140000</v>
      </c>
      <c r="H103" s="360">
        <v>0</v>
      </c>
      <c r="I103" s="317">
        <f>I104</f>
        <v>140000</v>
      </c>
      <c r="J103" s="317">
        <f>J104</f>
        <v>140000</v>
      </c>
      <c r="K103" s="296"/>
      <c r="L103" s="232"/>
      <c r="M103" s="232"/>
      <c r="N103" s="232"/>
    </row>
    <row r="104" spans="1:14" outlineLevel="7" x14ac:dyDescent="0.25">
      <c r="A104" s="81" t="s">
        <v>21</v>
      </c>
      <c r="B104" s="80" t="s">
        <v>500</v>
      </c>
      <c r="C104" s="80" t="s">
        <v>24</v>
      </c>
      <c r="D104" s="80" t="s">
        <v>333</v>
      </c>
      <c r="E104" s="80" t="s">
        <v>22</v>
      </c>
      <c r="F104" s="316">
        <v>100000</v>
      </c>
      <c r="G104" s="318">
        <v>140000</v>
      </c>
      <c r="H104" s="131">
        <v>0</v>
      </c>
      <c r="I104" s="318">
        <f>'прил 12'!F109</f>
        <v>140000</v>
      </c>
      <c r="J104" s="318">
        <f>'прил 12'!G109</f>
        <v>140000</v>
      </c>
      <c r="K104" s="296"/>
      <c r="L104" s="232"/>
      <c r="M104" s="232"/>
      <c r="N104" s="232"/>
    </row>
    <row r="105" spans="1:14" ht="55.05" outlineLevel="7" x14ac:dyDescent="0.25">
      <c r="A105" s="109" t="s">
        <v>950</v>
      </c>
      <c r="B105" s="110" t="s">
        <v>500</v>
      </c>
      <c r="C105" s="110" t="s">
        <v>24</v>
      </c>
      <c r="D105" s="110" t="s">
        <v>952</v>
      </c>
      <c r="E105" s="110" t="s">
        <v>6</v>
      </c>
      <c r="F105" s="110" t="s">
        <v>976</v>
      </c>
      <c r="G105" s="318">
        <f t="shared" ref="G105:J108" si="15">G106</f>
        <v>50000</v>
      </c>
      <c r="H105" s="131"/>
      <c r="I105" s="318">
        <f t="shared" si="15"/>
        <v>0</v>
      </c>
      <c r="J105" s="325">
        <f t="shared" si="15"/>
        <v>100000</v>
      </c>
      <c r="K105" s="296"/>
      <c r="L105" s="232"/>
      <c r="M105" s="232"/>
      <c r="N105" s="232"/>
    </row>
    <row r="106" spans="1:14" ht="36.700000000000003" outlineLevel="7" x14ac:dyDescent="0.25">
      <c r="A106" s="81" t="s">
        <v>951</v>
      </c>
      <c r="B106" s="80" t="s">
        <v>500</v>
      </c>
      <c r="C106" s="80" t="s">
        <v>24</v>
      </c>
      <c r="D106" s="80" t="s">
        <v>953</v>
      </c>
      <c r="E106" s="80" t="s">
        <v>6</v>
      </c>
      <c r="F106" s="80" t="s">
        <v>976</v>
      </c>
      <c r="G106" s="318">
        <f t="shared" si="15"/>
        <v>50000</v>
      </c>
      <c r="H106" s="131"/>
      <c r="I106" s="318">
        <f t="shared" si="15"/>
        <v>0</v>
      </c>
      <c r="J106" s="325">
        <f t="shared" si="15"/>
        <v>100000</v>
      </c>
      <c r="K106" s="296"/>
      <c r="L106" s="232"/>
      <c r="M106" s="232"/>
      <c r="N106" s="232"/>
    </row>
    <row r="107" spans="1:14" ht="36.700000000000003" outlineLevel="7" x14ac:dyDescent="0.25">
      <c r="A107" s="81" t="s">
        <v>322</v>
      </c>
      <c r="B107" s="80" t="s">
        <v>500</v>
      </c>
      <c r="C107" s="80" t="s">
        <v>24</v>
      </c>
      <c r="D107" s="80" t="s">
        <v>954</v>
      </c>
      <c r="E107" s="80" t="s">
        <v>6</v>
      </c>
      <c r="F107" s="80" t="s">
        <v>976</v>
      </c>
      <c r="G107" s="318">
        <f t="shared" si="15"/>
        <v>50000</v>
      </c>
      <c r="H107" s="131"/>
      <c r="I107" s="318">
        <f t="shared" si="15"/>
        <v>0</v>
      </c>
      <c r="J107" s="325">
        <v>100000</v>
      </c>
      <c r="K107" s="296"/>
      <c r="L107" s="232"/>
      <c r="M107" s="232"/>
      <c r="N107" s="232"/>
    </row>
    <row r="108" spans="1:14" ht="36.700000000000003" outlineLevel="7" x14ac:dyDescent="0.25">
      <c r="A108" s="81" t="s">
        <v>15</v>
      </c>
      <c r="B108" s="80" t="s">
        <v>500</v>
      </c>
      <c r="C108" s="80" t="s">
        <v>24</v>
      </c>
      <c r="D108" s="80" t="s">
        <v>954</v>
      </c>
      <c r="E108" s="80" t="s">
        <v>16</v>
      </c>
      <c r="F108" s="80" t="s">
        <v>976</v>
      </c>
      <c r="G108" s="318">
        <f t="shared" si="15"/>
        <v>50000</v>
      </c>
      <c r="H108" s="131"/>
      <c r="I108" s="318">
        <f t="shared" si="15"/>
        <v>0</v>
      </c>
      <c r="J108" s="318">
        <f t="shared" si="15"/>
        <v>0</v>
      </c>
      <c r="K108" s="296"/>
      <c r="L108" s="232"/>
      <c r="M108" s="232"/>
      <c r="N108" s="232"/>
    </row>
    <row r="109" spans="1:14" ht="55.05" outlineLevel="7" x14ac:dyDescent="0.25">
      <c r="A109" s="81" t="s">
        <v>17</v>
      </c>
      <c r="B109" s="80" t="s">
        <v>500</v>
      </c>
      <c r="C109" s="80" t="s">
        <v>24</v>
      </c>
      <c r="D109" s="80" t="s">
        <v>954</v>
      </c>
      <c r="E109" s="80" t="s">
        <v>18</v>
      </c>
      <c r="F109" s="80" t="s">
        <v>976</v>
      </c>
      <c r="G109" s="318">
        <v>50000</v>
      </c>
      <c r="H109" s="131"/>
      <c r="I109" s="318">
        <v>0</v>
      </c>
      <c r="J109" s="318">
        <v>0</v>
      </c>
      <c r="K109" s="296"/>
      <c r="L109" s="232"/>
      <c r="M109" s="232"/>
      <c r="N109" s="232"/>
    </row>
    <row r="110" spans="1:14" ht="36.700000000000003" outlineLevel="3" x14ac:dyDescent="0.25">
      <c r="A110" s="81" t="s">
        <v>132</v>
      </c>
      <c r="B110" s="80" t="s">
        <v>500</v>
      </c>
      <c r="C110" s="80" t="s">
        <v>24</v>
      </c>
      <c r="D110" s="80" t="s">
        <v>127</v>
      </c>
      <c r="E110" s="80" t="s">
        <v>6</v>
      </c>
      <c r="F110" s="316">
        <v>41962737.840000004</v>
      </c>
      <c r="G110" s="317">
        <f>G133+G114+G130+G119+G112</f>
        <v>53163530.329999998</v>
      </c>
      <c r="H110" s="360">
        <f>H133+H114+H130+H119+H112</f>
        <v>41641519.200000003</v>
      </c>
      <c r="I110" s="317">
        <f>I133+I114+I130+I119+I112</f>
        <v>44296940</v>
      </c>
      <c r="J110" s="317">
        <f>J133+J114+J130+J119+J111</f>
        <v>46358880</v>
      </c>
      <c r="K110" s="296"/>
      <c r="L110" s="232"/>
      <c r="M110" s="232"/>
      <c r="N110" s="232"/>
    </row>
    <row r="111" spans="1:14" ht="156.25" customHeight="1" outlineLevel="3" x14ac:dyDescent="0.25">
      <c r="A111" s="275" t="s">
        <v>941</v>
      </c>
      <c r="B111" s="80" t="s">
        <v>500</v>
      </c>
      <c r="C111" s="80" t="s">
        <v>24</v>
      </c>
      <c r="D111" s="80" t="s">
        <v>942</v>
      </c>
      <c r="E111" s="80" t="s">
        <v>6</v>
      </c>
      <c r="F111" s="80" t="s">
        <v>976</v>
      </c>
      <c r="G111" s="317">
        <f>G112</f>
        <v>570000</v>
      </c>
      <c r="H111" s="317">
        <f>H112</f>
        <v>298793.59999999998</v>
      </c>
      <c r="I111" s="317">
        <v>0</v>
      </c>
      <c r="J111" s="376">
        <f>J112</f>
        <v>6500000</v>
      </c>
      <c r="K111" s="296"/>
      <c r="L111" s="232"/>
      <c r="M111" s="232"/>
      <c r="N111" s="232"/>
    </row>
    <row r="112" spans="1:14" ht="45.7" customHeight="1" outlineLevel="3" x14ac:dyDescent="0.25">
      <c r="A112" s="81" t="s">
        <v>15</v>
      </c>
      <c r="B112" s="80" t="s">
        <v>500</v>
      </c>
      <c r="C112" s="80" t="s">
        <v>24</v>
      </c>
      <c r="D112" s="80" t="s">
        <v>942</v>
      </c>
      <c r="E112" s="80" t="s">
        <v>16</v>
      </c>
      <c r="F112" s="80" t="s">
        <v>976</v>
      </c>
      <c r="G112" s="317">
        <f>G113</f>
        <v>570000</v>
      </c>
      <c r="H112" s="370">
        <v>298793.59999999998</v>
      </c>
      <c r="I112" s="317">
        <v>0</v>
      </c>
      <c r="J112" s="376">
        <f>J113</f>
        <v>6500000</v>
      </c>
      <c r="K112" s="296"/>
      <c r="L112" s="232"/>
      <c r="M112" s="232"/>
      <c r="N112" s="232"/>
    </row>
    <row r="113" spans="1:14" ht="58.75" customHeight="1" outlineLevel="3" x14ac:dyDescent="0.25">
      <c r="A113" s="81" t="s">
        <v>17</v>
      </c>
      <c r="B113" s="80" t="s">
        <v>500</v>
      </c>
      <c r="C113" s="80" t="s">
        <v>24</v>
      </c>
      <c r="D113" s="80" t="s">
        <v>942</v>
      </c>
      <c r="E113" s="80" t="s">
        <v>18</v>
      </c>
      <c r="F113" s="80" t="s">
        <v>976</v>
      </c>
      <c r="G113" s="317">
        <v>570000</v>
      </c>
      <c r="H113" s="370">
        <v>298793.59999999998</v>
      </c>
      <c r="I113" s="317">
        <v>0</v>
      </c>
      <c r="J113" s="376">
        <v>6500000</v>
      </c>
      <c r="K113" s="296"/>
      <c r="L113" s="232"/>
      <c r="M113" s="232"/>
      <c r="N113" s="232"/>
    </row>
    <row r="114" spans="1:14" ht="48.25" customHeight="1" outlineLevel="5" x14ac:dyDescent="0.25">
      <c r="A114" s="81" t="s">
        <v>494</v>
      </c>
      <c r="B114" s="80" t="s">
        <v>500</v>
      </c>
      <c r="C114" s="80" t="s">
        <v>24</v>
      </c>
      <c r="D114" s="80" t="s">
        <v>495</v>
      </c>
      <c r="E114" s="80" t="s">
        <v>6</v>
      </c>
      <c r="F114" s="316">
        <v>33020267.399999999</v>
      </c>
      <c r="G114" s="317">
        <f>G115+G117</f>
        <v>33848058.490000002</v>
      </c>
      <c r="H114" s="360">
        <f>H115+H117</f>
        <v>25868402.309999999</v>
      </c>
      <c r="I114" s="317">
        <f>I115+I117</f>
        <v>36378471</v>
      </c>
      <c r="J114" s="317">
        <f>J115+J117</f>
        <v>39658880</v>
      </c>
      <c r="K114" s="296"/>
      <c r="L114" s="232"/>
      <c r="M114" s="232"/>
      <c r="N114" s="232"/>
    </row>
    <row r="115" spans="1:14" ht="53.15" customHeight="1" outlineLevel="6" x14ac:dyDescent="0.25">
      <c r="A115" s="81" t="s">
        <v>11</v>
      </c>
      <c r="B115" s="80" t="s">
        <v>500</v>
      </c>
      <c r="C115" s="80" t="s">
        <v>24</v>
      </c>
      <c r="D115" s="80" t="s">
        <v>495</v>
      </c>
      <c r="E115" s="80" t="s">
        <v>12</v>
      </c>
      <c r="F115" s="316">
        <v>33020267.399999999</v>
      </c>
      <c r="G115" s="317">
        <f>G116</f>
        <v>33828058.490000002</v>
      </c>
      <c r="H115" s="367">
        <v>25860302.309999999</v>
      </c>
      <c r="I115" s="317">
        <f>I116</f>
        <v>36358471</v>
      </c>
      <c r="J115" s="317">
        <f>J116</f>
        <v>39638880</v>
      </c>
      <c r="K115" s="296"/>
      <c r="L115" s="232"/>
      <c r="M115" s="232"/>
      <c r="N115" s="232"/>
    </row>
    <row r="116" spans="1:14" ht="66.599999999999994" customHeight="1" outlineLevel="7" x14ac:dyDescent="0.25">
      <c r="A116" s="81" t="s">
        <v>13</v>
      </c>
      <c r="B116" s="80" t="s">
        <v>500</v>
      </c>
      <c r="C116" s="80" t="s">
        <v>24</v>
      </c>
      <c r="D116" s="80" t="s">
        <v>495</v>
      </c>
      <c r="E116" s="80" t="s">
        <v>14</v>
      </c>
      <c r="F116" s="316">
        <v>33020267.399999999</v>
      </c>
      <c r="G116" s="317">
        <f>потребность!I113-1157082</f>
        <v>33828058.490000002</v>
      </c>
      <c r="H116" s="370">
        <v>25860302.309999999</v>
      </c>
      <c r="I116" s="317">
        <f>'прил 12'!F113</f>
        <v>36358471</v>
      </c>
      <c r="J116" s="318">
        <v>39638880</v>
      </c>
      <c r="K116" s="296"/>
      <c r="L116" s="232"/>
      <c r="M116" s="232"/>
      <c r="N116" s="232"/>
    </row>
    <row r="117" spans="1:14" ht="42.8" customHeight="1" outlineLevel="7" x14ac:dyDescent="0.25">
      <c r="A117" s="81" t="s">
        <v>15</v>
      </c>
      <c r="B117" s="80" t="s">
        <v>500</v>
      </c>
      <c r="C117" s="80" t="s">
        <v>24</v>
      </c>
      <c r="D117" s="80" t="s">
        <v>495</v>
      </c>
      <c r="E117" s="80" t="s">
        <v>16</v>
      </c>
      <c r="F117" s="316">
        <v>0</v>
      </c>
      <c r="G117" s="318">
        <f>G118</f>
        <v>20000</v>
      </c>
      <c r="H117" s="370">
        <v>8100</v>
      </c>
      <c r="I117" s="318">
        <f>I118</f>
        <v>20000</v>
      </c>
      <c r="J117" s="318">
        <f>J118</f>
        <v>20000</v>
      </c>
      <c r="K117" s="296"/>
      <c r="L117" s="232"/>
      <c r="M117" s="232"/>
      <c r="N117" s="232"/>
    </row>
    <row r="118" spans="1:14" ht="53.15" customHeight="1" outlineLevel="7" x14ac:dyDescent="0.25">
      <c r="A118" s="81" t="s">
        <v>17</v>
      </c>
      <c r="B118" s="80" t="s">
        <v>500</v>
      </c>
      <c r="C118" s="80" t="s">
        <v>24</v>
      </c>
      <c r="D118" s="80" t="s">
        <v>495</v>
      </c>
      <c r="E118" s="80" t="s">
        <v>18</v>
      </c>
      <c r="F118" s="316">
        <v>0</v>
      </c>
      <c r="G118" s="317">
        <v>20000</v>
      </c>
      <c r="H118" s="370">
        <v>8100</v>
      </c>
      <c r="I118" s="317">
        <f>'прил 12'!F115</f>
        <v>20000</v>
      </c>
      <c r="J118" s="317">
        <f>'прил 12'!G115</f>
        <v>20000</v>
      </c>
      <c r="K118" s="296"/>
      <c r="L118" s="232"/>
      <c r="M118" s="232"/>
      <c r="N118" s="232"/>
    </row>
    <row r="119" spans="1:14" ht="33.450000000000003" customHeight="1" outlineLevel="7" x14ac:dyDescent="0.25">
      <c r="A119" s="81" t="s">
        <v>688</v>
      </c>
      <c r="B119" s="80" t="s">
        <v>500</v>
      </c>
      <c r="C119" s="80" t="s">
        <v>24</v>
      </c>
      <c r="D119" s="80" t="s">
        <v>686</v>
      </c>
      <c r="E119" s="80" t="s">
        <v>6</v>
      </c>
      <c r="F119" s="316">
        <v>454002.59</v>
      </c>
      <c r="G119" s="317">
        <f>G122+G120</f>
        <v>9824855.6199999992</v>
      </c>
      <c r="H119" s="317">
        <f>H122+H120</f>
        <v>9442891.7400000002</v>
      </c>
      <c r="I119" s="317">
        <f>I120+I122</f>
        <v>150000</v>
      </c>
      <c r="J119" s="317">
        <f>J120+J122</f>
        <v>0</v>
      </c>
      <c r="K119" s="296"/>
      <c r="L119" s="232"/>
      <c r="M119" s="232"/>
      <c r="N119" s="232"/>
    </row>
    <row r="120" spans="1:14" ht="55.7" customHeight="1" outlineLevel="7" x14ac:dyDescent="0.25">
      <c r="A120" s="81" t="s">
        <v>15</v>
      </c>
      <c r="B120" s="80" t="s">
        <v>500</v>
      </c>
      <c r="C120" s="80" t="s">
        <v>24</v>
      </c>
      <c r="D120" s="80" t="s">
        <v>686</v>
      </c>
      <c r="E120" s="80" t="s">
        <v>16</v>
      </c>
      <c r="F120" s="80" t="s">
        <v>976</v>
      </c>
      <c r="G120" s="317">
        <f>G121</f>
        <v>7162347.4199999999</v>
      </c>
      <c r="H120" s="370">
        <v>6805031.04</v>
      </c>
      <c r="I120" s="317">
        <f>I121</f>
        <v>0</v>
      </c>
      <c r="J120" s="317">
        <f>J121</f>
        <v>0</v>
      </c>
      <c r="K120" s="296"/>
      <c r="L120" s="232"/>
      <c r="M120" s="232"/>
      <c r="N120" s="232"/>
    </row>
    <row r="121" spans="1:14" ht="44.85" customHeight="1" outlineLevel="7" x14ac:dyDescent="0.25">
      <c r="A121" s="81" t="s">
        <v>17</v>
      </c>
      <c r="B121" s="80" t="s">
        <v>500</v>
      </c>
      <c r="C121" s="80" t="s">
        <v>24</v>
      </c>
      <c r="D121" s="80" t="s">
        <v>686</v>
      </c>
      <c r="E121" s="80" t="s">
        <v>18</v>
      </c>
      <c r="F121" s="80" t="s">
        <v>976</v>
      </c>
      <c r="G121" s="317">
        <f>6135390+465000+392879.31+169078.11</f>
        <v>7162347.4199999999</v>
      </c>
      <c r="H121" s="370">
        <v>6805031.04</v>
      </c>
      <c r="I121" s="317">
        <v>0</v>
      </c>
      <c r="J121" s="317">
        <v>0</v>
      </c>
      <c r="K121" s="296"/>
      <c r="L121" s="232"/>
      <c r="M121" s="232"/>
      <c r="N121" s="232"/>
    </row>
    <row r="122" spans="1:14" ht="47.9" customHeight="1" outlineLevel="7" x14ac:dyDescent="0.25">
      <c r="A122" s="81" t="s">
        <v>19</v>
      </c>
      <c r="B122" s="80" t="s">
        <v>500</v>
      </c>
      <c r="C122" s="80" t="s">
        <v>24</v>
      </c>
      <c r="D122" s="80" t="s">
        <v>686</v>
      </c>
      <c r="E122" s="80" t="s">
        <v>20</v>
      </c>
      <c r="F122" s="316">
        <v>454002.59</v>
      </c>
      <c r="G122" s="317">
        <f>G123+G124</f>
        <v>2662508.1999999997</v>
      </c>
      <c r="H122" s="370">
        <v>2637860.7000000002</v>
      </c>
      <c r="I122" s="317">
        <f>I123+I124</f>
        <v>150000</v>
      </c>
      <c r="J122" s="317">
        <f>J123+J124</f>
        <v>0</v>
      </c>
      <c r="K122" s="296"/>
      <c r="L122" s="232"/>
      <c r="M122" s="232"/>
      <c r="N122" s="232"/>
    </row>
    <row r="123" spans="1:14" ht="52.3" customHeight="1" outlineLevel="7" x14ac:dyDescent="0.25">
      <c r="A123" s="81" t="s">
        <v>715</v>
      </c>
      <c r="B123" s="80" t="s">
        <v>500</v>
      </c>
      <c r="C123" s="80" t="s">
        <v>24</v>
      </c>
      <c r="D123" s="80" t="s">
        <v>686</v>
      </c>
      <c r="E123" s="118" t="s">
        <v>716</v>
      </c>
      <c r="F123" s="316">
        <v>61000</v>
      </c>
      <c r="G123" s="317">
        <f>2463068.53+60000+61951.78+77487.89</f>
        <v>2662508.1999999997</v>
      </c>
      <c r="H123" s="370">
        <v>2637860.7000000002</v>
      </c>
      <c r="I123" s="317">
        <f>'прил 12'!F118</f>
        <v>0</v>
      </c>
      <c r="J123" s="317">
        <f>'прил 12'!G118</f>
        <v>0</v>
      </c>
      <c r="K123" s="296"/>
      <c r="L123" s="232"/>
      <c r="M123" s="232"/>
      <c r="N123" s="232"/>
    </row>
    <row r="124" spans="1:14" ht="57.75" customHeight="1" outlineLevel="7" x14ac:dyDescent="0.25">
      <c r="A124" s="81" t="s">
        <v>687</v>
      </c>
      <c r="B124" s="80" t="s">
        <v>500</v>
      </c>
      <c r="C124" s="80" t="s">
        <v>24</v>
      </c>
      <c r="D124" s="80" t="s">
        <v>686</v>
      </c>
      <c r="E124" s="80" t="s">
        <v>22</v>
      </c>
      <c r="F124" s="316">
        <v>393002.59</v>
      </c>
      <c r="G124" s="317">
        <f>795959.09-525000-270959.09</f>
        <v>0</v>
      </c>
      <c r="H124" s="317">
        <v>0</v>
      </c>
      <c r="I124" s="317">
        <f>'прил 12'!F119</f>
        <v>150000</v>
      </c>
      <c r="J124" s="318">
        <v>0</v>
      </c>
      <c r="K124" s="296"/>
      <c r="L124" s="232"/>
      <c r="M124" s="232"/>
      <c r="N124" s="232"/>
    </row>
    <row r="125" spans="1:14" ht="36" customHeight="1" outlineLevel="7" x14ac:dyDescent="0.25">
      <c r="A125" s="25" t="s">
        <v>600</v>
      </c>
      <c r="B125" s="80" t="s">
        <v>500</v>
      </c>
      <c r="C125" s="80" t="s">
        <v>24</v>
      </c>
      <c r="D125" s="80" t="s">
        <v>601</v>
      </c>
      <c r="E125" s="80" t="s">
        <v>6</v>
      </c>
      <c r="F125" s="316">
        <v>1317671.32</v>
      </c>
      <c r="G125" s="317">
        <f>G126</f>
        <v>0</v>
      </c>
      <c r="H125" s="317">
        <f>H126</f>
        <v>0</v>
      </c>
      <c r="I125" s="317">
        <v>0</v>
      </c>
      <c r="J125" s="317">
        <v>0</v>
      </c>
      <c r="K125" s="296"/>
      <c r="L125" s="232"/>
      <c r="M125" s="232"/>
      <c r="N125" s="232"/>
    </row>
    <row r="126" spans="1:14" ht="18.7" customHeight="1" outlineLevel="7" x14ac:dyDescent="0.25">
      <c r="A126" s="81" t="s">
        <v>15</v>
      </c>
      <c r="B126" s="80" t="s">
        <v>500</v>
      </c>
      <c r="C126" s="80" t="s">
        <v>24</v>
      </c>
      <c r="D126" s="80" t="s">
        <v>601</v>
      </c>
      <c r="E126" s="80" t="s">
        <v>16</v>
      </c>
      <c r="F126" s="316">
        <v>134942.99</v>
      </c>
      <c r="G126" s="317">
        <f>G127</f>
        <v>0</v>
      </c>
      <c r="H126" s="317">
        <f>H127</f>
        <v>0</v>
      </c>
      <c r="I126" s="317">
        <v>0</v>
      </c>
      <c r="J126" s="317">
        <v>0</v>
      </c>
      <c r="K126" s="296"/>
      <c r="L126" s="232"/>
      <c r="M126" s="232"/>
      <c r="N126" s="232"/>
    </row>
    <row r="127" spans="1:14" ht="18.7" customHeight="1" outlineLevel="7" x14ac:dyDescent="0.25">
      <c r="A127" s="81" t="s">
        <v>17</v>
      </c>
      <c r="B127" s="80" t="s">
        <v>500</v>
      </c>
      <c r="C127" s="80" t="s">
        <v>24</v>
      </c>
      <c r="D127" s="80" t="s">
        <v>601</v>
      </c>
      <c r="E127" s="80" t="s">
        <v>18</v>
      </c>
      <c r="F127" s="316">
        <v>134942.99</v>
      </c>
      <c r="G127" s="317">
        <v>0</v>
      </c>
      <c r="H127" s="317">
        <v>0</v>
      </c>
      <c r="I127" s="317">
        <v>0</v>
      </c>
      <c r="J127" s="317">
        <v>0</v>
      </c>
      <c r="K127" s="296"/>
      <c r="L127" s="232"/>
      <c r="M127" s="232"/>
      <c r="N127" s="232"/>
    </row>
    <row r="128" spans="1:14" ht="18.7" customHeight="1" outlineLevel="7" x14ac:dyDescent="0.25">
      <c r="A128" s="81" t="s">
        <v>90</v>
      </c>
      <c r="B128" s="80" t="s">
        <v>500</v>
      </c>
      <c r="C128" s="80" t="s">
        <v>24</v>
      </c>
      <c r="D128" s="80" t="s">
        <v>601</v>
      </c>
      <c r="E128" s="80" t="s">
        <v>91</v>
      </c>
      <c r="F128" s="316">
        <v>1182728.33</v>
      </c>
      <c r="G128" s="317">
        <f>G129</f>
        <v>0</v>
      </c>
      <c r="H128" s="317">
        <f>H129</f>
        <v>0</v>
      </c>
      <c r="I128" s="317">
        <v>0</v>
      </c>
      <c r="J128" s="317">
        <v>0</v>
      </c>
      <c r="K128" s="296"/>
      <c r="L128" s="232"/>
      <c r="M128" s="232"/>
      <c r="N128" s="232"/>
    </row>
    <row r="129" spans="1:14" ht="20.25" customHeight="1" outlineLevel="7" x14ac:dyDescent="0.25">
      <c r="A129" s="81" t="s">
        <v>97</v>
      </c>
      <c r="B129" s="80" t="s">
        <v>500</v>
      </c>
      <c r="C129" s="80" t="s">
        <v>24</v>
      </c>
      <c r="D129" s="80" t="s">
        <v>601</v>
      </c>
      <c r="E129" s="80" t="s">
        <v>98</v>
      </c>
      <c r="F129" s="316">
        <v>1182728.33</v>
      </c>
      <c r="G129" s="317">
        <v>0</v>
      </c>
      <c r="H129" s="317">
        <v>0</v>
      </c>
      <c r="I129" s="317">
        <v>0</v>
      </c>
      <c r="J129" s="317">
        <v>0</v>
      </c>
      <c r="K129" s="296"/>
      <c r="L129" s="232"/>
      <c r="M129" s="232"/>
      <c r="N129" s="232"/>
    </row>
    <row r="130" spans="1:14" ht="19.55" customHeight="1" outlineLevel="7" x14ac:dyDescent="0.25">
      <c r="A130" s="81" t="s">
        <v>503</v>
      </c>
      <c r="B130" s="80" t="s">
        <v>500</v>
      </c>
      <c r="C130" s="80" t="s">
        <v>24</v>
      </c>
      <c r="D130" s="80" t="s">
        <v>502</v>
      </c>
      <c r="E130" s="80" t="s">
        <v>6</v>
      </c>
      <c r="F130" s="316">
        <v>86999</v>
      </c>
      <c r="G130" s="318">
        <f t="shared" ref="G130:J131" si="16">G131</f>
        <v>200000</v>
      </c>
      <c r="H130" s="318">
        <f t="shared" si="16"/>
        <v>138434.92000000001</v>
      </c>
      <c r="I130" s="318">
        <f t="shared" si="16"/>
        <v>200000</v>
      </c>
      <c r="J130" s="318">
        <f t="shared" si="16"/>
        <v>200000</v>
      </c>
      <c r="K130" s="296"/>
      <c r="L130" s="232"/>
      <c r="M130" s="232"/>
      <c r="N130" s="232"/>
    </row>
    <row r="131" spans="1:14" ht="36.700000000000003" outlineLevel="7" x14ac:dyDescent="0.25">
      <c r="A131" s="81" t="s">
        <v>15</v>
      </c>
      <c r="B131" s="80" t="s">
        <v>500</v>
      </c>
      <c r="C131" s="80" t="s">
        <v>24</v>
      </c>
      <c r="D131" s="80" t="s">
        <v>502</v>
      </c>
      <c r="E131" s="80" t="s">
        <v>16</v>
      </c>
      <c r="F131" s="316">
        <v>86999</v>
      </c>
      <c r="G131" s="318">
        <f t="shared" si="16"/>
        <v>200000</v>
      </c>
      <c r="H131" s="370">
        <v>138434.92000000001</v>
      </c>
      <c r="I131" s="318">
        <f t="shared" si="16"/>
        <v>200000</v>
      </c>
      <c r="J131" s="318">
        <f t="shared" si="16"/>
        <v>200000</v>
      </c>
      <c r="K131" s="296"/>
      <c r="L131" s="232"/>
      <c r="M131" s="232"/>
      <c r="N131" s="232"/>
    </row>
    <row r="132" spans="1:14" ht="20.25" customHeight="1" outlineLevel="7" x14ac:dyDescent="0.25">
      <c r="A132" s="81" t="s">
        <v>17</v>
      </c>
      <c r="B132" s="80" t="s">
        <v>500</v>
      </c>
      <c r="C132" s="80" t="s">
        <v>24</v>
      </c>
      <c r="D132" s="80" t="s">
        <v>502</v>
      </c>
      <c r="E132" s="80" t="s">
        <v>18</v>
      </c>
      <c r="F132" s="316">
        <v>86999</v>
      </c>
      <c r="G132" s="317">
        <v>200000</v>
      </c>
      <c r="H132" s="370">
        <v>138434.92000000001</v>
      </c>
      <c r="I132" s="317">
        <f>'прил 12'!G127</f>
        <v>200000</v>
      </c>
      <c r="J132" s="317">
        <v>200000</v>
      </c>
      <c r="K132" s="296"/>
      <c r="L132" s="232"/>
      <c r="M132" s="232"/>
      <c r="N132" s="232"/>
    </row>
    <row r="133" spans="1:14" outlineLevel="3" x14ac:dyDescent="0.25">
      <c r="A133" s="81" t="s">
        <v>277</v>
      </c>
      <c r="B133" s="80" t="s">
        <v>500</v>
      </c>
      <c r="C133" s="80" t="s">
        <v>24</v>
      </c>
      <c r="D133" s="80" t="s">
        <v>276</v>
      </c>
      <c r="E133" s="80" t="s">
        <v>6</v>
      </c>
      <c r="F133" s="316">
        <v>7083797.5300000003</v>
      </c>
      <c r="G133" s="317">
        <f>G157+G134+G142+G147+G152+G139</f>
        <v>8720616.2199999988</v>
      </c>
      <c r="H133" s="317">
        <f>H157+H134+H142+H147+H152+H139</f>
        <v>5892996.6299999999</v>
      </c>
      <c r="I133" s="317">
        <f>I157+I134+I142+I147+I152+I139</f>
        <v>7568469</v>
      </c>
      <c r="J133" s="317">
        <f>J157+J134+J142+J147+J152+J139</f>
        <v>0</v>
      </c>
      <c r="K133" s="296"/>
      <c r="L133" s="232"/>
      <c r="M133" s="232"/>
      <c r="N133" s="232"/>
    </row>
    <row r="134" spans="1:14" ht="61.5" customHeight="1" outlineLevel="3" x14ac:dyDescent="0.25">
      <c r="A134" s="100" t="s">
        <v>438</v>
      </c>
      <c r="B134" s="80" t="s">
        <v>500</v>
      </c>
      <c r="C134" s="80" t="s">
        <v>24</v>
      </c>
      <c r="D134" s="80" t="s">
        <v>278</v>
      </c>
      <c r="E134" s="80" t="s">
        <v>6</v>
      </c>
      <c r="F134" s="316">
        <v>1395192</v>
      </c>
      <c r="G134" s="317">
        <f>G135+G137</f>
        <v>1503968</v>
      </c>
      <c r="H134" s="317">
        <f>H135+H137</f>
        <v>1197590.32</v>
      </c>
      <c r="I134" s="317">
        <f>I135+I137</f>
        <v>1442603</v>
      </c>
      <c r="J134" s="317">
        <f>J135+J137</f>
        <v>0</v>
      </c>
      <c r="K134" s="296"/>
      <c r="L134" s="232"/>
      <c r="M134" s="232"/>
      <c r="N134" s="232"/>
    </row>
    <row r="135" spans="1:14" ht="91.7" outlineLevel="3" x14ac:dyDescent="0.25">
      <c r="A135" s="81" t="s">
        <v>11</v>
      </c>
      <c r="B135" s="80" t="s">
        <v>500</v>
      </c>
      <c r="C135" s="80" t="s">
        <v>24</v>
      </c>
      <c r="D135" s="80" t="s">
        <v>278</v>
      </c>
      <c r="E135" s="80" t="s">
        <v>12</v>
      </c>
      <c r="F135" s="316">
        <v>1380328.42</v>
      </c>
      <c r="G135" s="317">
        <f>G136</f>
        <v>1487018</v>
      </c>
      <c r="H135" s="370">
        <v>1187789.1000000001</v>
      </c>
      <c r="I135" s="317">
        <f>I136</f>
        <v>1427603</v>
      </c>
      <c r="J135" s="317">
        <f>J136</f>
        <v>0</v>
      </c>
      <c r="K135" s="296"/>
      <c r="L135" s="232"/>
      <c r="M135" s="232"/>
      <c r="N135" s="232"/>
    </row>
    <row r="136" spans="1:14" ht="36.700000000000003" outlineLevel="3" x14ac:dyDescent="0.25">
      <c r="A136" s="81" t="s">
        <v>13</v>
      </c>
      <c r="B136" s="80" t="s">
        <v>500</v>
      </c>
      <c r="C136" s="80" t="s">
        <v>24</v>
      </c>
      <c r="D136" s="80" t="s">
        <v>278</v>
      </c>
      <c r="E136" s="80" t="s">
        <v>14</v>
      </c>
      <c r="F136" s="316">
        <v>1380328.42</v>
      </c>
      <c r="G136" s="317">
        <f>1399316+28287-1950+61365</f>
        <v>1487018</v>
      </c>
      <c r="H136" s="370">
        <v>1187789.1000000001</v>
      </c>
      <c r="I136" s="317">
        <f>'прил 12'!F131</f>
        <v>1427603</v>
      </c>
      <c r="J136" s="324"/>
      <c r="K136" s="296"/>
      <c r="L136" s="232"/>
      <c r="M136" s="232"/>
      <c r="N136" s="232"/>
    </row>
    <row r="137" spans="1:14" ht="41.3" customHeight="1" outlineLevel="7" x14ac:dyDescent="0.25">
      <c r="A137" s="81" t="s">
        <v>15</v>
      </c>
      <c r="B137" s="80" t="s">
        <v>500</v>
      </c>
      <c r="C137" s="80" t="s">
        <v>24</v>
      </c>
      <c r="D137" s="80" t="s">
        <v>278</v>
      </c>
      <c r="E137" s="80" t="s">
        <v>16</v>
      </c>
      <c r="F137" s="316">
        <v>14863.58</v>
      </c>
      <c r="G137" s="317">
        <f>G138</f>
        <v>16950</v>
      </c>
      <c r="H137" s="370">
        <v>9801.2199999999993</v>
      </c>
      <c r="I137" s="317">
        <f>I138</f>
        <v>15000</v>
      </c>
      <c r="J137" s="317">
        <f>J138</f>
        <v>0</v>
      </c>
      <c r="K137" s="296"/>
      <c r="L137" s="232"/>
      <c r="M137" s="232"/>
      <c r="N137" s="232"/>
    </row>
    <row r="138" spans="1:14" ht="55.05" outlineLevel="7" x14ac:dyDescent="0.25">
      <c r="A138" s="81" t="s">
        <v>17</v>
      </c>
      <c r="B138" s="80" t="s">
        <v>500</v>
      </c>
      <c r="C138" s="80" t="s">
        <v>24</v>
      </c>
      <c r="D138" s="80" t="s">
        <v>278</v>
      </c>
      <c r="E138" s="80" t="s">
        <v>18</v>
      </c>
      <c r="F138" s="316">
        <v>14863.58</v>
      </c>
      <c r="G138" s="317">
        <f>15000+1950</f>
        <v>16950</v>
      </c>
      <c r="H138" s="370">
        <v>9801.2199999999993</v>
      </c>
      <c r="I138" s="317">
        <f>'прил 12'!F133</f>
        <v>15000</v>
      </c>
      <c r="J138" s="324"/>
      <c r="K138" s="296"/>
      <c r="L138" s="232"/>
      <c r="M138" s="232"/>
      <c r="N138" s="232"/>
    </row>
    <row r="139" spans="1:14" ht="91.7" outlineLevel="7" x14ac:dyDescent="0.25">
      <c r="A139" s="81" t="s">
        <v>722</v>
      </c>
      <c r="B139" s="80" t="s">
        <v>500</v>
      </c>
      <c r="C139" s="80" t="s">
        <v>24</v>
      </c>
      <c r="D139" s="80" t="s">
        <v>721</v>
      </c>
      <c r="E139" s="80" t="s">
        <v>6</v>
      </c>
      <c r="F139" s="316">
        <v>272232</v>
      </c>
      <c r="G139" s="317">
        <f t="shared" ref="G139:J140" si="17">G140</f>
        <v>353579</v>
      </c>
      <c r="H139" s="317">
        <f t="shared" si="17"/>
        <v>143160.51</v>
      </c>
      <c r="I139" s="317">
        <f t="shared" si="17"/>
        <v>353579</v>
      </c>
      <c r="J139" s="317">
        <f t="shared" si="17"/>
        <v>0</v>
      </c>
      <c r="K139" s="296"/>
      <c r="L139" s="232"/>
      <c r="M139" s="232"/>
      <c r="N139" s="232"/>
    </row>
    <row r="140" spans="1:14" ht="36.700000000000003" outlineLevel="7" x14ac:dyDescent="0.25">
      <c r="A140" s="81" t="s">
        <v>13</v>
      </c>
      <c r="B140" s="80" t="s">
        <v>500</v>
      </c>
      <c r="C140" s="80" t="s">
        <v>24</v>
      </c>
      <c r="D140" s="80" t="s">
        <v>721</v>
      </c>
      <c r="E140" s="80" t="s">
        <v>12</v>
      </c>
      <c r="F140" s="316">
        <v>272232</v>
      </c>
      <c r="G140" s="317">
        <f t="shared" si="17"/>
        <v>353579</v>
      </c>
      <c r="H140" s="370">
        <v>143160.51</v>
      </c>
      <c r="I140" s="317">
        <f t="shared" si="17"/>
        <v>353579</v>
      </c>
      <c r="J140" s="317">
        <f t="shared" si="17"/>
        <v>0</v>
      </c>
      <c r="K140" s="296"/>
      <c r="L140" s="232"/>
      <c r="M140" s="232"/>
      <c r="N140" s="232"/>
    </row>
    <row r="141" spans="1:14" ht="41.45" customHeight="1" outlineLevel="7" x14ac:dyDescent="0.25">
      <c r="A141" s="81" t="s">
        <v>13</v>
      </c>
      <c r="B141" s="80" t="s">
        <v>500</v>
      </c>
      <c r="C141" s="80" t="s">
        <v>24</v>
      </c>
      <c r="D141" s="80" t="s">
        <v>721</v>
      </c>
      <c r="E141" s="80" t="s">
        <v>14</v>
      </c>
      <c r="F141" s="316">
        <v>272232</v>
      </c>
      <c r="G141" s="317">
        <v>353579</v>
      </c>
      <c r="H141" s="370">
        <v>143160.51</v>
      </c>
      <c r="I141" s="317">
        <f>'прил 12'!F136</f>
        <v>353579</v>
      </c>
      <c r="J141" s="324"/>
      <c r="K141" s="296"/>
      <c r="L141" s="232"/>
      <c r="M141" s="232"/>
      <c r="N141" s="232"/>
    </row>
    <row r="142" spans="1:14" ht="24.8" customHeight="1" outlineLevel="7" x14ac:dyDescent="0.25">
      <c r="A142" s="100" t="s">
        <v>573</v>
      </c>
      <c r="B142" s="80" t="s">
        <v>500</v>
      </c>
      <c r="C142" s="80" t="s">
        <v>24</v>
      </c>
      <c r="D142" s="80" t="s">
        <v>580</v>
      </c>
      <c r="E142" s="80" t="s">
        <v>6</v>
      </c>
      <c r="F142" s="316">
        <v>2016764</v>
      </c>
      <c r="G142" s="317">
        <f>G143+G145</f>
        <v>2096028</v>
      </c>
      <c r="H142" s="317">
        <f>H143+H145</f>
        <v>1490075.2</v>
      </c>
      <c r="I142" s="317">
        <f>I143+I145</f>
        <v>2174817</v>
      </c>
      <c r="J142" s="317">
        <f>J143+J145</f>
        <v>0</v>
      </c>
      <c r="K142" s="296"/>
      <c r="L142" s="232"/>
      <c r="M142" s="232"/>
      <c r="N142" s="232"/>
    </row>
    <row r="143" spans="1:14" ht="39.75" customHeight="1" outlineLevel="7" x14ac:dyDescent="0.25">
      <c r="A143" s="81" t="s">
        <v>11</v>
      </c>
      <c r="B143" s="80" t="s">
        <v>500</v>
      </c>
      <c r="C143" s="80" t="s">
        <v>24</v>
      </c>
      <c r="D143" s="80" t="s">
        <v>580</v>
      </c>
      <c r="E143" s="80" t="s">
        <v>12</v>
      </c>
      <c r="F143" s="316">
        <v>2008305.5</v>
      </c>
      <c r="G143" s="317">
        <f>G144</f>
        <v>2081028</v>
      </c>
      <c r="H143" s="370">
        <v>1485262.04</v>
      </c>
      <c r="I143" s="317">
        <f>I144</f>
        <v>2159817</v>
      </c>
      <c r="J143" s="317">
        <f>J144</f>
        <v>0</v>
      </c>
      <c r="K143" s="296"/>
      <c r="L143" s="232"/>
      <c r="M143" s="232"/>
      <c r="N143" s="232"/>
    </row>
    <row r="144" spans="1:14" ht="39.75" customHeight="1" outlineLevel="7" x14ac:dyDescent="0.25">
      <c r="A144" s="81" t="s">
        <v>13</v>
      </c>
      <c r="B144" s="80" t="s">
        <v>500</v>
      </c>
      <c r="C144" s="80" t="s">
        <v>24</v>
      </c>
      <c r="D144" s="80" t="s">
        <v>580</v>
      </c>
      <c r="E144" s="80" t="s">
        <v>14</v>
      </c>
      <c r="F144" s="316">
        <v>2008305.5</v>
      </c>
      <c r="G144" s="317">
        <v>2081028</v>
      </c>
      <c r="H144" s="370">
        <v>1485262.04</v>
      </c>
      <c r="I144" s="317">
        <f>'прил 12'!F139</f>
        <v>2159817</v>
      </c>
      <c r="J144" s="324"/>
      <c r="K144" s="296"/>
      <c r="L144" s="232"/>
      <c r="M144" s="232"/>
      <c r="N144" s="232"/>
    </row>
    <row r="145" spans="1:14" ht="36.700000000000003" outlineLevel="7" x14ac:dyDescent="0.25">
      <c r="A145" s="81" t="s">
        <v>15</v>
      </c>
      <c r="B145" s="80" t="s">
        <v>500</v>
      </c>
      <c r="C145" s="80" t="s">
        <v>24</v>
      </c>
      <c r="D145" s="80" t="s">
        <v>580</v>
      </c>
      <c r="E145" s="80" t="s">
        <v>16</v>
      </c>
      <c r="F145" s="316">
        <v>8458.5</v>
      </c>
      <c r="G145" s="317">
        <f>G146</f>
        <v>15000</v>
      </c>
      <c r="H145" s="370">
        <v>4813.16</v>
      </c>
      <c r="I145" s="317">
        <f>I146</f>
        <v>15000</v>
      </c>
      <c r="J145" s="317">
        <f>J146</f>
        <v>0</v>
      </c>
      <c r="K145" s="296"/>
      <c r="L145" s="232"/>
      <c r="M145" s="232"/>
      <c r="N145" s="232"/>
    </row>
    <row r="146" spans="1:14" ht="55.05" outlineLevel="7" x14ac:dyDescent="0.25">
      <c r="A146" s="81" t="s">
        <v>17</v>
      </c>
      <c r="B146" s="80" t="s">
        <v>500</v>
      </c>
      <c r="C146" s="80" t="s">
        <v>24</v>
      </c>
      <c r="D146" s="80" t="s">
        <v>580</v>
      </c>
      <c r="E146" s="80" t="s">
        <v>18</v>
      </c>
      <c r="F146" s="316">
        <v>8458.5</v>
      </c>
      <c r="G146" s="317">
        <v>15000</v>
      </c>
      <c r="H146" s="370">
        <v>4813.16</v>
      </c>
      <c r="I146" s="317">
        <f>'прил 12'!F141</f>
        <v>15000</v>
      </c>
      <c r="J146" s="324"/>
      <c r="K146" s="296"/>
      <c r="L146" s="232"/>
      <c r="M146" s="232"/>
      <c r="N146" s="232"/>
    </row>
    <row r="147" spans="1:14" ht="59.3" customHeight="1" outlineLevel="7" x14ac:dyDescent="0.25">
      <c r="A147" s="100" t="s">
        <v>382</v>
      </c>
      <c r="B147" s="80" t="s">
        <v>500</v>
      </c>
      <c r="C147" s="80" t="s">
        <v>24</v>
      </c>
      <c r="D147" s="80" t="s">
        <v>279</v>
      </c>
      <c r="E147" s="80" t="s">
        <v>6</v>
      </c>
      <c r="F147" s="316">
        <v>764724.52</v>
      </c>
      <c r="G147" s="317">
        <f>G148+G150</f>
        <v>830909</v>
      </c>
      <c r="H147" s="317">
        <f>H148+H150</f>
        <v>587231.11</v>
      </c>
      <c r="I147" s="317">
        <f>I148+I150</f>
        <v>861546</v>
      </c>
      <c r="J147" s="317">
        <f>J148+J150</f>
        <v>0</v>
      </c>
      <c r="K147" s="296"/>
      <c r="L147" s="232"/>
      <c r="M147" s="232"/>
      <c r="N147" s="232"/>
    </row>
    <row r="148" spans="1:14" ht="91.7" outlineLevel="7" x14ac:dyDescent="0.25">
      <c r="A148" s="81" t="s">
        <v>11</v>
      </c>
      <c r="B148" s="80" t="s">
        <v>500</v>
      </c>
      <c r="C148" s="80" t="s">
        <v>24</v>
      </c>
      <c r="D148" s="80" t="s">
        <v>279</v>
      </c>
      <c r="E148" s="80" t="s">
        <v>12</v>
      </c>
      <c r="F148" s="316">
        <v>751053.37</v>
      </c>
      <c r="G148" s="317">
        <f>G149</f>
        <v>785909</v>
      </c>
      <c r="H148" s="370">
        <v>560781.04</v>
      </c>
      <c r="I148" s="317">
        <f>I149</f>
        <v>816546</v>
      </c>
      <c r="J148" s="317">
        <f>J149</f>
        <v>0</v>
      </c>
      <c r="K148" s="296"/>
      <c r="L148" s="232"/>
      <c r="M148" s="232"/>
      <c r="N148" s="232"/>
    </row>
    <row r="149" spans="1:14" ht="32.6" customHeight="1" outlineLevel="7" x14ac:dyDescent="0.25">
      <c r="A149" s="81" t="s">
        <v>13</v>
      </c>
      <c r="B149" s="80" t="s">
        <v>500</v>
      </c>
      <c r="C149" s="80" t="s">
        <v>24</v>
      </c>
      <c r="D149" s="80" t="s">
        <v>279</v>
      </c>
      <c r="E149" s="80" t="s">
        <v>14</v>
      </c>
      <c r="F149" s="316">
        <v>751053.37</v>
      </c>
      <c r="G149" s="318">
        <v>785909</v>
      </c>
      <c r="H149" s="370">
        <v>560781.04</v>
      </c>
      <c r="I149" s="318">
        <f>'прил 12'!F144</f>
        <v>816546</v>
      </c>
      <c r="J149" s="324"/>
      <c r="K149" s="296"/>
      <c r="L149" s="232"/>
      <c r="M149" s="232"/>
      <c r="N149" s="232"/>
    </row>
    <row r="150" spans="1:14" ht="45" customHeight="1" outlineLevel="7" x14ac:dyDescent="0.25">
      <c r="A150" s="81" t="s">
        <v>15</v>
      </c>
      <c r="B150" s="80" t="s">
        <v>500</v>
      </c>
      <c r="C150" s="80" t="s">
        <v>24</v>
      </c>
      <c r="D150" s="80" t="s">
        <v>279</v>
      </c>
      <c r="E150" s="80" t="s">
        <v>16</v>
      </c>
      <c r="F150" s="316">
        <v>13671.15</v>
      </c>
      <c r="G150" s="317">
        <f>G151</f>
        <v>45000</v>
      </c>
      <c r="H150" s="370">
        <v>26450.07</v>
      </c>
      <c r="I150" s="317">
        <f>I151</f>
        <v>45000</v>
      </c>
      <c r="J150" s="317">
        <f>J151</f>
        <v>0</v>
      </c>
      <c r="K150" s="296"/>
      <c r="L150" s="232"/>
      <c r="M150" s="232"/>
      <c r="N150" s="232"/>
    </row>
    <row r="151" spans="1:14" ht="55.05" outlineLevel="7" x14ac:dyDescent="0.25">
      <c r="A151" s="81" t="s">
        <v>17</v>
      </c>
      <c r="B151" s="80" t="s">
        <v>500</v>
      </c>
      <c r="C151" s="80" t="s">
        <v>24</v>
      </c>
      <c r="D151" s="80" t="s">
        <v>279</v>
      </c>
      <c r="E151" s="80" t="s">
        <v>18</v>
      </c>
      <c r="F151" s="316">
        <v>13671.15</v>
      </c>
      <c r="G151" s="317">
        <v>45000</v>
      </c>
      <c r="H151" s="370">
        <v>26450.07</v>
      </c>
      <c r="I151" s="317">
        <f>'прил 12'!F146</f>
        <v>45000</v>
      </c>
      <c r="J151" s="324"/>
      <c r="K151" s="296"/>
      <c r="L151" s="232"/>
      <c r="M151" s="232"/>
      <c r="N151" s="232"/>
    </row>
    <row r="152" spans="1:14" ht="46.55" customHeight="1" outlineLevel="7" x14ac:dyDescent="0.25">
      <c r="A152" s="81" t="s">
        <v>406</v>
      </c>
      <c r="B152" s="80" t="s">
        <v>500</v>
      </c>
      <c r="C152" s="80" t="s">
        <v>24</v>
      </c>
      <c r="D152" s="80" t="s">
        <v>407</v>
      </c>
      <c r="E152" s="80" t="s">
        <v>6</v>
      </c>
      <c r="F152" s="316">
        <v>1791402.17</v>
      </c>
      <c r="G152" s="317">
        <f>G153+G155</f>
        <v>1950219</v>
      </c>
      <c r="H152" s="317">
        <f>H153+H155</f>
        <v>1271500</v>
      </c>
      <c r="I152" s="317">
        <f>I153+I155</f>
        <v>2021924</v>
      </c>
      <c r="J152" s="317">
        <f>J153+J155</f>
        <v>0</v>
      </c>
      <c r="K152" s="296"/>
      <c r="L152" s="232"/>
      <c r="M152" s="232"/>
      <c r="N152" s="232"/>
    </row>
    <row r="153" spans="1:14" ht="91.7" outlineLevel="7" x14ac:dyDescent="0.25">
      <c r="A153" s="81" t="s">
        <v>11</v>
      </c>
      <c r="B153" s="80" t="s">
        <v>500</v>
      </c>
      <c r="C153" s="80" t="s">
        <v>24</v>
      </c>
      <c r="D153" s="80" t="s">
        <v>407</v>
      </c>
      <c r="E153" s="80" t="s">
        <v>12</v>
      </c>
      <c r="F153" s="316">
        <v>1659215.56</v>
      </c>
      <c r="G153" s="317">
        <f>G154</f>
        <v>1792619</v>
      </c>
      <c r="H153" s="370">
        <v>1243138.07</v>
      </c>
      <c r="I153" s="317">
        <f>I154</f>
        <v>1864324</v>
      </c>
      <c r="J153" s="317">
        <f>J154</f>
        <v>0</v>
      </c>
      <c r="K153" s="296"/>
      <c r="L153" s="232"/>
      <c r="M153" s="232"/>
      <c r="N153" s="232"/>
    </row>
    <row r="154" spans="1:14" ht="21.25" customHeight="1" outlineLevel="7" x14ac:dyDescent="0.25">
      <c r="A154" s="81" t="s">
        <v>13</v>
      </c>
      <c r="B154" s="80" t="s">
        <v>500</v>
      </c>
      <c r="C154" s="80" t="s">
        <v>24</v>
      </c>
      <c r="D154" s="80" t="s">
        <v>407</v>
      </c>
      <c r="E154" s="80" t="s">
        <v>14</v>
      </c>
      <c r="F154" s="316">
        <v>1659215.56</v>
      </c>
      <c r="G154" s="317">
        <v>1792619</v>
      </c>
      <c r="H154" s="370">
        <v>1243138.07</v>
      </c>
      <c r="I154" s="317">
        <f>'прил 12'!F149</f>
        <v>1864324</v>
      </c>
      <c r="J154" s="324"/>
      <c r="K154" s="296"/>
      <c r="L154" s="232"/>
      <c r="M154" s="232"/>
      <c r="N154" s="232"/>
    </row>
    <row r="155" spans="1:14" ht="38.25" customHeight="1" outlineLevel="7" x14ac:dyDescent="0.25">
      <c r="A155" s="81" t="s">
        <v>15</v>
      </c>
      <c r="B155" s="80" t="s">
        <v>500</v>
      </c>
      <c r="C155" s="80" t="s">
        <v>24</v>
      </c>
      <c r="D155" s="80" t="s">
        <v>407</v>
      </c>
      <c r="E155" s="80" t="s">
        <v>16</v>
      </c>
      <c r="F155" s="316">
        <v>132186.60999999999</v>
      </c>
      <c r="G155" s="317">
        <f>G156</f>
        <v>157600</v>
      </c>
      <c r="H155" s="370">
        <v>28361.93</v>
      </c>
      <c r="I155" s="317">
        <f>I156</f>
        <v>157600</v>
      </c>
      <c r="J155" s="317">
        <f>J156</f>
        <v>0</v>
      </c>
      <c r="K155" s="296"/>
      <c r="L155" s="232"/>
      <c r="M155" s="232"/>
      <c r="N155" s="232"/>
    </row>
    <row r="156" spans="1:14" ht="55.05" outlineLevel="7" x14ac:dyDescent="0.25">
      <c r="A156" s="81" t="s">
        <v>17</v>
      </c>
      <c r="B156" s="80" t="s">
        <v>500</v>
      </c>
      <c r="C156" s="80" t="s">
        <v>24</v>
      </c>
      <c r="D156" s="80" t="s">
        <v>407</v>
      </c>
      <c r="E156" s="80" t="s">
        <v>18</v>
      </c>
      <c r="F156" s="316">
        <v>132186.60999999999</v>
      </c>
      <c r="G156" s="317">
        <v>157600</v>
      </c>
      <c r="H156" s="370">
        <v>28361.93</v>
      </c>
      <c r="I156" s="317">
        <f>'прил 12'!F151</f>
        <v>157600</v>
      </c>
      <c r="J156" s="324"/>
      <c r="K156" s="296"/>
      <c r="L156" s="232"/>
      <c r="M156" s="232"/>
      <c r="N156" s="232"/>
    </row>
    <row r="157" spans="1:14" ht="101.25" customHeight="1" outlineLevel="7" x14ac:dyDescent="0.25">
      <c r="A157" s="100" t="s">
        <v>656</v>
      </c>
      <c r="B157" s="80" t="s">
        <v>500</v>
      </c>
      <c r="C157" s="80" t="s">
        <v>24</v>
      </c>
      <c r="D157" s="80" t="s">
        <v>295</v>
      </c>
      <c r="E157" s="80" t="s">
        <v>6</v>
      </c>
      <c r="F157" s="316">
        <v>688357.04</v>
      </c>
      <c r="G157" s="317">
        <f>G158+G160</f>
        <v>1985913.22</v>
      </c>
      <c r="H157" s="317">
        <f>H158+H160</f>
        <v>1203439.49</v>
      </c>
      <c r="I157" s="317">
        <f>I158+I160</f>
        <v>714000</v>
      </c>
      <c r="J157" s="317">
        <f>J158+J160</f>
        <v>0</v>
      </c>
      <c r="K157" s="296"/>
      <c r="L157" s="232"/>
      <c r="M157" s="232"/>
      <c r="N157" s="232"/>
    </row>
    <row r="158" spans="1:14" ht="91.7" outlineLevel="7" x14ac:dyDescent="0.25">
      <c r="A158" s="81" t="s">
        <v>11</v>
      </c>
      <c r="B158" s="80" t="s">
        <v>500</v>
      </c>
      <c r="C158" s="80" t="s">
        <v>24</v>
      </c>
      <c r="D158" s="80" t="s">
        <v>295</v>
      </c>
      <c r="E158" s="80" t="s">
        <v>12</v>
      </c>
      <c r="F158" s="316">
        <v>687395.61</v>
      </c>
      <c r="G158" s="317">
        <f>G159</f>
        <v>760000</v>
      </c>
      <c r="H158" s="370">
        <v>429870.59</v>
      </c>
      <c r="I158" s="317">
        <f>I159</f>
        <v>654000</v>
      </c>
      <c r="J158" s="317">
        <f>J159</f>
        <v>0</v>
      </c>
      <c r="K158" s="296"/>
      <c r="L158" s="232"/>
      <c r="M158" s="232"/>
      <c r="N158" s="232"/>
    </row>
    <row r="159" spans="1:14" ht="19.55" customHeight="1" outlineLevel="7" x14ac:dyDescent="0.25">
      <c r="A159" s="81" t="s">
        <v>13</v>
      </c>
      <c r="B159" s="80" t="s">
        <v>500</v>
      </c>
      <c r="C159" s="80" t="s">
        <v>24</v>
      </c>
      <c r="D159" s="80" t="s">
        <v>295</v>
      </c>
      <c r="E159" s="80" t="s">
        <v>14</v>
      </c>
      <c r="F159" s="316">
        <v>687395.61</v>
      </c>
      <c r="G159" s="317">
        <f>644151.93+115848.07</f>
        <v>760000</v>
      </c>
      <c r="H159" s="370">
        <v>429870.59</v>
      </c>
      <c r="I159" s="317">
        <f>'прил 12'!F154</f>
        <v>654000</v>
      </c>
      <c r="J159" s="324"/>
      <c r="K159" s="296"/>
      <c r="L159" s="232"/>
      <c r="M159" s="232"/>
      <c r="N159" s="232"/>
    </row>
    <row r="160" spans="1:14" ht="46.55" customHeight="1" outlineLevel="3" x14ac:dyDescent="0.25">
      <c r="A160" s="81" t="s">
        <v>15</v>
      </c>
      <c r="B160" s="80" t="s">
        <v>500</v>
      </c>
      <c r="C160" s="80" t="s">
        <v>24</v>
      </c>
      <c r="D160" s="80" t="s">
        <v>295</v>
      </c>
      <c r="E160" s="80" t="s">
        <v>16</v>
      </c>
      <c r="F160" s="316">
        <v>961.43</v>
      </c>
      <c r="G160" s="317">
        <f>G161</f>
        <v>1225913.22</v>
      </c>
      <c r="H160" s="370">
        <v>773568.9</v>
      </c>
      <c r="I160" s="317">
        <f>I161</f>
        <v>60000</v>
      </c>
      <c r="J160" s="317">
        <f>J161</f>
        <v>0</v>
      </c>
      <c r="K160" s="296"/>
      <c r="L160" s="232"/>
      <c r="M160" s="232"/>
      <c r="N160" s="232"/>
    </row>
    <row r="161" spans="1:14" ht="55.05" outlineLevel="3" x14ac:dyDescent="0.25">
      <c r="A161" s="81" t="s">
        <v>17</v>
      </c>
      <c r="B161" s="80" t="s">
        <v>500</v>
      </c>
      <c r="C161" s="80" t="s">
        <v>24</v>
      </c>
      <c r="D161" s="80" t="s">
        <v>295</v>
      </c>
      <c r="E161" s="80" t="s">
        <v>18</v>
      </c>
      <c r="F161" s="316">
        <v>961.43</v>
      </c>
      <c r="G161" s="317">
        <f>60000+353071.62+812841.6</f>
        <v>1225913.22</v>
      </c>
      <c r="H161" s="370">
        <v>773568.9</v>
      </c>
      <c r="I161" s="317">
        <f>'прил 12'!F156</f>
        <v>60000</v>
      </c>
      <c r="J161" s="324"/>
      <c r="K161" s="296"/>
      <c r="L161" s="232"/>
      <c r="M161" s="232"/>
      <c r="N161" s="232"/>
    </row>
    <row r="162" spans="1:14" ht="23.3" customHeight="1" outlineLevel="3" x14ac:dyDescent="0.25">
      <c r="A162" s="109" t="s">
        <v>581</v>
      </c>
      <c r="B162" s="110" t="s">
        <v>500</v>
      </c>
      <c r="C162" s="110" t="s">
        <v>26</v>
      </c>
      <c r="D162" s="110" t="s">
        <v>126</v>
      </c>
      <c r="E162" s="110" t="s">
        <v>6</v>
      </c>
      <c r="F162" s="316">
        <v>1465098.76</v>
      </c>
      <c r="G162" s="317">
        <f t="shared" ref="G162:J167" si="18">G163</f>
        <v>1626656</v>
      </c>
      <c r="H162" s="317">
        <f t="shared" si="18"/>
        <v>1189929.46</v>
      </c>
      <c r="I162" s="317">
        <f t="shared" si="18"/>
        <v>1700240</v>
      </c>
      <c r="J162" s="317">
        <f t="shared" si="18"/>
        <v>270000</v>
      </c>
      <c r="K162" s="296"/>
      <c r="L162" s="232"/>
      <c r="M162" s="232"/>
      <c r="N162" s="232"/>
    </row>
    <row r="163" spans="1:14" ht="23.95" customHeight="1" outlineLevel="3" x14ac:dyDescent="0.25">
      <c r="A163" s="81" t="s">
        <v>582</v>
      </c>
      <c r="B163" s="80" t="s">
        <v>500</v>
      </c>
      <c r="C163" s="80" t="s">
        <v>583</v>
      </c>
      <c r="D163" s="80" t="s">
        <v>126</v>
      </c>
      <c r="E163" s="80" t="s">
        <v>6</v>
      </c>
      <c r="F163" s="316">
        <v>1465098.76</v>
      </c>
      <c r="G163" s="317">
        <f t="shared" si="18"/>
        <v>1626656</v>
      </c>
      <c r="H163" s="317">
        <f t="shared" si="18"/>
        <v>1189929.46</v>
      </c>
      <c r="I163" s="317">
        <f t="shared" si="18"/>
        <v>1700240</v>
      </c>
      <c r="J163" s="317">
        <f t="shared" si="18"/>
        <v>270000</v>
      </c>
      <c r="K163" s="296"/>
      <c r="L163" s="232"/>
      <c r="M163" s="232"/>
      <c r="N163" s="232"/>
    </row>
    <row r="164" spans="1:14" ht="36.700000000000003" outlineLevel="3" x14ac:dyDescent="0.25">
      <c r="A164" s="81" t="s">
        <v>132</v>
      </c>
      <c r="B164" s="80" t="s">
        <v>500</v>
      </c>
      <c r="C164" s="80" t="s">
        <v>583</v>
      </c>
      <c r="D164" s="80" t="s">
        <v>127</v>
      </c>
      <c r="E164" s="80" t="s">
        <v>6</v>
      </c>
      <c r="F164" s="316">
        <v>1465098.76</v>
      </c>
      <c r="G164" s="317">
        <f>G165+G169</f>
        <v>1626656</v>
      </c>
      <c r="H164" s="317">
        <f>H165+H169</f>
        <v>1189929.46</v>
      </c>
      <c r="I164" s="317">
        <f>I165+I169</f>
        <v>1700240</v>
      </c>
      <c r="J164" s="317">
        <f>J165+J169</f>
        <v>270000</v>
      </c>
      <c r="K164" s="296"/>
      <c r="L164" s="232"/>
      <c r="M164" s="232"/>
      <c r="N164" s="232"/>
    </row>
    <row r="165" spans="1:14" ht="19.55" customHeight="1" outlineLevel="3" x14ac:dyDescent="0.25">
      <c r="A165" s="81" t="s">
        <v>277</v>
      </c>
      <c r="B165" s="80" t="s">
        <v>500</v>
      </c>
      <c r="C165" s="80" t="s">
        <v>583</v>
      </c>
      <c r="D165" s="80" t="s">
        <v>276</v>
      </c>
      <c r="E165" s="80" t="s">
        <v>6</v>
      </c>
      <c r="F165" s="316">
        <v>1334332</v>
      </c>
      <c r="G165" s="317">
        <f t="shared" si="18"/>
        <v>1383656</v>
      </c>
      <c r="H165" s="317">
        <f t="shared" si="18"/>
        <v>968820.64</v>
      </c>
      <c r="I165" s="317">
        <f t="shared" si="18"/>
        <v>1430240</v>
      </c>
      <c r="J165" s="317">
        <f t="shared" si="18"/>
        <v>0</v>
      </c>
      <c r="K165" s="296"/>
      <c r="L165" s="232"/>
      <c r="M165" s="232"/>
      <c r="N165" s="232"/>
    </row>
    <row r="166" spans="1:14" ht="19.55" customHeight="1" outlineLevel="3" x14ac:dyDescent="0.25">
      <c r="A166" s="113" t="s">
        <v>584</v>
      </c>
      <c r="B166" s="80" t="s">
        <v>500</v>
      </c>
      <c r="C166" s="80" t="s">
        <v>583</v>
      </c>
      <c r="D166" s="80" t="s">
        <v>585</v>
      </c>
      <c r="E166" s="80" t="s">
        <v>6</v>
      </c>
      <c r="F166" s="316">
        <v>1334332</v>
      </c>
      <c r="G166" s="317">
        <f t="shared" si="18"/>
        <v>1383656</v>
      </c>
      <c r="H166" s="317">
        <f t="shared" si="18"/>
        <v>968820.64</v>
      </c>
      <c r="I166" s="317">
        <f t="shared" si="18"/>
        <v>1430240</v>
      </c>
      <c r="J166" s="317">
        <f t="shared" si="18"/>
        <v>0</v>
      </c>
      <c r="K166" s="296"/>
      <c r="L166" s="232"/>
      <c r="M166" s="232"/>
      <c r="N166" s="232"/>
    </row>
    <row r="167" spans="1:14" ht="91.7" outlineLevel="3" x14ac:dyDescent="0.25">
      <c r="A167" s="81" t="s">
        <v>11</v>
      </c>
      <c r="B167" s="80" t="s">
        <v>500</v>
      </c>
      <c r="C167" s="80" t="s">
        <v>583</v>
      </c>
      <c r="D167" s="80" t="s">
        <v>585</v>
      </c>
      <c r="E167" s="80" t="s">
        <v>12</v>
      </c>
      <c r="F167" s="316">
        <v>1334332</v>
      </c>
      <c r="G167" s="317">
        <f t="shared" si="18"/>
        <v>1383656</v>
      </c>
      <c r="H167" s="370">
        <v>968820.64</v>
      </c>
      <c r="I167" s="317">
        <f>I168</f>
        <v>1430240</v>
      </c>
      <c r="J167" s="317">
        <f>J168</f>
        <v>0</v>
      </c>
      <c r="K167" s="296"/>
      <c r="L167" s="232"/>
      <c r="M167" s="232"/>
      <c r="N167" s="232"/>
    </row>
    <row r="168" spans="1:14" ht="36.700000000000003" outlineLevel="3" x14ac:dyDescent="0.25">
      <c r="A168" s="81" t="s">
        <v>13</v>
      </c>
      <c r="B168" s="80" t="s">
        <v>500</v>
      </c>
      <c r="C168" s="80" t="s">
        <v>583</v>
      </c>
      <c r="D168" s="80" t="s">
        <v>585</v>
      </c>
      <c r="E168" s="80" t="s">
        <v>14</v>
      </c>
      <c r="F168" s="316">
        <v>1334332</v>
      </c>
      <c r="G168" s="317">
        <v>1383656</v>
      </c>
      <c r="H168" s="370">
        <v>968820.64</v>
      </c>
      <c r="I168" s="317">
        <f>'прил 12'!F163</f>
        <v>1430240</v>
      </c>
      <c r="J168" s="324"/>
      <c r="K168" s="296"/>
      <c r="L168" s="232"/>
      <c r="M168" s="232"/>
      <c r="N168" s="232"/>
    </row>
    <row r="169" spans="1:14" ht="55.05" outlineLevel="3" x14ac:dyDescent="0.25">
      <c r="A169" s="113" t="s">
        <v>723</v>
      </c>
      <c r="B169" s="80" t="s">
        <v>500</v>
      </c>
      <c r="C169" s="80" t="s">
        <v>583</v>
      </c>
      <c r="D169" s="80" t="s">
        <v>728</v>
      </c>
      <c r="E169" s="80" t="s">
        <v>6</v>
      </c>
      <c r="F169" s="316">
        <v>130766.76</v>
      </c>
      <c r="G169" s="317">
        <f t="shared" ref="G169:J170" si="19">G170</f>
        <v>243000</v>
      </c>
      <c r="H169" s="317">
        <f t="shared" si="19"/>
        <v>221108.82</v>
      </c>
      <c r="I169" s="317">
        <f t="shared" si="19"/>
        <v>270000</v>
      </c>
      <c r="J169" s="317">
        <f t="shared" si="19"/>
        <v>270000</v>
      </c>
      <c r="K169" s="296"/>
      <c r="L169" s="232"/>
      <c r="M169" s="232"/>
      <c r="N169" s="232"/>
    </row>
    <row r="170" spans="1:14" ht="91.7" outlineLevel="3" x14ac:dyDescent="0.25">
      <c r="A170" s="81" t="s">
        <v>11</v>
      </c>
      <c r="B170" s="80" t="s">
        <v>500</v>
      </c>
      <c r="C170" s="80" t="s">
        <v>583</v>
      </c>
      <c r="D170" s="80" t="s">
        <v>728</v>
      </c>
      <c r="E170" s="80" t="s">
        <v>12</v>
      </c>
      <c r="F170" s="316">
        <v>130766.76</v>
      </c>
      <c r="G170" s="317">
        <f t="shared" si="19"/>
        <v>243000</v>
      </c>
      <c r="H170" s="370">
        <v>221108.82</v>
      </c>
      <c r="I170" s="317">
        <f t="shared" si="19"/>
        <v>270000</v>
      </c>
      <c r="J170" s="317">
        <f t="shared" si="19"/>
        <v>270000</v>
      </c>
      <c r="K170" s="296"/>
      <c r="L170" s="232"/>
      <c r="M170" s="232"/>
      <c r="N170" s="232"/>
    </row>
    <row r="171" spans="1:14" ht="36.700000000000003" outlineLevel="3" x14ac:dyDescent="0.25">
      <c r="A171" s="81" t="s">
        <v>13</v>
      </c>
      <c r="B171" s="80" t="s">
        <v>500</v>
      </c>
      <c r="C171" s="80" t="s">
        <v>583</v>
      </c>
      <c r="D171" s="80" t="s">
        <v>728</v>
      </c>
      <c r="E171" s="80" t="s">
        <v>14</v>
      </c>
      <c r="F171" s="316">
        <v>130766.76</v>
      </c>
      <c r="G171" s="317">
        <f>потребность!I166</f>
        <v>243000</v>
      </c>
      <c r="H171" s="370">
        <v>221108.82</v>
      </c>
      <c r="I171" s="317">
        <f>'прил 12'!F166</f>
        <v>270000</v>
      </c>
      <c r="J171" s="318">
        <v>270000</v>
      </c>
      <c r="K171" s="296"/>
      <c r="L171" s="232"/>
      <c r="M171" s="232"/>
      <c r="N171" s="232"/>
    </row>
    <row r="172" spans="1:14" ht="36.700000000000003" outlineLevel="3" x14ac:dyDescent="0.25">
      <c r="A172" s="109" t="s">
        <v>41</v>
      </c>
      <c r="B172" s="110" t="s">
        <v>500</v>
      </c>
      <c r="C172" s="110" t="s">
        <v>42</v>
      </c>
      <c r="D172" s="110" t="s">
        <v>126</v>
      </c>
      <c r="E172" s="110" t="s">
        <v>6</v>
      </c>
      <c r="F172" s="316">
        <v>11670348.939999999</v>
      </c>
      <c r="G172" s="321">
        <f>G173+G178</f>
        <v>991747.04</v>
      </c>
      <c r="H172" s="321">
        <f>H173+H178</f>
        <v>380730.4</v>
      </c>
      <c r="I172" s="321">
        <f>I173+I178</f>
        <v>400000</v>
      </c>
      <c r="J172" s="321">
        <f>J173+J178</f>
        <v>1805000</v>
      </c>
      <c r="K172" s="296"/>
      <c r="L172" s="232"/>
      <c r="M172" s="232"/>
      <c r="N172" s="232"/>
    </row>
    <row r="173" spans="1:14" ht="55.05" outlineLevel="3" x14ac:dyDescent="0.25">
      <c r="A173" s="81" t="s">
        <v>43</v>
      </c>
      <c r="B173" s="80" t="s">
        <v>500</v>
      </c>
      <c r="C173" s="80" t="s">
        <v>44</v>
      </c>
      <c r="D173" s="80" t="s">
        <v>126</v>
      </c>
      <c r="E173" s="80" t="s">
        <v>6</v>
      </c>
      <c r="F173" s="316">
        <v>11433943.199999999</v>
      </c>
      <c r="G173" s="317">
        <f t="shared" ref="G173:J176" si="20">G174</f>
        <v>406747.04000000004</v>
      </c>
      <c r="H173" s="317">
        <f t="shared" si="20"/>
        <v>0</v>
      </c>
      <c r="I173" s="317">
        <f t="shared" si="20"/>
        <v>200000</v>
      </c>
      <c r="J173" s="317">
        <f t="shared" si="20"/>
        <v>200000</v>
      </c>
      <c r="K173" s="296"/>
      <c r="L173" s="232"/>
      <c r="M173" s="232"/>
      <c r="N173" s="232"/>
    </row>
    <row r="174" spans="1:14" ht="36.700000000000003" outlineLevel="3" x14ac:dyDescent="0.25">
      <c r="A174" s="81" t="s">
        <v>132</v>
      </c>
      <c r="B174" s="80" t="s">
        <v>500</v>
      </c>
      <c r="C174" s="80" t="s">
        <v>44</v>
      </c>
      <c r="D174" s="80" t="s">
        <v>127</v>
      </c>
      <c r="E174" s="80" t="s">
        <v>6</v>
      </c>
      <c r="F174" s="316">
        <v>11433943.199999999</v>
      </c>
      <c r="G174" s="317">
        <f t="shared" si="20"/>
        <v>406747.04000000004</v>
      </c>
      <c r="H174" s="317">
        <f t="shared" si="20"/>
        <v>0</v>
      </c>
      <c r="I174" s="317">
        <f t="shared" si="20"/>
        <v>200000</v>
      </c>
      <c r="J174" s="317">
        <f t="shared" si="20"/>
        <v>200000</v>
      </c>
      <c r="K174" s="296"/>
      <c r="L174" s="232"/>
      <c r="M174" s="232"/>
      <c r="N174" s="232"/>
    </row>
    <row r="175" spans="1:14" s="172" customFormat="1" ht="36.700000000000003" outlineLevel="1" x14ac:dyDescent="0.25">
      <c r="A175" s="81" t="s">
        <v>45</v>
      </c>
      <c r="B175" s="80" t="s">
        <v>500</v>
      </c>
      <c r="C175" s="80" t="s">
        <v>44</v>
      </c>
      <c r="D175" s="80" t="s">
        <v>133</v>
      </c>
      <c r="E175" s="80" t="s">
        <v>6</v>
      </c>
      <c r="F175" s="316">
        <v>11433943.199999999</v>
      </c>
      <c r="G175" s="317">
        <f t="shared" si="20"/>
        <v>406747.04000000004</v>
      </c>
      <c r="H175" s="317">
        <f t="shared" si="20"/>
        <v>0</v>
      </c>
      <c r="I175" s="317">
        <f t="shared" si="20"/>
        <v>200000</v>
      </c>
      <c r="J175" s="317">
        <f t="shared" si="20"/>
        <v>200000</v>
      </c>
      <c r="K175" s="297"/>
      <c r="L175" s="233"/>
      <c r="M175" s="233"/>
      <c r="N175" s="233"/>
    </row>
    <row r="176" spans="1:14" ht="36.700000000000003" outlineLevel="2" x14ac:dyDescent="0.25">
      <c r="A176" s="81" t="s">
        <v>15</v>
      </c>
      <c r="B176" s="80" t="s">
        <v>500</v>
      </c>
      <c r="C176" s="80" t="s">
        <v>44</v>
      </c>
      <c r="D176" s="80" t="s">
        <v>133</v>
      </c>
      <c r="E176" s="80" t="s">
        <v>16</v>
      </c>
      <c r="F176" s="316">
        <v>11433943.199999999</v>
      </c>
      <c r="G176" s="317">
        <f t="shared" si="20"/>
        <v>406747.04000000004</v>
      </c>
      <c r="H176" s="317">
        <v>0</v>
      </c>
      <c r="I176" s="317">
        <f t="shared" si="20"/>
        <v>200000</v>
      </c>
      <c r="J176" s="317">
        <f t="shared" si="20"/>
        <v>200000</v>
      </c>
      <c r="K176" s="296"/>
      <c r="L176" s="232"/>
      <c r="M176" s="232"/>
      <c r="N176" s="232"/>
    </row>
    <row r="177" spans="1:14" ht="55.05" outlineLevel="4" x14ac:dyDescent="0.25">
      <c r="A177" s="81" t="s">
        <v>17</v>
      </c>
      <c r="B177" s="80" t="s">
        <v>500</v>
      </c>
      <c r="C177" s="80" t="s">
        <v>44</v>
      </c>
      <c r="D177" s="80" t="s">
        <v>133</v>
      </c>
      <c r="E177" s="80" t="s">
        <v>18</v>
      </c>
      <c r="F177" s="316">
        <v>11433943.199999999</v>
      </c>
      <c r="G177" s="317">
        <f>потребность!I172</f>
        <v>406747.04000000004</v>
      </c>
      <c r="H177" s="317">
        <v>0</v>
      </c>
      <c r="I177" s="317">
        <f>'прил 12'!F172</f>
        <v>200000</v>
      </c>
      <c r="J177" s="318">
        <v>200000</v>
      </c>
      <c r="K177" s="296"/>
      <c r="L177" s="232"/>
      <c r="M177" s="232"/>
      <c r="N177" s="232"/>
    </row>
    <row r="178" spans="1:14" outlineLevel="5" x14ac:dyDescent="0.25">
      <c r="A178" s="81" t="s">
        <v>504</v>
      </c>
      <c r="B178" s="80" t="s">
        <v>500</v>
      </c>
      <c r="C178" s="80" t="s">
        <v>505</v>
      </c>
      <c r="D178" s="80" t="s">
        <v>126</v>
      </c>
      <c r="E178" s="80" t="s">
        <v>6</v>
      </c>
      <c r="F178" s="316">
        <v>236405.74</v>
      </c>
      <c r="G178" s="317">
        <f t="shared" ref="G178:J181" si="21">G179</f>
        <v>585000</v>
      </c>
      <c r="H178" s="317">
        <f t="shared" si="21"/>
        <v>380730.4</v>
      </c>
      <c r="I178" s="317">
        <f t="shared" si="21"/>
        <v>200000</v>
      </c>
      <c r="J178" s="317">
        <f t="shared" si="21"/>
        <v>1605000</v>
      </c>
      <c r="K178" s="296"/>
      <c r="L178" s="232"/>
      <c r="M178" s="232"/>
      <c r="N178" s="232"/>
    </row>
    <row r="179" spans="1:14" ht="36.700000000000003" outlineLevel="6" x14ac:dyDescent="0.25">
      <c r="A179" s="81" t="s">
        <v>132</v>
      </c>
      <c r="B179" s="80" t="s">
        <v>500</v>
      </c>
      <c r="C179" s="80" t="s">
        <v>505</v>
      </c>
      <c r="D179" s="80" t="s">
        <v>127</v>
      </c>
      <c r="E179" s="80" t="s">
        <v>6</v>
      </c>
      <c r="F179" s="316">
        <v>236405.74</v>
      </c>
      <c r="G179" s="317">
        <f t="shared" si="21"/>
        <v>585000</v>
      </c>
      <c r="H179" s="317">
        <f t="shared" si="21"/>
        <v>380730.4</v>
      </c>
      <c r="I179" s="317">
        <f t="shared" si="21"/>
        <v>200000</v>
      </c>
      <c r="J179" s="317">
        <f t="shared" si="21"/>
        <v>1605000</v>
      </c>
      <c r="K179" s="296"/>
      <c r="L179" s="232"/>
      <c r="M179" s="232"/>
      <c r="N179" s="232"/>
    </row>
    <row r="180" spans="1:14" ht="20.25" customHeight="1" outlineLevel="7" x14ac:dyDescent="0.25">
      <c r="A180" s="81" t="s">
        <v>506</v>
      </c>
      <c r="B180" s="80" t="s">
        <v>500</v>
      </c>
      <c r="C180" s="80" t="s">
        <v>505</v>
      </c>
      <c r="D180" s="80" t="s">
        <v>685</v>
      </c>
      <c r="E180" s="80" t="s">
        <v>6</v>
      </c>
      <c r="F180" s="316">
        <v>236405.74</v>
      </c>
      <c r="G180" s="317">
        <f t="shared" si="21"/>
        <v>585000</v>
      </c>
      <c r="H180" s="317">
        <f t="shared" si="21"/>
        <v>380730.4</v>
      </c>
      <c r="I180" s="317">
        <f t="shared" si="21"/>
        <v>200000</v>
      </c>
      <c r="J180" s="317">
        <f t="shared" si="21"/>
        <v>1605000</v>
      </c>
      <c r="K180" s="296"/>
      <c r="L180" s="232"/>
      <c r="M180" s="232"/>
      <c r="N180" s="232"/>
    </row>
    <row r="181" spans="1:14" ht="20.25" customHeight="1" outlineLevel="7" x14ac:dyDescent="0.25">
      <c r="A181" s="81" t="s">
        <v>15</v>
      </c>
      <c r="B181" s="80" t="s">
        <v>500</v>
      </c>
      <c r="C181" s="80" t="s">
        <v>505</v>
      </c>
      <c r="D181" s="80" t="s">
        <v>685</v>
      </c>
      <c r="E181" s="80" t="s">
        <v>16</v>
      </c>
      <c r="F181" s="316">
        <v>236405.74</v>
      </c>
      <c r="G181" s="317">
        <f t="shared" si="21"/>
        <v>585000</v>
      </c>
      <c r="H181" s="370">
        <v>380730.4</v>
      </c>
      <c r="I181" s="317">
        <f t="shared" si="21"/>
        <v>200000</v>
      </c>
      <c r="J181" s="317">
        <f t="shared" si="21"/>
        <v>1605000</v>
      </c>
      <c r="K181" s="296"/>
      <c r="L181" s="232"/>
      <c r="M181" s="232"/>
      <c r="N181" s="232"/>
    </row>
    <row r="182" spans="1:14" ht="55.05" outlineLevel="7" x14ac:dyDescent="0.25">
      <c r="A182" s="81" t="s">
        <v>17</v>
      </c>
      <c r="B182" s="80" t="s">
        <v>500</v>
      </c>
      <c r="C182" s="80" t="s">
        <v>505</v>
      </c>
      <c r="D182" s="80" t="s">
        <v>685</v>
      </c>
      <c r="E182" s="80" t="s">
        <v>18</v>
      </c>
      <c r="F182" s="316">
        <v>236405.74</v>
      </c>
      <c r="G182" s="317">
        <v>585000</v>
      </c>
      <c r="H182" s="370">
        <v>380730.4</v>
      </c>
      <c r="I182" s="317">
        <f>'прил 12'!F177</f>
        <v>200000</v>
      </c>
      <c r="J182" s="318">
        <v>1605000</v>
      </c>
      <c r="K182" s="296"/>
      <c r="L182" s="232"/>
      <c r="M182" s="232"/>
      <c r="N182" s="232"/>
    </row>
    <row r="183" spans="1:14" ht="20.25" customHeight="1" outlineLevel="7" x14ac:dyDescent="0.25">
      <c r="A183" s="109" t="s">
        <v>119</v>
      </c>
      <c r="B183" s="110" t="s">
        <v>500</v>
      </c>
      <c r="C183" s="110" t="s">
        <v>46</v>
      </c>
      <c r="D183" s="110" t="s">
        <v>126</v>
      </c>
      <c r="E183" s="110" t="s">
        <v>6</v>
      </c>
      <c r="F183" s="316">
        <v>46732107.039999999</v>
      </c>
      <c r="G183" s="321">
        <f>G201+G190+G213+G184</f>
        <v>29220883.93</v>
      </c>
      <c r="H183" s="321">
        <f>H201+H190+H213+H184</f>
        <v>12362901.439999999</v>
      </c>
      <c r="I183" s="321">
        <f>I201+I190+I213+I184</f>
        <v>14114514.17</v>
      </c>
      <c r="J183" s="321">
        <f>J201+J190+J213+J184</f>
        <v>15042000</v>
      </c>
      <c r="K183" s="296"/>
      <c r="L183" s="232"/>
      <c r="M183" s="232"/>
      <c r="N183" s="232"/>
    </row>
    <row r="184" spans="1:14" outlineLevel="7" x14ac:dyDescent="0.25">
      <c r="A184" s="81" t="s">
        <v>121</v>
      </c>
      <c r="B184" s="80" t="s">
        <v>500</v>
      </c>
      <c r="C184" s="80" t="s">
        <v>122</v>
      </c>
      <c r="D184" s="80" t="s">
        <v>126</v>
      </c>
      <c r="E184" s="80" t="s">
        <v>6</v>
      </c>
      <c r="F184" s="80" t="s">
        <v>976</v>
      </c>
      <c r="G184" s="317">
        <f>G185</f>
        <v>1122746.8500000001</v>
      </c>
      <c r="H184" s="317">
        <f>H185</f>
        <v>217322.94</v>
      </c>
      <c r="I184" s="317">
        <f>I185</f>
        <v>324127.09000000003</v>
      </c>
      <c r="J184" s="317">
        <f>J185</f>
        <v>0</v>
      </c>
      <c r="K184" s="296"/>
      <c r="L184" s="232"/>
      <c r="M184" s="232"/>
      <c r="N184" s="232"/>
    </row>
    <row r="185" spans="1:14" ht="36.700000000000003" outlineLevel="7" x14ac:dyDescent="0.25">
      <c r="A185" s="109" t="s">
        <v>132</v>
      </c>
      <c r="B185" s="80" t="s">
        <v>500</v>
      </c>
      <c r="C185" s="110" t="s">
        <v>122</v>
      </c>
      <c r="D185" s="110" t="s">
        <v>127</v>
      </c>
      <c r="E185" s="110" t="s">
        <v>6</v>
      </c>
      <c r="F185" s="110" t="s">
        <v>976</v>
      </c>
      <c r="G185" s="321">
        <f>G187</f>
        <v>1122746.8500000001</v>
      </c>
      <c r="H185" s="321">
        <f>H187</f>
        <v>217322.94</v>
      </c>
      <c r="I185" s="321">
        <f>I187</f>
        <v>324127.09000000003</v>
      </c>
      <c r="J185" s="321">
        <f>J187</f>
        <v>0</v>
      </c>
      <c r="K185" s="296"/>
      <c r="L185" s="232"/>
      <c r="M185" s="232"/>
      <c r="N185" s="232"/>
    </row>
    <row r="186" spans="1:14" s="172" customFormat="1" outlineLevel="7" x14ac:dyDescent="0.25">
      <c r="A186" s="81" t="s">
        <v>277</v>
      </c>
      <c r="B186" s="80" t="s">
        <v>500</v>
      </c>
      <c r="C186" s="80" t="s">
        <v>122</v>
      </c>
      <c r="D186" s="80" t="s">
        <v>276</v>
      </c>
      <c r="E186" s="80" t="s">
        <v>6</v>
      </c>
      <c r="F186" s="80" t="s">
        <v>976</v>
      </c>
      <c r="G186" s="317">
        <f t="shared" ref="G186:J188" si="22">G187</f>
        <v>1122746.8500000001</v>
      </c>
      <c r="H186" s="317">
        <f t="shared" si="22"/>
        <v>217322.94</v>
      </c>
      <c r="I186" s="317">
        <f t="shared" si="22"/>
        <v>324127.09000000003</v>
      </c>
      <c r="J186" s="317">
        <f t="shared" si="22"/>
        <v>0</v>
      </c>
      <c r="K186" s="297"/>
      <c r="L186" s="233"/>
      <c r="M186" s="233"/>
      <c r="N186" s="233"/>
    </row>
    <row r="187" spans="1:14" ht="84.75" customHeight="1" outlineLevel="7" x14ac:dyDescent="0.25">
      <c r="A187" s="113" t="s">
        <v>383</v>
      </c>
      <c r="B187" s="80" t="s">
        <v>500</v>
      </c>
      <c r="C187" s="80" t="s">
        <v>122</v>
      </c>
      <c r="D187" s="80" t="s">
        <v>286</v>
      </c>
      <c r="E187" s="80" t="s">
        <v>6</v>
      </c>
      <c r="F187" s="80" t="s">
        <v>976</v>
      </c>
      <c r="G187" s="317">
        <f t="shared" si="22"/>
        <v>1122746.8500000001</v>
      </c>
      <c r="H187" s="317">
        <f t="shared" si="22"/>
        <v>217322.94</v>
      </c>
      <c r="I187" s="317">
        <f t="shared" si="22"/>
        <v>324127.09000000003</v>
      </c>
      <c r="J187" s="317">
        <f t="shared" si="22"/>
        <v>0</v>
      </c>
      <c r="K187" s="296"/>
      <c r="L187" s="232"/>
      <c r="M187" s="232"/>
      <c r="N187" s="232"/>
    </row>
    <row r="188" spans="1:14" ht="36.700000000000003" outlineLevel="7" x14ac:dyDescent="0.3">
      <c r="A188" s="81" t="s">
        <v>15</v>
      </c>
      <c r="B188" s="80" t="s">
        <v>500</v>
      </c>
      <c r="C188" s="80" t="s">
        <v>122</v>
      </c>
      <c r="D188" s="80" t="s">
        <v>286</v>
      </c>
      <c r="E188" s="80" t="s">
        <v>16</v>
      </c>
      <c r="F188" s="80" t="s">
        <v>976</v>
      </c>
      <c r="G188" s="317">
        <f t="shared" si="22"/>
        <v>1122746.8500000001</v>
      </c>
      <c r="H188" s="371">
        <v>217322.94</v>
      </c>
      <c r="I188" s="317">
        <f t="shared" si="22"/>
        <v>324127.09000000003</v>
      </c>
      <c r="J188" s="317">
        <f t="shared" si="22"/>
        <v>0</v>
      </c>
      <c r="K188" s="296"/>
      <c r="L188" s="232"/>
      <c r="M188" s="232"/>
      <c r="N188" s="232"/>
    </row>
    <row r="189" spans="1:14" ht="55.05" outlineLevel="7" x14ac:dyDescent="0.3">
      <c r="A189" s="81" t="s">
        <v>17</v>
      </c>
      <c r="B189" s="80" t="s">
        <v>500</v>
      </c>
      <c r="C189" s="80" t="s">
        <v>122</v>
      </c>
      <c r="D189" s="80" t="s">
        <v>286</v>
      </c>
      <c r="E189" s="80" t="s">
        <v>18</v>
      </c>
      <c r="F189" s="80" t="s">
        <v>976</v>
      </c>
      <c r="G189" s="317">
        <f>324127.09+798619.76</f>
        <v>1122746.8500000001</v>
      </c>
      <c r="H189" s="371">
        <v>217322.94</v>
      </c>
      <c r="I189" s="317">
        <f>'прил 12'!F184</f>
        <v>324127.09000000003</v>
      </c>
      <c r="J189" s="324"/>
      <c r="K189" s="296"/>
      <c r="L189" s="232"/>
      <c r="M189" s="232"/>
      <c r="N189" s="232"/>
    </row>
    <row r="190" spans="1:14" outlineLevel="7" x14ac:dyDescent="0.25">
      <c r="A190" s="81" t="s">
        <v>290</v>
      </c>
      <c r="B190" s="80" t="s">
        <v>500</v>
      </c>
      <c r="C190" s="80" t="s">
        <v>291</v>
      </c>
      <c r="D190" s="80" t="s">
        <v>126</v>
      </c>
      <c r="E190" s="80" t="s">
        <v>6</v>
      </c>
      <c r="F190" s="80"/>
      <c r="G190" s="317">
        <f>G191+G198</f>
        <v>103387.08</v>
      </c>
      <c r="H190" s="317">
        <f>H191+H198</f>
        <v>0</v>
      </c>
      <c r="I190" s="317">
        <f>I191+I198</f>
        <v>103387.08</v>
      </c>
      <c r="J190" s="317">
        <f>J191+J198</f>
        <v>100000</v>
      </c>
      <c r="K190" s="296"/>
      <c r="L190" s="232"/>
      <c r="M190" s="232"/>
      <c r="N190" s="232"/>
    </row>
    <row r="191" spans="1:14" ht="36.700000000000003" outlineLevel="7" x14ac:dyDescent="0.25">
      <c r="A191" s="81" t="s">
        <v>132</v>
      </c>
      <c r="B191" s="80" t="s">
        <v>500</v>
      </c>
      <c r="C191" s="80" t="s">
        <v>291</v>
      </c>
      <c r="D191" s="80" t="s">
        <v>127</v>
      </c>
      <c r="E191" s="80" t="s">
        <v>6</v>
      </c>
      <c r="F191" s="80"/>
      <c r="G191" s="317">
        <f>G193</f>
        <v>3387.08</v>
      </c>
      <c r="H191" s="317">
        <f>H193</f>
        <v>0</v>
      </c>
      <c r="I191" s="317">
        <f t="shared" ref="I191:J194" si="23">I192</f>
        <v>3387.08</v>
      </c>
      <c r="J191" s="317">
        <f t="shared" si="23"/>
        <v>0</v>
      </c>
      <c r="K191" s="296"/>
      <c r="L191" s="232"/>
      <c r="M191" s="232"/>
      <c r="N191" s="232"/>
    </row>
    <row r="192" spans="1:14" ht="20.25" customHeight="1" outlineLevel="7" x14ac:dyDescent="0.25">
      <c r="A192" s="81" t="s">
        <v>277</v>
      </c>
      <c r="B192" s="80" t="s">
        <v>500</v>
      </c>
      <c r="C192" s="80" t="s">
        <v>291</v>
      </c>
      <c r="D192" s="80" t="s">
        <v>276</v>
      </c>
      <c r="E192" s="80" t="s">
        <v>6</v>
      </c>
      <c r="F192" s="80"/>
      <c r="G192" s="317">
        <f>G193</f>
        <v>3387.08</v>
      </c>
      <c r="H192" s="317">
        <f>H193</f>
        <v>0</v>
      </c>
      <c r="I192" s="317">
        <f t="shared" si="23"/>
        <v>3387.08</v>
      </c>
      <c r="J192" s="317">
        <f t="shared" si="23"/>
        <v>0</v>
      </c>
      <c r="K192" s="296"/>
      <c r="L192" s="232"/>
      <c r="M192" s="232"/>
      <c r="N192" s="232"/>
    </row>
    <row r="193" spans="1:14" ht="146.75" outlineLevel="7" x14ac:dyDescent="0.25">
      <c r="A193" s="100" t="s">
        <v>385</v>
      </c>
      <c r="B193" s="80" t="s">
        <v>500</v>
      </c>
      <c r="C193" s="80" t="s">
        <v>291</v>
      </c>
      <c r="D193" s="80" t="s">
        <v>384</v>
      </c>
      <c r="E193" s="80" t="s">
        <v>6</v>
      </c>
      <c r="F193" s="80"/>
      <c r="G193" s="317">
        <f>G194</f>
        <v>3387.08</v>
      </c>
      <c r="H193" s="317">
        <f>H194</f>
        <v>0</v>
      </c>
      <c r="I193" s="317">
        <f t="shared" si="23"/>
        <v>3387.08</v>
      </c>
      <c r="J193" s="317">
        <f t="shared" si="23"/>
        <v>0</v>
      </c>
      <c r="K193" s="296"/>
      <c r="L193" s="232"/>
      <c r="M193" s="232"/>
      <c r="N193" s="232"/>
    </row>
    <row r="194" spans="1:14" ht="36.700000000000003" outlineLevel="7" x14ac:dyDescent="0.25">
      <c r="A194" s="81" t="s">
        <v>15</v>
      </c>
      <c r="B194" s="80" t="s">
        <v>500</v>
      </c>
      <c r="C194" s="80" t="s">
        <v>291</v>
      </c>
      <c r="D194" s="80" t="s">
        <v>384</v>
      </c>
      <c r="E194" s="80" t="s">
        <v>16</v>
      </c>
      <c r="F194" s="80"/>
      <c r="G194" s="317">
        <f>G195</f>
        <v>3387.08</v>
      </c>
      <c r="H194" s="317">
        <v>0</v>
      </c>
      <c r="I194" s="317">
        <f t="shared" si="23"/>
        <v>3387.08</v>
      </c>
      <c r="J194" s="317">
        <f t="shared" si="23"/>
        <v>0</v>
      </c>
      <c r="K194" s="296"/>
      <c r="L194" s="232"/>
      <c r="M194" s="232"/>
      <c r="N194" s="232"/>
    </row>
    <row r="195" spans="1:14" s="172" customFormat="1" ht="55.05" outlineLevel="7" x14ac:dyDescent="0.25">
      <c r="A195" s="81" t="s">
        <v>17</v>
      </c>
      <c r="B195" s="80" t="s">
        <v>500</v>
      </c>
      <c r="C195" s="80" t="s">
        <v>291</v>
      </c>
      <c r="D195" s="80" t="s">
        <v>384</v>
      </c>
      <c r="E195" s="80" t="s">
        <v>18</v>
      </c>
      <c r="F195" s="80"/>
      <c r="G195" s="318">
        <v>3387.08</v>
      </c>
      <c r="H195" s="318">
        <v>0</v>
      </c>
      <c r="I195" s="318">
        <f>'прил 12'!F190</f>
        <v>3387.08</v>
      </c>
      <c r="J195" s="327"/>
      <c r="K195" s="297"/>
      <c r="L195" s="233"/>
      <c r="M195" s="233"/>
      <c r="N195" s="233"/>
    </row>
    <row r="196" spans="1:14" s="172" customFormat="1" ht="73.400000000000006" outlineLevel="7" x14ac:dyDescent="0.25">
      <c r="A196" s="114" t="s">
        <v>821</v>
      </c>
      <c r="B196" s="80" t="s">
        <v>500</v>
      </c>
      <c r="C196" s="80" t="s">
        <v>291</v>
      </c>
      <c r="D196" s="80" t="s">
        <v>320</v>
      </c>
      <c r="E196" s="80" t="s">
        <v>6</v>
      </c>
      <c r="F196" s="80"/>
      <c r="G196" s="318">
        <f t="shared" ref="G196:J199" si="24">G197</f>
        <v>100000</v>
      </c>
      <c r="H196" s="318">
        <f t="shared" si="24"/>
        <v>0</v>
      </c>
      <c r="I196" s="318">
        <f t="shared" si="24"/>
        <v>100000</v>
      </c>
      <c r="J196" s="318">
        <f t="shared" si="24"/>
        <v>100000</v>
      </c>
      <c r="K196" s="297"/>
      <c r="L196" s="233"/>
      <c r="M196" s="233"/>
      <c r="N196" s="233"/>
    </row>
    <row r="197" spans="1:14" s="172" customFormat="1" ht="36.700000000000003" outlineLevel="7" x14ac:dyDescent="0.25">
      <c r="A197" s="353" t="s">
        <v>808</v>
      </c>
      <c r="B197" s="80" t="s">
        <v>500</v>
      </c>
      <c r="C197" s="80" t="s">
        <v>291</v>
      </c>
      <c r="D197" s="80" t="s">
        <v>809</v>
      </c>
      <c r="E197" s="80" t="s">
        <v>6</v>
      </c>
      <c r="F197" s="80"/>
      <c r="G197" s="318">
        <f t="shared" si="24"/>
        <v>100000</v>
      </c>
      <c r="H197" s="318">
        <f t="shared" si="24"/>
        <v>0</v>
      </c>
      <c r="I197" s="318">
        <f t="shared" si="24"/>
        <v>100000</v>
      </c>
      <c r="J197" s="318">
        <f t="shared" si="24"/>
        <v>100000</v>
      </c>
      <c r="K197" s="297"/>
      <c r="L197" s="233"/>
      <c r="M197" s="233"/>
      <c r="N197" s="233"/>
    </row>
    <row r="198" spans="1:14" s="172" customFormat="1" ht="110.05" outlineLevel="7" x14ac:dyDescent="0.25">
      <c r="A198" s="113" t="s">
        <v>811</v>
      </c>
      <c r="B198" s="80" t="s">
        <v>500</v>
      </c>
      <c r="C198" s="80" t="s">
        <v>291</v>
      </c>
      <c r="D198" s="80" t="s">
        <v>810</v>
      </c>
      <c r="E198" s="80" t="s">
        <v>6</v>
      </c>
      <c r="F198" s="80"/>
      <c r="G198" s="318">
        <f t="shared" si="24"/>
        <v>100000</v>
      </c>
      <c r="H198" s="318">
        <f t="shared" si="24"/>
        <v>0</v>
      </c>
      <c r="I198" s="318">
        <f t="shared" si="24"/>
        <v>100000</v>
      </c>
      <c r="J198" s="318">
        <f t="shared" si="24"/>
        <v>100000</v>
      </c>
      <c r="K198" s="297"/>
      <c r="L198" s="233"/>
      <c r="M198" s="233"/>
      <c r="N198" s="233"/>
    </row>
    <row r="199" spans="1:14" s="172" customFormat="1" ht="36.700000000000003" outlineLevel="7" x14ac:dyDescent="0.25">
      <c r="A199" s="353" t="s">
        <v>772</v>
      </c>
      <c r="B199" s="80" t="s">
        <v>500</v>
      </c>
      <c r="C199" s="80" t="s">
        <v>291</v>
      </c>
      <c r="D199" s="80" t="s">
        <v>810</v>
      </c>
      <c r="E199" s="80" t="s">
        <v>20</v>
      </c>
      <c r="F199" s="80"/>
      <c r="G199" s="318">
        <f t="shared" si="24"/>
        <v>100000</v>
      </c>
      <c r="H199" s="318">
        <v>0</v>
      </c>
      <c r="I199" s="318">
        <f t="shared" si="24"/>
        <v>100000</v>
      </c>
      <c r="J199" s="318">
        <f t="shared" si="24"/>
        <v>100000</v>
      </c>
      <c r="K199" s="297"/>
      <c r="L199" s="233"/>
      <c r="M199" s="233"/>
      <c r="N199" s="233"/>
    </row>
    <row r="200" spans="1:14" s="172" customFormat="1" ht="55.05" outlineLevel="7" x14ac:dyDescent="0.25">
      <c r="A200" s="81" t="s">
        <v>47</v>
      </c>
      <c r="B200" s="80" t="s">
        <v>500</v>
      </c>
      <c r="C200" s="80" t="s">
        <v>291</v>
      </c>
      <c r="D200" s="80" t="s">
        <v>810</v>
      </c>
      <c r="E200" s="80" t="s">
        <v>48</v>
      </c>
      <c r="F200" s="80"/>
      <c r="G200" s="318">
        <v>100000</v>
      </c>
      <c r="H200" s="318">
        <v>0</v>
      </c>
      <c r="I200" s="318">
        <f>'прил 12'!F195</f>
        <v>100000</v>
      </c>
      <c r="J200" s="323">
        <v>100000</v>
      </c>
      <c r="K200" s="297"/>
      <c r="L200" s="233"/>
      <c r="M200" s="233"/>
      <c r="N200" s="233"/>
    </row>
    <row r="201" spans="1:14" ht="27.7" customHeight="1" outlineLevel="7" x14ac:dyDescent="0.25">
      <c r="A201" s="81" t="s">
        <v>49</v>
      </c>
      <c r="B201" s="80" t="s">
        <v>500</v>
      </c>
      <c r="C201" s="80" t="s">
        <v>50</v>
      </c>
      <c r="D201" s="80" t="s">
        <v>126</v>
      </c>
      <c r="E201" s="80" t="s">
        <v>6</v>
      </c>
      <c r="F201" s="316">
        <v>45977806.32</v>
      </c>
      <c r="G201" s="317">
        <f t="shared" ref="G201:J202" si="25">G202</f>
        <v>24051150</v>
      </c>
      <c r="H201" s="317">
        <f t="shared" si="25"/>
        <v>11934897.220000001</v>
      </c>
      <c r="I201" s="317">
        <f t="shared" si="25"/>
        <v>13157000</v>
      </c>
      <c r="J201" s="317">
        <f t="shared" si="25"/>
        <v>13057000</v>
      </c>
      <c r="K201" s="296"/>
      <c r="L201" s="232"/>
      <c r="M201" s="232"/>
      <c r="N201" s="232"/>
    </row>
    <row r="202" spans="1:14" ht="91.7" outlineLevel="7" x14ac:dyDescent="0.25">
      <c r="A202" s="109" t="s">
        <v>850</v>
      </c>
      <c r="B202" s="110" t="s">
        <v>500</v>
      </c>
      <c r="C202" s="110" t="s">
        <v>50</v>
      </c>
      <c r="D202" s="110" t="s">
        <v>335</v>
      </c>
      <c r="E202" s="110" t="s">
        <v>6</v>
      </c>
      <c r="F202" s="320">
        <v>45977806.32</v>
      </c>
      <c r="G202" s="321">
        <f t="shared" si="25"/>
        <v>24051150</v>
      </c>
      <c r="H202" s="321">
        <f t="shared" si="25"/>
        <v>11934897.220000001</v>
      </c>
      <c r="I202" s="321">
        <f t="shared" si="25"/>
        <v>13157000</v>
      </c>
      <c r="J202" s="321">
        <f t="shared" si="25"/>
        <v>13057000</v>
      </c>
      <c r="K202" s="296"/>
      <c r="L202" s="232"/>
      <c r="M202" s="232"/>
      <c r="N202" s="232"/>
    </row>
    <row r="203" spans="1:14" ht="20.25" customHeight="1" outlineLevel="7" x14ac:dyDescent="0.25">
      <c r="A203" s="81" t="s">
        <v>336</v>
      </c>
      <c r="B203" s="80" t="s">
        <v>500</v>
      </c>
      <c r="C203" s="80" t="s">
        <v>50</v>
      </c>
      <c r="D203" s="80" t="s">
        <v>337</v>
      </c>
      <c r="E203" s="80" t="s">
        <v>6</v>
      </c>
      <c r="F203" s="316">
        <v>45977806.32</v>
      </c>
      <c r="G203" s="317">
        <f>G204+G210</f>
        <v>24051150</v>
      </c>
      <c r="H203" s="317">
        <f>H204+H210</f>
        <v>11934897.220000001</v>
      </c>
      <c r="I203" s="317">
        <f>I204+I210</f>
        <v>13157000</v>
      </c>
      <c r="J203" s="317">
        <f>J204+J210</f>
        <v>13057000</v>
      </c>
      <c r="K203" s="296"/>
      <c r="L203" s="232"/>
      <c r="M203" s="232"/>
      <c r="N203" s="232"/>
    </row>
    <row r="204" spans="1:14" ht="73.400000000000006" outlineLevel="7" x14ac:dyDescent="0.25">
      <c r="A204" s="25" t="s">
        <v>822</v>
      </c>
      <c r="B204" s="80" t="s">
        <v>500</v>
      </c>
      <c r="C204" s="80" t="s">
        <v>50</v>
      </c>
      <c r="D204" s="80" t="s">
        <v>339</v>
      </c>
      <c r="E204" s="80" t="s">
        <v>6</v>
      </c>
      <c r="F204" s="316">
        <v>10511682.609999999</v>
      </c>
      <c r="G204" s="317">
        <f t="shared" ref="G204:J205" si="26">G205</f>
        <v>24051150</v>
      </c>
      <c r="H204" s="317">
        <f t="shared" si="26"/>
        <v>11934897.220000001</v>
      </c>
      <c r="I204" s="317">
        <f t="shared" si="26"/>
        <v>13057000</v>
      </c>
      <c r="J204" s="317">
        <f t="shared" si="26"/>
        <v>13057000</v>
      </c>
      <c r="K204" s="296"/>
      <c r="L204" s="232"/>
      <c r="M204" s="232"/>
      <c r="N204" s="232"/>
    </row>
    <row r="205" spans="1:14" s="172" customFormat="1" ht="36.700000000000003" outlineLevel="7" x14ac:dyDescent="0.25">
      <c r="A205" s="81" t="s">
        <v>15</v>
      </c>
      <c r="B205" s="80" t="s">
        <v>500</v>
      </c>
      <c r="C205" s="80" t="s">
        <v>50</v>
      </c>
      <c r="D205" s="80" t="s">
        <v>339</v>
      </c>
      <c r="E205" s="80" t="s">
        <v>16</v>
      </c>
      <c r="F205" s="316">
        <v>10511682.609999999</v>
      </c>
      <c r="G205" s="317">
        <f t="shared" si="26"/>
        <v>24051150</v>
      </c>
      <c r="H205" s="370">
        <v>11934897.220000001</v>
      </c>
      <c r="I205" s="317">
        <f t="shared" si="26"/>
        <v>13057000</v>
      </c>
      <c r="J205" s="317">
        <f t="shared" si="26"/>
        <v>13057000</v>
      </c>
      <c r="K205" s="297"/>
      <c r="L205" s="233"/>
      <c r="M205" s="233"/>
      <c r="N205" s="233"/>
    </row>
    <row r="206" spans="1:14" ht="44.5" customHeight="1" outlineLevel="7" x14ac:dyDescent="0.25">
      <c r="A206" s="81" t="s">
        <v>17</v>
      </c>
      <c r="B206" s="80" t="s">
        <v>500</v>
      </c>
      <c r="C206" s="80" t="s">
        <v>50</v>
      </c>
      <c r="D206" s="80" t="s">
        <v>339</v>
      </c>
      <c r="E206" s="80" t="s">
        <v>18</v>
      </c>
      <c r="F206" s="316">
        <v>10511682.609999999</v>
      </c>
      <c r="G206" s="317">
        <f>потребность!L201-1500000-10690000</f>
        <v>24051150</v>
      </c>
      <c r="H206" s="370">
        <v>11934897.220000001</v>
      </c>
      <c r="I206" s="317">
        <f>'прил 12'!F201</f>
        <v>13057000</v>
      </c>
      <c r="J206" s="318">
        <v>13057000</v>
      </c>
      <c r="K206" s="296"/>
      <c r="L206" s="232"/>
      <c r="M206" s="232"/>
      <c r="N206" s="232"/>
    </row>
    <row r="207" spans="1:14" ht="57.25" customHeight="1" outlineLevel="7" x14ac:dyDescent="0.25">
      <c r="A207" s="81" t="s">
        <v>564</v>
      </c>
      <c r="B207" s="80" t="s">
        <v>500</v>
      </c>
      <c r="C207" s="80" t="s">
        <v>50</v>
      </c>
      <c r="D207" s="80" t="s">
        <v>586</v>
      </c>
      <c r="E207" s="80" t="s">
        <v>6</v>
      </c>
      <c r="F207" s="316">
        <v>34402140</v>
      </c>
      <c r="G207" s="317">
        <f>G208</f>
        <v>0</v>
      </c>
      <c r="H207" s="317">
        <f>H208</f>
        <v>0</v>
      </c>
      <c r="I207" s="317">
        <v>0</v>
      </c>
      <c r="J207" s="317">
        <f>J208</f>
        <v>0</v>
      </c>
      <c r="K207" s="296"/>
      <c r="L207" s="232"/>
      <c r="M207" s="232"/>
      <c r="N207" s="232"/>
    </row>
    <row r="208" spans="1:14" ht="36.700000000000003" outlineLevel="7" x14ac:dyDescent="0.25">
      <c r="A208" s="81" t="s">
        <v>15</v>
      </c>
      <c r="B208" s="80" t="s">
        <v>500</v>
      </c>
      <c r="C208" s="80" t="s">
        <v>50</v>
      </c>
      <c r="D208" s="80" t="s">
        <v>586</v>
      </c>
      <c r="E208" s="80" t="s">
        <v>16</v>
      </c>
      <c r="F208" s="316">
        <v>34402140</v>
      </c>
      <c r="G208" s="317">
        <f>G209</f>
        <v>0</v>
      </c>
      <c r="H208" s="317">
        <f>H209</f>
        <v>0</v>
      </c>
      <c r="I208" s="317">
        <v>0</v>
      </c>
      <c r="J208" s="317">
        <f>J209</f>
        <v>0</v>
      </c>
      <c r="K208" s="296"/>
      <c r="L208" s="232"/>
      <c r="M208" s="232"/>
      <c r="N208" s="232"/>
    </row>
    <row r="209" spans="1:14" ht="21.75" customHeight="1" outlineLevel="7" x14ac:dyDescent="0.25">
      <c r="A209" s="81" t="s">
        <v>17</v>
      </c>
      <c r="B209" s="80" t="s">
        <v>500</v>
      </c>
      <c r="C209" s="80" t="s">
        <v>50</v>
      </c>
      <c r="D209" s="80" t="s">
        <v>586</v>
      </c>
      <c r="E209" s="80" t="s">
        <v>18</v>
      </c>
      <c r="F209" s="316">
        <v>34402140</v>
      </c>
      <c r="G209" s="317">
        <v>0</v>
      </c>
      <c r="H209" s="317">
        <v>0</v>
      </c>
      <c r="I209" s="317">
        <v>0</v>
      </c>
      <c r="J209" s="324"/>
      <c r="K209" s="296"/>
      <c r="L209" s="232"/>
      <c r="M209" s="232"/>
      <c r="N209" s="232"/>
    </row>
    <row r="210" spans="1:14" ht="43.5" customHeight="1" outlineLevel="7" x14ac:dyDescent="0.25">
      <c r="A210" s="81" t="s">
        <v>280</v>
      </c>
      <c r="B210" s="80" t="s">
        <v>500</v>
      </c>
      <c r="C210" s="80" t="s">
        <v>50</v>
      </c>
      <c r="D210" s="80" t="s">
        <v>409</v>
      </c>
      <c r="E210" s="80" t="s">
        <v>6</v>
      </c>
      <c r="F210" s="316">
        <v>1063983.71</v>
      </c>
      <c r="G210" s="318">
        <f t="shared" ref="G210:J211" si="27">G211</f>
        <v>0</v>
      </c>
      <c r="H210" s="318">
        <f t="shared" si="27"/>
        <v>0</v>
      </c>
      <c r="I210" s="318">
        <f t="shared" si="27"/>
        <v>100000</v>
      </c>
      <c r="J210" s="318">
        <f t="shared" si="27"/>
        <v>0</v>
      </c>
      <c r="K210" s="296"/>
      <c r="L210" s="232"/>
      <c r="M210" s="232"/>
      <c r="N210" s="232"/>
    </row>
    <row r="211" spans="1:14" ht="36.700000000000003" outlineLevel="7" x14ac:dyDescent="0.25">
      <c r="A211" s="81" t="s">
        <v>15</v>
      </c>
      <c r="B211" s="80" t="s">
        <v>500</v>
      </c>
      <c r="C211" s="80" t="s">
        <v>50</v>
      </c>
      <c r="D211" s="80" t="s">
        <v>409</v>
      </c>
      <c r="E211" s="80" t="s">
        <v>16</v>
      </c>
      <c r="F211" s="316">
        <v>1063983.71</v>
      </c>
      <c r="G211" s="318">
        <f t="shared" si="27"/>
        <v>0</v>
      </c>
      <c r="H211" s="318">
        <f t="shared" si="27"/>
        <v>0</v>
      </c>
      <c r="I211" s="318">
        <f t="shared" si="27"/>
        <v>100000</v>
      </c>
      <c r="J211" s="318">
        <f t="shared" si="27"/>
        <v>0</v>
      </c>
      <c r="K211" s="296"/>
      <c r="L211" s="232"/>
      <c r="M211" s="232"/>
      <c r="N211" s="232"/>
    </row>
    <row r="212" spans="1:14" ht="55.05" outlineLevel="7" x14ac:dyDescent="0.25">
      <c r="A212" s="81" t="s">
        <v>17</v>
      </c>
      <c r="B212" s="80" t="s">
        <v>500</v>
      </c>
      <c r="C212" s="80" t="s">
        <v>50</v>
      </c>
      <c r="D212" s="80" t="s">
        <v>409</v>
      </c>
      <c r="E212" s="80" t="s">
        <v>18</v>
      </c>
      <c r="F212" s="316">
        <v>1063983.71</v>
      </c>
      <c r="G212" s="317">
        <f>потребность!I207-310000</f>
        <v>0</v>
      </c>
      <c r="H212" s="317">
        <v>0</v>
      </c>
      <c r="I212" s="317">
        <f>'прил 12'!F207</f>
        <v>100000</v>
      </c>
      <c r="J212" s="318">
        <v>0</v>
      </c>
      <c r="K212" s="296"/>
      <c r="L212" s="232"/>
      <c r="M212" s="232"/>
      <c r="N212" s="232"/>
    </row>
    <row r="213" spans="1:14" ht="36.700000000000003" outlineLevel="7" x14ac:dyDescent="0.25">
      <c r="A213" s="81" t="s">
        <v>52</v>
      </c>
      <c r="B213" s="80" t="s">
        <v>500</v>
      </c>
      <c r="C213" s="80" t="s">
        <v>53</v>
      </c>
      <c r="D213" s="80" t="s">
        <v>126</v>
      </c>
      <c r="E213" s="80" t="s">
        <v>6</v>
      </c>
      <c r="F213" s="316">
        <v>754300.72</v>
      </c>
      <c r="G213" s="317">
        <f>G214+G219</f>
        <v>3943600</v>
      </c>
      <c r="H213" s="317">
        <f>H214+H219</f>
        <v>210681.28</v>
      </c>
      <c r="I213" s="317">
        <f>I214+I219</f>
        <v>530000</v>
      </c>
      <c r="J213" s="317">
        <f>J214+J219</f>
        <v>1885000</v>
      </c>
      <c r="K213" s="296"/>
      <c r="L213" s="232"/>
      <c r="M213" s="232"/>
      <c r="N213" s="232"/>
    </row>
    <row r="214" spans="1:14" ht="39.25" customHeight="1" outlineLevel="7" x14ac:dyDescent="0.25">
      <c r="A214" s="109" t="s">
        <v>849</v>
      </c>
      <c r="B214" s="110" t="s">
        <v>500</v>
      </c>
      <c r="C214" s="110" t="s">
        <v>53</v>
      </c>
      <c r="D214" s="110" t="s">
        <v>412</v>
      </c>
      <c r="E214" s="110" t="s">
        <v>6</v>
      </c>
      <c r="F214" s="110" t="s">
        <v>976</v>
      </c>
      <c r="G214" s="317">
        <f t="shared" ref="G214:J217" si="28">G215</f>
        <v>100000</v>
      </c>
      <c r="H214" s="317">
        <f t="shared" si="28"/>
        <v>0</v>
      </c>
      <c r="I214" s="317">
        <f t="shared" si="28"/>
        <v>100000</v>
      </c>
      <c r="J214" s="317">
        <f t="shared" si="28"/>
        <v>100000</v>
      </c>
      <c r="K214" s="296"/>
      <c r="L214" s="232"/>
      <c r="M214" s="232"/>
      <c r="N214" s="232"/>
    </row>
    <row r="215" spans="1:14" ht="55.05" outlineLevel="7" x14ac:dyDescent="0.25">
      <c r="A215" s="81" t="s">
        <v>780</v>
      </c>
      <c r="B215" s="80" t="s">
        <v>500</v>
      </c>
      <c r="C215" s="80" t="s">
        <v>53</v>
      </c>
      <c r="D215" s="80" t="s">
        <v>414</v>
      </c>
      <c r="E215" s="80" t="s">
        <v>6</v>
      </c>
      <c r="F215" s="80" t="s">
        <v>976</v>
      </c>
      <c r="G215" s="317">
        <f t="shared" si="28"/>
        <v>100000</v>
      </c>
      <c r="H215" s="317">
        <f t="shared" si="28"/>
        <v>0</v>
      </c>
      <c r="I215" s="317">
        <f t="shared" si="28"/>
        <v>100000</v>
      </c>
      <c r="J215" s="317">
        <f t="shared" si="28"/>
        <v>100000</v>
      </c>
      <c r="K215" s="296"/>
      <c r="L215" s="232"/>
      <c r="M215" s="232"/>
      <c r="N215" s="232"/>
    </row>
    <row r="216" spans="1:14" ht="83.25" customHeight="1" outlineLevel="7" x14ac:dyDescent="0.25">
      <c r="A216" s="81" t="s">
        <v>781</v>
      </c>
      <c r="B216" s="80" t="s">
        <v>500</v>
      </c>
      <c r="C216" s="80" t="s">
        <v>53</v>
      </c>
      <c r="D216" s="80" t="s">
        <v>782</v>
      </c>
      <c r="E216" s="80" t="s">
        <v>6</v>
      </c>
      <c r="F216" s="80" t="s">
        <v>976</v>
      </c>
      <c r="G216" s="317">
        <f t="shared" si="28"/>
        <v>100000</v>
      </c>
      <c r="H216" s="317">
        <f t="shared" si="28"/>
        <v>0</v>
      </c>
      <c r="I216" s="317">
        <f t="shared" si="28"/>
        <v>100000</v>
      </c>
      <c r="J216" s="317">
        <f t="shared" si="28"/>
        <v>100000</v>
      </c>
      <c r="K216" s="296"/>
      <c r="L216" s="232"/>
      <c r="M216" s="232"/>
      <c r="N216" s="232"/>
    </row>
    <row r="217" spans="1:14" outlineLevel="2" x14ac:dyDescent="0.25">
      <c r="A217" s="81" t="s">
        <v>19</v>
      </c>
      <c r="B217" s="80" t="s">
        <v>500</v>
      </c>
      <c r="C217" s="80" t="s">
        <v>53</v>
      </c>
      <c r="D217" s="80" t="s">
        <v>782</v>
      </c>
      <c r="E217" s="80" t="s">
        <v>20</v>
      </c>
      <c r="F217" s="80" t="s">
        <v>976</v>
      </c>
      <c r="G217" s="317">
        <f t="shared" si="28"/>
        <v>100000</v>
      </c>
      <c r="H217" s="317">
        <v>0</v>
      </c>
      <c r="I217" s="317">
        <f t="shared" si="28"/>
        <v>100000</v>
      </c>
      <c r="J217" s="317">
        <f t="shared" si="28"/>
        <v>100000</v>
      </c>
      <c r="K217" s="296"/>
      <c r="L217" s="232"/>
      <c r="M217" s="232"/>
      <c r="N217" s="232"/>
    </row>
    <row r="218" spans="1:14" ht="55.05" outlineLevel="2" x14ac:dyDescent="0.25">
      <c r="A218" s="81" t="s">
        <v>47</v>
      </c>
      <c r="B218" s="80" t="s">
        <v>500</v>
      </c>
      <c r="C218" s="80" t="s">
        <v>53</v>
      </c>
      <c r="D218" s="80" t="s">
        <v>782</v>
      </c>
      <c r="E218" s="80" t="s">
        <v>48</v>
      </c>
      <c r="F218" s="80" t="s">
        <v>976</v>
      </c>
      <c r="G218" s="317">
        <v>100000</v>
      </c>
      <c r="H218" s="317">
        <v>0</v>
      </c>
      <c r="I218" s="317">
        <f>'прил 12'!F213</f>
        <v>100000</v>
      </c>
      <c r="J218" s="318">
        <v>100000</v>
      </c>
      <c r="K218" s="296"/>
      <c r="L218" s="232"/>
      <c r="M218" s="232"/>
      <c r="N218" s="232"/>
    </row>
    <row r="219" spans="1:14" ht="60.8" customHeight="1" outlineLevel="2" x14ac:dyDescent="0.25">
      <c r="A219" s="109" t="s">
        <v>848</v>
      </c>
      <c r="B219" s="110" t="s">
        <v>500</v>
      </c>
      <c r="C219" s="110" t="s">
        <v>53</v>
      </c>
      <c r="D219" s="110" t="s">
        <v>340</v>
      </c>
      <c r="E219" s="110" t="s">
        <v>6</v>
      </c>
      <c r="F219" s="320">
        <v>464300.72</v>
      </c>
      <c r="G219" s="321">
        <f>G220+G224</f>
        <v>3843600</v>
      </c>
      <c r="H219" s="321">
        <f>H220+H224</f>
        <v>210681.28</v>
      </c>
      <c r="I219" s="321">
        <f>I220+I224</f>
        <v>430000</v>
      </c>
      <c r="J219" s="321">
        <f>J220+J224</f>
        <v>1785000</v>
      </c>
      <c r="K219" s="296"/>
      <c r="L219" s="232"/>
      <c r="M219" s="232"/>
      <c r="N219" s="232"/>
    </row>
    <row r="220" spans="1:14" ht="36.700000000000003" outlineLevel="2" x14ac:dyDescent="0.25">
      <c r="A220" s="81" t="s">
        <v>386</v>
      </c>
      <c r="B220" s="80" t="s">
        <v>500</v>
      </c>
      <c r="C220" s="80" t="s">
        <v>53</v>
      </c>
      <c r="D220" s="80" t="s">
        <v>341</v>
      </c>
      <c r="E220" s="80" t="s">
        <v>6</v>
      </c>
      <c r="F220" s="316">
        <v>249600</v>
      </c>
      <c r="G220" s="318">
        <f t="shared" ref="G220:J222" si="29">G221</f>
        <v>3713600</v>
      </c>
      <c r="H220" s="318">
        <f t="shared" si="29"/>
        <v>160600</v>
      </c>
      <c r="I220" s="318">
        <f t="shared" si="29"/>
        <v>300000</v>
      </c>
      <c r="J220" s="318">
        <f t="shared" si="29"/>
        <v>235000</v>
      </c>
      <c r="K220" s="296"/>
      <c r="L220" s="232"/>
      <c r="M220" s="232"/>
      <c r="N220" s="232"/>
    </row>
    <row r="221" spans="1:14" ht="36.700000000000003" outlineLevel="2" x14ac:dyDescent="0.25">
      <c r="A221" s="81" t="s">
        <v>342</v>
      </c>
      <c r="B221" s="80" t="s">
        <v>500</v>
      </c>
      <c r="C221" s="80" t="s">
        <v>53</v>
      </c>
      <c r="D221" s="80" t="s">
        <v>343</v>
      </c>
      <c r="E221" s="80" t="s">
        <v>6</v>
      </c>
      <c r="F221" s="316">
        <v>249600</v>
      </c>
      <c r="G221" s="318">
        <f t="shared" si="29"/>
        <v>3713600</v>
      </c>
      <c r="H221" s="318">
        <f t="shared" si="29"/>
        <v>160600</v>
      </c>
      <c r="I221" s="318">
        <f t="shared" si="29"/>
        <v>300000</v>
      </c>
      <c r="J221" s="318">
        <f t="shared" si="29"/>
        <v>235000</v>
      </c>
      <c r="K221" s="296"/>
      <c r="L221" s="232"/>
      <c r="M221" s="232"/>
      <c r="N221" s="232"/>
    </row>
    <row r="222" spans="1:14" s="172" customFormat="1" ht="36.700000000000003" outlineLevel="3" x14ac:dyDescent="0.25">
      <c r="A222" s="81" t="s">
        <v>15</v>
      </c>
      <c r="B222" s="80" t="s">
        <v>500</v>
      </c>
      <c r="C222" s="80" t="s">
        <v>53</v>
      </c>
      <c r="D222" s="80" t="s">
        <v>343</v>
      </c>
      <c r="E222" s="80" t="s">
        <v>16</v>
      </c>
      <c r="F222" s="316">
        <v>249600</v>
      </c>
      <c r="G222" s="318">
        <f t="shared" si="29"/>
        <v>3713600</v>
      </c>
      <c r="H222" s="372">
        <v>160600</v>
      </c>
      <c r="I222" s="318">
        <f t="shared" si="29"/>
        <v>300000</v>
      </c>
      <c r="J222" s="318">
        <f t="shared" si="29"/>
        <v>235000</v>
      </c>
      <c r="K222" s="297"/>
      <c r="L222" s="233"/>
      <c r="M222" s="233"/>
      <c r="N222" s="233"/>
    </row>
    <row r="223" spans="1:14" ht="55.05" outlineLevel="3" x14ac:dyDescent="0.25">
      <c r="A223" s="81" t="s">
        <v>17</v>
      </c>
      <c r="B223" s="80" t="s">
        <v>500</v>
      </c>
      <c r="C223" s="80" t="s">
        <v>53</v>
      </c>
      <c r="D223" s="80" t="s">
        <v>343</v>
      </c>
      <c r="E223" s="80" t="s">
        <v>18</v>
      </c>
      <c r="F223" s="316">
        <v>249600</v>
      </c>
      <c r="G223" s="317">
        <f>потребность!I222+3500000</f>
        <v>3713600</v>
      </c>
      <c r="H223" s="372">
        <v>160600</v>
      </c>
      <c r="I223" s="317">
        <f>'прил 12'!F218</f>
        <v>300000</v>
      </c>
      <c r="J223" s="318">
        <v>235000</v>
      </c>
      <c r="K223" s="296"/>
      <c r="L223" s="232"/>
      <c r="M223" s="232"/>
      <c r="N223" s="232"/>
    </row>
    <row r="224" spans="1:14" ht="36.700000000000003" outlineLevel="3" x14ac:dyDescent="0.25">
      <c r="A224" s="113" t="s">
        <v>388</v>
      </c>
      <c r="B224" s="80" t="s">
        <v>500</v>
      </c>
      <c r="C224" s="80" t="s">
        <v>53</v>
      </c>
      <c r="D224" s="80" t="s">
        <v>387</v>
      </c>
      <c r="E224" s="80" t="s">
        <v>6</v>
      </c>
      <c r="F224" s="316">
        <v>214700.72</v>
      </c>
      <c r="G224" s="317">
        <f t="shared" ref="G224:J226" si="30">G225</f>
        <v>130000</v>
      </c>
      <c r="H224" s="317">
        <f t="shared" si="30"/>
        <v>50081.279999999999</v>
      </c>
      <c r="I224" s="317">
        <f t="shared" si="30"/>
        <v>130000</v>
      </c>
      <c r="J224" s="317">
        <f t="shared" si="30"/>
        <v>1550000</v>
      </c>
      <c r="K224" s="296"/>
      <c r="L224" s="232"/>
      <c r="M224" s="232"/>
      <c r="N224" s="232"/>
    </row>
    <row r="225" spans="1:14" ht="36.700000000000003" outlineLevel="3" x14ac:dyDescent="0.25">
      <c r="A225" s="81" t="s">
        <v>344</v>
      </c>
      <c r="B225" s="80" t="s">
        <v>500</v>
      </c>
      <c r="C225" s="80" t="s">
        <v>53</v>
      </c>
      <c r="D225" s="80" t="s">
        <v>417</v>
      </c>
      <c r="E225" s="80" t="s">
        <v>6</v>
      </c>
      <c r="F225" s="316">
        <v>214700.72</v>
      </c>
      <c r="G225" s="317">
        <f t="shared" si="30"/>
        <v>130000</v>
      </c>
      <c r="H225" s="317">
        <f t="shared" si="30"/>
        <v>50081.279999999999</v>
      </c>
      <c r="I225" s="317">
        <f t="shared" si="30"/>
        <v>130000</v>
      </c>
      <c r="J225" s="317">
        <f t="shared" si="30"/>
        <v>1550000</v>
      </c>
      <c r="K225" s="296"/>
      <c r="L225" s="232"/>
      <c r="M225" s="232"/>
      <c r="N225" s="232"/>
    </row>
    <row r="226" spans="1:14" ht="18.7" customHeight="1" outlineLevel="3" x14ac:dyDescent="0.25">
      <c r="A226" s="81" t="s">
        <v>15</v>
      </c>
      <c r="B226" s="80" t="s">
        <v>500</v>
      </c>
      <c r="C226" s="80" t="s">
        <v>53</v>
      </c>
      <c r="D226" s="80" t="s">
        <v>417</v>
      </c>
      <c r="E226" s="80" t="s">
        <v>16</v>
      </c>
      <c r="F226" s="316">
        <v>214700.72</v>
      </c>
      <c r="G226" s="317">
        <f t="shared" si="30"/>
        <v>130000</v>
      </c>
      <c r="H226" s="370">
        <v>50081.279999999999</v>
      </c>
      <c r="I226" s="317">
        <f t="shared" si="30"/>
        <v>130000</v>
      </c>
      <c r="J226" s="317">
        <f t="shared" si="30"/>
        <v>1550000</v>
      </c>
      <c r="K226" s="296"/>
      <c r="L226" s="232"/>
      <c r="M226" s="232"/>
      <c r="N226" s="232"/>
    </row>
    <row r="227" spans="1:14" ht="19.55" customHeight="1" outlineLevel="3" x14ac:dyDescent="0.25">
      <c r="A227" s="81" t="s">
        <v>17</v>
      </c>
      <c r="B227" s="80" t="s">
        <v>500</v>
      </c>
      <c r="C227" s="80" t="s">
        <v>53</v>
      </c>
      <c r="D227" s="80" t="s">
        <v>417</v>
      </c>
      <c r="E227" s="80" t="s">
        <v>18</v>
      </c>
      <c r="F227" s="316">
        <v>214700.72</v>
      </c>
      <c r="G227" s="317">
        <v>130000</v>
      </c>
      <c r="H227" s="370">
        <v>50081.279999999999</v>
      </c>
      <c r="I227" s="317">
        <f>'прил 12'!F222</f>
        <v>130000</v>
      </c>
      <c r="J227" s="318">
        <v>1550000</v>
      </c>
      <c r="K227" s="296"/>
      <c r="L227" s="232"/>
      <c r="M227" s="232"/>
      <c r="N227" s="232"/>
    </row>
    <row r="228" spans="1:14" outlineLevel="5" x14ac:dyDescent="0.25">
      <c r="A228" s="109" t="s">
        <v>54</v>
      </c>
      <c r="B228" s="110" t="s">
        <v>500</v>
      </c>
      <c r="C228" s="110" t="s">
        <v>55</v>
      </c>
      <c r="D228" s="110" t="s">
        <v>126</v>
      </c>
      <c r="E228" s="110" t="s">
        <v>6</v>
      </c>
      <c r="F228" s="316">
        <v>188947675.87</v>
      </c>
      <c r="G228" s="328">
        <f>G229+G240+G272+G324</f>
        <v>126974379.52000001</v>
      </c>
      <c r="H228" s="328">
        <f>H229+H240+H272+H324</f>
        <v>91233080.129999995</v>
      </c>
      <c r="I228" s="328">
        <f>I229+I240+I272+I324</f>
        <v>48705734.209999993</v>
      </c>
      <c r="J228" s="328">
        <f>J229+J240+J272+J324</f>
        <v>50403208.620000005</v>
      </c>
      <c r="K228" s="296"/>
      <c r="L228" s="232"/>
      <c r="M228" s="232"/>
      <c r="N228" s="232"/>
    </row>
    <row r="229" spans="1:14" outlineLevel="6" x14ac:dyDescent="0.25">
      <c r="A229" s="81" t="s">
        <v>56</v>
      </c>
      <c r="B229" s="80" t="s">
        <v>500</v>
      </c>
      <c r="C229" s="80" t="s">
        <v>57</v>
      </c>
      <c r="D229" s="80" t="s">
        <v>126</v>
      </c>
      <c r="E229" s="80" t="s">
        <v>6</v>
      </c>
      <c r="F229" s="316">
        <v>3451807.53</v>
      </c>
      <c r="G229" s="317">
        <f>G230+G236</f>
        <v>4550000</v>
      </c>
      <c r="H229" s="317">
        <f>H230+H236</f>
        <v>3303727.39</v>
      </c>
      <c r="I229" s="317">
        <f>I230+I236</f>
        <v>2500000</v>
      </c>
      <c r="J229" s="317">
        <f>J230+J236</f>
        <v>2500000</v>
      </c>
      <c r="K229" s="296"/>
      <c r="L229" s="232"/>
      <c r="M229" s="232"/>
      <c r="N229" s="232"/>
    </row>
    <row r="230" spans="1:14" ht="61.5" customHeight="1" outlineLevel="7" x14ac:dyDescent="0.25">
      <c r="A230" s="109" t="s">
        <v>847</v>
      </c>
      <c r="B230" s="110" t="s">
        <v>500</v>
      </c>
      <c r="C230" s="110" t="s">
        <v>57</v>
      </c>
      <c r="D230" s="110" t="s">
        <v>331</v>
      </c>
      <c r="E230" s="110" t="s">
        <v>6</v>
      </c>
      <c r="F230" s="320">
        <v>3451807.53</v>
      </c>
      <c r="G230" s="321">
        <f t="shared" ref="G230:J233" si="31">G231</f>
        <v>4550000</v>
      </c>
      <c r="H230" s="321">
        <f t="shared" si="31"/>
        <v>3303727.39</v>
      </c>
      <c r="I230" s="321">
        <f t="shared" si="31"/>
        <v>2500000</v>
      </c>
      <c r="J230" s="321">
        <f t="shared" si="31"/>
        <v>2500000</v>
      </c>
      <c r="K230" s="296"/>
      <c r="L230" s="232"/>
      <c r="M230" s="232"/>
      <c r="N230" s="232"/>
    </row>
    <row r="231" spans="1:14" s="172" customFormat="1" ht="55.05" outlineLevel="1" x14ac:dyDescent="0.25">
      <c r="A231" s="81" t="s">
        <v>345</v>
      </c>
      <c r="B231" s="80" t="s">
        <v>500</v>
      </c>
      <c r="C231" s="80" t="s">
        <v>57</v>
      </c>
      <c r="D231" s="80" t="s">
        <v>332</v>
      </c>
      <c r="E231" s="80" t="s">
        <v>6</v>
      </c>
      <c r="F231" s="316">
        <v>3451807.53</v>
      </c>
      <c r="G231" s="317">
        <f t="shared" si="31"/>
        <v>4550000</v>
      </c>
      <c r="H231" s="317">
        <f t="shared" si="31"/>
        <v>3303727.39</v>
      </c>
      <c r="I231" s="317">
        <f t="shared" si="31"/>
        <v>2500000</v>
      </c>
      <c r="J231" s="317">
        <f t="shared" si="31"/>
        <v>2500000</v>
      </c>
      <c r="K231" s="297"/>
      <c r="L231" s="233"/>
      <c r="M231" s="233"/>
      <c r="N231" s="233"/>
    </row>
    <row r="232" spans="1:14" ht="36.700000000000003" outlineLevel="1" x14ac:dyDescent="0.25">
      <c r="A232" s="81" t="s">
        <v>346</v>
      </c>
      <c r="B232" s="80" t="s">
        <v>500</v>
      </c>
      <c r="C232" s="80" t="s">
        <v>57</v>
      </c>
      <c r="D232" s="80" t="s">
        <v>347</v>
      </c>
      <c r="E232" s="80" t="s">
        <v>6</v>
      </c>
      <c r="F232" s="316">
        <v>3451807.53</v>
      </c>
      <c r="G232" s="317">
        <f t="shared" si="31"/>
        <v>4550000</v>
      </c>
      <c r="H232" s="317">
        <f t="shared" si="31"/>
        <v>3303727.39</v>
      </c>
      <c r="I232" s="317">
        <f t="shared" si="31"/>
        <v>2500000</v>
      </c>
      <c r="J232" s="317">
        <f t="shared" si="31"/>
        <v>2500000</v>
      </c>
      <c r="K232" s="296"/>
      <c r="L232" s="232"/>
      <c r="M232" s="232"/>
      <c r="N232" s="232"/>
    </row>
    <row r="233" spans="1:14" s="172" customFormat="1" ht="36.700000000000003" outlineLevel="1" x14ac:dyDescent="0.25">
      <c r="A233" s="81" t="s">
        <v>15</v>
      </c>
      <c r="B233" s="80" t="s">
        <v>500</v>
      </c>
      <c r="C233" s="80" t="s">
        <v>57</v>
      </c>
      <c r="D233" s="80" t="s">
        <v>347</v>
      </c>
      <c r="E233" s="80" t="s">
        <v>16</v>
      </c>
      <c r="F233" s="316">
        <v>3451807.53</v>
      </c>
      <c r="G233" s="317">
        <f t="shared" si="31"/>
        <v>4550000</v>
      </c>
      <c r="H233" s="370">
        <v>3303727.39</v>
      </c>
      <c r="I233" s="317">
        <f t="shared" si="31"/>
        <v>2500000</v>
      </c>
      <c r="J233" s="317">
        <f t="shared" si="31"/>
        <v>2500000</v>
      </c>
      <c r="K233" s="297"/>
      <c r="L233" s="233"/>
      <c r="M233" s="233"/>
      <c r="N233" s="233"/>
    </row>
    <row r="234" spans="1:14" ht="36.700000000000003" customHeight="1" outlineLevel="1" x14ac:dyDescent="0.25">
      <c r="A234" s="81" t="s">
        <v>17</v>
      </c>
      <c r="B234" s="80" t="s">
        <v>500</v>
      </c>
      <c r="C234" s="80" t="s">
        <v>57</v>
      </c>
      <c r="D234" s="80" t="s">
        <v>347</v>
      </c>
      <c r="E234" s="80" t="s">
        <v>18</v>
      </c>
      <c r="F234" s="316">
        <v>3451807.53</v>
      </c>
      <c r="G234" s="318">
        <f>1500000+2800000+250000</f>
        <v>4550000</v>
      </c>
      <c r="H234" s="370">
        <v>3303727.39</v>
      </c>
      <c r="I234" s="318">
        <f>'прил 12'!F229</f>
        <v>2500000</v>
      </c>
      <c r="J234" s="318">
        <v>2500000</v>
      </c>
      <c r="K234" s="296"/>
      <c r="L234" s="232"/>
      <c r="M234" s="232"/>
      <c r="N234" s="232"/>
    </row>
    <row r="235" spans="1:14" ht="36.700000000000003" outlineLevel="5" x14ac:dyDescent="0.25">
      <c r="A235" s="81" t="s">
        <v>132</v>
      </c>
      <c r="B235" s="80" t="s">
        <v>500</v>
      </c>
      <c r="C235" s="80" t="s">
        <v>57</v>
      </c>
      <c r="D235" s="80" t="s">
        <v>127</v>
      </c>
      <c r="E235" s="80" t="s">
        <v>6</v>
      </c>
      <c r="F235" s="80"/>
      <c r="G235" s="317">
        <f>G236</f>
        <v>0</v>
      </c>
      <c r="H235" s="360"/>
      <c r="I235" s="317"/>
      <c r="J235" s="318"/>
      <c r="K235" s="296"/>
      <c r="L235" s="232"/>
      <c r="M235" s="232"/>
      <c r="N235" s="232"/>
    </row>
    <row r="236" spans="1:14" outlineLevel="6" x14ac:dyDescent="0.25">
      <c r="A236" s="81" t="s">
        <v>277</v>
      </c>
      <c r="B236" s="80" t="s">
        <v>500</v>
      </c>
      <c r="C236" s="80" t="s">
        <v>57</v>
      </c>
      <c r="D236" s="80" t="s">
        <v>276</v>
      </c>
      <c r="E236" s="80" t="s">
        <v>6</v>
      </c>
      <c r="F236" s="80"/>
      <c r="G236" s="317">
        <f>G237</f>
        <v>0</v>
      </c>
      <c r="H236" s="360"/>
      <c r="I236" s="317"/>
      <c r="J236" s="318"/>
      <c r="K236" s="296"/>
      <c r="L236" s="232"/>
      <c r="M236" s="232"/>
      <c r="N236" s="232"/>
    </row>
    <row r="237" spans="1:14" ht="18" customHeight="1" outlineLevel="7" x14ac:dyDescent="0.25">
      <c r="A237" s="100" t="s">
        <v>381</v>
      </c>
      <c r="B237" s="80" t="s">
        <v>500</v>
      </c>
      <c r="C237" s="80" t="s">
        <v>57</v>
      </c>
      <c r="D237" s="80" t="s">
        <v>507</v>
      </c>
      <c r="E237" s="80" t="s">
        <v>6</v>
      </c>
      <c r="F237" s="80"/>
      <c r="G237" s="317">
        <f>G238</f>
        <v>0</v>
      </c>
      <c r="H237" s="360"/>
      <c r="I237" s="317"/>
      <c r="J237" s="318"/>
      <c r="K237" s="296"/>
      <c r="L237" s="232"/>
      <c r="M237" s="232"/>
      <c r="N237" s="232"/>
    </row>
    <row r="238" spans="1:14" ht="19.55" customHeight="1" outlineLevel="7" x14ac:dyDescent="0.25">
      <c r="A238" s="81" t="s">
        <v>15</v>
      </c>
      <c r="B238" s="80" t="s">
        <v>500</v>
      </c>
      <c r="C238" s="80" t="s">
        <v>57</v>
      </c>
      <c r="D238" s="80" t="s">
        <v>507</v>
      </c>
      <c r="E238" s="80" t="s">
        <v>16</v>
      </c>
      <c r="F238" s="80"/>
      <c r="G238" s="317">
        <f>G239</f>
        <v>0</v>
      </c>
      <c r="H238" s="360"/>
      <c r="I238" s="317"/>
      <c r="J238" s="318"/>
      <c r="K238" s="296"/>
      <c r="L238" s="232"/>
      <c r="M238" s="232"/>
      <c r="N238" s="232"/>
    </row>
    <row r="239" spans="1:14" ht="19.55" customHeight="1" outlineLevel="7" x14ac:dyDescent="0.25">
      <c r="A239" s="81" t="s">
        <v>17</v>
      </c>
      <c r="B239" s="80" t="s">
        <v>500</v>
      </c>
      <c r="C239" s="80" t="s">
        <v>57</v>
      </c>
      <c r="D239" s="80" t="s">
        <v>507</v>
      </c>
      <c r="E239" s="80" t="s">
        <v>18</v>
      </c>
      <c r="F239" s="80"/>
      <c r="G239" s="318">
        <v>0</v>
      </c>
      <c r="H239" s="131"/>
      <c r="I239" s="318"/>
      <c r="J239" s="318"/>
      <c r="K239" s="296"/>
      <c r="L239" s="232"/>
      <c r="M239" s="232"/>
      <c r="N239" s="232"/>
    </row>
    <row r="240" spans="1:14" ht="18.7" customHeight="1" outlineLevel="7" x14ac:dyDescent="0.25">
      <c r="A240" s="81" t="s">
        <v>58</v>
      </c>
      <c r="B240" s="80" t="s">
        <v>500</v>
      </c>
      <c r="C240" s="80" t="s">
        <v>59</v>
      </c>
      <c r="D240" s="80" t="s">
        <v>126</v>
      </c>
      <c r="E240" s="80" t="s">
        <v>6</v>
      </c>
      <c r="F240" s="316">
        <v>157175808.12</v>
      </c>
      <c r="G240" s="317">
        <f>G241</f>
        <v>59022607.700000003</v>
      </c>
      <c r="H240" s="317">
        <f>H241</f>
        <v>54637654.609999999</v>
      </c>
      <c r="I240" s="317">
        <f>I241</f>
        <v>15331657.939999999</v>
      </c>
      <c r="J240" s="317">
        <f>J241</f>
        <v>33060658</v>
      </c>
      <c r="K240" s="296"/>
      <c r="L240" s="232"/>
      <c r="M240" s="232"/>
      <c r="N240" s="232"/>
    </row>
    <row r="241" spans="1:14" ht="73.400000000000006" outlineLevel="7" x14ac:dyDescent="0.25">
      <c r="A241" s="109" t="s">
        <v>845</v>
      </c>
      <c r="B241" s="110" t="s">
        <v>500</v>
      </c>
      <c r="C241" s="110" t="s">
        <v>59</v>
      </c>
      <c r="D241" s="110" t="s">
        <v>134</v>
      </c>
      <c r="E241" s="110" t="s">
        <v>6</v>
      </c>
      <c r="F241" s="316">
        <v>157175808.12</v>
      </c>
      <c r="G241" s="321">
        <f>G242+G269</f>
        <v>59022607.700000003</v>
      </c>
      <c r="H241" s="321">
        <f>H242+H269</f>
        <v>54637654.609999999</v>
      </c>
      <c r="I241" s="321">
        <f>I242+I269</f>
        <v>15331657.939999999</v>
      </c>
      <c r="J241" s="321">
        <f>J242+J269</f>
        <v>33060658</v>
      </c>
      <c r="K241" s="296"/>
      <c r="L241" s="232"/>
      <c r="M241" s="232"/>
      <c r="N241" s="232"/>
    </row>
    <row r="242" spans="1:14" ht="55.05" outlineLevel="7" x14ac:dyDescent="0.25">
      <c r="A242" s="81" t="s">
        <v>846</v>
      </c>
      <c r="B242" s="80" t="s">
        <v>500</v>
      </c>
      <c r="C242" s="80" t="s">
        <v>59</v>
      </c>
      <c r="D242" s="80" t="s">
        <v>350</v>
      </c>
      <c r="E242" s="80" t="s">
        <v>6</v>
      </c>
      <c r="F242" s="316">
        <v>39215522.909999996</v>
      </c>
      <c r="G242" s="317">
        <f>G243+G250+G253+G259+G256</f>
        <v>37683628</v>
      </c>
      <c r="H242" s="317">
        <f>H243+H250+H253+H259+H256</f>
        <v>33298674.91</v>
      </c>
      <c r="I242" s="317">
        <f>I243+I250+I253+I259+I256</f>
        <v>15331657.939999999</v>
      </c>
      <c r="J242" s="317">
        <f>J243+J250+J253+J259+J256</f>
        <v>33060658</v>
      </c>
      <c r="K242" s="296"/>
      <c r="L242" s="232"/>
      <c r="M242" s="232"/>
      <c r="N242" s="232"/>
    </row>
    <row r="243" spans="1:14" ht="110.05" outlineLevel="1" x14ac:dyDescent="0.25">
      <c r="A243" s="81" t="s">
        <v>60</v>
      </c>
      <c r="B243" s="80" t="s">
        <v>500</v>
      </c>
      <c r="C243" s="80" t="s">
        <v>59</v>
      </c>
      <c r="D243" s="80" t="s">
        <v>351</v>
      </c>
      <c r="E243" s="80" t="s">
        <v>6</v>
      </c>
      <c r="F243" s="316">
        <v>18467321.710000001</v>
      </c>
      <c r="G243" s="317">
        <f>G244+G246+G248</f>
        <v>17205628</v>
      </c>
      <c r="H243" s="317">
        <f>H244+H246+H248</f>
        <v>11589414.24</v>
      </c>
      <c r="I243" s="317">
        <f>I244+I246+I248</f>
        <v>7110000</v>
      </c>
      <c r="J243" s="317">
        <f>J244+J246+J248</f>
        <v>12500000</v>
      </c>
      <c r="K243" s="296"/>
      <c r="L243" s="232"/>
      <c r="M243" s="232"/>
      <c r="N243" s="232"/>
    </row>
    <row r="244" spans="1:14" s="172" customFormat="1" ht="36.700000000000003" outlineLevel="1" x14ac:dyDescent="0.25">
      <c r="A244" s="81" t="s">
        <v>15</v>
      </c>
      <c r="B244" s="80" t="s">
        <v>500</v>
      </c>
      <c r="C244" s="80" t="s">
        <v>59</v>
      </c>
      <c r="D244" s="80" t="s">
        <v>351</v>
      </c>
      <c r="E244" s="80" t="s">
        <v>16</v>
      </c>
      <c r="F244" s="316">
        <v>5173445.33</v>
      </c>
      <c r="G244" s="317">
        <f>G245</f>
        <v>6127679.0999999996</v>
      </c>
      <c r="H244" s="370">
        <v>749716.98</v>
      </c>
      <c r="I244" s="317">
        <f>I245</f>
        <v>2110000</v>
      </c>
      <c r="J244" s="317">
        <f>J245</f>
        <v>2500000</v>
      </c>
      <c r="K244" s="297"/>
      <c r="L244" s="233"/>
      <c r="M244" s="233"/>
      <c r="N244" s="233"/>
    </row>
    <row r="245" spans="1:14" ht="39.25" customHeight="1" outlineLevel="1" x14ac:dyDescent="0.25">
      <c r="A245" s="81" t="s">
        <v>17</v>
      </c>
      <c r="B245" s="80" t="s">
        <v>500</v>
      </c>
      <c r="C245" s="80" t="s">
        <v>59</v>
      </c>
      <c r="D245" s="80" t="s">
        <v>351</v>
      </c>
      <c r="E245" s="80" t="s">
        <v>18</v>
      </c>
      <c r="F245" s="316">
        <v>5173445.33</v>
      </c>
      <c r="G245" s="318">
        <f>потребность!L244-482320.9+1700000</f>
        <v>6127679.0999999996</v>
      </c>
      <c r="H245" s="370">
        <v>749716.98</v>
      </c>
      <c r="I245" s="318">
        <f>'прил 12'!F240</f>
        <v>2110000</v>
      </c>
      <c r="J245" s="318">
        <v>2500000</v>
      </c>
      <c r="K245" s="296"/>
      <c r="L245" s="232"/>
      <c r="M245" s="232"/>
      <c r="N245" s="232"/>
    </row>
    <row r="246" spans="1:14" ht="41.3" customHeight="1" outlineLevel="1" x14ac:dyDescent="0.25">
      <c r="A246" s="81" t="s">
        <v>264</v>
      </c>
      <c r="B246" s="80" t="s">
        <v>500</v>
      </c>
      <c r="C246" s="80" t="s">
        <v>59</v>
      </c>
      <c r="D246" s="80" t="s">
        <v>351</v>
      </c>
      <c r="E246" s="80" t="s">
        <v>265</v>
      </c>
      <c r="F246" s="316">
        <v>1362876.38</v>
      </c>
      <c r="G246" s="318">
        <f>G247</f>
        <v>1077948.8999999999</v>
      </c>
      <c r="H246" s="370">
        <v>839697.26</v>
      </c>
      <c r="I246" s="318">
        <f>I247</f>
        <v>0</v>
      </c>
      <c r="J246" s="318">
        <f>J247</f>
        <v>0</v>
      </c>
      <c r="K246" s="296"/>
      <c r="L246" s="232"/>
      <c r="M246" s="232"/>
      <c r="N246" s="232"/>
    </row>
    <row r="247" spans="1:14" ht="41.3" customHeight="1" outlineLevel="1" x14ac:dyDescent="0.25">
      <c r="A247" s="81" t="s">
        <v>266</v>
      </c>
      <c r="B247" s="80" t="s">
        <v>500</v>
      </c>
      <c r="C247" s="80" t="s">
        <v>59</v>
      </c>
      <c r="D247" s="80" t="s">
        <v>351</v>
      </c>
      <c r="E247" s="80" t="s">
        <v>267</v>
      </c>
      <c r="F247" s="316">
        <v>1362876.38</v>
      </c>
      <c r="G247" s="318">
        <f>22900478.19-22304850.19+482320.9</f>
        <v>1077948.8999999999</v>
      </c>
      <c r="H247" s="370">
        <v>839697.26</v>
      </c>
      <c r="I247" s="318">
        <f>'прил 12'!F242</f>
        <v>0</v>
      </c>
      <c r="J247" s="318">
        <f>'прил 12'!G242</f>
        <v>0</v>
      </c>
      <c r="K247" s="296"/>
      <c r="L247" s="232"/>
      <c r="M247" s="232"/>
      <c r="N247" s="232"/>
    </row>
    <row r="248" spans="1:14" ht="27.7" customHeight="1" outlineLevel="1" x14ac:dyDescent="0.25">
      <c r="A248" s="81" t="s">
        <v>19</v>
      </c>
      <c r="B248" s="80" t="s">
        <v>500</v>
      </c>
      <c r="C248" s="80" t="s">
        <v>59</v>
      </c>
      <c r="D248" s="80" t="s">
        <v>351</v>
      </c>
      <c r="E248" s="80" t="s">
        <v>20</v>
      </c>
      <c r="F248" s="316">
        <v>11931000</v>
      </c>
      <c r="G248" s="318">
        <f>G249</f>
        <v>10000000</v>
      </c>
      <c r="H248" s="370">
        <v>10000000</v>
      </c>
      <c r="I248" s="318">
        <f>I249</f>
        <v>5000000</v>
      </c>
      <c r="J248" s="330">
        <f>J249</f>
        <v>10000000</v>
      </c>
      <c r="K248" s="296"/>
      <c r="L248" s="232"/>
      <c r="M248" s="232"/>
      <c r="N248" s="232"/>
    </row>
    <row r="249" spans="1:14" ht="55.2" customHeight="1" outlineLevel="1" x14ac:dyDescent="0.25">
      <c r="A249" s="81" t="s">
        <v>47</v>
      </c>
      <c r="B249" s="80" t="s">
        <v>500</v>
      </c>
      <c r="C249" s="80" t="s">
        <v>59</v>
      </c>
      <c r="D249" s="80" t="s">
        <v>351</v>
      </c>
      <c r="E249" s="80" t="s">
        <v>48</v>
      </c>
      <c r="F249" s="316">
        <v>11931000</v>
      </c>
      <c r="G249" s="318">
        <f>потребность!L248</f>
        <v>10000000</v>
      </c>
      <c r="H249" s="370">
        <v>10000000</v>
      </c>
      <c r="I249" s="318">
        <f>'прил 12'!F244</f>
        <v>5000000</v>
      </c>
      <c r="J249" s="330">
        <v>10000000</v>
      </c>
      <c r="K249" s="296"/>
      <c r="L249" s="232"/>
      <c r="M249" s="232"/>
      <c r="N249" s="232"/>
    </row>
    <row r="250" spans="1:14" ht="21.25" customHeight="1" outlineLevel="1" x14ac:dyDescent="0.25">
      <c r="A250" s="81" t="s">
        <v>250</v>
      </c>
      <c r="B250" s="80" t="s">
        <v>500</v>
      </c>
      <c r="C250" s="80" t="s">
        <v>59</v>
      </c>
      <c r="D250" s="80" t="s">
        <v>352</v>
      </c>
      <c r="E250" s="80" t="s">
        <v>6</v>
      </c>
      <c r="F250" s="316">
        <v>1100000</v>
      </c>
      <c r="G250" s="318">
        <f t="shared" ref="G250:J251" si="32">G251</f>
        <v>4000000</v>
      </c>
      <c r="H250" s="318">
        <f t="shared" si="32"/>
        <v>2609040.7400000002</v>
      </c>
      <c r="I250" s="318">
        <f t="shared" si="32"/>
        <v>5000000</v>
      </c>
      <c r="J250" s="330">
        <f t="shared" si="32"/>
        <v>4400000</v>
      </c>
      <c r="K250" s="296"/>
      <c r="L250" s="232"/>
      <c r="M250" s="232"/>
      <c r="N250" s="232"/>
    </row>
    <row r="251" spans="1:14" ht="21.25" customHeight="1" outlineLevel="1" x14ac:dyDescent="0.25">
      <c r="A251" s="81" t="s">
        <v>19</v>
      </c>
      <c r="B251" s="80" t="s">
        <v>500</v>
      </c>
      <c r="C251" s="80" t="s">
        <v>59</v>
      </c>
      <c r="D251" s="80" t="s">
        <v>352</v>
      </c>
      <c r="E251" s="80" t="s">
        <v>20</v>
      </c>
      <c r="F251" s="316">
        <v>1100000</v>
      </c>
      <c r="G251" s="318">
        <f t="shared" si="32"/>
        <v>4000000</v>
      </c>
      <c r="H251" s="370">
        <v>2609040.7400000002</v>
      </c>
      <c r="I251" s="318">
        <f t="shared" si="32"/>
        <v>5000000</v>
      </c>
      <c r="J251" s="330">
        <f t="shared" si="32"/>
        <v>4400000</v>
      </c>
      <c r="K251" s="296"/>
      <c r="L251" s="232"/>
      <c r="M251" s="232"/>
      <c r="N251" s="232"/>
    </row>
    <row r="252" spans="1:14" ht="55.55" customHeight="1" outlineLevel="1" x14ac:dyDescent="0.25">
      <c r="A252" s="81" t="s">
        <v>47</v>
      </c>
      <c r="B252" s="80" t="s">
        <v>500</v>
      </c>
      <c r="C252" s="80" t="s">
        <v>59</v>
      </c>
      <c r="D252" s="80" t="s">
        <v>352</v>
      </c>
      <c r="E252" s="80" t="s">
        <v>48</v>
      </c>
      <c r="F252" s="316">
        <v>1100000</v>
      </c>
      <c r="G252" s="317">
        <f>потребность!L251</f>
        <v>4000000</v>
      </c>
      <c r="H252" s="370">
        <v>2609040.7400000002</v>
      </c>
      <c r="I252" s="317">
        <f>'прил 12'!F247</f>
        <v>5000000</v>
      </c>
      <c r="J252" s="330">
        <v>4400000</v>
      </c>
      <c r="K252" s="296"/>
      <c r="L252" s="232"/>
      <c r="M252" s="232"/>
      <c r="N252" s="232"/>
    </row>
    <row r="253" spans="1:14" ht="53.15" customHeight="1" outlineLevel="1" x14ac:dyDescent="0.25">
      <c r="A253" s="81" t="s">
        <v>262</v>
      </c>
      <c r="B253" s="80" t="s">
        <v>500</v>
      </c>
      <c r="C253" s="80" t="s">
        <v>59</v>
      </c>
      <c r="D253" s="80" t="s">
        <v>353</v>
      </c>
      <c r="E253" s="80" t="s">
        <v>6</v>
      </c>
      <c r="F253" s="316">
        <v>13650000</v>
      </c>
      <c r="G253" s="318">
        <f t="shared" ref="G253:J254" si="33">G254</f>
        <v>15778000</v>
      </c>
      <c r="H253" s="318">
        <f t="shared" si="33"/>
        <v>19100219.93</v>
      </c>
      <c r="I253" s="318">
        <f t="shared" si="33"/>
        <v>2500000</v>
      </c>
      <c r="J253" s="330">
        <f t="shared" si="33"/>
        <v>15439000</v>
      </c>
      <c r="K253" s="296"/>
      <c r="L253" s="232"/>
      <c r="M253" s="232"/>
      <c r="N253" s="232"/>
    </row>
    <row r="254" spans="1:14" outlineLevel="1" x14ac:dyDescent="0.25">
      <c r="A254" s="81" t="s">
        <v>19</v>
      </c>
      <c r="B254" s="80" t="s">
        <v>500</v>
      </c>
      <c r="C254" s="80" t="s">
        <v>59</v>
      </c>
      <c r="D254" s="80" t="s">
        <v>353</v>
      </c>
      <c r="E254" s="80" t="s">
        <v>20</v>
      </c>
      <c r="F254" s="316">
        <v>13650000</v>
      </c>
      <c r="G254" s="318">
        <f t="shared" si="33"/>
        <v>15778000</v>
      </c>
      <c r="H254" s="370">
        <v>19100219.93</v>
      </c>
      <c r="I254" s="318">
        <f t="shared" si="33"/>
        <v>2500000</v>
      </c>
      <c r="J254" s="330">
        <f t="shared" si="33"/>
        <v>15439000</v>
      </c>
      <c r="K254" s="296"/>
      <c r="L254" s="232"/>
      <c r="M254" s="232"/>
      <c r="N254" s="232"/>
    </row>
    <row r="255" spans="1:14" ht="55.05" outlineLevel="1" x14ac:dyDescent="0.25">
      <c r="A255" s="81" t="s">
        <v>47</v>
      </c>
      <c r="B255" s="80" t="s">
        <v>500</v>
      </c>
      <c r="C255" s="80" t="s">
        <v>59</v>
      </c>
      <c r="D255" s="80" t="s">
        <v>353</v>
      </c>
      <c r="E255" s="80" t="s">
        <v>48</v>
      </c>
      <c r="F255" s="316">
        <v>13650000</v>
      </c>
      <c r="G255" s="317">
        <f>потребность!L254+5000000</f>
        <v>15778000</v>
      </c>
      <c r="H255" s="370">
        <v>19100219.93</v>
      </c>
      <c r="I255" s="317">
        <f>'прил 12'!F250</f>
        <v>2500000</v>
      </c>
      <c r="J255" s="330">
        <v>15439000</v>
      </c>
      <c r="K255" s="296"/>
      <c r="L255" s="232"/>
      <c r="M255" s="232"/>
      <c r="N255" s="232"/>
    </row>
    <row r="256" spans="1:14" ht="73.400000000000006" outlineLevel="1" x14ac:dyDescent="0.25">
      <c r="A256" s="81" t="s">
        <v>299</v>
      </c>
      <c r="B256" s="80" t="s">
        <v>500</v>
      </c>
      <c r="C256" s="80" t="s">
        <v>59</v>
      </c>
      <c r="D256" s="145" t="s">
        <v>390</v>
      </c>
      <c r="E256" s="80" t="s">
        <v>6</v>
      </c>
      <c r="F256" s="80"/>
      <c r="G256" s="317">
        <f t="shared" ref="G256:J257" si="34">G257</f>
        <v>500000</v>
      </c>
      <c r="H256" s="317">
        <f t="shared" si="34"/>
        <v>0</v>
      </c>
      <c r="I256" s="317">
        <f t="shared" si="34"/>
        <v>521657.94</v>
      </c>
      <c r="J256" s="329">
        <f t="shared" si="34"/>
        <v>521658</v>
      </c>
      <c r="K256" s="296"/>
      <c r="L256" s="232"/>
      <c r="M256" s="232"/>
      <c r="N256" s="232"/>
    </row>
    <row r="257" spans="1:14" ht="36.700000000000003" outlineLevel="1" x14ac:dyDescent="0.25">
      <c r="A257" s="81" t="s">
        <v>15</v>
      </c>
      <c r="B257" s="80" t="s">
        <v>500</v>
      </c>
      <c r="C257" s="80" t="s">
        <v>59</v>
      </c>
      <c r="D257" s="145" t="s">
        <v>390</v>
      </c>
      <c r="E257" s="80" t="s">
        <v>16</v>
      </c>
      <c r="F257" s="80"/>
      <c r="G257" s="317">
        <f t="shared" si="34"/>
        <v>500000</v>
      </c>
      <c r="H257" s="317">
        <v>0</v>
      </c>
      <c r="I257" s="317">
        <f t="shared" si="34"/>
        <v>521657.94</v>
      </c>
      <c r="J257" s="329">
        <f t="shared" si="34"/>
        <v>521658</v>
      </c>
      <c r="K257" s="296"/>
      <c r="L257" s="232"/>
      <c r="M257" s="232"/>
      <c r="N257" s="232"/>
    </row>
    <row r="258" spans="1:14" ht="49.75" customHeight="1" outlineLevel="1" x14ac:dyDescent="0.25">
      <c r="A258" s="81" t="s">
        <v>17</v>
      </c>
      <c r="B258" s="80" t="s">
        <v>500</v>
      </c>
      <c r="C258" s="80" t="s">
        <v>59</v>
      </c>
      <c r="D258" s="145" t="s">
        <v>390</v>
      </c>
      <c r="E258" s="80" t="s">
        <v>18</v>
      </c>
      <c r="F258" s="80"/>
      <c r="G258" s="317">
        <v>500000</v>
      </c>
      <c r="H258" s="317">
        <v>0</v>
      </c>
      <c r="I258" s="317">
        <f>'прил 12'!F253</f>
        <v>521657.94</v>
      </c>
      <c r="J258" s="330">
        <v>521658</v>
      </c>
      <c r="K258" s="296"/>
      <c r="L258" s="232"/>
      <c r="M258" s="232"/>
      <c r="N258" s="232"/>
    </row>
    <row r="259" spans="1:14" ht="56.25" customHeight="1" outlineLevel="1" x14ac:dyDescent="0.25">
      <c r="A259" s="81" t="s">
        <v>263</v>
      </c>
      <c r="B259" s="80" t="s">
        <v>500</v>
      </c>
      <c r="C259" s="80" t="s">
        <v>59</v>
      </c>
      <c r="D259" s="80" t="s">
        <v>391</v>
      </c>
      <c r="E259" s="80" t="s">
        <v>6</v>
      </c>
      <c r="F259" s="80"/>
      <c r="G259" s="317">
        <f t="shared" ref="G259:J260" si="35">G260</f>
        <v>200000</v>
      </c>
      <c r="H259" s="317">
        <f t="shared" si="35"/>
        <v>0</v>
      </c>
      <c r="I259" s="317">
        <f t="shared" si="35"/>
        <v>200000</v>
      </c>
      <c r="J259" s="329">
        <f t="shared" si="35"/>
        <v>200000</v>
      </c>
      <c r="K259" s="296"/>
      <c r="L259" s="232"/>
      <c r="M259" s="232"/>
      <c r="N259" s="232"/>
    </row>
    <row r="260" spans="1:14" ht="37.549999999999997" customHeight="1" outlineLevel="1" x14ac:dyDescent="0.25">
      <c r="A260" s="81" t="s">
        <v>15</v>
      </c>
      <c r="B260" s="80" t="s">
        <v>500</v>
      </c>
      <c r="C260" s="80" t="s">
        <v>59</v>
      </c>
      <c r="D260" s="80" t="s">
        <v>391</v>
      </c>
      <c r="E260" s="80" t="s">
        <v>16</v>
      </c>
      <c r="F260" s="80"/>
      <c r="G260" s="317">
        <f t="shared" si="35"/>
        <v>200000</v>
      </c>
      <c r="H260" s="317">
        <v>0</v>
      </c>
      <c r="I260" s="317">
        <f t="shared" si="35"/>
        <v>200000</v>
      </c>
      <c r="J260" s="329">
        <f t="shared" si="35"/>
        <v>200000</v>
      </c>
      <c r="K260" s="296"/>
      <c r="L260" s="232"/>
      <c r="M260" s="232"/>
      <c r="N260" s="232"/>
    </row>
    <row r="261" spans="1:14" ht="37.549999999999997" customHeight="1" outlineLevel="1" x14ac:dyDescent="0.25">
      <c r="A261" s="81" t="s">
        <v>17</v>
      </c>
      <c r="B261" s="80" t="s">
        <v>500</v>
      </c>
      <c r="C261" s="80" t="s">
        <v>59</v>
      </c>
      <c r="D261" s="80" t="s">
        <v>391</v>
      </c>
      <c r="E261" s="80" t="s">
        <v>18</v>
      </c>
      <c r="F261" s="80"/>
      <c r="G261" s="317">
        <v>200000</v>
      </c>
      <c r="H261" s="317">
        <v>0</v>
      </c>
      <c r="I261" s="317">
        <f>'прил 12'!F256</f>
        <v>200000</v>
      </c>
      <c r="J261" s="330">
        <v>200000</v>
      </c>
      <c r="K261" s="296"/>
      <c r="L261" s="232"/>
      <c r="M261" s="232"/>
      <c r="N261" s="232"/>
    </row>
    <row r="262" spans="1:14" ht="55.7" customHeight="1" outlineLevel="1" x14ac:dyDescent="0.25">
      <c r="A262" s="81" t="s">
        <v>709</v>
      </c>
      <c r="B262" s="80" t="s">
        <v>500</v>
      </c>
      <c r="C262" s="80" t="s">
        <v>59</v>
      </c>
      <c r="D262" s="80" t="s">
        <v>708</v>
      </c>
      <c r="E262" s="80" t="s">
        <v>6</v>
      </c>
      <c r="F262" s="316">
        <v>5938219.1900000004</v>
      </c>
      <c r="G262" s="317">
        <f>G263</f>
        <v>0</v>
      </c>
      <c r="H262" s="317">
        <f>H263</f>
        <v>0</v>
      </c>
      <c r="I262" s="317">
        <v>0</v>
      </c>
      <c r="J262" s="318"/>
      <c r="K262" s="296"/>
      <c r="L262" s="232"/>
      <c r="M262" s="232"/>
      <c r="N262" s="232"/>
    </row>
    <row r="263" spans="1:14" ht="37.549999999999997" customHeight="1" outlineLevel="1" x14ac:dyDescent="0.25">
      <c r="A263" s="81" t="s">
        <v>15</v>
      </c>
      <c r="B263" s="80" t="s">
        <v>500</v>
      </c>
      <c r="C263" s="80" t="s">
        <v>59</v>
      </c>
      <c r="D263" s="80" t="s">
        <v>708</v>
      </c>
      <c r="E263" s="80" t="s">
        <v>16</v>
      </c>
      <c r="F263" s="316">
        <v>5938219.1900000004</v>
      </c>
      <c r="G263" s="317">
        <f>G264</f>
        <v>0</v>
      </c>
      <c r="H263" s="317">
        <f>H264</f>
        <v>0</v>
      </c>
      <c r="I263" s="317">
        <v>0</v>
      </c>
      <c r="J263" s="318"/>
      <c r="K263" s="296"/>
      <c r="L263" s="232"/>
      <c r="M263" s="232"/>
      <c r="N263" s="232"/>
    </row>
    <row r="264" spans="1:14" ht="37.549999999999997" customHeight="1" outlineLevel="1" x14ac:dyDescent="0.25">
      <c r="A264" s="81" t="s">
        <v>17</v>
      </c>
      <c r="B264" s="80" t="s">
        <v>500</v>
      </c>
      <c r="C264" s="80" t="s">
        <v>59</v>
      </c>
      <c r="D264" s="80" t="s">
        <v>708</v>
      </c>
      <c r="E264" s="80" t="s">
        <v>18</v>
      </c>
      <c r="F264" s="316">
        <v>5938219.1900000004</v>
      </c>
      <c r="G264" s="317"/>
      <c r="H264" s="317"/>
      <c r="I264" s="317">
        <v>0</v>
      </c>
      <c r="J264" s="324"/>
      <c r="K264" s="296"/>
      <c r="L264" s="232"/>
      <c r="M264" s="232"/>
      <c r="N264" s="232"/>
    </row>
    <row r="265" spans="1:14" ht="36.700000000000003" outlineLevel="1" x14ac:dyDescent="0.25">
      <c r="A265" s="81" t="s">
        <v>682</v>
      </c>
      <c r="B265" s="80" t="s">
        <v>500</v>
      </c>
      <c r="C265" s="80" t="s">
        <v>59</v>
      </c>
      <c r="D265" s="80" t="s">
        <v>681</v>
      </c>
      <c r="E265" s="80" t="s">
        <v>6</v>
      </c>
      <c r="F265" s="316">
        <v>59982.01</v>
      </c>
      <c r="G265" s="317">
        <f>G266</f>
        <v>0</v>
      </c>
      <c r="H265" s="317">
        <f>H266</f>
        <v>0</v>
      </c>
      <c r="I265" s="317">
        <v>0</v>
      </c>
      <c r="J265" s="318"/>
      <c r="K265" s="296"/>
      <c r="L265" s="232"/>
      <c r="M265" s="232"/>
      <c r="N265" s="232"/>
    </row>
    <row r="266" spans="1:14" ht="36.700000000000003" outlineLevel="1" x14ac:dyDescent="0.25">
      <c r="A266" s="81" t="s">
        <v>15</v>
      </c>
      <c r="B266" s="80" t="s">
        <v>500</v>
      </c>
      <c r="C266" s="80" t="s">
        <v>59</v>
      </c>
      <c r="D266" s="80" t="s">
        <v>681</v>
      </c>
      <c r="E266" s="80" t="s">
        <v>16</v>
      </c>
      <c r="F266" s="316">
        <v>59982.01</v>
      </c>
      <c r="G266" s="317">
        <f>G267</f>
        <v>0</v>
      </c>
      <c r="H266" s="317">
        <f>H267</f>
        <v>0</v>
      </c>
      <c r="I266" s="317">
        <v>0</v>
      </c>
      <c r="J266" s="318"/>
      <c r="K266" s="296"/>
      <c r="L266" s="232"/>
      <c r="M266" s="232"/>
      <c r="N266" s="232"/>
    </row>
    <row r="267" spans="1:14" ht="55.05" outlineLevel="1" x14ac:dyDescent="0.25">
      <c r="A267" s="81" t="s">
        <v>17</v>
      </c>
      <c r="B267" s="80" t="s">
        <v>500</v>
      </c>
      <c r="C267" s="80" t="s">
        <v>59</v>
      </c>
      <c r="D267" s="80" t="s">
        <v>681</v>
      </c>
      <c r="E267" s="80" t="s">
        <v>18</v>
      </c>
      <c r="F267" s="316">
        <v>59982.01</v>
      </c>
      <c r="G267" s="317">
        <v>0</v>
      </c>
      <c r="H267" s="317">
        <v>0</v>
      </c>
      <c r="I267" s="317">
        <v>0</v>
      </c>
      <c r="J267" s="324"/>
      <c r="K267" s="296"/>
      <c r="L267" s="232"/>
      <c r="M267" s="232"/>
      <c r="N267" s="232"/>
    </row>
    <row r="268" spans="1:14" ht="27.7" customHeight="1" outlineLevel="1" x14ac:dyDescent="0.25">
      <c r="A268" s="113" t="s">
        <v>455</v>
      </c>
      <c r="B268" s="80" t="s">
        <v>500</v>
      </c>
      <c r="C268" s="80" t="s">
        <v>59</v>
      </c>
      <c r="D268" s="80" t="s">
        <v>700</v>
      </c>
      <c r="E268" s="80" t="s">
        <v>6</v>
      </c>
      <c r="F268" s="320">
        <v>117960285.20999999</v>
      </c>
      <c r="G268" s="317">
        <f>G269</f>
        <v>21338979.699999999</v>
      </c>
      <c r="H268" s="317">
        <f>H269</f>
        <v>21338979.699999999</v>
      </c>
      <c r="I268" s="317">
        <v>0</v>
      </c>
      <c r="J268" s="317">
        <f>J269</f>
        <v>0</v>
      </c>
      <c r="K268" s="296"/>
      <c r="L268" s="232"/>
      <c r="M268" s="232"/>
      <c r="N268" s="232"/>
    </row>
    <row r="269" spans="1:14" ht="41.95" customHeight="1" outlineLevel="1" x14ac:dyDescent="0.25">
      <c r="A269" s="81" t="s">
        <v>460</v>
      </c>
      <c r="B269" s="80" t="s">
        <v>500</v>
      </c>
      <c r="C269" s="80" t="s">
        <v>59</v>
      </c>
      <c r="D269" s="80" t="s">
        <v>701</v>
      </c>
      <c r="E269" s="80" t="s">
        <v>6</v>
      </c>
      <c r="F269" s="316">
        <v>117960285.20999999</v>
      </c>
      <c r="G269" s="317">
        <f>G270</f>
        <v>21338979.699999999</v>
      </c>
      <c r="H269" s="317">
        <f>H270</f>
        <v>21338979.699999999</v>
      </c>
      <c r="I269" s="317">
        <v>0</v>
      </c>
      <c r="J269" s="317">
        <f>J270</f>
        <v>0</v>
      </c>
      <c r="K269" s="296"/>
      <c r="L269" s="232"/>
      <c r="M269" s="232"/>
      <c r="N269" s="232"/>
    </row>
    <row r="270" spans="1:14" ht="40.75" customHeight="1" outlineLevel="1" x14ac:dyDescent="0.25">
      <c r="A270" s="81" t="s">
        <v>264</v>
      </c>
      <c r="B270" s="80" t="s">
        <v>500</v>
      </c>
      <c r="C270" s="80" t="s">
        <v>59</v>
      </c>
      <c r="D270" s="80" t="s">
        <v>701</v>
      </c>
      <c r="E270" s="80" t="s">
        <v>265</v>
      </c>
      <c r="F270" s="316">
        <v>117960285.20999999</v>
      </c>
      <c r="G270" s="317">
        <f>G271</f>
        <v>21338979.699999999</v>
      </c>
      <c r="H270" s="370">
        <v>21338979.699999999</v>
      </c>
      <c r="I270" s="317">
        <v>0</v>
      </c>
      <c r="J270" s="317">
        <f>J271</f>
        <v>0</v>
      </c>
      <c r="K270" s="296"/>
      <c r="L270" s="232"/>
      <c r="M270" s="232"/>
      <c r="N270" s="232"/>
    </row>
    <row r="271" spans="1:14" ht="23.95" customHeight="1" outlineLevel="1" x14ac:dyDescent="0.25">
      <c r="A271" s="81" t="s">
        <v>266</v>
      </c>
      <c r="B271" s="80" t="s">
        <v>500</v>
      </c>
      <c r="C271" s="80" t="s">
        <v>59</v>
      </c>
      <c r="D271" s="80" t="s">
        <v>701</v>
      </c>
      <c r="E271" s="80" t="s">
        <v>267</v>
      </c>
      <c r="F271" s="316">
        <v>117960285.20999999</v>
      </c>
      <c r="G271" s="317">
        <v>21338979.699999999</v>
      </c>
      <c r="H271" s="370">
        <v>21338979.699999999</v>
      </c>
      <c r="I271" s="317">
        <v>0</v>
      </c>
      <c r="J271" s="324"/>
      <c r="K271" s="296"/>
      <c r="L271" s="232"/>
      <c r="M271" s="232"/>
      <c r="N271" s="232"/>
    </row>
    <row r="272" spans="1:14" ht="27.7" customHeight="1" outlineLevel="1" x14ac:dyDescent="0.25">
      <c r="A272" s="81" t="s">
        <v>61</v>
      </c>
      <c r="B272" s="80" t="s">
        <v>500</v>
      </c>
      <c r="C272" s="80" t="s">
        <v>62</v>
      </c>
      <c r="D272" s="80" t="s">
        <v>126</v>
      </c>
      <c r="E272" s="80" t="s">
        <v>6</v>
      </c>
      <c r="F272" s="316">
        <v>25901503.52</v>
      </c>
      <c r="G272" s="317">
        <f>G273+G287+G304</f>
        <v>55940903.060000002</v>
      </c>
      <c r="H272" s="317">
        <f>H273+H287+H304</f>
        <v>27271577.329999998</v>
      </c>
      <c r="I272" s="317">
        <f>I273+I287+I304</f>
        <v>30574076.27</v>
      </c>
      <c r="J272" s="317">
        <f>J273+J287+J304</f>
        <v>14542550.620000001</v>
      </c>
      <c r="K272" s="296"/>
      <c r="L272" s="232"/>
      <c r="M272" s="232"/>
      <c r="N272" s="232"/>
    </row>
    <row r="273" spans="1:14" ht="73.400000000000006" outlineLevel="1" x14ac:dyDescent="0.25">
      <c r="A273" s="109" t="s">
        <v>845</v>
      </c>
      <c r="B273" s="80" t="s">
        <v>500</v>
      </c>
      <c r="C273" s="110" t="s">
        <v>62</v>
      </c>
      <c r="D273" s="110" t="s">
        <v>134</v>
      </c>
      <c r="E273" s="110" t="s">
        <v>6</v>
      </c>
      <c r="F273" s="320">
        <v>299455.2</v>
      </c>
      <c r="G273" s="317">
        <f>G274</f>
        <v>2992316</v>
      </c>
      <c r="H273" s="317">
        <f>H274</f>
        <v>2292013.5</v>
      </c>
      <c r="I273" s="317">
        <f>I274</f>
        <v>1661631</v>
      </c>
      <c r="J273" s="317">
        <f>J274</f>
        <v>1691631</v>
      </c>
      <c r="K273" s="296"/>
      <c r="L273" s="232"/>
      <c r="M273" s="232"/>
      <c r="N273" s="232"/>
    </row>
    <row r="274" spans="1:14" ht="23.3" customHeight="1" outlineLevel="1" x14ac:dyDescent="0.25">
      <c r="A274" s="81" t="s">
        <v>354</v>
      </c>
      <c r="B274" s="80" t="s">
        <v>500</v>
      </c>
      <c r="C274" s="80" t="s">
        <v>62</v>
      </c>
      <c r="D274" s="80" t="s">
        <v>232</v>
      </c>
      <c r="E274" s="80" t="s">
        <v>6</v>
      </c>
      <c r="F274" s="316">
        <v>299455.2</v>
      </c>
      <c r="G274" s="317">
        <f>G275+G281+G278+G284</f>
        <v>2992316</v>
      </c>
      <c r="H274" s="317">
        <f>H275+H281+H278+H284</f>
        <v>2292013.5</v>
      </c>
      <c r="I274" s="317">
        <f>I275+I281+I278+I284</f>
        <v>1661631</v>
      </c>
      <c r="J274" s="317">
        <f>J275+J281+J278+J284</f>
        <v>1691631</v>
      </c>
      <c r="K274" s="296"/>
      <c r="L274" s="232"/>
      <c r="M274" s="232"/>
      <c r="N274" s="232"/>
    </row>
    <row r="275" spans="1:14" ht="27.7" customHeight="1" outlineLevel="1" x14ac:dyDescent="0.25">
      <c r="A275" s="81" t="s">
        <v>360</v>
      </c>
      <c r="B275" s="80" t="s">
        <v>500</v>
      </c>
      <c r="C275" s="80" t="s">
        <v>62</v>
      </c>
      <c r="D275" s="80" t="s">
        <v>461</v>
      </c>
      <c r="E275" s="80" t="s">
        <v>6</v>
      </c>
      <c r="F275" s="316">
        <v>0</v>
      </c>
      <c r="G275" s="317">
        <f t="shared" ref="G275:J276" si="36">G276</f>
        <v>2492316</v>
      </c>
      <c r="H275" s="317">
        <f t="shared" si="36"/>
        <v>2079400</v>
      </c>
      <c r="I275" s="317">
        <f t="shared" si="36"/>
        <v>400000</v>
      </c>
      <c r="J275" s="329">
        <f t="shared" si="36"/>
        <v>400000</v>
      </c>
      <c r="K275" s="296"/>
      <c r="L275" s="232"/>
      <c r="M275" s="232"/>
      <c r="N275" s="232"/>
    </row>
    <row r="276" spans="1:14" s="172" customFormat="1" ht="36.700000000000003" outlineLevel="1" x14ac:dyDescent="0.3">
      <c r="A276" s="25" t="s">
        <v>15</v>
      </c>
      <c r="B276" s="80" t="s">
        <v>500</v>
      </c>
      <c r="C276" s="80" t="s">
        <v>62</v>
      </c>
      <c r="D276" s="80" t="s">
        <v>461</v>
      </c>
      <c r="E276" s="80" t="s">
        <v>16</v>
      </c>
      <c r="F276" s="316">
        <v>0</v>
      </c>
      <c r="G276" s="317">
        <f t="shared" si="36"/>
        <v>2492316</v>
      </c>
      <c r="H276" s="373">
        <v>2079400</v>
      </c>
      <c r="I276" s="317">
        <f t="shared" si="36"/>
        <v>400000</v>
      </c>
      <c r="J276" s="329">
        <f t="shared" si="36"/>
        <v>400000</v>
      </c>
      <c r="K276" s="297"/>
      <c r="L276" s="233"/>
      <c r="M276" s="233"/>
      <c r="N276" s="233"/>
    </row>
    <row r="277" spans="1:14" ht="55.05" outlineLevel="1" x14ac:dyDescent="0.3">
      <c r="A277" s="25" t="s">
        <v>17</v>
      </c>
      <c r="B277" s="80" t="s">
        <v>500</v>
      </c>
      <c r="C277" s="80" t="s">
        <v>62</v>
      </c>
      <c r="D277" s="80" t="s">
        <v>461</v>
      </c>
      <c r="E277" s="80" t="s">
        <v>18</v>
      </c>
      <c r="F277" s="316">
        <v>0</v>
      </c>
      <c r="G277" s="317">
        <f>200000+2292316</f>
        <v>2492316</v>
      </c>
      <c r="H277" s="373">
        <v>2079400</v>
      </c>
      <c r="I277" s="317">
        <f>'прил 12'!F272</f>
        <v>400000</v>
      </c>
      <c r="J277" s="330">
        <v>400000</v>
      </c>
      <c r="K277" s="296"/>
      <c r="L277" s="232"/>
      <c r="M277" s="232"/>
      <c r="N277" s="232"/>
    </row>
    <row r="278" spans="1:14" ht="49.75" customHeight="1" outlineLevel="1" x14ac:dyDescent="0.25">
      <c r="A278" s="25" t="s">
        <v>767</v>
      </c>
      <c r="B278" s="80" t="s">
        <v>500</v>
      </c>
      <c r="C278" s="80" t="s">
        <v>62</v>
      </c>
      <c r="D278" s="80" t="s">
        <v>947</v>
      </c>
      <c r="E278" s="80" t="s">
        <v>6</v>
      </c>
      <c r="F278" s="80" t="s">
        <v>976</v>
      </c>
      <c r="G278" s="317">
        <f t="shared" ref="G278:I279" si="37">G279</f>
        <v>0</v>
      </c>
      <c r="H278" s="317">
        <f t="shared" si="37"/>
        <v>0</v>
      </c>
      <c r="I278" s="329">
        <f t="shared" si="37"/>
        <v>761631</v>
      </c>
      <c r="J278" s="330">
        <f>J279</f>
        <v>791631</v>
      </c>
      <c r="K278" s="296"/>
      <c r="L278" s="232"/>
      <c r="M278" s="232"/>
      <c r="N278" s="232"/>
    </row>
    <row r="279" spans="1:14" ht="36.700000000000003" outlineLevel="1" x14ac:dyDescent="0.25">
      <c r="A279" s="25" t="s">
        <v>15</v>
      </c>
      <c r="B279" s="80" t="s">
        <v>500</v>
      </c>
      <c r="C279" s="80" t="s">
        <v>62</v>
      </c>
      <c r="D279" s="80" t="s">
        <v>947</v>
      </c>
      <c r="E279" s="80" t="s">
        <v>16</v>
      </c>
      <c r="F279" s="80" t="s">
        <v>976</v>
      </c>
      <c r="G279" s="317">
        <f t="shared" si="37"/>
        <v>0</v>
      </c>
      <c r="H279" s="317">
        <f t="shared" si="37"/>
        <v>0</v>
      </c>
      <c r="I279" s="329">
        <f t="shared" si="37"/>
        <v>761631</v>
      </c>
      <c r="J279" s="330">
        <f>J280</f>
        <v>791631</v>
      </c>
      <c r="K279" s="296"/>
      <c r="L279" s="232"/>
      <c r="M279" s="232"/>
      <c r="N279" s="232"/>
    </row>
    <row r="280" spans="1:14" ht="18.7" customHeight="1" outlineLevel="1" x14ac:dyDescent="0.25">
      <c r="A280" s="25" t="s">
        <v>17</v>
      </c>
      <c r="B280" s="80" t="s">
        <v>500</v>
      </c>
      <c r="C280" s="80" t="s">
        <v>62</v>
      </c>
      <c r="D280" s="80" t="s">
        <v>947</v>
      </c>
      <c r="E280" s="80" t="s">
        <v>18</v>
      </c>
      <c r="F280" s="80" t="s">
        <v>976</v>
      </c>
      <c r="G280" s="317">
        <v>0</v>
      </c>
      <c r="H280" s="317">
        <v>0</v>
      </c>
      <c r="I280" s="329">
        <f>'прил 12'!F278</f>
        <v>761631</v>
      </c>
      <c r="J280" s="330">
        <v>791631</v>
      </c>
      <c r="K280" s="296"/>
      <c r="L280" s="232"/>
      <c r="M280" s="232"/>
      <c r="N280" s="232"/>
    </row>
    <row r="281" spans="1:14" ht="36.700000000000003" outlineLevel="1" x14ac:dyDescent="0.25">
      <c r="A281" s="81" t="s">
        <v>63</v>
      </c>
      <c r="B281" s="80" t="s">
        <v>500</v>
      </c>
      <c r="C281" s="80" t="s">
        <v>62</v>
      </c>
      <c r="D281" s="80" t="s">
        <v>355</v>
      </c>
      <c r="E281" s="80" t="s">
        <v>6</v>
      </c>
      <c r="F281" s="316">
        <v>299455.2</v>
      </c>
      <c r="G281" s="317">
        <f>G282</f>
        <v>500000</v>
      </c>
      <c r="H281" s="317">
        <f>H282</f>
        <v>212613.5</v>
      </c>
      <c r="I281" s="317">
        <f>I282</f>
        <v>500000</v>
      </c>
      <c r="J281" s="330">
        <f>J282</f>
        <v>500000</v>
      </c>
      <c r="K281" s="296"/>
      <c r="L281" s="232"/>
      <c r="M281" s="232"/>
      <c r="N281" s="232"/>
    </row>
    <row r="282" spans="1:14" ht="36.700000000000003" outlineLevel="1" x14ac:dyDescent="0.25">
      <c r="A282" s="81" t="s">
        <v>15</v>
      </c>
      <c r="B282" s="80" t="s">
        <v>500</v>
      </c>
      <c r="C282" s="80" t="s">
        <v>62</v>
      </c>
      <c r="D282" s="80" t="s">
        <v>355</v>
      </c>
      <c r="E282" s="80" t="s">
        <v>16</v>
      </c>
      <c r="F282" s="316">
        <v>299455.2</v>
      </c>
      <c r="G282" s="317">
        <f>G283</f>
        <v>500000</v>
      </c>
      <c r="H282" s="370">
        <v>212613.5</v>
      </c>
      <c r="I282" s="317">
        <f>I283</f>
        <v>500000</v>
      </c>
      <c r="J282" s="330">
        <f>J283</f>
        <v>500000</v>
      </c>
      <c r="K282" s="296"/>
      <c r="L282" s="232"/>
      <c r="M282" s="232"/>
      <c r="N282" s="232"/>
    </row>
    <row r="283" spans="1:14" ht="22.75" customHeight="1" outlineLevel="1" x14ac:dyDescent="0.25">
      <c r="A283" s="81" t="s">
        <v>17</v>
      </c>
      <c r="B283" s="80" t="s">
        <v>500</v>
      </c>
      <c r="C283" s="80" t="s">
        <v>62</v>
      </c>
      <c r="D283" s="80" t="s">
        <v>355</v>
      </c>
      <c r="E283" s="80" t="s">
        <v>18</v>
      </c>
      <c r="F283" s="316">
        <v>299455.2</v>
      </c>
      <c r="G283" s="318">
        <v>500000</v>
      </c>
      <c r="H283" s="370">
        <v>212613.5</v>
      </c>
      <c r="I283" s="318">
        <f>'прил 12'!F281</f>
        <v>500000</v>
      </c>
      <c r="J283" s="330">
        <v>500000</v>
      </c>
      <c r="K283" s="296"/>
      <c r="L283" s="232"/>
      <c r="M283" s="232"/>
      <c r="N283" s="232"/>
    </row>
    <row r="284" spans="1:14" ht="40.1" customHeight="1" outlineLevel="1" x14ac:dyDescent="0.25">
      <c r="A284" s="81" t="s">
        <v>948</v>
      </c>
      <c r="B284" s="80" t="s">
        <v>500</v>
      </c>
      <c r="C284" s="80" t="s">
        <v>62</v>
      </c>
      <c r="D284" s="80" t="s">
        <v>949</v>
      </c>
      <c r="E284" s="80" t="s">
        <v>6</v>
      </c>
      <c r="F284" s="80" t="s">
        <v>976</v>
      </c>
      <c r="G284" s="318">
        <f>G285</f>
        <v>0</v>
      </c>
      <c r="H284" s="318">
        <f>H285</f>
        <v>0</v>
      </c>
      <c r="I284" s="318">
        <v>0</v>
      </c>
      <c r="J284" s="318"/>
      <c r="K284" s="296"/>
      <c r="L284" s="232"/>
      <c r="M284" s="232"/>
      <c r="N284" s="232"/>
    </row>
    <row r="285" spans="1:14" ht="22.75" customHeight="1" outlineLevel="1" x14ac:dyDescent="0.25">
      <c r="A285" s="81" t="s">
        <v>15</v>
      </c>
      <c r="B285" s="80" t="s">
        <v>500</v>
      </c>
      <c r="C285" s="80" t="s">
        <v>62</v>
      </c>
      <c r="D285" s="80" t="s">
        <v>949</v>
      </c>
      <c r="E285" s="80" t="s">
        <v>16</v>
      </c>
      <c r="F285" s="80" t="s">
        <v>976</v>
      </c>
      <c r="G285" s="318">
        <f>G286</f>
        <v>0</v>
      </c>
      <c r="H285" s="318">
        <f>H286</f>
        <v>0</v>
      </c>
      <c r="I285" s="318">
        <v>0</v>
      </c>
      <c r="J285" s="318"/>
      <c r="K285" s="296"/>
      <c r="L285" s="232"/>
      <c r="M285" s="232"/>
      <c r="N285" s="232"/>
    </row>
    <row r="286" spans="1:14" ht="22.75" customHeight="1" outlineLevel="1" x14ac:dyDescent="0.25">
      <c r="A286" s="81" t="s">
        <v>17</v>
      </c>
      <c r="B286" s="80" t="s">
        <v>500</v>
      </c>
      <c r="C286" s="80" t="s">
        <v>62</v>
      </c>
      <c r="D286" s="80" t="s">
        <v>949</v>
      </c>
      <c r="E286" s="80" t="s">
        <v>18</v>
      </c>
      <c r="F286" s="80" t="s">
        <v>976</v>
      </c>
      <c r="G286" s="318">
        <v>0</v>
      </c>
      <c r="H286" s="318">
        <v>0</v>
      </c>
      <c r="I286" s="318">
        <v>0</v>
      </c>
      <c r="J286" s="318"/>
      <c r="K286" s="296"/>
      <c r="L286" s="232"/>
      <c r="M286" s="232"/>
      <c r="N286" s="232"/>
    </row>
    <row r="287" spans="1:14" s="172" customFormat="1" ht="55.05" outlineLevel="1" x14ac:dyDescent="0.25">
      <c r="A287" s="109" t="s">
        <v>508</v>
      </c>
      <c r="B287" s="110" t="s">
        <v>500</v>
      </c>
      <c r="C287" s="110" t="s">
        <v>62</v>
      </c>
      <c r="D287" s="110" t="s">
        <v>509</v>
      </c>
      <c r="E287" s="110" t="s">
        <v>6</v>
      </c>
      <c r="F287" s="320">
        <v>9726045.7400000002</v>
      </c>
      <c r="G287" s="317">
        <f>G288</f>
        <v>37602759.850000001</v>
      </c>
      <c r="H287" s="317">
        <f>H288</f>
        <v>12620574.139999997</v>
      </c>
      <c r="I287" s="317">
        <f>I288</f>
        <v>8938369</v>
      </c>
      <c r="J287" s="317">
        <f>J288</f>
        <v>12414506.060000001</v>
      </c>
      <c r="K287" s="297"/>
      <c r="L287" s="233"/>
      <c r="M287" s="233"/>
      <c r="N287" s="233"/>
    </row>
    <row r="288" spans="1:14" ht="36.700000000000003" outlineLevel="1" x14ac:dyDescent="0.25">
      <c r="A288" s="81" t="s">
        <v>510</v>
      </c>
      <c r="B288" s="80" t="s">
        <v>500</v>
      </c>
      <c r="C288" s="80" t="s">
        <v>62</v>
      </c>
      <c r="D288" s="80" t="s">
        <v>511</v>
      </c>
      <c r="E288" s="80" t="s">
        <v>6</v>
      </c>
      <c r="F288" s="316">
        <v>9726045.7400000002</v>
      </c>
      <c r="G288" s="317">
        <f>G289+G292+G295+G301+G298</f>
        <v>37602759.850000001</v>
      </c>
      <c r="H288" s="317">
        <f>H289+H292+H295+H301+H298</f>
        <v>12620574.139999997</v>
      </c>
      <c r="I288" s="317">
        <f>I289+I292+I295+I301+I298</f>
        <v>8938369</v>
      </c>
      <c r="J288" s="317">
        <f>J289+J292+J295+J301+J298</f>
        <v>12414506.060000001</v>
      </c>
      <c r="K288" s="296"/>
      <c r="L288" s="232"/>
      <c r="M288" s="232"/>
      <c r="N288" s="232"/>
    </row>
    <row r="289" spans="1:14" ht="56.25" customHeight="1" outlineLevel="1" x14ac:dyDescent="0.25">
      <c r="A289" s="81" t="s">
        <v>512</v>
      </c>
      <c r="B289" s="80" t="s">
        <v>500</v>
      </c>
      <c r="C289" s="80" t="s">
        <v>62</v>
      </c>
      <c r="D289" s="80" t="s">
        <v>513</v>
      </c>
      <c r="E289" s="80" t="s">
        <v>6</v>
      </c>
      <c r="F289" s="316">
        <v>1296863.18</v>
      </c>
      <c r="G289" s="317">
        <f t="shared" ref="G289:J290" si="38">G290</f>
        <v>2660000</v>
      </c>
      <c r="H289" s="317">
        <f t="shared" si="38"/>
        <v>1833684.4</v>
      </c>
      <c r="I289" s="317">
        <f t="shared" si="38"/>
        <v>2738369</v>
      </c>
      <c r="J289" s="317">
        <f t="shared" si="38"/>
        <v>2170900</v>
      </c>
      <c r="K289" s="296"/>
      <c r="L289" s="232"/>
      <c r="M289" s="232"/>
      <c r="N289" s="232"/>
    </row>
    <row r="290" spans="1:14" ht="36.700000000000003" outlineLevel="1" x14ac:dyDescent="0.25">
      <c r="A290" s="81" t="s">
        <v>15</v>
      </c>
      <c r="B290" s="80" t="s">
        <v>500</v>
      </c>
      <c r="C290" s="80" t="s">
        <v>62</v>
      </c>
      <c r="D290" s="80" t="s">
        <v>513</v>
      </c>
      <c r="E290" s="80" t="s">
        <v>16</v>
      </c>
      <c r="F290" s="316">
        <v>1296863.18</v>
      </c>
      <c r="G290" s="317">
        <f t="shared" si="38"/>
        <v>2660000</v>
      </c>
      <c r="H290" s="370">
        <v>1833684.4</v>
      </c>
      <c r="I290" s="317">
        <f t="shared" si="38"/>
        <v>2738369</v>
      </c>
      <c r="J290" s="317">
        <f t="shared" si="38"/>
        <v>2170900</v>
      </c>
      <c r="K290" s="296"/>
      <c r="L290" s="232"/>
      <c r="M290" s="232"/>
      <c r="N290" s="232"/>
    </row>
    <row r="291" spans="1:14" ht="55.05" outlineLevel="1" x14ac:dyDescent="0.25">
      <c r="A291" s="81" t="s">
        <v>17</v>
      </c>
      <c r="B291" s="80" t="s">
        <v>500</v>
      </c>
      <c r="C291" s="80" t="s">
        <v>62</v>
      </c>
      <c r="D291" s="80" t="s">
        <v>513</v>
      </c>
      <c r="E291" s="80" t="s">
        <v>18</v>
      </c>
      <c r="F291" s="316">
        <v>1296863.18</v>
      </c>
      <c r="G291" s="318">
        <f>потребность!L287+160000+1000000</f>
        <v>2660000</v>
      </c>
      <c r="H291" s="370">
        <v>1833684.4</v>
      </c>
      <c r="I291" s="318">
        <f>'прил 12'!F286</f>
        <v>2738369</v>
      </c>
      <c r="J291" s="318">
        <v>2170900</v>
      </c>
      <c r="K291" s="296"/>
      <c r="L291" s="232"/>
      <c r="M291" s="232"/>
      <c r="N291" s="232"/>
    </row>
    <row r="292" spans="1:14" ht="38.25" customHeight="1" outlineLevel="1" x14ac:dyDescent="0.25">
      <c r="A292" s="81" t="s">
        <v>514</v>
      </c>
      <c r="B292" s="80" t="s">
        <v>500</v>
      </c>
      <c r="C292" s="80" t="s">
        <v>62</v>
      </c>
      <c r="D292" s="80" t="s">
        <v>515</v>
      </c>
      <c r="E292" s="80" t="s">
        <v>6</v>
      </c>
      <c r="F292" s="316">
        <v>3750776.94</v>
      </c>
      <c r="G292" s="317">
        <f t="shared" ref="G292:J293" si="39">G293</f>
        <v>5151000</v>
      </c>
      <c r="H292" s="317">
        <f t="shared" si="39"/>
        <v>4821119.8099999996</v>
      </c>
      <c r="I292" s="317">
        <f t="shared" si="39"/>
        <v>3700000</v>
      </c>
      <c r="J292" s="317">
        <f t="shared" si="39"/>
        <v>3348000</v>
      </c>
      <c r="K292" s="296"/>
      <c r="L292" s="232"/>
      <c r="M292" s="232"/>
      <c r="N292" s="232"/>
    </row>
    <row r="293" spans="1:14" ht="36.700000000000003" outlineLevel="1" x14ac:dyDescent="0.25">
      <c r="A293" s="81" t="s">
        <v>15</v>
      </c>
      <c r="B293" s="80" t="s">
        <v>500</v>
      </c>
      <c r="C293" s="80" t="s">
        <v>62</v>
      </c>
      <c r="D293" s="80" t="s">
        <v>515</v>
      </c>
      <c r="E293" s="80" t="s">
        <v>16</v>
      </c>
      <c r="F293" s="316">
        <v>3750776.94</v>
      </c>
      <c r="G293" s="317">
        <f t="shared" si="39"/>
        <v>5151000</v>
      </c>
      <c r="H293" s="370">
        <v>4821119.8099999996</v>
      </c>
      <c r="I293" s="317">
        <f t="shared" si="39"/>
        <v>3700000</v>
      </c>
      <c r="J293" s="317">
        <f t="shared" si="39"/>
        <v>3348000</v>
      </c>
      <c r="K293" s="296"/>
      <c r="L293" s="232"/>
      <c r="M293" s="232"/>
      <c r="N293" s="232"/>
    </row>
    <row r="294" spans="1:14" ht="55.05" outlineLevel="1" x14ac:dyDescent="0.25">
      <c r="A294" s="81" t="s">
        <v>17</v>
      </c>
      <c r="B294" s="80" t="s">
        <v>500</v>
      </c>
      <c r="C294" s="80" t="s">
        <v>62</v>
      </c>
      <c r="D294" s="80" t="s">
        <v>515</v>
      </c>
      <c r="E294" s="80" t="s">
        <v>18</v>
      </c>
      <c r="F294" s="316">
        <v>3750776.94</v>
      </c>
      <c r="G294" s="318">
        <f>3621000+1530000</f>
        <v>5151000</v>
      </c>
      <c r="H294" s="370">
        <v>4821119.8099999996</v>
      </c>
      <c r="I294" s="318">
        <f>'прил 12'!F289</f>
        <v>3700000</v>
      </c>
      <c r="J294" s="318">
        <v>3348000</v>
      </c>
      <c r="K294" s="296"/>
      <c r="L294" s="232"/>
      <c r="M294" s="232"/>
      <c r="N294" s="232"/>
    </row>
    <row r="295" spans="1:14" ht="36.700000000000003" outlineLevel="1" x14ac:dyDescent="0.25">
      <c r="A295" s="81" t="s">
        <v>516</v>
      </c>
      <c r="B295" s="80" t="s">
        <v>500</v>
      </c>
      <c r="C295" s="80" t="s">
        <v>62</v>
      </c>
      <c r="D295" s="80" t="s">
        <v>517</v>
      </c>
      <c r="E295" s="80" t="s">
        <v>6</v>
      </c>
      <c r="F295" s="316">
        <v>4678405.62</v>
      </c>
      <c r="G295" s="317">
        <f t="shared" ref="G295:J296" si="40">G296</f>
        <v>24862435</v>
      </c>
      <c r="H295" s="317">
        <f t="shared" si="40"/>
        <v>1843383.7</v>
      </c>
      <c r="I295" s="317">
        <f t="shared" si="40"/>
        <v>2500000</v>
      </c>
      <c r="J295" s="317">
        <f t="shared" si="40"/>
        <v>6835000</v>
      </c>
      <c r="K295" s="296"/>
      <c r="L295" s="232"/>
      <c r="M295" s="232"/>
      <c r="N295" s="232"/>
    </row>
    <row r="296" spans="1:14" ht="36.700000000000003" outlineLevel="1" x14ac:dyDescent="0.25">
      <c r="A296" s="81" t="s">
        <v>15</v>
      </c>
      <c r="B296" s="80" t="s">
        <v>500</v>
      </c>
      <c r="C296" s="80" t="s">
        <v>62</v>
      </c>
      <c r="D296" s="80" t="s">
        <v>517</v>
      </c>
      <c r="E296" s="80" t="s">
        <v>16</v>
      </c>
      <c r="F296" s="316">
        <v>4678405.62</v>
      </c>
      <c r="G296" s="317">
        <f t="shared" si="40"/>
        <v>24862435</v>
      </c>
      <c r="H296" s="370">
        <v>1843383.7</v>
      </c>
      <c r="I296" s="317">
        <f t="shared" si="40"/>
        <v>2500000</v>
      </c>
      <c r="J296" s="317">
        <f t="shared" si="40"/>
        <v>6835000</v>
      </c>
      <c r="K296" s="296"/>
      <c r="L296" s="232"/>
      <c r="M296" s="232"/>
      <c r="N296" s="232"/>
    </row>
    <row r="297" spans="1:14" ht="55.05" outlineLevel="1" x14ac:dyDescent="0.25">
      <c r="A297" s="81" t="s">
        <v>17</v>
      </c>
      <c r="B297" s="80" t="s">
        <v>500</v>
      </c>
      <c r="C297" s="80" t="s">
        <v>62</v>
      </c>
      <c r="D297" s="80" t="s">
        <v>517</v>
      </c>
      <c r="E297" s="80" t="s">
        <v>18</v>
      </c>
      <c r="F297" s="316">
        <v>4678405.62</v>
      </c>
      <c r="G297" s="318">
        <f>потребность!L293-3000000+22186435</f>
        <v>24862435</v>
      </c>
      <c r="H297" s="370">
        <v>1843383.7</v>
      </c>
      <c r="I297" s="318">
        <f>'прил 12'!F292</f>
        <v>2500000</v>
      </c>
      <c r="J297" s="318">
        <v>6835000</v>
      </c>
      <c r="K297" s="296"/>
      <c r="L297" s="232"/>
      <c r="M297" s="232"/>
      <c r="N297" s="232"/>
    </row>
    <row r="298" spans="1:14" ht="36.700000000000003" outlineLevel="1" x14ac:dyDescent="0.25">
      <c r="A298" s="81" t="s">
        <v>706</v>
      </c>
      <c r="B298" s="80" t="s">
        <v>500</v>
      </c>
      <c r="C298" s="80" t="s">
        <v>62</v>
      </c>
      <c r="D298" s="80" t="s">
        <v>916</v>
      </c>
      <c r="E298" s="80" t="s">
        <v>6</v>
      </c>
      <c r="F298" s="80"/>
      <c r="G298" s="318">
        <f>G299</f>
        <v>4868718.79</v>
      </c>
      <c r="H298" s="318">
        <f>H299</f>
        <v>4081162.36</v>
      </c>
      <c r="I298" s="318">
        <v>0</v>
      </c>
      <c r="J298" s="318">
        <v>0</v>
      </c>
      <c r="K298" s="296"/>
      <c r="L298" s="232"/>
      <c r="M298" s="232"/>
      <c r="N298" s="232"/>
    </row>
    <row r="299" spans="1:14" ht="36.700000000000003" outlineLevel="1" x14ac:dyDescent="0.3">
      <c r="A299" s="81" t="s">
        <v>15</v>
      </c>
      <c r="B299" s="80" t="s">
        <v>500</v>
      </c>
      <c r="C299" s="80" t="s">
        <v>62</v>
      </c>
      <c r="D299" s="80" t="s">
        <v>916</v>
      </c>
      <c r="E299" s="80" t="s">
        <v>16</v>
      </c>
      <c r="F299" s="80"/>
      <c r="G299" s="318">
        <f>G300</f>
        <v>4868718.79</v>
      </c>
      <c r="H299" s="373">
        <v>4081162.36</v>
      </c>
      <c r="I299" s="318">
        <v>0</v>
      </c>
      <c r="J299" s="318">
        <v>0</v>
      </c>
      <c r="K299" s="296"/>
      <c r="L299" s="232"/>
      <c r="M299" s="232"/>
      <c r="N299" s="232"/>
    </row>
    <row r="300" spans="1:14" ht="55.05" outlineLevel="1" x14ac:dyDescent="0.3">
      <c r="A300" s="81" t="s">
        <v>17</v>
      </c>
      <c r="B300" s="80" t="s">
        <v>500</v>
      </c>
      <c r="C300" s="80" t="s">
        <v>62</v>
      </c>
      <c r="D300" s="80" t="s">
        <v>916</v>
      </c>
      <c r="E300" s="80" t="s">
        <v>18</v>
      </c>
      <c r="F300" s="80"/>
      <c r="G300" s="318">
        <f>6000000-1131281.21</f>
        <v>4868718.79</v>
      </c>
      <c r="H300" s="373">
        <v>4081162.36</v>
      </c>
      <c r="I300" s="318">
        <v>0</v>
      </c>
      <c r="J300" s="324"/>
      <c r="K300" s="296"/>
      <c r="L300" s="232"/>
      <c r="M300" s="232"/>
      <c r="N300" s="232"/>
    </row>
    <row r="301" spans="1:14" ht="36.700000000000003" outlineLevel="1" x14ac:dyDescent="0.25">
      <c r="A301" s="310" t="s">
        <v>682</v>
      </c>
      <c r="B301" s="145" t="s">
        <v>500</v>
      </c>
      <c r="C301" s="145" t="s">
        <v>62</v>
      </c>
      <c r="D301" s="145" t="s">
        <v>874</v>
      </c>
      <c r="E301" s="145" t="s">
        <v>6</v>
      </c>
      <c r="F301" s="145"/>
      <c r="G301" s="329">
        <f>G302</f>
        <v>60606.06</v>
      </c>
      <c r="H301" s="317">
        <f>H302</f>
        <v>41223.870000000003</v>
      </c>
      <c r="I301" s="317">
        <v>0</v>
      </c>
      <c r="J301" s="329">
        <f>J302</f>
        <v>60606.06</v>
      </c>
      <c r="K301" s="296"/>
      <c r="L301" s="232"/>
      <c r="M301" s="232"/>
      <c r="N301" s="232"/>
    </row>
    <row r="302" spans="1:14" ht="36.700000000000003" outlineLevel="1" x14ac:dyDescent="0.3">
      <c r="A302" s="310" t="s">
        <v>15</v>
      </c>
      <c r="B302" s="145" t="s">
        <v>500</v>
      </c>
      <c r="C302" s="145" t="s">
        <v>62</v>
      </c>
      <c r="D302" s="145" t="s">
        <v>874</v>
      </c>
      <c r="E302" s="145" t="s">
        <v>16</v>
      </c>
      <c r="F302" s="145"/>
      <c r="G302" s="329">
        <f>G303</f>
        <v>60606.06</v>
      </c>
      <c r="H302" s="373">
        <v>41223.870000000003</v>
      </c>
      <c r="I302" s="317">
        <v>0</v>
      </c>
      <c r="J302" s="329">
        <f>J303</f>
        <v>60606.06</v>
      </c>
      <c r="K302" s="296"/>
      <c r="L302" s="232"/>
      <c r="M302" s="232"/>
      <c r="N302" s="232"/>
    </row>
    <row r="303" spans="1:14" ht="55.05" outlineLevel="1" x14ac:dyDescent="0.3">
      <c r="A303" s="310" t="s">
        <v>17</v>
      </c>
      <c r="B303" s="145" t="s">
        <v>500</v>
      </c>
      <c r="C303" s="145" t="s">
        <v>62</v>
      </c>
      <c r="D303" s="145" t="s">
        <v>874</v>
      </c>
      <c r="E303" s="145" t="s">
        <v>18</v>
      </c>
      <c r="F303" s="145"/>
      <c r="G303" s="330">
        <f>62000-1393.94</f>
        <v>60606.06</v>
      </c>
      <c r="H303" s="373">
        <v>41223.870000000003</v>
      </c>
      <c r="I303" s="318">
        <v>0</v>
      </c>
      <c r="J303" s="330">
        <v>60606.06</v>
      </c>
      <c r="K303" s="296"/>
      <c r="L303" s="232"/>
      <c r="M303" s="232"/>
      <c r="N303" s="232"/>
    </row>
    <row r="304" spans="1:14" s="172" customFormat="1" ht="73.400000000000006" outlineLevel="1" x14ac:dyDescent="0.25">
      <c r="A304" s="109" t="s">
        <v>518</v>
      </c>
      <c r="B304" s="110" t="s">
        <v>500</v>
      </c>
      <c r="C304" s="110" t="s">
        <v>62</v>
      </c>
      <c r="D304" s="110" t="s">
        <v>519</v>
      </c>
      <c r="E304" s="110" t="s">
        <v>6</v>
      </c>
      <c r="F304" s="320">
        <v>15876002.58</v>
      </c>
      <c r="G304" s="317">
        <f>G305+G313</f>
        <v>15345827.210000001</v>
      </c>
      <c r="H304" s="317">
        <f>H305+H313</f>
        <v>12358989.689999999</v>
      </c>
      <c r="I304" s="317">
        <f>I305+I313</f>
        <v>19974076.27</v>
      </c>
      <c r="J304" s="317">
        <f>J305+J313</f>
        <v>436413.56</v>
      </c>
      <c r="K304" s="297"/>
      <c r="L304" s="233"/>
      <c r="M304" s="233"/>
      <c r="N304" s="233"/>
    </row>
    <row r="305" spans="1:14" s="172" customFormat="1" ht="55.05" outlineLevel="1" x14ac:dyDescent="0.25">
      <c r="A305" s="109" t="s">
        <v>550</v>
      </c>
      <c r="B305" s="110" t="s">
        <v>500</v>
      </c>
      <c r="C305" s="110" t="s">
        <v>62</v>
      </c>
      <c r="D305" s="110" t="s">
        <v>551</v>
      </c>
      <c r="E305" s="110" t="s">
        <v>6</v>
      </c>
      <c r="F305" s="316">
        <v>8247922.1500000004</v>
      </c>
      <c r="G305" s="317">
        <f>G306+G310</f>
        <v>6967934.4000000004</v>
      </c>
      <c r="H305" s="317">
        <f>H306+H310</f>
        <v>3981096.88</v>
      </c>
      <c r="I305" s="317">
        <f>I306+I310</f>
        <v>6616389.0700000003</v>
      </c>
      <c r="J305" s="317">
        <f>J306+J310</f>
        <v>33081.949999999997</v>
      </c>
      <c r="K305" s="297"/>
      <c r="L305" s="233"/>
      <c r="M305" s="233"/>
      <c r="N305" s="233"/>
    </row>
    <row r="306" spans="1:14" ht="36.700000000000003" outlineLevel="1" x14ac:dyDescent="0.25">
      <c r="A306" s="81" t="s">
        <v>549</v>
      </c>
      <c r="B306" s="80" t="s">
        <v>500</v>
      </c>
      <c r="C306" s="80" t="s">
        <v>62</v>
      </c>
      <c r="D306" s="80" t="s">
        <v>552</v>
      </c>
      <c r="E306" s="80" t="s">
        <v>6</v>
      </c>
      <c r="F306" s="316">
        <v>8247922.1500000004</v>
      </c>
      <c r="G306" s="317">
        <f t="shared" ref="G306:J308" si="41">G307</f>
        <v>6616389.0600000005</v>
      </c>
      <c r="H306" s="317">
        <f t="shared" si="41"/>
        <v>3981096.88</v>
      </c>
      <c r="I306" s="317">
        <f t="shared" si="41"/>
        <v>6616389.0700000003</v>
      </c>
      <c r="J306" s="317">
        <f t="shared" si="41"/>
        <v>33081.949999999997</v>
      </c>
      <c r="K306" s="296"/>
      <c r="L306" s="232"/>
      <c r="M306" s="232"/>
      <c r="N306" s="232"/>
    </row>
    <row r="307" spans="1:14" ht="36.700000000000003" outlineLevel="1" x14ac:dyDescent="0.25">
      <c r="A307" s="81" t="s">
        <v>548</v>
      </c>
      <c r="B307" s="80" t="s">
        <v>500</v>
      </c>
      <c r="C307" s="80" t="s">
        <v>62</v>
      </c>
      <c r="D307" s="80" t="s">
        <v>553</v>
      </c>
      <c r="E307" s="80" t="s">
        <v>6</v>
      </c>
      <c r="F307" s="316">
        <v>6850012.1100000003</v>
      </c>
      <c r="G307" s="317">
        <f t="shared" si="41"/>
        <v>6616389.0600000005</v>
      </c>
      <c r="H307" s="317">
        <f t="shared" si="41"/>
        <v>3981096.88</v>
      </c>
      <c r="I307" s="317">
        <f t="shared" si="41"/>
        <v>6616389.0700000003</v>
      </c>
      <c r="J307" s="317">
        <f t="shared" si="41"/>
        <v>33081.949999999997</v>
      </c>
      <c r="K307" s="296"/>
      <c r="L307" s="232"/>
      <c r="M307" s="232"/>
      <c r="N307" s="232"/>
    </row>
    <row r="308" spans="1:14" ht="36.700000000000003" outlineLevel="1" x14ac:dyDescent="0.25">
      <c r="A308" s="81" t="s">
        <v>15</v>
      </c>
      <c r="B308" s="80" t="s">
        <v>500</v>
      </c>
      <c r="C308" s="80" t="s">
        <v>62</v>
      </c>
      <c r="D308" s="80" t="s">
        <v>553</v>
      </c>
      <c r="E308" s="80" t="s">
        <v>16</v>
      </c>
      <c r="F308" s="316">
        <v>6850012.1100000003</v>
      </c>
      <c r="G308" s="317">
        <f t="shared" si="41"/>
        <v>6616389.0600000005</v>
      </c>
      <c r="H308" s="370">
        <v>3981096.88</v>
      </c>
      <c r="I308" s="317">
        <f t="shared" si="41"/>
        <v>6616389.0700000003</v>
      </c>
      <c r="J308" s="317">
        <f t="shared" si="41"/>
        <v>33081.949999999997</v>
      </c>
      <c r="K308" s="296"/>
      <c r="L308" s="232"/>
      <c r="M308" s="232"/>
      <c r="N308" s="232"/>
    </row>
    <row r="309" spans="1:14" ht="55.05" outlineLevel="1" x14ac:dyDescent="0.25">
      <c r="A309" s="81" t="s">
        <v>17</v>
      </c>
      <c r="B309" s="80" t="s">
        <v>500</v>
      </c>
      <c r="C309" s="80" t="s">
        <v>62</v>
      </c>
      <c r="D309" s="80" t="s">
        <v>553</v>
      </c>
      <c r="E309" s="80" t="s">
        <v>18</v>
      </c>
      <c r="F309" s="316">
        <v>6850012.1100000003</v>
      </c>
      <c r="G309" s="317">
        <f>6583307.11+33081.96-0.01</f>
        <v>6616389.0600000005</v>
      </c>
      <c r="H309" s="370">
        <v>3981096.88</v>
      </c>
      <c r="I309" s="317">
        <f>'прил 12'!F298</f>
        <v>6616389.0700000003</v>
      </c>
      <c r="J309" s="324">
        <v>33081.949999999997</v>
      </c>
      <c r="K309" s="296"/>
      <c r="L309" s="232"/>
      <c r="M309" s="232"/>
      <c r="N309" s="232"/>
    </row>
    <row r="310" spans="1:14" ht="55.05" outlineLevel="1" x14ac:dyDescent="0.25">
      <c r="A310" s="25" t="s">
        <v>680</v>
      </c>
      <c r="B310" s="80" t="s">
        <v>500</v>
      </c>
      <c r="C310" s="80" t="s">
        <v>62</v>
      </c>
      <c r="D310" s="80" t="s">
        <v>724</v>
      </c>
      <c r="E310" s="80" t="s">
        <v>6</v>
      </c>
      <c r="F310" s="316">
        <v>1397910.04</v>
      </c>
      <c r="G310" s="317">
        <f>G311</f>
        <v>351545.34</v>
      </c>
      <c r="H310" s="317">
        <f>H311</f>
        <v>0</v>
      </c>
      <c r="I310" s="317">
        <v>0</v>
      </c>
      <c r="J310" s="317">
        <v>0</v>
      </c>
      <c r="K310" s="296"/>
      <c r="L310" s="232"/>
      <c r="M310" s="232"/>
      <c r="N310" s="232"/>
    </row>
    <row r="311" spans="1:14" ht="36.700000000000003" outlineLevel="1" x14ac:dyDescent="0.25">
      <c r="A311" s="81" t="s">
        <v>15</v>
      </c>
      <c r="B311" s="80" t="s">
        <v>500</v>
      </c>
      <c r="C311" s="80" t="s">
        <v>62</v>
      </c>
      <c r="D311" s="80" t="s">
        <v>724</v>
      </c>
      <c r="E311" s="80" t="s">
        <v>16</v>
      </c>
      <c r="F311" s="316">
        <v>1397910.04</v>
      </c>
      <c r="G311" s="317">
        <f>G312</f>
        <v>351545.34</v>
      </c>
      <c r="H311" s="318">
        <v>0</v>
      </c>
      <c r="I311" s="317">
        <v>0</v>
      </c>
      <c r="J311" s="317">
        <v>0</v>
      </c>
      <c r="K311" s="296"/>
      <c r="L311" s="232"/>
      <c r="M311" s="232"/>
      <c r="N311" s="232"/>
    </row>
    <row r="312" spans="1:14" ht="55.05" outlineLevel="1" x14ac:dyDescent="0.25">
      <c r="A312" s="81" t="s">
        <v>17</v>
      </c>
      <c r="B312" s="80" t="s">
        <v>500</v>
      </c>
      <c r="C312" s="80" t="s">
        <v>62</v>
      </c>
      <c r="D312" s="80" t="s">
        <v>724</v>
      </c>
      <c r="E312" s="80" t="s">
        <v>18</v>
      </c>
      <c r="F312" s="316">
        <v>1397910.04</v>
      </c>
      <c r="G312" s="317">
        <f>215859.46+109286.29+26399.58+0.01</f>
        <v>351545.34</v>
      </c>
      <c r="H312" s="318">
        <v>0</v>
      </c>
      <c r="I312" s="317">
        <v>0</v>
      </c>
      <c r="J312" s="318">
        <v>0</v>
      </c>
      <c r="K312" s="296"/>
      <c r="L312" s="232"/>
      <c r="M312" s="232"/>
      <c r="N312" s="232"/>
    </row>
    <row r="313" spans="1:14" s="172" customFormat="1" ht="55.05" outlineLevel="1" x14ac:dyDescent="0.25">
      <c r="A313" s="121" t="s">
        <v>554</v>
      </c>
      <c r="B313" s="80" t="s">
        <v>500</v>
      </c>
      <c r="C313" s="80" t="s">
        <v>62</v>
      </c>
      <c r="D313" s="110" t="s">
        <v>556</v>
      </c>
      <c r="E313" s="110" t="s">
        <v>6</v>
      </c>
      <c r="F313" s="110"/>
      <c r="G313" s="317">
        <f t="shared" ref="G313:J319" si="42">G314</f>
        <v>8377892.8099999996</v>
      </c>
      <c r="H313" s="317">
        <f t="shared" si="42"/>
        <v>8377892.8099999996</v>
      </c>
      <c r="I313" s="317">
        <f t="shared" si="42"/>
        <v>13357687.199999999</v>
      </c>
      <c r="J313" s="317">
        <f t="shared" si="42"/>
        <v>403331.61</v>
      </c>
      <c r="K313" s="297"/>
      <c r="L313" s="233"/>
      <c r="M313" s="233"/>
      <c r="N313" s="233"/>
    </row>
    <row r="314" spans="1:14" s="172" customFormat="1" ht="36.700000000000003" outlineLevel="1" x14ac:dyDescent="0.25">
      <c r="A314" s="121" t="s">
        <v>555</v>
      </c>
      <c r="B314" s="80" t="s">
        <v>500</v>
      </c>
      <c r="C314" s="80" t="s">
        <v>62</v>
      </c>
      <c r="D314" s="110" t="s">
        <v>557</v>
      </c>
      <c r="E314" s="110" t="s">
        <v>6</v>
      </c>
      <c r="F314" s="316">
        <v>7628080.4299999997</v>
      </c>
      <c r="G314" s="321">
        <f>G315+G318+G321</f>
        <v>8377892.8099999996</v>
      </c>
      <c r="H314" s="321">
        <f>H315+H318+H321</f>
        <v>8377892.8099999996</v>
      </c>
      <c r="I314" s="321">
        <f>I315+I318+I321</f>
        <v>13357687.199999999</v>
      </c>
      <c r="J314" s="321">
        <f>J315+J318+J321</f>
        <v>403331.61</v>
      </c>
      <c r="K314" s="297"/>
      <c r="L314" s="233"/>
      <c r="M314" s="233"/>
      <c r="N314" s="233"/>
    </row>
    <row r="315" spans="1:14" s="172" customFormat="1" ht="57.25" customHeight="1" outlineLevel="1" x14ac:dyDescent="0.25">
      <c r="A315" s="25" t="s">
        <v>565</v>
      </c>
      <c r="B315" s="80" t="s">
        <v>500</v>
      </c>
      <c r="C315" s="80" t="s">
        <v>62</v>
      </c>
      <c r="D315" s="80" t="s">
        <v>587</v>
      </c>
      <c r="E315" s="80" t="s">
        <v>6</v>
      </c>
      <c r="F315" s="316">
        <v>6501429.3700000001</v>
      </c>
      <c r="G315" s="317">
        <f t="shared" ref="G315:J316" si="43">G316</f>
        <v>6855579.5599999996</v>
      </c>
      <c r="H315" s="317">
        <f t="shared" si="43"/>
        <v>6855579.5599999996</v>
      </c>
      <c r="I315" s="317">
        <f t="shared" si="43"/>
        <v>12956956.59</v>
      </c>
      <c r="J315" s="317">
        <f t="shared" si="43"/>
        <v>0</v>
      </c>
      <c r="K315" s="297"/>
      <c r="L315" s="233"/>
      <c r="M315" s="233"/>
      <c r="N315" s="233"/>
    </row>
    <row r="316" spans="1:14" s="172" customFormat="1" ht="36.700000000000003" outlineLevel="1" x14ac:dyDescent="0.25">
      <c r="A316" s="81" t="s">
        <v>15</v>
      </c>
      <c r="B316" s="80" t="s">
        <v>500</v>
      </c>
      <c r="C316" s="80" t="s">
        <v>62</v>
      </c>
      <c r="D316" s="80" t="s">
        <v>587</v>
      </c>
      <c r="E316" s="80" t="s">
        <v>16</v>
      </c>
      <c r="F316" s="316">
        <v>6501429.3700000001</v>
      </c>
      <c r="G316" s="317">
        <f t="shared" si="43"/>
        <v>6855579.5599999996</v>
      </c>
      <c r="H316" s="370">
        <v>6855579.5599999996</v>
      </c>
      <c r="I316" s="317">
        <f t="shared" si="43"/>
        <v>12956956.59</v>
      </c>
      <c r="J316" s="317">
        <f t="shared" si="43"/>
        <v>0</v>
      </c>
      <c r="K316" s="297"/>
      <c r="L316" s="233"/>
      <c r="M316" s="233"/>
      <c r="N316" s="233"/>
    </row>
    <row r="317" spans="1:14" s="172" customFormat="1" ht="55.05" outlineLevel="1" x14ac:dyDescent="0.25">
      <c r="A317" s="81" t="s">
        <v>17</v>
      </c>
      <c r="B317" s="80" t="s">
        <v>500</v>
      </c>
      <c r="C317" s="80" t="s">
        <v>62</v>
      </c>
      <c r="D317" s="80" t="s">
        <v>587</v>
      </c>
      <c r="E317" s="80" t="s">
        <v>18</v>
      </c>
      <c r="F317" s="316">
        <v>6501429.3700000001</v>
      </c>
      <c r="G317" s="317">
        <v>6855579.5599999996</v>
      </c>
      <c r="H317" s="370">
        <v>6855579.5599999996</v>
      </c>
      <c r="I317" s="317">
        <f>'прил 12'!F306</f>
        <v>12956956.59</v>
      </c>
      <c r="J317" s="327">
        <v>0</v>
      </c>
      <c r="K317" s="297"/>
      <c r="L317" s="233"/>
      <c r="M317" s="233"/>
      <c r="N317" s="233"/>
    </row>
    <row r="318" spans="1:14" ht="40.75" customHeight="1" outlineLevel="1" x14ac:dyDescent="0.25">
      <c r="A318" s="25" t="s">
        <v>559</v>
      </c>
      <c r="B318" s="80" t="s">
        <v>500</v>
      </c>
      <c r="C318" s="80" t="s">
        <v>62</v>
      </c>
      <c r="D318" s="80" t="s">
        <v>558</v>
      </c>
      <c r="E318" s="80" t="s">
        <v>6</v>
      </c>
      <c r="F318" s="316">
        <v>201075.14</v>
      </c>
      <c r="G318" s="317">
        <f t="shared" si="42"/>
        <v>212028.24</v>
      </c>
      <c r="H318" s="317">
        <f t="shared" si="42"/>
        <v>212028.24</v>
      </c>
      <c r="I318" s="317">
        <f>I319</f>
        <v>400730.61</v>
      </c>
      <c r="J318" s="317">
        <f>J319</f>
        <v>403331.61</v>
      </c>
      <c r="K318" s="296"/>
      <c r="L318" s="232"/>
      <c r="M318" s="232"/>
      <c r="N318" s="232"/>
    </row>
    <row r="319" spans="1:14" ht="36.700000000000003" outlineLevel="1" x14ac:dyDescent="0.25">
      <c r="A319" s="81" t="s">
        <v>15</v>
      </c>
      <c r="B319" s="80" t="s">
        <v>500</v>
      </c>
      <c r="C319" s="80" t="s">
        <v>62</v>
      </c>
      <c r="D319" s="80" t="s">
        <v>558</v>
      </c>
      <c r="E319" s="80" t="s">
        <v>16</v>
      </c>
      <c r="F319" s="316">
        <v>201075.14</v>
      </c>
      <c r="G319" s="317">
        <f t="shared" si="42"/>
        <v>212028.24</v>
      </c>
      <c r="H319" s="370">
        <v>212028.24</v>
      </c>
      <c r="I319" s="317">
        <f>I320</f>
        <v>400730.61</v>
      </c>
      <c r="J319" s="317">
        <f>J320</f>
        <v>403331.61</v>
      </c>
      <c r="K319" s="296"/>
      <c r="L319" s="232"/>
      <c r="M319" s="232"/>
      <c r="N319" s="232"/>
    </row>
    <row r="320" spans="1:14" ht="55.05" outlineLevel="1" x14ac:dyDescent="0.25">
      <c r="A320" s="81" t="s">
        <v>17</v>
      </c>
      <c r="B320" s="80" t="s">
        <v>500</v>
      </c>
      <c r="C320" s="80" t="s">
        <v>62</v>
      </c>
      <c r="D320" s="80" t="s">
        <v>558</v>
      </c>
      <c r="E320" s="80" t="s">
        <v>18</v>
      </c>
      <c r="F320" s="316">
        <v>201075.14</v>
      </c>
      <c r="G320" s="318">
        <f>403331.62-191303.38</f>
        <v>212028.24</v>
      </c>
      <c r="H320" s="370">
        <v>212028.24</v>
      </c>
      <c r="I320" s="318">
        <f>'прил 12'!F309</f>
        <v>400730.61</v>
      </c>
      <c r="J320" s="318">
        <v>403331.61</v>
      </c>
      <c r="K320" s="296"/>
      <c r="L320" s="232"/>
      <c r="M320" s="232"/>
      <c r="N320" s="232"/>
    </row>
    <row r="321" spans="1:14" ht="55.05" outlineLevel="1" x14ac:dyDescent="0.25">
      <c r="A321" s="81" t="s">
        <v>680</v>
      </c>
      <c r="B321" s="80" t="s">
        <v>500</v>
      </c>
      <c r="C321" s="80" t="s">
        <v>62</v>
      </c>
      <c r="D321" s="80" t="s">
        <v>679</v>
      </c>
      <c r="E321" s="80" t="s">
        <v>6</v>
      </c>
      <c r="F321" s="316">
        <v>925575.92</v>
      </c>
      <c r="G321" s="317">
        <f>G322</f>
        <v>1310285.0099999998</v>
      </c>
      <c r="H321" s="317">
        <f>H322</f>
        <v>1310285.01</v>
      </c>
      <c r="I321" s="317">
        <v>0</v>
      </c>
      <c r="J321" s="317">
        <v>0</v>
      </c>
      <c r="K321" s="296"/>
      <c r="L321" s="232"/>
      <c r="M321" s="232"/>
      <c r="N321" s="232"/>
    </row>
    <row r="322" spans="1:14" ht="36.700000000000003" outlineLevel="1" x14ac:dyDescent="0.25">
      <c r="A322" s="81" t="s">
        <v>15</v>
      </c>
      <c r="B322" s="80" t="s">
        <v>500</v>
      </c>
      <c r="C322" s="80" t="s">
        <v>62</v>
      </c>
      <c r="D322" s="80" t="s">
        <v>679</v>
      </c>
      <c r="E322" s="80" t="s">
        <v>16</v>
      </c>
      <c r="F322" s="316">
        <v>925575.92</v>
      </c>
      <c r="G322" s="317">
        <f>G323</f>
        <v>1310285.0099999998</v>
      </c>
      <c r="H322" s="370">
        <v>1310285.01</v>
      </c>
      <c r="I322" s="317">
        <v>0</v>
      </c>
      <c r="J322" s="317">
        <v>0</v>
      </c>
      <c r="K322" s="296"/>
      <c r="L322" s="232"/>
      <c r="M322" s="232"/>
      <c r="N322" s="232"/>
    </row>
    <row r="323" spans="1:14" ht="38.25" customHeight="1" outlineLevel="1" x14ac:dyDescent="0.25">
      <c r="A323" s="81" t="s">
        <v>17</v>
      </c>
      <c r="B323" s="80" t="s">
        <v>500</v>
      </c>
      <c r="C323" s="80" t="s">
        <v>62</v>
      </c>
      <c r="D323" s="80" t="s">
        <v>679</v>
      </c>
      <c r="E323" s="80" t="s">
        <v>18</v>
      </c>
      <c r="F323" s="316">
        <v>925575.92</v>
      </c>
      <c r="G323" s="318">
        <f>потребность!L313-7169178.83</f>
        <v>1310285.0099999998</v>
      </c>
      <c r="H323" s="370">
        <v>1310285.01</v>
      </c>
      <c r="I323" s="318">
        <v>0</v>
      </c>
      <c r="J323" s="318">
        <v>0</v>
      </c>
      <c r="K323" s="296"/>
      <c r="L323" s="232"/>
      <c r="M323" s="232"/>
      <c r="N323" s="232"/>
    </row>
    <row r="324" spans="1:14" ht="36.700000000000003" outlineLevel="1" x14ac:dyDescent="0.25">
      <c r="A324" s="81" t="s">
        <v>292</v>
      </c>
      <c r="B324" s="80" t="s">
        <v>500</v>
      </c>
      <c r="C324" s="80" t="s">
        <v>293</v>
      </c>
      <c r="D324" s="80" t="s">
        <v>126</v>
      </c>
      <c r="E324" s="80" t="s">
        <v>6</v>
      </c>
      <c r="F324" s="316">
        <v>2418556.7000000002</v>
      </c>
      <c r="G324" s="318">
        <f t="shared" ref="G324:J325" si="44">G325</f>
        <v>7460868.7599999998</v>
      </c>
      <c r="H324" s="318">
        <f t="shared" si="44"/>
        <v>6020120.7999999998</v>
      </c>
      <c r="I324" s="318">
        <f t="shared" si="44"/>
        <v>300000</v>
      </c>
      <c r="J324" s="318">
        <f t="shared" si="44"/>
        <v>300000</v>
      </c>
      <c r="K324" s="296"/>
      <c r="L324" s="232"/>
      <c r="M324" s="232"/>
      <c r="N324" s="232"/>
    </row>
    <row r="325" spans="1:14" ht="73.400000000000006" outlineLevel="1" x14ac:dyDescent="0.25">
      <c r="A325" s="109" t="s">
        <v>843</v>
      </c>
      <c r="B325" s="110" t="s">
        <v>500</v>
      </c>
      <c r="C325" s="110" t="s">
        <v>293</v>
      </c>
      <c r="D325" s="110" t="s">
        <v>134</v>
      </c>
      <c r="E325" s="110" t="s">
        <v>6</v>
      </c>
      <c r="F325" s="320">
        <v>2418556.7000000002</v>
      </c>
      <c r="G325" s="323">
        <f t="shared" si="44"/>
        <v>7460868.7599999998</v>
      </c>
      <c r="H325" s="323">
        <f t="shared" si="44"/>
        <v>6020120.7999999998</v>
      </c>
      <c r="I325" s="323">
        <f t="shared" si="44"/>
        <v>300000</v>
      </c>
      <c r="J325" s="323">
        <f t="shared" si="44"/>
        <v>300000</v>
      </c>
      <c r="K325" s="296"/>
      <c r="L325" s="232"/>
      <c r="M325" s="232"/>
      <c r="N325" s="232"/>
    </row>
    <row r="326" spans="1:14" ht="55.05" outlineLevel="1" x14ac:dyDescent="0.25">
      <c r="A326" s="81" t="s">
        <v>844</v>
      </c>
      <c r="B326" s="80" t="s">
        <v>500</v>
      </c>
      <c r="C326" s="80" t="s">
        <v>293</v>
      </c>
      <c r="D326" s="80" t="s">
        <v>350</v>
      </c>
      <c r="E326" s="80" t="s">
        <v>6</v>
      </c>
      <c r="F326" s="316">
        <v>2418556.7000000002</v>
      </c>
      <c r="G326" s="318">
        <f>G327+G330</f>
        <v>7460868.7599999998</v>
      </c>
      <c r="H326" s="318">
        <f>H327+H330</f>
        <v>6020120.7999999998</v>
      </c>
      <c r="I326" s="318">
        <f>I327+I330</f>
        <v>300000</v>
      </c>
      <c r="J326" s="318">
        <v>300000</v>
      </c>
      <c r="K326" s="296"/>
      <c r="L326" s="232"/>
      <c r="M326" s="232"/>
      <c r="N326" s="232"/>
    </row>
    <row r="327" spans="1:14" ht="37.549999999999997" customHeight="1" outlineLevel="1" x14ac:dyDescent="0.25">
      <c r="A327" s="100" t="s">
        <v>563</v>
      </c>
      <c r="B327" s="80" t="s">
        <v>500</v>
      </c>
      <c r="C327" s="80" t="s">
        <v>293</v>
      </c>
      <c r="D327" s="80" t="s">
        <v>588</v>
      </c>
      <c r="E327" s="80" t="s">
        <v>6</v>
      </c>
      <c r="F327" s="316">
        <v>2346000</v>
      </c>
      <c r="G327" s="318">
        <f>G328</f>
        <v>7160868.7599999998</v>
      </c>
      <c r="H327" s="318">
        <f>H328</f>
        <v>5839517.1600000001</v>
      </c>
      <c r="I327" s="318">
        <v>0</v>
      </c>
      <c r="J327" s="318">
        <v>0</v>
      </c>
      <c r="K327" s="296"/>
      <c r="L327" s="232"/>
      <c r="M327" s="232"/>
      <c r="N327" s="232"/>
    </row>
    <row r="328" spans="1:14" outlineLevel="1" x14ac:dyDescent="0.25">
      <c r="A328" s="81" t="s">
        <v>19</v>
      </c>
      <c r="B328" s="80" t="s">
        <v>500</v>
      </c>
      <c r="C328" s="80" t="s">
        <v>293</v>
      </c>
      <c r="D328" s="80" t="s">
        <v>588</v>
      </c>
      <c r="E328" s="80" t="s">
        <v>20</v>
      </c>
      <c r="F328" s="316">
        <v>2346000</v>
      </c>
      <c r="G328" s="318">
        <f>G329</f>
        <v>7160868.7599999998</v>
      </c>
      <c r="H328" s="370">
        <v>5839517.1600000001</v>
      </c>
      <c r="I328" s="318">
        <v>0</v>
      </c>
      <c r="J328" s="318">
        <v>0</v>
      </c>
      <c r="K328" s="296"/>
      <c r="L328" s="232"/>
      <c r="M328" s="232"/>
      <c r="N328" s="232"/>
    </row>
    <row r="329" spans="1:14" ht="55.05" outlineLevel="1" x14ac:dyDescent="0.25">
      <c r="A329" s="81" t="s">
        <v>47</v>
      </c>
      <c r="B329" s="80" t="s">
        <v>500</v>
      </c>
      <c r="C329" s="80" t="s">
        <v>293</v>
      </c>
      <c r="D329" s="80" t="s">
        <v>588</v>
      </c>
      <c r="E329" s="80" t="s">
        <v>48</v>
      </c>
      <c r="F329" s="316">
        <v>2346000</v>
      </c>
      <c r="G329" s="318">
        <v>7160868.7599999998</v>
      </c>
      <c r="H329" s="370">
        <v>5839517.1600000001</v>
      </c>
      <c r="I329" s="318">
        <v>0</v>
      </c>
      <c r="J329" s="318">
        <v>0</v>
      </c>
      <c r="K329" s="296"/>
      <c r="L329" s="232"/>
      <c r="M329" s="232"/>
      <c r="N329" s="232"/>
    </row>
    <row r="330" spans="1:14" s="172" customFormat="1" ht="18.7" customHeight="1" outlineLevel="1" x14ac:dyDescent="0.25">
      <c r="A330" s="81" t="s">
        <v>306</v>
      </c>
      <c r="B330" s="80" t="s">
        <v>500</v>
      </c>
      <c r="C330" s="80" t="s">
        <v>293</v>
      </c>
      <c r="D330" s="80" t="s">
        <v>357</v>
      </c>
      <c r="E330" s="80" t="s">
        <v>6</v>
      </c>
      <c r="F330" s="316">
        <v>72556.7</v>
      </c>
      <c r="G330" s="318">
        <f t="shared" ref="G330:J331" si="45">G331</f>
        <v>300000</v>
      </c>
      <c r="H330" s="318">
        <f t="shared" si="45"/>
        <v>180603.64</v>
      </c>
      <c r="I330" s="318">
        <f t="shared" si="45"/>
        <v>300000</v>
      </c>
      <c r="J330" s="318">
        <f t="shared" si="45"/>
        <v>300000</v>
      </c>
      <c r="K330" s="297"/>
      <c r="L330" s="233"/>
      <c r="M330" s="233"/>
      <c r="N330" s="233"/>
    </row>
    <row r="331" spans="1:14" outlineLevel="2" x14ac:dyDescent="0.25">
      <c r="A331" s="81" t="s">
        <v>19</v>
      </c>
      <c r="B331" s="80" t="s">
        <v>500</v>
      </c>
      <c r="C331" s="80" t="s">
        <v>293</v>
      </c>
      <c r="D331" s="80" t="s">
        <v>357</v>
      </c>
      <c r="E331" s="80" t="s">
        <v>20</v>
      </c>
      <c r="F331" s="316">
        <v>72556.7</v>
      </c>
      <c r="G331" s="318">
        <f t="shared" si="45"/>
        <v>300000</v>
      </c>
      <c r="H331" s="370">
        <v>180603.64</v>
      </c>
      <c r="I331" s="318">
        <f t="shared" si="45"/>
        <v>300000</v>
      </c>
      <c r="J331" s="318">
        <f t="shared" si="45"/>
        <v>300000</v>
      </c>
      <c r="K331" s="296"/>
      <c r="L331" s="232"/>
      <c r="M331" s="232"/>
      <c r="N331" s="232"/>
    </row>
    <row r="332" spans="1:14" s="172" customFormat="1" ht="59.3" customHeight="1" outlineLevel="3" x14ac:dyDescent="0.25">
      <c r="A332" s="81" t="s">
        <v>47</v>
      </c>
      <c r="B332" s="80" t="s">
        <v>500</v>
      </c>
      <c r="C332" s="80" t="s">
        <v>293</v>
      </c>
      <c r="D332" s="80" t="s">
        <v>357</v>
      </c>
      <c r="E332" s="80" t="s">
        <v>48</v>
      </c>
      <c r="F332" s="316">
        <v>72556.7</v>
      </c>
      <c r="G332" s="318">
        <v>300000</v>
      </c>
      <c r="H332" s="370">
        <v>180603.64</v>
      </c>
      <c r="I332" s="318">
        <v>300000</v>
      </c>
      <c r="J332" s="323">
        <v>300000</v>
      </c>
      <c r="K332" s="297"/>
      <c r="L332" s="233"/>
      <c r="M332" s="233"/>
      <c r="N332" s="233"/>
    </row>
    <row r="333" spans="1:14" ht="27" customHeight="1" outlineLevel="3" x14ac:dyDescent="0.25">
      <c r="A333" s="109" t="s">
        <v>64</v>
      </c>
      <c r="B333" s="80" t="s">
        <v>500</v>
      </c>
      <c r="C333" s="110" t="s">
        <v>65</v>
      </c>
      <c r="D333" s="110" t="s">
        <v>126</v>
      </c>
      <c r="E333" s="110" t="s">
        <v>6</v>
      </c>
      <c r="F333" s="316">
        <v>514749.4</v>
      </c>
      <c r="G333" s="321">
        <f>G334</f>
        <v>555000</v>
      </c>
      <c r="H333" s="321">
        <f>H334</f>
        <v>53200</v>
      </c>
      <c r="I333" s="321">
        <f>I334</f>
        <v>515000</v>
      </c>
      <c r="J333" s="321">
        <f>J334</f>
        <v>515000</v>
      </c>
      <c r="K333" s="296"/>
      <c r="L333" s="232"/>
      <c r="M333" s="232"/>
      <c r="N333" s="232"/>
    </row>
    <row r="334" spans="1:14" ht="23.3" customHeight="1" outlineLevel="3" x14ac:dyDescent="0.25">
      <c r="A334" s="81" t="s">
        <v>66</v>
      </c>
      <c r="B334" s="80" t="s">
        <v>500</v>
      </c>
      <c r="C334" s="80" t="s">
        <v>67</v>
      </c>
      <c r="D334" s="80" t="s">
        <v>126</v>
      </c>
      <c r="E334" s="80" t="s">
        <v>6</v>
      </c>
      <c r="F334" s="316">
        <v>514749.4</v>
      </c>
      <c r="G334" s="317">
        <f>G335+G344</f>
        <v>555000</v>
      </c>
      <c r="H334" s="317">
        <f>H335+H344</f>
        <v>53200</v>
      </c>
      <c r="I334" s="317">
        <f>I335+I344</f>
        <v>515000</v>
      </c>
      <c r="J334" s="317">
        <f>J335+J344</f>
        <v>515000</v>
      </c>
      <c r="K334" s="296"/>
      <c r="L334" s="232"/>
      <c r="M334" s="232"/>
      <c r="N334" s="232"/>
    </row>
    <row r="335" spans="1:14" ht="43.5" customHeight="1" outlineLevel="3" x14ac:dyDescent="0.25">
      <c r="A335" s="109" t="s">
        <v>841</v>
      </c>
      <c r="B335" s="110" t="s">
        <v>500</v>
      </c>
      <c r="C335" s="110" t="s">
        <v>67</v>
      </c>
      <c r="D335" s="110" t="s">
        <v>135</v>
      </c>
      <c r="E335" s="110" t="s">
        <v>6</v>
      </c>
      <c r="F335" s="320">
        <v>469935.4</v>
      </c>
      <c r="G335" s="321">
        <f>G336+G340</f>
        <v>470000</v>
      </c>
      <c r="H335" s="321">
        <f>H336+H340</f>
        <v>8200</v>
      </c>
      <c r="I335" s="321">
        <f>I336+I340</f>
        <v>470000</v>
      </c>
      <c r="J335" s="321">
        <f>J336+J340</f>
        <v>470000</v>
      </c>
      <c r="K335" s="296"/>
      <c r="L335" s="232"/>
      <c r="M335" s="232"/>
      <c r="N335" s="232"/>
    </row>
    <row r="336" spans="1:14" ht="62.5" customHeight="1" outlineLevel="3" x14ac:dyDescent="0.25">
      <c r="A336" s="81" t="s">
        <v>842</v>
      </c>
      <c r="B336" s="80" t="s">
        <v>500</v>
      </c>
      <c r="C336" s="80" t="s">
        <v>67</v>
      </c>
      <c r="D336" s="80" t="s">
        <v>392</v>
      </c>
      <c r="E336" s="80" t="s">
        <v>6</v>
      </c>
      <c r="F336" s="316">
        <v>439940.4</v>
      </c>
      <c r="G336" s="317">
        <f t="shared" ref="G336:J338" si="46">G337</f>
        <v>440000</v>
      </c>
      <c r="H336" s="317">
        <f t="shared" si="46"/>
        <v>0</v>
      </c>
      <c r="I336" s="317">
        <f t="shared" si="46"/>
        <v>440000</v>
      </c>
      <c r="J336" s="317">
        <f t="shared" si="46"/>
        <v>440000</v>
      </c>
      <c r="K336" s="296"/>
      <c r="L336" s="232"/>
      <c r="M336" s="232"/>
      <c r="N336" s="232"/>
    </row>
    <row r="337" spans="1:14" ht="30.25" customHeight="1" outlineLevel="7" x14ac:dyDescent="0.25">
      <c r="A337" s="81" t="s">
        <v>244</v>
      </c>
      <c r="B337" s="80" t="s">
        <v>500</v>
      </c>
      <c r="C337" s="80" t="s">
        <v>67</v>
      </c>
      <c r="D337" s="80" t="s">
        <v>361</v>
      </c>
      <c r="E337" s="80" t="s">
        <v>6</v>
      </c>
      <c r="F337" s="316">
        <v>439940.4</v>
      </c>
      <c r="G337" s="317">
        <f t="shared" si="46"/>
        <v>440000</v>
      </c>
      <c r="H337" s="317">
        <f t="shared" si="46"/>
        <v>0</v>
      </c>
      <c r="I337" s="317">
        <f t="shared" si="46"/>
        <v>440000</v>
      </c>
      <c r="J337" s="317">
        <f t="shared" si="46"/>
        <v>440000</v>
      </c>
      <c r="K337" s="296"/>
      <c r="L337" s="232"/>
      <c r="M337" s="232"/>
      <c r="N337" s="232"/>
    </row>
    <row r="338" spans="1:14" ht="25.5" customHeight="1" outlineLevel="5" x14ac:dyDescent="0.25">
      <c r="A338" s="81" t="s">
        <v>15</v>
      </c>
      <c r="B338" s="80" t="s">
        <v>500</v>
      </c>
      <c r="C338" s="80" t="s">
        <v>67</v>
      </c>
      <c r="D338" s="80" t="s">
        <v>361</v>
      </c>
      <c r="E338" s="80" t="s">
        <v>16</v>
      </c>
      <c r="F338" s="316">
        <v>439940.4</v>
      </c>
      <c r="G338" s="317">
        <f t="shared" si="46"/>
        <v>440000</v>
      </c>
      <c r="H338" s="317">
        <v>0</v>
      </c>
      <c r="I338" s="317">
        <f t="shared" si="46"/>
        <v>440000</v>
      </c>
      <c r="J338" s="317">
        <f t="shared" si="46"/>
        <v>440000</v>
      </c>
      <c r="K338" s="296"/>
      <c r="L338" s="232"/>
      <c r="M338" s="232"/>
      <c r="N338" s="232"/>
    </row>
    <row r="339" spans="1:14" ht="55.05" outlineLevel="6" x14ac:dyDescent="0.25">
      <c r="A339" s="81" t="s">
        <v>17</v>
      </c>
      <c r="B339" s="80" t="s">
        <v>500</v>
      </c>
      <c r="C339" s="80" t="s">
        <v>67</v>
      </c>
      <c r="D339" s="80" t="s">
        <v>361</v>
      </c>
      <c r="E339" s="80" t="s">
        <v>18</v>
      </c>
      <c r="F339" s="316">
        <v>439940.4</v>
      </c>
      <c r="G339" s="317">
        <v>440000</v>
      </c>
      <c r="H339" s="317">
        <v>0</v>
      </c>
      <c r="I339" s="317">
        <f>'прил 12'!F331</f>
        <v>440000</v>
      </c>
      <c r="J339" s="318">
        <v>440000</v>
      </c>
      <c r="K339" s="296"/>
      <c r="L339" s="232"/>
      <c r="M339" s="232"/>
      <c r="N339" s="232"/>
    </row>
    <row r="340" spans="1:14" ht="44.5" customHeight="1" outlineLevel="7" x14ac:dyDescent="0.25">
      <c r="A340" s="81" t="s">
        <v>362</v>
      </c>
      <c r="B340" s="80" t="s">
        <v>500</v>
      </c>
      <c r="C340" s="80" t="s">
        <v>67</v>
      </c>
      <c r="D340" s="80" t="s">
        <v>246</v>
      </c>
      <c r="E340" s="80" t="s">
        <v>6</v>
      </c>
      <c r="F340" s="316">
        <v>29995</v>
      </c>
      <c r="G340" s="318">
        <f t="shared" ref="G340:J342" si="47">G341</f>
        <v>30000</v>
      </c>
      <c r="H340" s="318">
        <f t="shared" si="47"/>
        <v>8200</v>
      </c>
      <c r="I340" s="318">
        <f t="shared" si="47"/>
        <v>30000</v>
      </c>
      <c r="J340" s="318">
        <f t="shared" si="47"/>
        <v>30000</v>
      </c>
      <c r="K340" s="296"/>
      <c r="L340" s="232"/>
      <c r="M340" s="232"/>
      <c r="N340" s="232"/>
    </row>
    <row r="341" spans="1:14" s="172" customFormat="1" ht="27" customHeight="1" outlineLevel="3" x14ac:dyDescent="0.25">
      <c r="A341" s="81" t="s">
        <v>68</v>
      </c>
      <c r="B341" s="80" t="s">
        <v>500</v>
      </c>
      <c r="C341" s="80" t="s">
        <v>67</v>
      </c>
      <c r="D341" s="80" t="s">
        <v>245</v>
      </c>
      <c r="E341" s="80" t="s">
        <v>6</v>
      </c>
      <c r="F341" s="316">
        <v>29995</v>
      </c>
      <c r="G341" s="317">
        <f t="shared" si="47"/>
        <v>30000</v>
      </c>
      <c r="H341" s="317">
        <f t="shared" si="47"/>
        <v>8200</v>
      </c>
      <c r="I341" s="317">
        <f t="shared" si="47"/>
        <v>30000</v>
      </c>
      <c r="J341" s="317">
        <f t="shared" si="47"/>
        <v>30000</v>
      </c>
      <c r="K341" s="297"/>
      <c r="L341" s="233"/>
      <c r="M341" s="233"/>
      <c r="N341" s="233"/>
    </row>
    <row r="342" spans="1:14" ht="36.700000000000003" outlineLevel="5" x14ac:dyDescent="0.25">
      <c r="A342" s="81" t="s">
        <v>15</v>
      </c>
      <c r="B342" s="80" t="s">
        <v>500</v>
      </c>
      <c r="C342" s="80" t="s">
        <v>67</v>
      </c>
      <c r="D342" s="80" t="s">
        <v>245</v>
      </c>
      <c r="E342" s="80" t="s">
        <v>16</v>
      </c>
      <c r="F342" s="316">
        <v>29995</v>
      </c>
      <c r="G342" s="317">
        <f t="shared" si="47"/>
        <v>30000</v>
      </c>
      <c r="H342" s="370">
        <v>8200</v>
      </c>
      <c r="I342" s="317">
        <f t="shared" si="47"/>
        <v>30000</v>
      </c>
      <c r="J342" s="317">
        <f t="shared" si="47"/>
        <v>30000</v>
      </c>
      <c r="K342" s="296"/>
      <c r="L342" s="232"/>
      <c r="M342" s="232"/>
      <c r="N342" s="232"/>
    </row>
    <row r="343" spans="1:14" ht="55.05" outlineLevel="5" x14ac:dyDescent="0.25">
      <c r="A343" s="81" t="s">
        <v>17</v>
      </c>
      <c r="B343" s="80" t="s">
        <v>500</v>
      </c>
      <c r="C343" s="80" t="s">
        <v>67</v>
      </c>
      <c r="D343" s="80" t="s">
        <v>245</v>
      </c>
      <c r="E343" s="80" t="s">
        <v>18</v>
      </c>
      <c r="F343" s="316">
        <v>29995</v>
      </c>
      <c r="G343" s="317">
        <v>30000</v>
      </c>
      <c r="H343" s="370">
        <v>8200</v>
      </c>
      <c r="I343" s="317">
        <f>'прил 12'!F335</f>
        <v>30000</v>
      </c>
      <c r="J343" s="318">
        <v>30000</v>
      </c>
      <c r="K343" s="296"/>
      <c r="L343" s="232"/>
      <c r="M343" s="232"/>
      <c r="N343" s="232"/>
    </row>
    <row r="344" spans="1:14" ht="91.7" outlineLevel="6" x14ac:dyDescent="0.25">
      <c r="A344" s="109" t="s">
        <v>840</v>
      </c>
      <c r="B344" s="110" t="s">
        <v>500</v>
      </c>
      <c r="C344" s="110" t="s">
        <v>67</v>
      </c>
      <c r="D344" s="110" t="s">
        <v>363</v>
      </c>
      <c r="E344" s="110" t="s">
        <v>6</v>
      </c>
      <c r="F344" s="320">
        <v>44814</v>
      </c>
      <c r="G344" s="321">
        <f>G345</f>
        <v>85000</v>
      </c>
      <c r="H344" s="321">
        <f>H345</f>
        <v>45000</v>
      </c>
      <c r="I344" s="321">
        <f>I345</f>
        <v>45000</v>
      </c>
      <c r="J344" s="321">
        <f>J345</f>
        <v>45000</v>
      </c>
      <c r="K344" s="296"/>
      <c r="L344" s="232"/>
      <c r="M344" s="232"/>
      <c r="N344" s="232"/>
    </row>
    <row r="345" spans="1:14" ht="41.3" customHeight="1" outlineLevel="7" x14ac:dyDescent="0.25">
      <c r="A345" s="81" t="s">
        <v>364</v>
      </c>
      <c r="B345" s="80" t="s">
        <v>500</v>
      </c>
      <c r="C345" s="80" t="s">
        <v>67</v>
      </c>
      <c r="D345" s="80" t="s">
        <v>365</v>
      </c>
      <c r="E345" s="80" t="s">
        <v>6</v>
      </c>
      <c r="F345" s="316">
        <v>44814</v>
      </c>
      <c r="G345" s="317">
        <f>G347</f>
        <v>85000</v>
      </c>
      <c r="H345" s="317">
        <f>H347</f>
        <v>45000</v>
      </c>
      <c r="I345" s="317">
        <f t="shared" ref="I345:J347" si="48">I346</f>
        <v>45000</v>
      </c>
      <c r="J345" s="317">
        <f t="shared" si="48"/>
        <v>45000</v>
      </c>
      <c r="K345" s="296"/>
      <c r="L345" s="232"/>
      <c r="M345" s="232"/>
      <c r="N345" s="232"/>
    </row>
    <row r="346" spans="1:14" s="172" customFormat="1" ht="36.700000000000003" outlineLevel="1" x14ac:dyDescent="0.25">
      <c r="A346" s="81" t="s">
        <v>366</v>
      </c>
      <c r="B346" s="80" t="s">
        <v>500</v>
      </c>
      <c r="C346" s="80" t="s">
        <v>67</v>
      </c>
      <c r="D346" s="80" t="s">
        <v>367</v>
      </c>
      <c r="E346" s="80" t="s">
        <v>6</v>
      </c>
      <c r="F346" s="316">
        <v>44814</v>
      </c>
      <c r="G346" s="317">
        <f>G347</f>
        <v>85000</v>
      </c>
      <c r="H346" s="317">
        <f>H347</f>
        <v>45000</v>
      </c>
      <c r="I346" s="317">
        <f t="shared" si="48"/>
        <v>45000</v>
      </c>
      <c r="J346" s="317">
        <f t="shared" si="48"/>
        <v>45000</v>
      </c>
      <c r="K346" s="297"/>
      <c r="L346" s="233"/>
      <c r="M346" s="233"/>
      <c r="N346" s="233"/>
    </row>
    <row r="347" spans="1:14" ht="36.700000000000003" outlineLevel="2" x14ac:dyDescent="0.3">
      <c r="A347" s="81" t="s">
        <v>15</v>
      </c>
      <c r="B347" s="80" t="s">
        <v>500</v>
      </c>
      <c r="C347" s="80" t="s">
        <v>67</v>
      </c>
      <c r="D347" s="80" t="s">
        <v>367</v>
      </c>
      <c r="E347" s="80" t="s">
        <v>16</v>
      </c>
      <c r="F347" s="316">
        <v>44814</v>
      </c>
      <c r="G347" s="317">
        <f>G348</f>
        <v>85000</v>
      </c>
      <c r="H347" s="371">
        <v>45000</v>
      </c>
      <c r="I347" s="317">
        <f t="shared" si="48"/>
        <v>45000</v>
      </c>
      <c r="J347" s="317">
        <f t="shared" si="48"/>
        <v>45000</v>
      </c>
      <c r="K347" s="296"/>
      <c r="L347" s="232"/>
      <c r="M347" s="232"/>
      <c r="N347" s="232"/>
    </row>
    <row r="348" spans="1:14" s="172" customFormat="1" ht="55.05" outlineLevel="3" x14ac:dyDescent="0.3">
      <c r="A348" s="81" t="s">
        <v>17</v>
      </c>
      <c r="B348" s="80" t="s">
        <v>500</v>
      </c>
      <c r="C348" s="80" t="s">
        <v>67</v>
      </c>
      <c r="D348" s="80" t="s">
        <v>367</v>
      </c>
      <c r="E348" s="80" t="s">
        <v>18</v>
      </c>
      <c r="F348" s="316">
        <v>44814</v>
      </c>
      <c r="G348" s="318">
        <f>45000+40000</f>
        <v>85000</v>
      </c>
      <c r="H348" s="371">
        <v>45000</v>
      </c>
      <c r="I348" s="318">
        <f>'прил 12'!F340</f>
        <v>45000</v>
      </c>
      <c r="J348" s="323">
        <v>45000</v>
      </c>
      <c r="K348" s="297"/>
      <c r="L348" s="233"/>
      <c r="M348" s="233"/>
      <c r="N348" s="233"/>
    </row>
    <row r="349" spans="1:14" outlineLevel="3" x14ac:dyDescent="0.25">
      <c r="A349" s="109" t="s">
        <v>69</v>
      </c>
      <c r="B349" s="110" t="s">
        <v>500</v>
      </c>
      <c r="C349" s="110" t="s">
        <v>70</v>
      </c>
      <c r="D349" s="110" t="s">
        <v>126</v>
      </c>
      <c r="E349" s="110" t="s">
        <v>6</v>
      </c>
      <c r="F349" s="316">
        <v>16476920</v>
      </c>
      <c r="G349" s="321">
        <f t="shared" ref="G349:J354" si="49">G350</f>
        <v>19091462.579999998</v>
      </c>
      <c r="H349" s="321">
        <f t="shared" si="49"/>
        <v>14464275.869999999</v>
      </c>
      <c r="I349" s="321">
        <f t="shared" si="49"/>
        <v>23547089.976</v>
      </c>
      <c r="J349" s="321">
        <f t="shared" si="49"/>
        <v>20792637.34</v>
      </c>
      <c r="K349" s="296"/>
      <c r="L349" s="232"/>
      <c r="M349" s="232"/>
      <c r="N349" s="232"/>
    </row>
    <row r="350" spans="1:14" outlineLevel="5" x14ac:dyDescent="0.25">
      <c r="A350" s="81" t="s">
        <v>257</v>
      </c>
      <c r="B350" s="80" t="s">
        <v>500</v>
      </c>
      <c r="C350" s="80" t="s">
        <v>256</v>
      </c>
      <c r="D350" s="80" t="s">
        <v>126</v>
      </c>
      <c r="E350" s="80" t="s">
        <v>6</v>
      </c>
      <c r="F350" s="316">
        <v>16476920</v>
      </c>
      <c r="G350" s="317">
        <f t="shared" si="49"/>
        <v>19091462.579999998</v>
      </c>
      <c r="H350" s="317">
        <f t="shared" si="49"/>
        <v>14464275.869999999</v>
      </c>
      <c r="I350" s="317">
        <f t="shared" si="49"/>
        <v>23547089.976</v>
      </c>
      <c r="J350" s="317">
        <f t="shared" si="49"/>
        <v>20792637.34</v>
      </c>
      <c r="K350" s="296"/>
      <c r="L350" s="232"/>
      <c r="M350" s="232"/>
      <c r="N350" s="232"/>
    </row>
    <row r="351" spans="1:14" ht="55.05" outlineLevel="6" x14ac:dyDescent="0.25">
      <c r="A351" s="109" t="s">
        <v>839</v>
      </c>
      <c r="B351" s="110" t="s">
        <v>500</v>
      </c>
      <c r="C351" s="110" t="s">
        <v>256</v>
      </c>
      <c r="D351" s="110" t="s">
        <v>136</v>
      </c>
      <c r="E351" s="110" t="s">
        <v>6</v>
      </c>
      <c r="F351" s="320">
        <v>16476920</v>
      </c>
      <c r="G351" s="321">
        <f>G352+G359</f>
        <v>19091462.579999998</v>
      </c>
      <c r="H351" s="321">
        <f>H352+H359</f>
        <v>14464275.869999999</v>
      </c>
      <c r="I351" s="321">
        <f>I352+I359+I366</f>
        <v>23547089.976</v>
      </c>
      <c r="J351" s="321">
        <f>J352+J359+J366</f>
        <v>20792637.34</v>
      </c>
      <c r="K351" s="296"/>
      <c r="L351" s="232"/>
      <c r="M351" s="232"/>
      <c r="N351" s="232"/>
    </row>
    <row r="352" spans="1:14" ht="55.05" outlineLevel="7" x14ac:dyDescent="0.25">
      <c r="A352" s="81" t="s">
        <v>368</v>
      </c>
      <c r="B352" s="80" t="s">
        <v>500</v>
      </c>
      <c r="C352" s="80" t="s">
        <v>256</v>
      </c>
      <c r="D352" s="80" t="s">
        <v>228</v>
      </c>
      <c r="E352" s="80" t="s">
        <v>6</v>
      </c>
      <c r="F352" s="316">
        <v>16476920</v>
      </c>
      <c r="G352" s="317">
        <f>G353+G356+G363</f>
        <v>19091462.579999998</v>
      </c>
      <c r="H352" s="317">
        <f>H353+H356+H363</f>
        <v>14464275.869999999</v>
      </c>
      <c r="I352" s="317">
        <f>I353+I356+I363</f>
        <v>19052341.359999999</v>
      </c>
      <c r="J352" s="317">
        <f>J353+J356+J363</f>
        <v>20792637.34</v>
      </c>
      <c r="K352" s="296"/>
      <c r="L352" s="232"/>
      <c r="M352" s="232"/>
      <c r="N352" s="232"/>
    </row>
    <row r="353" spans="1:14" ht="55.05" outlineLevel="7" x14ac:dyDescent="0.25">
      <c r="A353" s="81" t="s">
        <v>73</v>
      </c>
      <c r="B353" s="80" t="s">
        <v>500</v>
      </c>
      <c r="C353" s="80" t="s">
        <v>256</v>
      </c>
      <c r="D353" s="80" t="s">
        <v>137</v>
      </c>
      <c r="E353" s="80" t="s">
        <v>6</v>
      </c>
      <c r="F353" s="316">
        <v>16476920</v>
      </c>
      <c r="G353" s="317">
        <f t="shared" si="49"/>
        <v>18193102.579999998</v>
      </c>
      <c r="H353" s="317">
        <f t="shared" si="49"/>
        <v>13952527.77</v>
      </c>
      <c r="I353" s="317">
        <f>I354</f>
        <v>18953228.359999999</v>
      </c>
      <c r="J353" s="317">
        <f>J354</f>
        <v>20693524.34</v>
      </c>
      <c r="K353" s="296"/>
      <c r="L353" s="232"/>
      <c r="M353" s="232"/>
      <c r="N353" s="232"/>
    </row>
    <row r="354" spans="1:14" ht="55.05" outlineLevel="7" x14ac:dyDescent="0.25">
      <c r="A354" s="81" t="s">
        <v>37</v>
      </c>
      <c r="B354" s="80" t="s">
        <v>500</v>
      </c>
      <c r="C354" s="80" t="s">
        <v>256</v>
      </c>
      <c r="D354" s="80" t="s">
        <v>137</v>
      </c>
      <c r="E354" s="80" t="s">
        <v>38</v>
      </c>
      <c r="F354" s="316">
        <v>16476920</v>
      </c>
      <c r="G354" s="317">
        <f t="shared" si="49"/>
        <v>18193102.579999998</v>
      </c>
      <c r="H354" s="370">
        <v>13952527.77</v>
      </c>
      <c r="I354" s="317">
        <f>I355</f>
        <v>18953228.359999999</v>
      </c>
      <c r="J354" s="317">
        <f>J355</f>
        <v>20693524.34</v>
      </c>
      <c r="K354" s="296"/>
      <c r="L354" s="232"/>
      <c r="M354" s="232"/>
      <c r="N354" s="232"/>
    </row>
    <row r="355" spans="1:14" outlineLevel="7" x14ac:dyDescent="0.25">
      <c r="A355" s="81" t="s">
        <v>74</v>
      </c>
      <c r="B355" s="80" t="s">
        <v>500</v>
      </c>
      <c r="C355" s="80" t="s">
        <v>256</v>
      </c>
      <c r="D355" s="80" t="s">
        <v>137</v>
      </c>
      <c r="E355" s="80" t="s">
        <v>75</v>
      </c>
      <c r="F355" s="316">
        <v>16476920</v>
      </c>
      <c r="G355" s="317">
        <f>потребность!I348</f>
        <v>18193102.579999998</v>
      </c>
      <c r="H355" s="370">
        <v>13952527.77</v>
      </c>
      <c r="I355" s="317">
        <f>'прил 12'!F347</f>
        <v>18953228.359999999</v>
      </c>
      <c r="J355" s="318">
        <v>20693524.34</v>
      </c>
      <c r="K355" s="296"/>
      <c r="L355" s="232"/>
      <c r="M355" s="232"/>
      <c r="N355" s="232"/>
    </row>
    <row r="356" spans="1:14" ht="77.95" customHeight="1" outlineLevel="7" x14ac:dyDescent="0.25">
      <c r="A356" s="81" t="s">
        <v>710</v>
      </c>
      <c r="B356" s="80" t="s">
        <v>500</v>
      </c>
      <c r="C356" s="80" t="s">
        <v>256</v>
      </c>
      <c r="D356" s="80" t="s">
        <v>711</v>
      </c>
      <c r="E356" s="80" t="s">
        <v>6</v>
      </c>
      <c r="F356" s="80" t="s">
        <v>976</v>
      </c>
      <c r="G356" s="317">
        <f t="shared" ref="G356:J357" si="50">G357</f>
        <v>98360</v>
      </c>
      <c r="H356" s="317">
        <f t="shared" si="50"/>
        <v>0</v>
      </c>
      <c r="I356" s="317">
        <f t="shared" si="50"/>
        <v>99113</v>
      </c>
      <c r="J356" s="317">
        <f t="shared" si="50"/>
        <v>99113</v>
      </c>
      <c r="K356" s="296"/>
      <c r="L356" s="232"/>
      <c r="M356" s="232"/>
      <c r="N356" s="232"/>
    </row>
    <row r="357" spans="1:14" s="172" customFormat="1" ht="55.05" outlineLevel="1" x14ac:dyDescent="0.25">
      <c r="A357" s="81" t="s">
        <v>37</v>
      </c>
      <c r="B357" s="80" t="s">
        <v>500</v>
      </c>
      <c r="C357" s="80" t="s">
        <v>256</v>
      </c>
      <c r="D357" s="80" t="s">
        <v>711</v>
      </c>
      <c r="E357" s="80" t="s">
        <v>38</v>
      </c>
      <c r="F357" s="80" t="s">
        <v>976</v>
      </c>
      <c r="G357" s="317">
        <f t="shared" si="50"/>
        <v>98360</v>
      </c>
      <c r="H357" s="317">
        <v>0</v>
      </c>
      <c r="I357" s="317">
        <f t="shared" si="50"/>
        <v>99113</v>
      </c>
      <c r="J357" s="317">
        <f t="shared" si="50"/>
        <v>99113</v>
      </c>
      <c r="K357" s="297"/>
      <c r="L357" s="233"/>
      <c r="M357" s="233"/>
      <c r="N357" s="233"/>
    </row>
    <row r="358" spans="1:14" ht="16.5" customHeight="1" outlineLevel="2" x14ac:dyDescent="0.25">
      <c r="A358" s="81" t="s">
        <v>74</v>
      </c>
      <c r="B358" s="80" t="s">
        <v>500</v>
      </c>
      <c r="C358" s="80" t="s">
        <v>256</v>
      </c>
      <c r="D358" s="80" t="s">
        <v>711</v>
      </c>
      <c r="E358" s="80" t="s">
        <v>75</v>
      </c>
      <c r="F358" s="80" t="s">
        <v>976</v>
      </c>
      <c r="G358" s="317">
        <v>98360</v>
      </c>
      <c r="H358" s="317">
        <v>0</v>
      </c>
      <c r="I358" s="317">
        <v>99113</v>
      </c>
      <c r="J358" s="318">
        <v>99113</v>
      </c>
      <c r="K358" s="296"/>
      <c r="L358" s="232"/>
      <c r="M358" s="232"/>
      <c r="N358" s="232"/>
    </row>
    <row r="359" spans="1:14" s="172" customFormat="1" outlineLevel="3" x14ac:dyDescent="0.25">
      <c r="A359" s="121" t="s">
        <v>597</v>
      </c>
      <c r="B359" s="308" t="s">
        <v>500</v>
      </c>
      <c r="C359" s="308" t="s">
        <v>256</v>
      </c>
      <c r="D359" s="308" t="s">
        <v>598</v>
      </c>
      <c r="E359" s="308" t="s">
        <v>6</v>
      </c>
      <c r="F359" s="308"/>
      <c r="G359" s="317">
        <f>G360</f>
        <v>0</v>
      </c>
      <c r="H359" s="317">
        <v>0</v>
      </c>
      <c r="I359" s="317">
        <v>0</v>
      </c>
      <c r="J359" s="323"/>
      <c r="K359" s="297"/>
      <c r="L359" s="233"/>
      <c r="M359" s="233"/>
      <c r="N359" s="233"/>
    </row>
    <row r="360" spans="1:14" ht="21.75" customHeight="1" outlineLevel="3" x14ac:dyDescent="0.25">
      <c r="A360" s="81" t="s">
        <v>520</v>
      </c>
      <c r="B360" s="145" t="s">
        <v>500</v>
      </c>
      <c r="C360" s="145" t="s">
        <v>256</v>
      </c>
      <c r="D360" s="145" t="s">
        <v>521</v>
      </c>
      <c r="E360" s="145" t="s">
        <v>6</v>
      </c>
      <c r="F360" s="145"/>
      <c r="G360" s="317">
        <f>G361</f>
        <v>0</v>
      </c>
      <c r="H360" s="317">
        <v>0</v>
      </c>
      <c r="I360" s="317">
        <v>0</v>
      </c>
      <c r="J360" s="318"/>
      <c r="K360" s="296"/>
      <c r="L360" s="232"/>
      <c r="M360" s="232"/>
      <c r="N360" s="232"/>
    </row>
    <row r="361" spans="1:14" ht="55.05" outlineLevel="7" x14ac:dyDescent="0.25">
      <c r="A361" s="81" t="s">
        <v>37</v>
      </c>
      <c r="B361" s="145" t="s">
        <v>500</v>
      </c>
      <c r="C361" s="145" t="s">
        <v>256</v>
      </c>
      <c r="D361" s="145" t="s">
        <v>521</v>
      </c>
      <c r="E361" s="145" t="s">
        <v>38</v>
      </c>
      <c r="F361" s="145"/>
      <c r="G361" s="317">
        <f>G362</f>
        <v>0</v>
      </c>
      <c r="H361" s="317">
        <v>0</v>
      </c>
      <c r="I361" s="317">
        <v>0</v>
      </c>
      <c r="J361" s="318"/>
      <c r="K361" s="296"/>
      <c r="L361" s="232"/>
      <c r="M361" s="232"/>
      <c r="N361" s="232"/>
    </row>
    <row r="362" spans="1:14" outlineLevel="7" x14ac:dyDescent="0.25">
      <c r="A362" s="81" t="s">
        <v>74</v>
      </c>
      <c r="B362" s="80" t="s">
        <v>500</v>
      </c>
      <c r="C362" s="80" t="s">
        <v>256</v>
      </c>
      <c r="D362" s="80" t="s">
        <v>521</v>
      </c>
      <c r="E362" s="80" t="s">
        <v>75</v>
      </c>
      <c r="F362" s="80" t="s">
        <v>976</v>
      </c>
      <c r="G362" s="317">
        <v>0</v>
      </c>
      <c r="H362" s="317">
        <v>0</v>
      </c>
      <c r="I362" s="317">
        <v>0</v>
      </c>
      <c r="J362" s="318"/>
      <c r="K362" s="296"/>
      <c r="L362" s="232"/>
      <c r="M362" s="232"/>
      <c r="N362" s="232"/>
    </row>
    <row r="363" spans="1:14" ht="55.05" outlineLevel="7" x14ac:dyDescent="0.25">
      <c r="A363" s="354" t="s">
        <v>937</v>
      </c>
      <c r="B363" s="80" t="s">
        <v>500</v>
      </c>
      <c r="C363" s="80" t="s">
        <v>256</v>
      </c>
      <c r="D363" s="273">
        <v>292270100</v>
      </c>
      <c r="E363" s="80" t="s">
        <v>6</v>
      </c>
      <c r="F363" s="80" t="s">
        <v>976</v>
      </c>
      <c r="G363" s="317">
        <f>G364</f>
        <v>800000</v>
      </c>
      <c r="H363" s="317">
        <f>H364</f>
        <v>511748.1</v>
      </c>
      <c r="I363" s="317">
        <v>0</v>
      </c>
      <c r="J363" s="317">
        <v>0</v>
      </c>
      <c r="K363" s="296"/>
      <c r="L363" s="232"/>
      <c r="M363" s="232"/>
      <c r="N363" s="232"/>
    </row>
    <row r="364" spans="1:14" ht="55.05" outlineLevel="7" x14ac:dyDescent="0.25">
      <c r="A364" s="81" t="s">
        <v>37</v>
      </c>
      <c r="B364" s="80" t="s">
        <v>500</v>
      </c>
      <c r="C364" s="80" t="s">
        <v>256</v>
      </c>
      <c r="D364" s="273">
        <v>292270100</v>
      </c>
      <c r="E364" s="80" t="s">
        <v>38</v>
      </c>
      <c r="F364" s="80" t="s">
        <v>976</v>
      </c>
      <c r="G364" s="317">
        <f>G365</f>
        <v>800000</v>
      </c>
      <c r="H364" s="370">
        <v>511748.1</v>
      </c>
      <c r="I364" s="317">
        <v>0</v>
      </c>
      <c r="J364" s="317">
        <v>0</v>
      </c>
      <c r="K364" s="296"/>
      <c r="L364" s="232"/>
      <c r="M364" s="232"/>
      <c r="N364" s="232"/>
    </row>
    <row r="365" spans="1:14" outlineLevel="7" x14ac:dyDescent="0.25">
      <c r="A365" s="81" t="s">
        <v>74</v>
      </c>
      <c r="B365" s="80" t="s">
        <v>500</v>
      </c>
      <c r="C365" s="80" t="s">
        <v>256</v>
      </c>
      <c r="D365" s="273">
        <v>292270100</v>
      </c>
      <c r="E365" s="80" t="s">
        <v>75</v>
      </c>
      <c r="F365" s="80" t="s">
        <v>976</v>
      </c>
      <c r="G365" s="317">
        <f>500000+300000</f>
        <v>800000</v>
      </c>
      <c r="H365" s="370">
        <v>511748.1</v>
      </c>
      <c r="I365" s="317">
        <v>0</v>
      </c>
      <c r="J365" s="317">
        <v>0</v>
      </c>
      <c r="K365" s="296"/>
      <c r="L365" s="232"/>
      <c r="M365" s="232"/>
      <c r="N365" s="232"/>
    </row>
    <row r="366" spans="1:14" outlineLevel="7" x14ac:dyDescent="0.25">
      <c r="A366" s="121" t="s">
        <v>597</v>
      </c>
      <c r="B366" s="110" t="s">
        <v>500</v>
      </c>
      <c r="C366" s="110" t="s">
        <v>256</v>
      </c>
      <c r="D366" s="110" t="s">
        <v>598</v>
      </c>
      <c r="E366" s="111" t="s">
        <v>6</v>
      </c>
      <c r="F366" s="111" t="s">
        <v>976</v>
      </c>
      <c r="G366" s="318">
        <v>0</v>
      </c>
      <c r="H366" s="318">
        <v>0</v>
      </c>
      <c r="I366" s="317">
        <f t="shared" ref="I366:J368" si="51">I367</f>
        <v>4494748.6160000004</v>
      </c>
      <c r="J366" s="317">
        <f t="shared" si="51"/>
        <v>0</v>
      </c>
      <c r="K366" s="296"/>
      <c r="L366" s="232"/>
      <c r="M366" s="232"/>
      <c r="N366" s="232"/>
    </row>
    <row r="367" spans="1:14" ht="91.7" outlineLevel="7" x14ac:dyDescent="0.25">
      <c r="A367" s="81" t="s">
        <v>575</v>
      </c>
      <c r="B367" s="80" t="s">
        <v>500</v>
      </c>
      <c r="C367" s="80" t="s">
        <v>256</v>
      </c>
      <c r="D367" s="80" t="s">
        <v>599</v>
      </c>
      <c r="E367" s="83" t="s">
        <v>6</v>
      </c>
      <c r="F367" s="83" t="s">
        <v>976</v>
      </c>
      <c r="G367" s="318">
        <v>0</v>
      </c>
      <c r="H367" s="318">
        <v>0</v>
      </c>
      <c r="I367" s="317">
        <f t="shared" si="51"/>
        <v>4494748.6160000004</v>
      </c>
      <c r="J367" s="317">
        <f t="shared" si="51"/>
        <v>0</v>
      </c>
      <c r="K367" s="296"/>
      <c r="L367" s="232"/>
      <c r="M367" s="232"/>
      <c r="N367" s="232"/>
    </row>
    <row r="368" spans="1:14" ht="55.05" outlineLevel="7" x14ac:dyDescent="0.25">
      <c r="A368" s="81" t="s">
        <v>37</v>
      </c>
      <c r="B368" s="80" t="s">
        <v>500</v>
      </c>
      <c r="C368" s="80" t="s">
        <v>256</v>
      </c>
      <c r="D368" s="80" t="s">
        <v>599</v>
      </c>
      <c r="E368" s="83" t="s">
        <v>38</v>
      </c>
      <c r="F368" s="83" t="s">
        <v>976</v>
      </c>
      <c r="G368" s="318">
        <v>0</v>
      </c>
      <c r="H368" s="318">
        <v>0</v>
      </c>
      <c r="I368" s="317">
        <f t="shared" si="51"/>
        <v>4494748.6160000004</v>
      </c>
      <c r="J368" s="317">
        <f t="shared" si="51"/>
        <v>0</v>
      </c>
      <c r="K368" s="296"/>
      <c r="L368" s="232"/>
      <c r="M368" s="232"/>
      <c r="N368" s="232"/>
    </row>
    <row r="369" spans="1:14" outlineLevel="7" x14ac:dyDescent="0.25">
      <c r="A369" s="81" t="s">
        <v>74</v>
      </c>
      <c r="B369" s="80" t="s">
        <v>500</v>
      </c>
      <c r="C369" s="80" t="s">
        <v>256</v>
      </c>
      <c r="D369" s="80" t="s">
        <v>599</v>
      </c>
      <c r="E369" s="83" t="s">
        <v>75</v>
      </c>
      <c r="F369" s="83" t="s">
        <v>976</v>
      </c>
      <c r="G369" s="318">
        <v>0</v>
      </c>
      <c r="H369" s="318">
        <v>0</v>
      </c>
      <c r="I369" s="317">
        <f>4367650+127098.616</f>
        <v>4494748.6160000004</v>
      </c>
      <c r="J369" s="324"/>
      <c r="K369" s="296"/>
      <c r="L369" s="232"/>
      <c r="M369" s="232"/>
      <c r="N369" s="232"/>
    </row>
    <row r="370" spans="1:14" outlineLevel="7" x14ac:dyDescent="0.25">
      <c r="A370" s="109" t="s">
        <v>79</v>
      </c>
      <c r="B370" s="110" t="s">
        <v>500</v>
      </c>
      <c r="C370" s="110" t="s">
        <v>80</v>
      </c>
      <c r="D370" s="110" t="s">
        <v>126</v>
      </c>
      <c r="E370" s="110" t="s">
        <v>6</v>
      </c>
      <c r="F370" s="316">
        <v>33822841.700000003</v>
      </c>
      <c r="G370" s="321">
        <f>G371+G401</f>
        <v>41452318.13000001</v>
      </c>
      <c r="H370" s="321">
        <f>H371+H401</f>
        <v>27370092.920000002</v>
      </c>
      <c r="I370" s="321">
        <f>I371+I401</f>
        <v>39865848.490000002</v>
      </c>
      <c r="J370" s="321">
        <f>J371+J401</f>
        <v>37910944.649999999</v>
      </c>
      <c r="K370" s="296"/>
      <c r="L370" s="232"/>
      <c r="M370" s="232"/>
      <c r="N370" s="232"/>
    </row>
    <row r="371" spans="1:14" outlineLevel="7" x14ac:dyDescent="0.25">
      <c r="A371" s="81" t="s">
        <v>81</v>
      </c>
      <c r="B371" s="80" t="s">
        <v>500</v>
      </c>
      <c r="C371" s="80" t="s">
        <v>82</v>
      </c>
      <c r="D371" s="80" t="s">
        <v>126</v>
      </c>
      <c r="E371" s="80" t="s">
        <v>6</v>
      </c>
      <c r="F371" s="316">
        <v>33822841.700000003</v>
      </c>
      <c r="G371" s="317">
        <f>G372</f>
        <v>39083239.790000007</v>
      </c>
      <c r="H371" s="317">
        <f>H372</f>
        <v>25298078.920000002</v>
      </c>
      <c r="I371" s="317">
        <f>I372</f>
        <v>36253940.93</v>
      </c>
      <c r="J371" s="317">
        <f>J372</f>
        <v>37910944.649999999</v>
      </c>
      <c r="K371" s="296"/>
      <c r="L371" s="232"/>
      <c r="M371" s="232"/>
      <c r="N371" s="232"/>
    </row>
    <row r="372" spans="1:14" ht="55.05" outlineLevel="7" x14ac:dyDescent="0.25">
      <c r="A372" s="109" t="s">
        <v>839</v>
      </c>
      <c r="B372" s="110" t="s">
        <v>500</v>
      </c>
      <c r="C372" s="110" t="s">
        <v>82</v>
      </c>
      <c r="D372" s="110" t="s">
        <v>136</v>
      </c>
      <c r="E372" s="110" t="s">
        <v>6</v>
      </c>
      <c r="F372" s="320">
        <v>33822841.700000003</v>
      </c>
      <c r="G372" s="321">
        <f>G373+G393+G383</f>
        <v>39083239.790000007</v>
      </c>
      <c r="H372" s="321">
        <f>H373+H393+H383</f>
        <v>25298078.920000002</v>
      </c>
      <c r="I372" s="321">
        <f>I373+I393+I383</f>
        <v>36253940.93</v>
      </c>
      <c r="J372" s="321">
        <f>J373+J393+J383</f>
        <v>37910944.649999999</v>
      </c>
      <c r="K372" s="296"/>
      <c r="L372" s="232"/>
      <c r="M372" s="232"/>
      <c r="N372" s="232"/>
    </row>
    <row r="373" spans="1:14" ht="55.05" outlineLevel="7" x14ac:dyDescent="0.25">
      <c r="A373" s="81" t="s">
        <v>370</v>
      </c>
      <c r="B373" s="80" t="s">
        <v>500</v>
      </c>
      <c r="C373" s="80" t="s">
        <v>82</v>
      </c>
      <c r="D373" s="80" t="s">
        <v>227</v>
      </c>
      <c r="E373" s="80" t="s">
        <v>6</v>
      </c>
      <c r="F373" s="316">
        <v>8468322.4199999999</v>
      </c>
      <c r="G373" s="317">
        <f>G387+G374</f>
        <v>10660454.050000001</v>
      </c>
      <c r="H373" s="317">
        <f>H387+H374</f>
        <v>7987098.5700000003</v>
      </c>
      <c r="I373" s="317">
        <f>I377+I387+I374+I380</f>
        <v>9978834.7300000004</v>
      </c>
      <c r="J373" s="317">
        <f>J377+J387+J374+J380</f>
        <v>10499742.949999999</v>
      </c>
      <c r="K373" s="296"/>
      <c r="L373" s="232"/>
      <c r="M373" s="232"/>
      <c r="N373" s="232"/>
    </row>
    <row r="374" spans="1:14" ht="55.05" outlineLevel="7" x14ac:dyDescent="0.25">
      <c r="A374" s="25" t="s">
        <v>84</v>
      </c>
      <c r="B374" s="80" t="s">
        <v>500</v>
      </c>
      <c r="C374" s="80" t="s">
        <v>82</v>
      </c>
      <c r="D374" s="80" t="s">
        <v>141</v>
      </c>
      <c r="E374" s="80" t="s">
        <v>6</v>
      </c>
      <c r="F374" s="316">
        <v>8234876.1399999997</v>
      </c>
      <c r="G374" s="317">
        <f t="shared" ref="G374:J375" si="52">G375</f>
        <v>9380236.4600000009</v>
      </c>
      <c r="H374" s="317">
        <f t="shared" si="52"/>
        <v>6706880.9800000004</v>
      </c>
      <c r="I374" s="317">
        <f t="shared" si="52"/>
        <v>9805789.5800000001</v>
      </c>
      <c r="J374" s="317">
        <f t="shared" si="52"/>
        <v>10494546.92</v>
      </c>
      <c r="K374" s="296"/>
      <c r="L374" s="232"/>
      <c r="M374" s="232"/>
      <c r="N374" s="232"/>
    </row>
    <row r="375" spans="1:14" ht="55.05" outlineLevel="7" x14ac:dyDescent="0.25">
      <c r="A375" s="81" t="s">
        <v>37</v>
      </c>
      <c r="B375" s="80" t="s">
        <v>500</v>
      </c>
      <c r="C375" s="80" t="s">
        <v>82</v>
      </c>
      <c r="D375" s="80" t="s">
        <v>141</v>
      </c>
      <c r="E375" s="80" t="s">
        <v>38</v>
      </c>
      <c r="F375" s="316">
        <v>8234876.1399999997</v>
      </c>
      <c r="G375" s="317">
        <f t="shared" si="52"/>
        <v>9380236.4600000009</v>
      </c>
      <c r="H375" s="370">
        <v>6706880.9800000004</v>
      </c>
      <c r="I375" s="317">
        <f t="shared" si="52"/>
        <v>9805789.5800000001</v>
      </c>
      <c r="J375" s="317">
        <f t="shared" si="52"/>
        <v>10494546.92</v>
      </c>
      <c r="K375" s="296"/>
      <c r="L375" s="232"/>
      <c r="M375" s="232"/>
      <c r="N375" s="232"/>
    </row>
    <row r="376" spans="1:14" outlineLevel="7" x14ac:dyDescent="0.25">
      <c r="A376" s="81" t="s">
        <v>74</v>
      </c>
      <c r="B376" s="80" t="s">
        <v>500</v>
      </c>
      <c r="C376" s="80" t="s">
        <v>82</v>
      </c>
      <c r="D376" s="80" t="s">
        <v>141</v>
      </c>
      <c r="E376" s="80" t="s">
        <v>75</v>
      </c>
      <c r="F376" s="316">
        <v>8234876.1399999997</v>
      </c>
      <c r="G376" s="318">
        <f>потребность!I362+85565.85-34359.85</f>
        <v>9380236.4600000009</v>
      </c>
      <c r="H376" s="370">
        <v>6706880.9800000004</v>
      </c>
      <c r="I376" s="318">
        <f>'прил 12'!F361</f>
        <v>9805789.5800000001</v>
      </c>
      <c r="J376" s="318">
        <v>10494546.92</v>
      </c>
      <c r="K376" s="296"/>
      <c r="L376" s="232"/>
      <c r="M376" s="232"/>
      <c r="N376" s="232"/>
    </row>
    <row r="377" spans="1:14" ht="91.7" outlineLevel="7" x14ac:dyDescent="0.25">
      <c r="A377" s="100" t="s">
        <v>393</v>
      </c>
      <c r="B377" s="80" t="s">
        <v>500</v>
      </c>
      <c r="C377" s="80" t="s">
        <v>82</v>
      </c>
      <c r="D377" s="80" t="s">
        <v>294</v>
      </c>
      <c r="E377" s="83" t="s">
        <v>6</v>
      </c>
      <c r="F377" s="316">
        <v>226442.89</v>
      </c>
      <c r="G377" s="344">
        <v>0</v>
      </c>
      <c r="H377" s="344">
        <v>0</v>
      </c>
      <c r="I377" s="317">
        <f>I378</f>
        <v>168005</v>
      </c>
      <c r="J377" s="317">
        <f>J378</f>
        <v>0</v>
      </c>
      <c r="K377" s="296"/>
      <c r="L377" s="232"/>
      <c r="M377" s="232"/>
      <c r="N377" s="232"/>
    </row>
    <row r="378" spans="1:14" ht="55.05" outlineLevel="7" x14ac:dyDescent="0.25">
      <c r="A378" s="81" t="s">
        <v>37</v>
      </c>
      <c r="B378" s="80" t="s">
        <v>500</v>
      </c>
      <c r="C378" s="80" t="s">
        <v>82</v>
      </c>
      <c r="D378" s="80" t="s">
        <v>294</v>
      </c>
      <c r="E378" s="83" t="s">
        <v>38</v>
      </c>
      <c r="F378" s="316">
        <v>226442.89</v>
      </c>
      <c r="G378" s="344">
        <v>0</v>
      </c>
      <c r="H378" s="344">
        <v>0</v>
      </c>
      <c r="I378" s="317">
        <f>I379</f>
        <v>168005</v>
      </c>
      <c r="J378" s="317">
        <f>J379</f>
        <v>0</v>
      </c>
      <c r="K378" s="296"/>
      <c r="L378" s="232"/>
      <c r="M378" s="232"/>
      <c r="N378" s="232"/>
    </row>
    <row r="379" spans="1:14" outlineLevel="7" x14ac:dyDescent="0.25">
      <c r="A379" s="81" t="s">
        <v>74</v>
      </c>
      <c r="B379" s="80" t="s">
        <v>500</v>
      </c>
      <c r="C379" s="80" t="s">
        <v>82</v>
      </c>
      <c r="D379" s="80" t="s">
        <v>294</v>
      </c>
      <c r="E379" s="83" t="s">
        <v>75</v>
      </c>
      <c r="F379" s="316">
        <v>226442.89</v>
      </c>
      <c r="G379" s="344">
        <v>0</v>
      </c>
      <c r="H379" s="344">
        <v>0</v>
      </c>
      <c r="I379" s="318">
        <v>168005</v>
      </c>
      <c r="J379" s="324"/>
      <c r="K379" s="296"/>
      <c r="L379" s="232"/>
      <c r="M379" s="232"/>
      <c r="N379" s="232"/>
    </row>
    <row r="380" spans="1:14" ht="73.400000000000006" outlineLevel="7" x14ac:dyDescent="0.25">
      <c r="A380" s="81" t="s">
        <v>307</v>
      </c>
      <c r="B380" s="80" t="s">
        <v>500</v>
      </c>
      <c r="C380" s="80" t="s">
        <v>82</v>
      </c>
      <c r="D380" s="80" t="s">
        <v>308</v>
      </c>
      <c r="E380" s="83" t="s">
        <v>6</v>
      </c>
      <c r="F380" s="316">
        <v>7003.39</v>
      </c>
      <c r="G380" s="318">
        <v>0</v>
      </c>
      <c r="H380" s="318">
        <v>0</v>
      </c>
      <c r="I380" s="329">
        <f>I381</f>
        <v>5040.1499999999996</v>
      </c>
      <c r="J380" s="317">
        <f>J381</f>
        <v>5196.03</v>
      </c>
      <c r="K380" s="296"/>
      <c r="L380" s="232"/>
      <c r="M380" s="232"/>
      <c r="N380" s="232"/>
    </row>
    <row r="381" spans="1:14" ht="55.05" outlineLevel="7" x14ac:dyDescent="0.25">
      <c r="A381" s="81" t="s">
        <v>37</v>
      </c>
      <c r="B381" s="80" t="s">
        <v>500</v>
      </c>
      <c r="C381" s="80" t="s">
        <v>82</v>
      </c>
      <c r="D381" s="80" t="s">
        <v>308</v>
      </c>
      <c r="E381" s="83" t="s">
        <v>38</v>
      </c>
      <c r="F381" s="316">
        <v>7003.39</v>
      </c>
      <c r="G381" s="318">
        <v>0</v>
      </c>
      <c r="H381" s="318">
        <v>0</v>
      </c>
      <c r="I381" s="329">
        <f>I382</f>
        <v>5040.1499999999996</v>
      </c>
      <c r="J381" s="317">
        <f>J382</f>
        <v>5196.03</v>
      </c>
      <c r="K381" s="296"/>
      <c r="L381" s="232"/>
      <c r="M381" s="232"/>
      <c r="N381" s="232"/>
    </row>
    <row r="382" spans="1:14" outlineLevel="7" x14ac:dyDescent="0.25">
      <c r="A382" s="81" t="s">
        <v>74</v>
      </c>
      <c r="B382" s="80" t="s">
        <v>500</v>
      </c>
      <c r="C382" s="80" t="s">
        <v>82</v>
      </c>
      <c r="D382" s="80" t="s">
        <v>308</v>
      </c>
      <c r="E382" s="83" t="s">
        <v>75</v>
      </c>
      <c r="F382" s="316">
        <v>7003.39</v>
      </c>
      <c r="G382" s="318">
        <v>0</v>
      </c>
      <c r="H382" s="318">
        <v>0</v>
      </c>
      <c r="I382" s="330">
        <v>5040.1499999999996</v>
      </c>
      <c r="J382" s="318">
        <v>5196.03</v>
      </c>
      <c r="K382" s="296"/>
      <c r="L382" s="232"/>
      <c r="M382" s="232"/>
      <c r="N382" s="232"/>
    </row>
    <row r="383" spans="1:14" ht="36.700000000000003" outlineLevel="7" x14ac:dyDescent="0.25">
      <c r="A383" s="81" t="s">
        <v>678</v>
      </c>
      <c r="B383" s="80" t="s">
        <v>500</v>
      </c>
      <c r="C383" s="80" t="s">
        <v>82</v>
      </c>
      <c r="D383" s="80" t="s">
        <v>677</v>
      </c>
      <c r="E383" s="80" t="s">
        <v>6</v>
      </c>
      <c r="F383" s="316">
        <v>23473533.550000001</v>
      </c>
      <c r="G383" s="317">
        <f>G384+G390</f>
        <v>26656285.740000002</v>
      </c>
      <c r="H383" s="317">
        <f>H384+H390</f>
        <v>16802005.420000002</v>
      </c>
      <c r="I383" s="317">
        <f>I384+I390</f>
        <v>25737149.199999999</v>
      </c>
      <c r="J383" s="317">
        <f>J384+J390</f>
        <v>26664701.699999999</v>
      </c>
      <c r="K383" s="296"/>
      <c r="L383" s="232"/>
      <c r="M383" s="232"/>
      <c r="N383" s="232"/>
    </row>
    <row r="384" spans="1:14" ht="36.700000000000003" customHeight="1" outlineLevel="3" x14ac:dyDescent="0.25">
      <c r="A384" s="25" t="s">
        <v>84</v>
      </c>
      <c r="B384" s="80" t="s">
        <v>500</v>
      </c>
      <c r="C384" s="80" t="s">
        <v>82</v>
      </c>
      <c r="D384" s="80" t="s">
        <v>676</v>
      </c>
      <c r="E384" s="80" t="s">
        <v>6</v>
      </c>
      <c r="F384" s="316">
        <v>23473533.550000001</v>
      </c>
      <c r="G384" s="317">
        <f t="shared" ref="G384:J385" si="53">G385</f>
        <v>24239342.940000001</v>
      </c>
      <c r="H384" s="317">
        <f t="shared" si="53"/>
        <v>16802005.420000002</v>
      </c>
      <c r="I384" s="317">
        <f t="shared" si="53"/>
        <v>25737149.199999999</v>
      </c>
      <c r="J384" s="317">
        <f t="shared" si="53"/>
        <v>26664701.699999999</v>
      </c>
      <c r="K384" s="296"/>
      <c r="L384" s="232"/>
      <c r="M384" s="232"/>
      <c r="N384" s="232"/>
    </row>
    <row r="385" spans="1:14" ht="55.05" outlineLevel="3" x14ac:dyDescent="0.25">
      <c r="A385" s="81" t="s">
        <v>37</v>
      </c>
      <c r="B385" s="80" t="s">
        <v>500</v>
      </c>
      <c r="C385" s="80" t="s">
        <v>82</v>
      </c>
      <c r="D385" s="80" t="s">
        <v>676</v>
      </c>
      <c r="E385" s="80" t="s">
        <v>38</v>
      </c>
      <c r="F385" s="316">
        <v>23473533.550000001</v>
      </c>
      <c r="G385" s="317">
        <f t="shared" si="53"/>
        <v>24239342.940000001</v>
      </c>
      <c r="H385" s="370">
        <v>16802005.420000002</v>
      </c>
      <c r="I385" s="317">
        <f t="shared" si="53"/>
        <v>25737149.199999999</v>
      </c>
      <c r="J385" s="317">
        <f t="shared" si="53"/>
        <v>26664701.699999999</v>
      </c>
      <c r="K385" s="296"/>
      <c r="L385" s="232"/>
      <c r="M385" s="232"/>
      <c r="N385" s="232"/>
    </row>
    <row r="386" spans="1:14" ht="21.25" customHeight="1" outlineLevel="3" x14ac:dyDescent="0.25">
      <c r="A386" s="81" t="s">
        <v>74</v>
      </c>
      <c r="B386" s="80" t="s">
        <v>500</v>
      </c>
      <c r="C386" s="80" t="s">
        <v>82</v>
      </c>
      <c r="D386" s="80" t="s">
        <v>676</v>
      </c>
      <c r="E386" s="80" t="s">
        <v>75</v>
      </c>
      <c r="F386" s="316">
        <v>23473533.550000001</v>
      </c>
      <c r="G386" s="318">
        <f>потребность!L366</f>
        <v>24239342.940000001</v>
      </c>
      <c r="H386" s="370">
        <v>16802005.420000002</v>
      </c>
      <c r="I386" s="318">
        <f>'прил 12'!F365</f>
        <v>25737149.199999999</v>
      </c>
      <c r="J386" s="318">
        <v>26664701.699999999</v>
      </c>
      <c r="K386" s="296"/>
      <c r="L386" s="232"/>
      <c r="M386" s="232"/>
      <c r="N386" s="232"/>
    </row>
    <row r="387" spans="1:14" ht="91.7" outlineLevel="7" x14ac:dyDescent="0.25">
      <c r="A387" s="100" t="s">
        <v>936</v>
      </c>
      <c r="B387" s="80" t="s">
        <v>500</v>
      </c>
      <c r="C387" s="80" t="s">
        <v>82</v>
      </c>
      <c r="D387" s="80" t="s">
        <v>935</v>
      </c>
      <c r="E387" s="80" t="s">
        <v>6</v>
      </c>
      <c r="F387" s="80" t="s">
        <v>976</v>
      </c>
      <c r="G387" s="317">
        <f>G388</f>
        <v>1280217.5899999999</v>
      </c>
      <c r="H387" s="317">
        <f>H388</f>
        <v>1280217.5900000001</v>
      </c>
      <c r="I387" s="317">
        <v>0</v>
      </c>
      <c r="J387" s="317">
        <f>J388</f>
        <v>0</v>
      </c>
      <c r="K387" s="296"/>
      <c r="L387" s="232"/>
      <c r="M387" s="232"/>
      <c r="N387" s="232"/>
    </row>
    <row r="388" spans="1:14" ht="55.05" outlineLevel="7" x14ac:dyDescent="0.25">
      <c r="A388" s="81" t="s">
        <v>37</v>
      </c>
      <c r="B388" s="80" t="s">
        <v>500</v>
      </c>
      <c r="C388" s="80" t="s">
        <v>82</v>
      </c>
      <c r="D388" s="80" t="s">
        <v>935</v>
      </c>
      <c r="E388" s="80" t="s">
        <v>38</v>
      </c>
      <c r="F388" s="80" t="s">
        <v>976</v>
      </c>
      <c r="G388" s="317">
        <f>G389</f>
        <v>1280217.5899999999</v>
      </c>
      <c r="H388" s="370">
        <v>1280217.5900000001</v>
      </c>
      <c r="I388" s="317">
        <v>0</v>
      </c>
      <c r="J388" s="317">
        <f>J389</f>
        <v>0</v>
      </c>
      <c r="K388" s="296"/>
      <c r="L388" s="232"/>
      <c r="M388" s="232"/>
      <c r="N388" s="232"/>
    </row>
    <row r="389" spans="1:14" outlineLevel="7" x14ac:dyDescent="0.25">
      <c r="A389" s="81" t="s">
        <v>74</v>
      </c>
      <c r="B389" s="80" t="s">
        <v>500</v>
      </c>
      <c r="C389" s="80" t="s">
        <v>82</v>
      </c>
      <c r="D389" s="80" t="s">
        <v>935</v>
      </c>
      <c r="E389" s="80" t="s">
        <v>75</v>
      </c>
      <c r="F389" s="80" t="s">
        <v>976</v>
      </c>
      <c r="G389" s="318">
        <f>1273913.69+39400-33096.1</f>
        <v>1280217.5899999999</v>
      </c>
      <c r="H389" s="370">
        <v>1280217.5900000001</v>
      </c>
      <c r="I389" s="318">
        <v>0</v>
      </c>
      <c r="J389" s="324"/>
      <c r="K389" s="296"/>
      <c r="L389" s="232"/>
      <c r="M389" s="232"/>
      <c r="N389" s="232"/>
    </row>
    <row r="390" spans="1:14" ht="44.15" customHeight="1" outlineLevel="7" x14ac:dyDescent="0.25">
      <c r="A390" s="81" t="s">
        <v>917</v>
      </c>
      <c r="B390" s="80" t="s">
        <v>500</v>
      </c>
      <c r="C390" s="80" t="s">
        <v>82</v>
      </c>
      <c r="D390" s="80" t="s">
        <v>918</v>
      </c>
      <c r="E390" s="80" t="s">
        <v>6</v>
      </c>
      <c r="F390" s="80" t="s">
        <v>976</v>
      </c>
      <c r="G390" s="325">
        <f>G391</f>
        <v>2416942.7999999998</v>
      </c>
      <c r="H390" s="318">
        <f>H391</f>
        <v>0</v>
      </c>
      <c r="I390" s="318">
        <v>0</v>
      </c>
      <c r="J390" s="318">
        <f>J391</f>
        <v>0</v>
      </c>
      <c r="K390" s="296"/>
      <c r="L390" s="232"/>
      <c r="M390" s="232"/>
      <c r="N390" s="232"/>
    </row>
    <row r="391" spans="1:14" ht="55.05" outlineLevel="7" x14ac:dyDescent="0.25">
      <c r="A391" s="81" t="s">
        <v>37</v>
      </c>
      <c r="B391" s="80" t="s">
        <v>500</v>
      </c>
      <c r="C391" s="80" t="s">
        <v>82</v>
      </c>
      <c r="D391" s="80" t="s">
        <v>918</v>
      </c>
      <c r="E391" s="80" t="s">
        <v>38</v>
      </c>
      <c r="F391" s="80" t="s">
        <v>976</v>
      </c>
      <c r="G391" s="325">
        <f>G392</f>
        <v>2416942.7999999998</v>
      </c>
      <c r="H391" s="318">
        <v>0</v>
      </c>
      <c r="I391" s="318">
        <v>0</v>
      </c>
      <c r="J391" s="318">
        <f>J392</f>
        <v>0</v>
      </c>
      <c r="K391" s="296"/>
      <c r="L391" s="232"/>
      <c r="M391" s="232"/>
      <c r="N391" s="232"/>
    </row>
    <row r="392" spans="1:14" outlineLevel="7" x14ac:dyDescent="0.25">
      <c r="A392" s="81" t="s">
        <v>74</v>
      </c>
      <c r="B392" s="80" t="s">
        <v>500</v>
      </c>
      <c r="C392" s="80" t="s">
        <v>82</v>
      </c>
      <c r="D392" s="80" t="s">
        <v>918</v>
      </c>
      <c r="E392" s="80" t="s">
        <v>75</v>
      </c>
      <c r="F392" s="80" t="s">
        <v>976</v>
      </c>
      <c r="G392" s="325">
        <f>2155894.2-2155894.2+900000+1516942.8</f>
        <v>2416942.7999999998</v>
      </c>
      <c r="H392" s="318">
        <v>0</v>
      </c>
      <c r="I392" s="318">
        <v>0</v>
      </c>
      <c r="J392" s="318">
        <v>0</v>
      </c>
      <c r="K392" s="296"/>
      <c r="L392" s="232"/>
      <c r="M392" s="232"/>
      <c r="N392" s="232"/>
    </row>
    <row r="393" spans="1:14" ht="27" customHeight="1" outlineLevel="7" x14ac:dyDescent="0.25">
      <c r="A393" s="81" t="s">
        <v>211</v>
      </c>
      <c r="B393" s="80" t="s">
        <v>500</v>
      </c>
      <c r="C393" s="80" t="s">
        <v>82</v>
      </c>
      <c r="D393" s="80" t="s">
        <v>229</v>
      </c>
      <c r="E393" s="80" t="s">
        <v>6</v>
      </c>
      <c r="F393" s="316">
        <v>1880985.73</v>
      </c>
      <c r="G393" s="318">
        <f>G394+G398</f>
        <v>1766500</v>
      </c>
      <c r="H393" s="318">
        <f>H394+H398</f>
        <v>508974.93</v>
      </c>
      <c r="I393" s="318">
        <f>I394+I398</f>
        <v>537957</v>
      </c>
      <c r="J393" s="318">
        <f>J394+J398</f>
        <v>746500</v>
      </c>
      <c r="K393" s="296"/>
      <c r="L393" s="232"/>
      <c r="M393" s="232"/>
      <c r="N393" s="232"/>
    </row>
    <row r="394" spans="1:14" ht="36.700000000000003" outlineLevel="7" x14ac:dyDescent="0.25">
      <c r="A394" s="81" t="s">
        <v>83</v>
      </c>
      <c r="B394" s="80" t="s">
        <v>500</v>
      </c>
      <c r="C394" s="80" t="s">
        <v>82</v>
      </c>
      <c r="D394" s="80" t="s">
        <v>140</v>
      </c>
      <c r="E394" s="80" t="s">
        <v>6</v>
      </c>
      <c r="F394" s="316">
        <v>1880985.73</v>
      </c>
      <c r="G394" s="317">
        <f>G395</f>
        <v>746500</v>
      </c>
      <c r="H394" s="317">
        <f>H395</f>
        <v>508974.93</v>
      </c>
      <c r="I394" s="317">
        <f>I395</f>
        <v>537957</v>
      </c>
      <c r="J394" s="317">
        <f>J395</f>
        <v>746500</v>
      </c>
      <c r="K394" s="296"/>
      <c r="L394" s="232"/>
      <c r="M394" s="232"/>
      <c r="N394" s="232"/>
    </row>
    <row r="395" spans="1:14" s="172" customFormat="1" ht="55.05" outlineLevel="1" x14ac:dyDescent="0.25">
      <c r="A395" s="81" t="s">
        <v>37</v>
      </c>
      <c r="B395" s="80" t="s">
        <v>500</v>
      </c>
      <c r="C395" s="80" t="s">
        <v>82</v>
      </c>
      <c r="D395" s="80" t="s">
        <v>140</v>
      </c>
      <c r="E395" s="80" t="s">
        <v>38</v>
      </c>
      <c r="F395" s="316">
        <v>1880985.73</v>
      </c>
      <c r="G395" s="317">
        <f>G396+G397</f>
        <v>746500</v>
      </c>
      <c r="H395" s="370">
        <v>508974.93</v>
      </c>
      <c r="I395" s="317">
        <f>I396+I397</f>
        <v>537957</v>
      </c>
      <c r="J395" s="317">
        <f>J396+J397</f>
        <v>746500</v>
      </c>
      <c r="K395" s="297"/>
      <c r="L395" s="233"/>
      <c r="M395" s="233"/>
      <c r="N395" s="233"/>
    </row>
    <row r="396" spans="1:14" outlineLevel="2" x14ac:dyDescent="0.25">
      <c r="A396" s="81" t="s">
        <v>74</v>
      </c>
      <c r="B396" s="80" t="s">
        <v>500</v>
      </c>
      <c r="C396" s="80" t="s">
        <v>82</v>
      </c>
      <c r="D396" s="80" t="s">
        <v>140</v>
      </c>
      <c r="E396" s="80" t="s">
        <v>75</v>
      </c>
      <c r="F396" s="316">
        <v>1766985.73</v>
      </c>
      <c r="G396" s="317">
        <f>632500</f>
        <v>632500</v>
      </c>
      <c r="H396" s="370">
        <v>410474.93</v>
      </c>
      <c r="I396" s="317">
        <v>423957</v>
      </c>
      <c r="J396" s="318">
        <v>632500</v>
      </c>
      <c r="K396" s="296"/>
      <c r="L396" s="232"/>
      <c r="M396" s="232"/>
      <c r="N396" s="232"/>
    </row>
    <row r="397" spans="1:14" ht="55.05" outlineLevel="4" x14ac:dyDescent="0.25">
      <c r="A397" s="81" t="s">
        <v>371</v>
      </c>
      <c r="B397" s="80" t="s">
        <v>500</v>
      </c>
      <c r="C397" s="80" t="s">
        <v>82</v>
      </c>
      <c r="D397" s="80" t="s">
        <v>140</v>
      </c>
      <c r="E397" s="80" t="s">
        <v>252</v>
      </c>
      <c r="F397" s="316">
        <v>114000</v>
      </c>
      <c r="G397" s="317">
        <v>114000</v>
      </c>
      <c r="H397" s="370">
        <v>98500</v>
      </c>
      <c r="I397" s="317">
        <v>114000</v>
      </c>
      <c r="J397" s="318">
        <v>114000</v>
      </c>
      <c r="K397" s="296"/>
      <c r="L397" s="232"/>
      <c r="M397" s="232"/>
      <c r="N397" s="232"/>
    </row>
    <row r="398" spans="1:14" ht="36.700000000000003" outlineLevel="4" x14ac:dyDescent="0.25">
      <c r="A398" s="81" t="s">
        <v>955</v>
      </c>
      <c r="B398" s="80" t="s">
        <v>500</v>
      </c>
      <c r="C398" s="80" t="s">
        <v>82</v>
      </c>
      <c r="D398" s="80" t="s">
        <v>956</v>
      </c>
      <c r="E398" s="80" t="s">
        <v>6</v>
      </c>
      <c r="F398" s="80" t="s">
        <v>976</v>
      </c>
      <c r="G398" s="317">
        <f>G399</f>
        <v>1020000</v>
      </c>
      <c r="H398" s="317">
        <f>H399</f>
        <v>0</v>
      </c>
      <c r="I398" s="317">
        <v>0</v>
      </c>
      <c r="J398" s="317">
        <f>J399</f>
        <v>0</v>
      </c>
      <c r="K398" s="296"/>
      <c r="L398" s="232"/>
      <c r="M398" s="232"/>
      <c r="N398" s="232"/>
    </row>
    <row r="399" spans="1:14" ht="55.05" outlineLevel="4" x14ac:dyDescent="0.25">
      <c r="A399" s="81" t="s">
        <v>37</v>
      </c>
      <c r="B399" s="80" t="s">
        <v>500</v>
      </c>
      <c r="C399" s="80" t="s">
        <v>82</v>
      </c>
      <c r="D399" s="80" t="s">
        <v>956</v>
      </c>
      <c r="E399" s="80" t="s">
        <v>38</v>
      </c>
      <c r="F399" s="80" t="s">
        <v>976</v>
      </c>
      <c r="G399" s="317">
        <f>G400</f>
        <v>1020000</v>
      </c>
      <c r="H399" s="317">
        <v>0</v>
      </c>
      <c r="I399" s="317">
        <v>0</v>
      </c>
      <c r="J399" s="317">
        <f>J400</f>
        <v>0</v>
      </c>
      <c r="K399" s="296"/>
      <c r="L399" s="232"/>
      <c r="M399" s="232"/>
      <c r="N399" s="232"/>
    </row>
    <row r="400" spans="1:14" outlineLevel="4" x14ac:dyDescent="0.25">
      <c r="A400" s="81" t="s">
        <v>74</v>
      </c>
      <c r="B400" s="80" t="s">
        <v>500</v>
      </c>
      <c r="C400" s="80" t="s">
        <v>82</v>
      </c>
      <c r="D400" s="80" t="s">
        <v>956</v>
      </c>
      <c r="E400" s="80" t="s">
        <v>75</v>
      </c>
      <c r="F400" s="80" t="s">
        <v>976</v>
      </c>
      <c r="G400" s="317">
        <f>1000000+20000</f>
        <v>1020000</v>
      </c>
      <c r="H400" s="317">
        <v>0</v>
      </c>
      <c r="I400" s="317">
        <v>0</v>
      </c>
      <c r="J400" s="318">
        <v>0</v>
      </c>
      <c r="K400" s="296"/>
      <c r="L400" s="232"/>
      <c r="M400" s="232"/>
      <c r="N400" s="232"/>
    </row>
    <row r="401" spans="1:14" ht="36.700000000000003" outlineLevel="5" x14ac:dyDescent="0.25">
      <c r="A401" s="81" t="s">
        <v>522</v>
      </c>
      <c r="B401" s="80" t="s">
        <v>500</v>
      </c>
      <c r="C401" s="80" t="s">
        <v>523</v>
      </c>
      <c r="D401" s="80" t="s">
        <v>126</v>
      </c>
      <c r="E401" s="80" t="s">
        <v>6</v>
      </c>
      <c r="F401" s="80"/>
      <c r="G401" s="317">
        <f>G402+G410</f>
        <v>2369078.34</v>
      </c>
      <c r="H401" s="317">
        <f>H402+H410</f>
        <v>2072014</v>
      </c>
      <c r="I401" s="317">
        <f>I402+I410</f>
        <v>3611907.56</v>
      </c>
      <c r="J401" s="318"/>
      <c r="K401" s="296"/>
      <c r="L401" s="232"/>
      <c r="M401" s="232"/>
      <c r="N401" s="232"/>
    </row>
    <row r="402" spans="1:14" ht="48.25" customHeight="1" outlineLevel="6" x14ac:dyDescent="0.25">
      <c r="A402" s="109" t="s">
        <v>839</v>
      </c>
      <c r="B402" s="80" t="s">
        <v>500</v>
      </c>
      <c r="C402" s="80" t="s">
        <v>523</v>
      </c>
      <c r="D402" s="80" t="s">
        <v>136</v>
      </c>
      <c r="E402" s="80" t="s">
        <v>6</v>
      </c>
      <c r="F402" s="80" t="s">
        <v>976</v>
      </c>
      <c r="G402" s="329">
        <f>G403</f>
        <v>202147.39</v>
      </c>
      <c r="H402" s="317">
        <f>H403</f>
        <v>0</v>
      </c>
      <c r="I402" s="329">
        <v>208543</v>
      </c>
      <c r="J402" s="317">
        <f>J403</f>
        <v>0</v>
      </c>
      <c r="K402" s="296"/>
      <c r="L402" s="232"/>
      <c r="M402" s="232"/>
      <c r="N402" s="232"/>
    </row>
    <row r="403" spans="1:14" ht="23.3" customHeight="1" outlineLevel="7" x14ac:dyDescent="0.25">
      <c r="A403" s="81" t="s">
        <v>211</v>
      </c>
      <c r="B403" s="80" t="s">
        <v>500</v>
      </c>
      <c r="C403" s="80" t="s">
        <v>523</v>
      </c>
      <c r="D403" s="80" t="s">
        <v>229</v>
      </c>
      <c r="E403" s="80" t="s">
        <v>6</v>
      </c>
      <c r="F403" s="80" t="s">
        <v>976</v>
      </c>
      <c r="G403" s="329">
        <f>G404+G407</f>
        <v>202147.39</v>
      </c>
      <c r="H403" s="317">
        <f>H404+H407</f>
        <v>0</v>
      </c>
      <c r="I403" s="329">
        <v>208543</v>
      </c>
      <c r="J403" s="317">
        <f>J404+J407</f>
        <v>0</v>
      </c>
      <c r="K403" s="296"/>
      <c r="L403" s="232"/>
      <c r="M403" s="232"/>
      <c r="N403" s="232"/>
    </row>
    <row r="404" spans="1:14" ht="55.05" outlineLevel="7" x14ac:dyDescent="0.25">
      <c r="A404" s="81" t="s">
        <v>524</v>
      </c>
      <c r="B404" s="80" t="s">
        <v>500</v>
      </c>
      <c r="C404" s="80" t="s">
        <v>523</v>
      </c>
      <c r="D404" s="80" t="s">
        <v>525</v>
      </c>
      <c r="E404" s="80" t="s">
        <v>6</v>
      </c>
      <c r="F404" s="80" t="s">
        <v>976</v>
      </c>
      <c r="G404" s="329">
        <f>G405</f>
        <v>202147.39</v>
      </c>
      <c r="H404" s="317">
        <f>H405</f>
        <v>0</v>
      </c>
      <c r="I404" s="329">
        <v>208543</v>
      </c>
      <c r="J404" s="317">
        <f>J405</f>
        <v>0</v>
      </c>
      <c r="K404" s="296"/>
      <c r="L404" s="232"/>
      <c r="M404" s="232"/>
      <c r="N404" s="232"/>
    </row>
    <row r="405" spans="1:14" s="172" customFormat="1" ht="55.05" outlineLevel="7" x14ac:dyDescent="0.25">
      <c r="A405" s="81" t="s">
        <v>37</v>
      </c>
      <c r="B405" s="80" t="s">
        <v>500</v>
      </c>
      <c r="C405" s="80" t="s">
        <v>523</v>
      </c>
      <c r="D405" s="80" t="s">
        <v>525</v>
      </c>
      <c r="E405" s="80" t="s">
        <v>38</v>
      </c>
      <c r="F405" s="80" t="s">
        <v>976</v>
      </c>
      <c r="G405" s="329">
        <f>G406</f>
        <v>202147.39</v>
      </c>
      <c r="H405" s="317">
        <f>H406</f>
        <v>0</v>
      </c>
      <c r="I405" s="329">
        <v>208543</v>
      </c>
      <c r="J405" s="317">
        <f>J406</f>
        <v>0</v>
      </c>
      <c r="K405" s="297"/>
      <c r="L405" s="233"/>
      <c r="M405" s="233"/>
      <c r="N405" s="233"/>
    </row>
    <row r="406" spans="1:14" ht="24.8" customHeight="1" outlineLevel="7" x14ac:dyDescent="0.25">
      <c r="A406" s="81" t="s">
        <v>74</v>
      </c>
      <c r="B406" s="80" t="s">
        <v>500</v>
      </c>
      <c r="C406" s="80" t="s">
        <v>523</v>
      </c>
      <c r="D406" s="80" t="s">
        <v>525</v>
      </c>
      <c r="E406" s="80" t="s">
        <v>75</v>
      </c>
      <c r="F406" s="80" t="s">
        <v>976</v>
      </c>
      <c r="G406" s="329">
        <v>202147.39</v>
      </c>
      <c r="H406" s="317">
        <v>0</v>
      </c>
      <c r="I406" s="329">
        <v>208543</v>
      </c>
      <c r="J406" s="318">
        <v>0</v>
      </c>
      <c r="K406" s="296"/>
      <c r="L406" s="232"/>
      <c r="M406" s="232"/>
      <c r="N406" s="232"/>
    </row>
    <row r="407" spans="1:14" ht="91.7" outlineLevel="7" x14ac:dyDescent="0.25">
      <c r="A407" s="81" t="s">
        <v>872</v>
      </c>
      <c r="B407" s="80" t="s">
        <v>500</v>
      </c>
      <c r="C407" s="80" t="s">
        <v>523</v>
      </c>
      <c r="D407" s="80" t="s">
        <v>904</v>
      </c>
      <c r="E407" s="80" t="s">
        <v>6</v>
      </c>
      <c r="F407" s="80" t="s">
        <v>976</v>
      </c>
      <c r="G407" s="317">
        <f>G408</f>
        <v>0</v>
      </c>
      <c r="H407" s="360"/>
      <c r="I407" s="317">
        <v>0</v>
      </c>
      <c r="J407" s="317">
        <f>J408</f>
        <v>0</v>
      </c>
      <c r="K407" s="296"/>
      <c r="L407" s="232"/>
      <c r="M407" s="232"/>
      <c r="N407" s="232"/>
    </row>
    <row r="408" spans="1:14" ht="24.8" customHeight="1" outlineLevel="7" x14ac:dyDescent="0.25">
      <c r="A408" s="81" t="s">
        <v>37</v>
      </c>
      <c r="B408" s="80" t="s">
        <v>500</v>
      </c>
      <c r="C408" s="80" t="s">
        <v>523</v>
      </c>
      <c r="D408" s="80" t="s">
        <v>904</v>
      </c>
      <c r="E408" s="80" t="s">
        <v>38</v>
      </c>
      <c r="F408" s="80" t="s">
        <v>976</v>
      </c>
      <c r="G408" s="317">
        <f>G409</f>
        <v>0</v>
      </c>
      <c r="H408" s="360"/>
      <c r="I408" s="317">
        <v>0</v>
      </c>
      <c r="J408" s="317">
        <f>J409</f>
        <v>0</v>
      </c>
      <c r="K408" s="296"/>
      <c r="L408" s="232"/>
      <c r="M408" s="232"/>
      <c r="N408" s="232"/>
    </row>
    <row r="409" spans="1:14" ht="23.3" customHeight="1" outlineLevel="7" x14ac:dyDescent="0.25">
      <c r="A409" s="81" t="s">
        <v>74</v>
      </c>
      <c r="B409" s="80" t="s">
        <v>500</v>
      </c>
      <c r="C409" s="80" t="s">
        <v>523</v>
      </c>
      <c r="D409" s="80" t="s">
        <v>904</v>
      </c>
      <c r="E409" s="80" t="s">
        <v>75</v>
      </c>
      <c r="F409" s="80" t="s">
        <v>976</v>
      </c>
      <c r="G409" s="317">
        <v>0</v>
      </c>
      <c r="H409" s="360"/>
      <c r="I409" s="317">
        <v>0</v>
      </c>
      <c r="J409" s="317">
        <v>0</v>
      </c>
      <c r="K409" s="296"/>
      <c r="L409" s="232"/>
      <c r="M409" s="232"/>
      <c r="N409" s="232"/>
    </row>
    <row r="410" spans="1:14" ht="42.45" customHeight="1" outlineLevel="7" x14ac:dyDescent="0.25">
      <c r="A410" s="109" t="s">
        <v>847</v>
      </c>
      <c r="B410" s="110" t="s">
        <v>500</v>
      </c>
      <c r="C410" s="80" t="s">
        <v>523</v>
      </c>
      <c r="D410" s="80" t="s">
        <v>331</v>
      </c>
      <c r="E410" s="110" t="s">
        <v>6</v>
      </c>
      <c r="F410" s="110" t="s">
        <v>976</v>
      </c>
      <c r="G410" s="317">
        <f t="shared" ref="G410:J413" si="54">G411</f>
        <v>2166930.9499999997</v>
      </c>
      <c r="H410" s="317">
        <f t="shared" si="54"/>
        <v>2072014</v>
      </c>
      <c r="I410" s="317">
        <f t="shared" si="54"/>
        <v>3403364.56</v>
      </c>
      <c r="J410" s="317">
        <f t="shared" si="54"/>
        <v>102100.94</v>
      </c>
      <c r="K410" s="296"/>
      <c r="L410" s="232"/>
      <c r="M410" s="232"/>
      <c r="N410" s="232"/>
    </row>
    <row r="411" spans="1:14" ht="40.75" customHeight="1" outlineLevel="7" x14ac:dyDescent="0.25">
      <c r="A411" s="81" t="s">
        <v>345</v>
      </c>
      <c r="B411" s="80" t="s">
        <v>500</v>
      </c>
      <c r="C411" s="80" t="s">
        <v>523</v>
      </c>
      <c r="D411" s="80" t="s">
        <v>332</v>
      </c>
      <c r="E411" s="80" t="s">
        <v>6</v>
      </c>
      <c r="F411" s="80" t="s">
        <v>976</v>
      </c>
      <c r="G411" s="317">
        <f t="shared" si="54"/>
        <v>2166930.9499999997</v>
      </c>
      <c r="H411" s="317">
        <f t="shared" si="54"/>
        <v>2072014</v>
      </c>
      <c r="I411" s="317">
        <f t="shared" si="54"/>
        <v>3403364.56</v>
      </c>
      <c r="J411" s="317">
        <f t="shared" si="54"/>
        <v>102100.94</v>
      </c>
      <c r="K411" s="296"/>
      <c r="L411" s="232"/>
      <c r="M411" s="232"/>
      <c r="N411" s="232"/>
    </row>
    <row r="412" spans="1:14" ht="75.400000000000006" customHeight="1" outlineLevel="7" x14ac:dyDescent="0.25">
      <c r="A412" s="81" t="s">
        <v>872</v>
      </c>
      <c r="B412" s="80" t="s">
        <v>500</v>
      </c>
      <c r="C412" s="80" t="s">
        <v>523</v>
      </c>
      <c r="D412" s="80" t="s">
        <v>908</v>
      </c>
      <c r="E412" s="80" t="s">
        <v>6</v>
      </c>
      <c r="F412" s="80" t="s">
        <v>976</v>
      </c>
      <c r="G412" s="317">
        <f t="shared" si="54"/>
        <v>2166930.9499999997</v>
      </c>
      <c r="H412" s="317">
        <f t="shared" si="54"/>
        <v>2072014</v>
      </c>
      <c r="I412" s="317">
        <f t="shared" si="54"/>
        <v>3403364.56</v>
      </c>
      <c r="J412" s="317">
        <f t="shared" si="54"/>
        <v>102100.94</v>
      </c>
      <c r="K412" s="296"/>
      <c r="L412" s="232"/>
      <c r="M412" s="232"/>
      <c r="N412" s="232"/>
    </row>
    <row r="413" spans="1:14" ht="23.3" customHeight="1" outlineLevel="7" x14ac:dyDescent="0.25">
      <c r="A413" s="81" t="s">
        <v>15</v>
      </c>
      <c r="B413" s="80" t="s">
        <v>500</v>
      </c>
      <c r="C413" s="80" t="s">
        <v>523</v>
      </c>
      <c r="D413" s="80" t="s">
        <v>908</v>
      </c>
      <c r="E413" s="80" t="s">
        <v>16</v>
      </c>
      <c r="F413" s="80" t="s">
        <v>976</v>
      </c>
      <c r="G413" s="317">
        <f t="shared" si="54"/>
        <v>2166930.9499999997</v>
      </c>
      <c r="H413" s="370">
        <v>2072014</v>
      </c>
      <c r="I413" s="317">
        <f t="shared" si="54"/>
        <v>3403364.56</v>
      </c>
      <c r="J413" s="317">
        <f t="shared" si="54"/>
        <v>102100.94</v>
      </c>
      <c r="K413" s="296"/>
      <c r="L413" s="232"/>
      <c r="M413" s="232"/>
      <c r="N413" s="232"/>
    </row>
    <row r="414" spans="1:14" ht="23.3" customHeight="1" outlineLevel="7" x14ac:dyDescent="0.25">
      <c r="A414" s="81" t="s">
        <v>17</v>
      </c>
      <c r="B414" s="80" t="s">
        <v>500</v>
      </c>
      <c r="C414" s="80" t="s">
        <v>523</v>
      </c>
      <c r="D414" s="80" t="s">
        <v>908</v>
      </c>
      <c r="E414" s="80" t="s">
        <v>18</v>
      </c>
      <c r="F414" s="80" t="s">
        <v>976</v>
      </c>
      <c r="G414" s="317">
        <f>2430452.42+72913.58+2255.05-338690.1</f>
        <v>2166930.9499999997</v>
      </c>
      <c r="H414" s="370">
        <v>2072014</v>
      </c>
      <c r="I414" s="317">
        <f>3301263.62+102100.94</f>
        <v>3403364.56</v>
      </c>
      <c r="J414" s="324">
        <v>102100.94</v>
      </c>
      <c r="K414" s="296"/>
      <c r="L414" s="232"/>
      <c r="M414" s="232"/>
      <c r="N414" s="232"/>
    </row>
    <row r="415" spans="1:14" outlineLevel="7" x14ac:dyDescent="0.25">
      <c r="A415" s="109" t="s">
        <v>85</v>
      </c>
      <c r="B415" s="110" t="s">
        <v>500</v>
      </c>
      <c r="C415" s="110" t="s">
        <v>86</v>
      </c>
      <c r="D415" s="110" t="s">
        <v>126</v>
      </c>
      <c r="E415" s="110" t="s">
        <v>6</v>
      </c>
      <c r="F415" s="316">
        <v>37352716.880000003</v>
      </c>
      <c r="G415" s="321">
        <f>G416+G421+G436</f>
        <v>54369845.619999997</v>
      </c>
      <c r="H415" s="321">
        <f>H416+H421+H436</f>
        <v>25467567.349999998</v>
      </c>
      <c r="I415" s="321">
        <f>I416+I421+I436</f>
        <v>65496624.950000003</v>
      </c>
      <c r="J415" s="321">
        <f>J416+J421+J436</f>
        <v>5956645.6699999999</v>
      </c>
      <c r="K415" s="296"/>
      <c r="L415" s="232"/>
      <c r="M415" s="232"/>
      <c r="N415" s="232"/>
    </row>
    <row r="416" spans="1:14" outlineLevel="7" x14ac:dyDescent="0.25">
      <c r="A416" s="81" t="s">
        <v>87</v>
      </c>
      <c r="B416" s="80" t="s">
        <v>500</v>
      </c>
      <c r="C416" s="80" t="s">
        <v>88</v>
      </c>
      <c r="D416" s="80" t="s">
        <v>126</v>
      </c>
      <c r="E416" s="80" t="s">
        <v>6</v>
      </c>
      <c r="F416" s="316">
        <v>5273116.22</v>
      </c>
      <c r="G416" s="317">
        <f t="shared" ref="G416:J419" si="55">G417</f>
        <v>5386176</v>
      </c>
      <c r="H416" s="317">
        <f t="shared" si="55"/>
        <v>4028416.23</v>
      </c>
      <c r="I416" s="317">
        <f t="shared" si="55"/>
        <v>5386176</v>
      </c>
      <c r="J416" s="317">
        <f t="shared" si="55"/>
        <v>5533145.6699999999</v>
      </c>
      <c r="K416" s="296"/>
      <c r="L416" s="232"/>
      <c r="M416" s="232"/>
      <c r="N416" s="232"/>
    </row>
    <row r="417" spans="1:14" ht="36.700000000000003" outlineLevel="7" x14ac:dyDescent="0.25">
      <c r="A417" s="109" t="s">
        <v>132</v>
      </c>
      <c r="B417" s="110" t="s">
        <v>500</v>
      </c>
      <c r="C417" s="110" t="s">
        <v>88</v>
      </c>
      <c r="D417" s="110" t="s">
        <v>127</v>
      </c>
      <c r="E417" s="110" t="s">
        <v>6</v>
      </c>
      <c r="F417" s="316">
        <v>5273116.22</v>
      </c>
      <c r="G417" s="321">
        <f t="shared" si="55"/>
        <v>5386176</v>
      </c>
      <c r="H417" s="321">
        <f t="shared" si="55"/>
        <v>4028416.23</v>
      </c>
      <c r="I417" s="321">
        <f t="shared" si="55"/>
        <v>5386176</v>
      </c>
      <c r="J417" s="321">
        <f t="shared" si="55"/>
        <v>5533145.6699999999</v>
      </c>
      <c r="K417" s="296"/>
      <c r="L417" s="232"/>
      <c r="M417" s="232"/>
      <c r="N417" s="232"/>
    </row>
    <row r="418" spans="1:14" s="172" customFormat="1" ht="26.5" customHeight="1" outlineLevel="7" x14ac:dyDescent="0.25">
      <c r="A418" s="81" t="s">
        <v>89</v>
      </c>
      <c r="B418" s="80" t="s">
        <v>500</v>
      </c>
      <c r="C418" s="80" t="s">
        <v>88</v>
      </c>
      <c r="D418" s="80" t="s">
        <v>142</v>
      </c>
      <c r="E418" s="80" t="s">
        <v>6</v>
      </c>
      <c r="F418" s="316">
        <v>5273116.22</v>
      </c>
      <c r="G418" s="317">
        <f t="shared" si="55"/>
        <v>5386176</v>
      </c>
      <c r="H418" s="317">
        <f t="shared" si="55"/>
        <v>4028416.23</v>
      </c>
      <c r="I418" s="317">
        <f t="shared" si="55"/>
        <v>5386176</v>
      </c>
      <c r="J418" s="317">
        <f t="shared" si="55"/>
        <v>5533145.6699999999</v>
      </c>
      <c r="K418" s="297"/>
      <c r="L418" s="233"/>
      <c r="M418" s="233"/>
      <c r="N418" s="233"/>
    </row>
    <row r="419" spans="1:14" ht="25.5" customHeight="1" outlineLevel="7" x14ac:dyDescent="0.3">
      <c r="A419" s="81" t="s">
        <v>90</v>
      </c>
      <c r="B419" s="80" t="s">
        <v>500</v>
      </c>
      <c r="C419" s="80" t="s">
        <v>88</v>
      </c>
      <c r="D419" s="80" t="s">
        <v>142</v>
      </c>
      <c r="E419" s="80" t="s">
        <v>91</v>
      </c>
      <c r="F419" s="316">
        <v>5273116.22</v>
      </c>
      <c r="G419" s="317">
        <f t="shared" si="55"/>
        <v>5386176</v>
      </c>
      <c r="H419" s="373">
        <v>4028416.23</v>
      </c>
      <c r="I419" s="317">
        <f t="shared" si="55"/>
        <v>5386176</v>
      </c>
      <c r="J419" s="317">
        <f t="shared" si="55"/>
        <v>5533145.6699999999</v>
      </c>
      <c r="K419" s="296"/>
      <c r="L419" s="232"/>
      <c r="M419" s="232"/>
      <c r="N419" s="232"/>
    </row>
    <row r="420" spans="1:14" ht="36.700000000000003" outlineLevel="7" x14ac:dyDescent="0.3">
      <c r="A420" s="81" t="s">
        <v>92</v>
      </c>
      <c r="B420" s="80" t="s">
        <v>500</v>
      </c>
      <c r="C420" s="80" t="s">
        <v>88</v>
      </c>
      <c r="D420" s="80" t="s">
        <v>142</v>
      </c>
      <c r="E420" s="80" t="s">
        <v>93</v>
      </c>
      <c r="F420" s="316">
        <v>5273116.22</v>
      </c>
      <c r="G420" s="318">
        <v>5386176</v>
      </c>
      <c r="H420" s="373">
        <v>4028416.23</v>
      </c>
      <c r="I420" s="318">
        <v>5386176</v>
      </c>
      <c r="J420" s="318">
        <v>5533145.6699999999</v>
      </c>
      <c r="K420" s="296"/>
      <c r="L420" s="232"/>
      <c r="M420" s="232"/>
      <c r="N420" s="232"/>
    </row>
    <row r="421" spans="1:14" outlineLevel="7" x14ac:dyDescent="0.25">
      <c r="A421" s="81" t="s">
        <v>94</v>
      </c>
      <c r="B421" s="80" t="s">
        <v>500</v>
      </c>
      <c r="C421" s="80" t="s">
        <v>95</v>
      </c>
      <c r="D421" s="80" t="s">
        <v>126</v>
      </c>
      <c r="E421" s="80" t="s">
        <v>6</v>
      </c>
      <c r="F421" s="316">
        <v>679404.39</v>
      </c>
      <c r="G421" s="317">
        <f>G422+G432+G427</f>
        <v>1526800</v>
      </c>
      <c r="H421" s="317">
        <f>H422+H432+H427</f>
        <v>1351800</v>
      </c>
      <c r="I421" s="317">
        <f>I422+I432+I427</f>
        <v>985609.95</v>
      </c>
      <c r="J421" s="317">
        <f>J422+J432+J427</f>
        <v>423500</v>
      </c>
      <c r="K421" s="296"/>
      <c r="L421" s="232"/>
      <c r="M421" s="232"/>
      <c r="N421" s="232"/>
    </row>
    <row r="422" spans="1:14" ht="55.05" outlineLevel="7" x14ac:dyDescent="0.25">
      <c r="A422" s="109" t="s">
        <v>933</v>
      </c>
      <c r="B422" s="80" t="s">
        <v>500</v>
      </c>
      <c r="C422" s="110" t="s">
        <v>95</v>
      </c>
      <c r="D422" s="110" t="s">
        <v>129</v>
      </c>
      <c r="E422" s="110" t="s">
        <v>6</v>
      </c>
      <c r="F422" s="320">
        <v>60804.39</v>
      </c>
      <c r="G422" s="321">
        <f t="shared" ref="G422:J425" si="56">G423</f>
        <v>150000</v>
      </c>
      <c r="H422" s="321">
        <f t="shared" si="56"/>
        <v>0</v>
      </c>
      <c r="I422" s="321">
        <f t="shared" si="56"/>
        <v>150000</v>
      </c>
      <c r="J422" s="321">
        <f t="shared" si="56"/>
        <v>150000</v>
      </c>
      <c r="K422" s="296"/>
      <c r="L422" s="232"/>
      <c r="M422" s="232"/>
      <c r="N422" s="232"/>
    </row>
    <row r="423" spans="1:14" ht="36.700000000000003" outlineLevel="7" x14ac:dyDescent="0.25">
      <c r="A423" s="81" t="s">
        <v>372</v>
      </c>
      <c r="B423" s="80" t="s">
        <v>500</v>
      </c>
      <c r="C423" s="80" t="s">
        <v>95</v>
      </c>
      <c r="D423" s="80" t="s">
        <v>441</v>
      </c>
      <c r="E423" s="80" t="s">
        <v>6</v>
      </c>
      <c r="F423" s="316">
        <v>60804.39</v>
      </c>
      <c r="G423" s="317">
        <f t="shared" si="56"/>
        <v>150000</v>
      </c>
      <c r="H423" s="317">
        <f t="shared" si="56"/>
        <v>0</v>
      </c>
      <c r="I423" s="317">
        <f t="shared" si="56"/>
        <v>150000</v>
      </c>
      <c r="J423" s="317">
        <f t="shared" si="56"/>
        <v>150000</v>
      </c>
      <c r="K423" s="296"/>
      <c r="L423" s="232"/>
      <c r="M423" s="232"/>
      <c r="N423" s="232"/>
    </row>
    <row r="424" spans="1:14" ht="36.700000000000003" outlineLevel="7" x14ac:dyDescent="0.25">
      <c r="A424" s="81" t="s">
        <v>99</v>
      </c>
      <c r="B424" s="80" t="s">
        <v>500</v>
      </c>
      <c r="C424" s="80" t="s">
        <v>95</v>
      </c>
      <c r="D424" s="80" t="s">
        <v>416</v>
      </c>
      <c r="E424" s="80" t="s">
        <v>6</v>
      </c>
      <c r="F424" s="316">
        <v>60804.39</v>
      </c>
      <c r="G424" s="317">
        <f t="shared" si="56"/>
        <v>150000</v>
      </c>
      <c r="H424" s="317">
        <f t="shared" si="56"/>
        <v>0</v>
      </c>
      <c r="I424" s="317">
        <f t="shared" si="56"/>
        <v>150000</v>
      </c>
      <c r="J424" s="317">
        <f t="shared" si="56"/>
        <v>150000</v>
      </c>
      <c r="K424" s="296"/>
      <c r="L424" s="232"/>
      <c r="M424" s="232"/>
      <c r="N424" s="232"/>
    </row>
    <row r="425" spans="1:14" ht="36.700000000000003" outlineLevel="7" x14ac:dyDescent="0.3">
      <c r="A425" s="81" t="s">
        <v>90</v>
      </c>
      <c r="B425" s="80" t="s">
        <v>500</v>
      </c>
      <c r="C425" s="80" t="s">
        <v>95</v>
      </c>
      <c r="D425" s="80" t="s">
        <v>416</v>
      </c>
      <c r="E425" s="80" t="s">
        <v>91</v>
      </c>
      <c r="F425" s="316">
        <v>60804.39</v>
      </c>
      <c r="G425" s="317">
        <f t="shared" si="56"/>
        <v>150000</v>
      </c>
      <c r="H425" s="356">
        <v>0</v>
      </c>
      <c r="I425" s="317">
        <f t="shared" si="56"/>
        <v>150000</v>
      </c>
      <c r="J425" s="317">
        <f t="shared" si="56"/>
        <v>150000</v>
      </c>
      <c r="K425" s="296"/>
      <c r="L425" s="232"/>
      <c r="M425" s="232"/>
      <c r="N425" s="232"/>
    </row>
    <row r="426" spans="1:14" ht="36.700000000000003" outlineLevel="7" x14ac:dyDescent="0.3">
      <c r="A426" s="81" t="s">
        <v>97</v>
      </c>
      <c r="B426" s="80" t="s">
        <v>500</v>
      </c>
      <c r="C426" s="80" t="s">
        <v>95</v>
      </c>
      <c r="D426" s="80" t="s">
        <v>416</v>
      </c>
      <c r="E426" s="80" t="s">
        <v>98</v>
      </c>
      <c r="F426" s="316">
        <v>60804.39</v>
      </c>
      <c r="G426" s="318">
        <v>150000</v>
      </c>
      <c r="H426" s="357">
        <v>0</v>
      </c>
      <c r="I426" s="318">
        <v>150000</v>
      </c>
      <c r="J426" s="318">
        <v>150000</v>
      </c>
      <c r="K426" s="296"/>
      <c r="L426" s="232"/>
      <c r="M426" s="232"/>
      <c r="N426" s="232"/>
    </row>
    <row r="427" spans="1:14" ht="55.05" outlineLevel="1" x14ac:dyDescent="0.25">
      <c r="A427" s="109" t="s">
        <v>838</v>
      </c>
      <c r="B427" s="80" t="s">
        <v>500</v>
      </c>
      <c r="C427" s="110" t="s">
        <v>95</v>
      </c>
      <c r="D427" s="110" t="s">
        <v>374</v>
      </c>
      <c r="E427" s="110" t="s">
        <v>6</v>
      </c>
      <c r="F427" s="320">
        <v>558600</v>
      </c>
      <c r="G427" s="323">
        <f t="shared" ref="G427:J430" si="57">G428</f>
        <v>1276800</v>
      </c>
      <c r="H427" s="323">
        <f t="shared" si="57"/>
        <v>1276800</v>
      </c>
      <c r="I427" s="323">
        <f t="shared" si="57"/>
        <v>735609.95</v>
      </c>
      <c r="J427" s="323">
        <f t="shared" si="57"/>
        <v>173500</v>
      </c>
      <c r="K427" s="296"/>
      <c r="L427" s="232"/>
      <c r="M427" s="232"/>
      <c r="N427" s="232"/>
    </row>
    <row r="428" spans="1:14" ht="44.5" customHeight="1" outlineLevel="1" x14ac:dyDescent="0.25">
      <c r="A428" s="81" t="s">
        <v>394</v>
      </c>
      <c r="B428" s="80" t="s">
        <v>500</v>
      </c>
      <c r="C428" s="80" t="s">
        <v>95</v>
      </c>
      <c r="D428" s="80" t="s">
        <v>375</v>
      </c>
      <c r="E428" s="80" t="s">
        <v>6</v>
      </c>
      <c r="F428" s="316">
        <v>558600</v>
      </c>
      <c r="G428" s="318">
        <f t="shared" si="57"/>
        <v>1276800</v>
      </c>
      <c r="H428" s="318">
        <f t="shared" si="57"/>
        <v>1276800</v>
      </c>
      <c r="I428" s="318">
        <f t="shared" si="57"/>
        <v>735609.95</v>
      </c>
      <c r="J428" s="318">
        <f t="shared" si="57"/>
        <v>173500</v>
      </c>
      <c r="K428" s="296"/>
      <c r="L428" s="232"/>
      <c r="M428" s="232"/>
      <c r="N428" s="232"/>
    </row>
    <row r="429" spans="1:14" ht="36.700000000000003" outlineLevel="1" x14ac:dyDescent="0.25">
      <c r="A429" s="81" t="s">
        <v>96</v>
      </c>
      <c r="B429" s="80" t="s">
        <v>500</v>
      </c>
      <c r="C429" s="80" t="s">
        <v>95</v>
      </c>
      <c r="D429" s="80" t="s">
        <v>376</v>
      </c>
      <c r="E429" s="80" t="s">
        <v>6</v>
      </c>
      <c r="F429" s="316">
        <v>558600</v>
      </c>
      <c r="G429" s="317">
        <f t="shared" si="57"/>
        <v>1276800</v>
      </c>
      <c r="H429" s="317">
        <f t="shared" si="57"/>
        <v>1276800</v>
      </c>
      <c r="I429" s="317">
        <f t="shared" si="57"/>
        <v>735609.95</v>
      </c>
      <c r="J429" s="317">
        <f t="shared" si="57"/>
        <v>173500</v>
      </c>
      <c r="K429" s="296"/>
      <c r="L429" s="232"/>
      <c r="M429" s="232"/>
      <c r="N429" s="232"/>
    </row>
    <row r="430" spans="1:14" ht="36.700000000000003" outlineLevel="1" x14ac:dyDescent="0.25">
      <c r="A430" s="81" t="s">
        <v>90</v>
      </c>
      <c r="B430" s="80" t="s">
        <v>500</v>
      </c>
      <c r="C430" s="80" t="s">
        <v>95</v>
      </c>
      <c r="D430" s="80" t="s">
        <v>376</v>
      </c>
      <c r="E430" s="80" t="s">
        <v>91</v>
      </c>
      <c r="F430" s="316">
        <v>558600</v>
      </c>
      <c r="G430" s="318">
        <f t="shared" si="57"/>
        <v>1276800</v>
      </c>
      <c r="H430" s="370">
        <v>1276800</v>
      </c>
      <c r="I430" s="318">
        <f t="shared" si="57"/>
        <v>735609.95</v>
      </c>
      <c r="J430" s="318">
        <f t="shared" si="57"/>
        <v>173500</v>
      </c>
      <c r="K430" s="296"/>
      <c r="L430" s="232"/>
      <c r="M430" s="232"/>
      <c r="N430" s="232"/>
    </row>
    <row r="431" spans="1:14" ht="36.700000000000003" outlineLevel="1" x14ac:dyDescent="0.25">
      <c r="A431" s="81" t="s">
        <v>97</v>
      </c>
      <c r="B431" s="80" t="s">
        <v>500</v>
      </c>
      <c r="C431" s="80" t="s">
        <v>95</v>
      </c>
      <c r="D431" s="80" t="s">
        <v>376</v>
      </c>
      <c r="E431" s="80" t="s">
        <v>98</v>
      </c>
      <c r="F431" s="316">
        <v>558600</v>
      </c>
      <c r="G431" s="317">
        <f>742359.04+534440.96</f>
        <v>1276800</v>
      </c>
      <c r="H431" s="370">
        <v>1276800</v>
      </c>
      <c r="I431" s="317">
        <v>735609.95</v>
      </c>
      <c r="J431" s="324">
        <v>173500</v>
      </c>
      <c r="K431" s="296"/>
      <c r="L431" s="232"/>
      <c r="M431" s="232"/>
      <c r="N431" s="232"/>
    </row>
    <row r="432" spans="1:14" ht="36.700000000000003" outlineLevel="1" x14ac:dyDescent="0.25">
      <c r="A432" s="109" t="s">
        <v>132</v>
      </c>
      <c r="B432" s="110" t="s">
        <v>500</v>
      </c>
      <c r="C432" s="110" t="s">
        <v>95</v>
      </c>
      <c r="D432" s="110" t="s">
        <v>127</v>
      </c>
      <c r="E432" s="110" t="s">
        <v>6</v>
      </c>
      <c r="F432" s="316">
        <v>60000</v>
      </c>
      <c r="G432" s="323">
        <f t="shared" ref="G432:J434" si="58">G433</f>
        <v>100000</v>
      </c>
      <c r="H432" s="323">
        <f t="shared" si="58"/>
        <v>75000</v>
      </c>
      <c r="I432" s="323">
        <f t="shared" si="58"/>
        <v>100000</v>
      </c>
      <c r="J432" s="323">
        <f t="shared" si="58"/>
        <v>100000</v>
      </c>
      <c r="K432" s="296"/>
      <c r="L432" s="232"/>
      <c r="M432" s="232"/>
      <c r="N432" s="232"/>
    </row>
    <row r="433" spans="1:14" ht="36.700000000000003" outlineLevel="1" x14ac:dyDescent="0.25">
      <c r="A433" s="81" t="s">
        <v>526</v>
      </c>
      <c r="B433" s="80" t="s">
        <v>500</v>
      </c>
      <c r="C433" s="80" t="s">
        <v>95</v>
      </c>
      <c r="D433" s="80" t="s">
        <v>539</v>
      </c>
      <c r="E433" s="80" t="s">
        <v>6</v>
      </c>
      <c r="F433" s="316">
        <v>60000</v>
      </c>
      <c r="G433" s="318">
        <f t="shared" si="58"/>
        <v>100000</v>
      </c>
      <c r="H433" s="318">
        <f t="shared" si="58"/>
        <v>75000</v>
      </c>
      <c r="I433" s="318">
        <f t="shared" si="58"/>
        <v>100000</v>
      </c>
      <c r="J433" s="318">
        <f t="shared" si="58"/>
        <v>100000</v>
      </c>
      <c r="K433" s="296"/>
      <c r="L433" s="232"/>
      <c r="M433" s="232"/>
      <c r="N433" s="232"/>
    </row>
    <row r="434" spans="1:14" ht="36.700000000000003" outlineLevel="1" x14ac:dyDescent="0.25">
      <c r="A434" s="81" t="s">
        <v>90</v>
      </c>
      <c r="B434" s="80" t="s">
        <v>500</v>
      </c>
      <c r="C434" s="80" t="s">
        <v>95</v>
      </c>
      <c r="D434" s="80" t="s">
        <v>539</v>
      </c>
      <c r="E434" s="80" t="s">
        <v>91</v>
      </c>
      <c r="F434" s="316">
        <v>60000</v>
      </c>
      <c r="G434" s="318">
        <f t="shared" si="58"/>
        <v>100000</v>
      </c>
      <c r="H434" s="370">
        <v>75000</v>
      </c>
      <c r="I434" s="318">
        <f t="shared" si="58"/>
        <v>100000</v>
      </c>
      <c r="J434" s="318">
        <f t="shared" si="58"/>
        <v>100000</v>
      </c>
      <c r="K434" s="296"/>
      <c r="L434" s="232"/>
      <c r="M434" s="232"/>
      <c r="N434" s="232"/>
    </row>
    <row r="435" spans="1:14" ht="20.25" customHeight="1" outlineLevel="1" x14ac:dyDescent="0.25">
      <c r="A435" s="81" t="s">
        <v>309</v>
      </c>
      <c r="B435" s="80" t="s">
        <v>500</v>
      </c>
      <c r="C435" s="80" t="s">
        <v>95</v>
      </c>
      <c r="D435" s="80" t="s">
        <v>539</v>
      </c>
      <c r="E435" s="80" t="s">
        <v>310</v>
      </c>
      <c r="F435" s="316">
        <v>60000</v>
      </c>
      <c r="G435" s="317">
        <f>потребность!I407</f>
        <v>100000</v>
      </c>
      <c r="H435" s="370">
        <v>75000</v>
      </c>
      <c r="I435" s="317">
        <v>100000</v>
      </c>
      <c r="J435" s="317">
        <v>100000</v>
      </c>
      <c r="K435" s="296"/>
      <c r="L435" s="232"/>
      <c r="M435" s="232"/>
      <c r="N435" s="232"/>
    </row>
    <row r="436" spans="1:14" outlineLevel="1" x14ac:dyDescent="0.25">
      <c r="A436" s="81" t="s">
        <v>123</v>
      </c>
      <c r="B436" s="80" t="s">
        <v>500</v>
      </c>
      <c r="C436" s="80" t="s">
        <v>124</v>
      </c>
      <c r="D436" s="80" t="s">
        <v>126</v>
      </c>
      <c r="E436" s="80" t="s">
        <v>6</v>
      </c>
      <c r="F436" s="316">
        <v>31400196.27</v>
      </c>
      <c r="G436" s="318">
        <f t="shared" ref="G436:J437" si="59">G437</f>
        <v>47456869.619999997</v>
      </c>
      <c r="H436" s="318">
        <f t="shared" si="59"/>
        <v>20087351.119999997</v>
      </c>
      <c r="I436" s="318">
        <f t="shared" si="59"/>
        <v>59124839</v>
      </c>
      <c r="J436" s="318">
        <f t="shared" si="59"/>
        <v>0</v>
      </c>
      <c r="K436" s="296"/>
      <c r="L436" s="232"/>
      <c r="M436" s="232"/>
      <c r="N436" s="232"/>
    </row>
    <row r="437" spans="1:14" ht="36.700000000000003" outlineLevel="1" x14ac:dyDescent="0.25">
      <c r="A437" s="109" t="s">
        <v>132</v>
      </c>
      <c r="B437" s="110" t="s">
        <v>500</v>
      </c>
      <c r="C437" s="110" t="s">
        <v>124</v>
      </c>
      <c r="D437" s="110" t="s">
        <v>127</v>
      </c>
      <c r="E437" s="110" t="s">
        <v>6</v>
      </c>
      <c r="F437" s="316">
        <v>31400196.27</v>
      </c>
      <c r="G437" s="323">
        <f t="shared" si="59"/>
        <v>47456869.619999997</v>
      </c>
      <c r="H437" s="323">
        <f t="shared" si="59"/>
        <v>20087351.119999997</v>
      </c>
      <c r="I437" s="323">
        <f t="shared" si="59"/>
        <v>59124839</v>
      </c>
      <c r="J437" s="323">
        <f t="shared" si="59"/>
        <v>0</v>
      </c>
      <c r="K437" s="296"/>
      <c r="L437" s="232"/>
      <c r="M437" s="232"/>
      <c r="N437" s="232"/>
    </row>
    <row r="438" spans="1:14" outlineLevel="1" x14ac:dyDescent="0.25">
      <c r="A438" s="81" t="s">
        <v>277</v>
      </c>
      <c r="B438" s="80" t="s">
        <v>500</v>
      </c>
      <c r="C438" s="80" t="s">
        <v>124</v>
      </c>
      <c r="D438" s="80" t="s">
        <v>276</v>
      </c>
      <c r="E438" s="80" t="s">
        <v>6</v>
      </c>
      <c r="F438" s="316">
        <v>31400196.27</v>
      </c>
      <c r="G438" s="318">
        <f>G448+G439+G445</f>
        <v>47456869.619999997</v>
      </c>
      <c r="H438" s="318">
        <f>H448+H439+H445</f>
        <v>20087351.119999997</v>
      </c>
      <c r="I438" s="318">
        <f>I448+I439+I445</f>
        <v>59124839</v>
      </c>
      <c r="J438" s="318">
        <f>J448+J439+J445</f>
        <v>0</v>
      </c>
      <c r="K438" s="296"/>
      <c r="L438" s="232"/>
      <c r="M438" s="232"/>
      <c r="N438" s="232"/>
    </row>
    <row r="439" spans="1:14" s="172" customFormat="1" ht="110.05" outlineLevel="1" x14ac:dyDescent="0.25">
      <c r="A439" s="100" t="s">
        <v>431</v>
      </c>
      <c r="B439" s="80" t="s">
        <v>500</v>
      </c>
      <c r="C439" s="80" t="s">
        <v>124</v>
      </c>
      <c r="D439" s="80" t="s">
        <v>432</v>
      </c>
      <c r="E439" s="80" t="s">
        <v>6</v>
      </c>
      <c r="F439" s="316">
        <v>456463.12</v>
      </c>
      <c r="G439" s="317">
        <f>G440+G442</f>
        <v>22326590.18</v>
      </c>
      <c r="H439" s="317">
        <f>H440+H442</f>
        <v>10072207.699999999</v>
      </c>
      <c r="I439" s="317">
        <f>I440+I442</f>
        <v>22604954.34</v>
      </c>
      <c r="J439" s="317">
        <f>J440+J442</f>
        <v>0</v>
      </c>
      <c r="K439" s="297"/>
      <c r="L439" s="233"/>
      <c r="M439" s="233"/>
      <c r="N439" s="233"/>
    </row>
    <row r="440" spans="1:14" ht="36.700000000000003" outlineLevel="1" x14ac:dyDescent="0.25">
      <c r="A440" s="81" t="s">
        <v>15</v>
      </c>
      <c r="B440" s="80" t="s">
        <v>500</v>
      </c>
      <c r="C440" s="80" t="s">
        <v>124</v>
      </c>
      <c r="D440" s="80" t="s">
        <v>432</v>
      </c>
      <c r="E440" s="80" t="s">
        <v>16</v>
      </c>
      <c r="F440" s="316">
        <v>456463.12</v>
      </c>
      <c r="G440" s="317">
        <f>G441</f>
        <v>130000</v>
      </c>
      <c r="H440" s="370">
        <v>74643.25</v>
      </c>
      <c r="I440" s="317">
        <f>I441</f>
        <v>130000</v>
      </c>
      <c r="J440" s="317">
        <f>J441</f>
        <v>0</v>
      </c>
      <c r="K440" s="296"/>
      <c r="L440" s="232"/>
      <c r="M440" s="232"/>
      <c r="N440" s="232"/>
    </row>
    <row r="441" spans="1:14" s="172" customFormat="1" ht="37.549999999999997" customHeight="1" outlineLevel="1" x14ac:dyDescent="0.25">
      <c r="A441" s="81" t="s">
        <v>17</v>
      </c>
      <c r="B441" s="80" t="s">
        <v>500</v>
      </c>
      <c r="C441" s="80" t="s">
        <v>124</v>
      </c>
      <c r="D441" s="80" t="s">
        <v>432</v>
      </c>
      <c r="E441" s="80" t="s">
        <v>18</v>
      </c>
      <c r="F441" s="316">
        <v>456463.12</v>
      </c>
      <c r="G441" s="317">
        <v>130000</v>
      </c>
      <c r="H441" s="370">
        <v>74643.25</v>
      </c>
      <c r="I441" s="317">
        <v>130000</v>
      </c>
      <c r="J441" s="323">
        <v>0</v>
      </c>
      <c r="K441" s="297"/>
      <c r="L441" s="233"/>
      <c r="M441" s="233"/>
      <c r="N441" s="233"/>
    </row>
    <row r="442" spans="1:14" ht="36.700000000000003" outlineLevel="1" x14ac:dyDescent="0.25">
      <c r="A442" s="81" t="s">
        <v>90</v>
      </c>
      <c r="B442" s="80" t="s">
        <v>500</v>
      </c>
      <c r="C442" s="80" t="s">
        <v>124</v>
      </c>
      <c r="D442" s="80" t="s">
        <v>432</v>
      </c>
      <c r="E442" s="80" t="s">
        <v>91</v>
      </c>
      <c r="F442" s="316">
        <v>13734787.529999999</v>
      </c>
      <c r="G442" s="317">
        <f>G443+G444</f>
        <v>22196590.18</v>
      </c>
      <c r="H442" s="370">
        <v>9997564.4499999993</v>
      </c>
      <c r="I442" s="317">
        <f>I443+I444</f>
        <v>22474954.34</v>
      </c>
      <c r="J442" s="317">
        <f>J443+J444</f>
        <v>0</v>
      </c>
      <c r="K442" s="296"/>
      <c r="L442" s="232"/>
      <c r="M442" s="232"/>
      <c r="N442" s="232"/>
    </row>
    <row r="443" spans="1:14" ht="39.4" customHeight="1" outlineLevel="1" x14ac:dyDescent="0.25">
      <c r="A443" s="81" t="s">
        <v>92</v>
      </c>
      <c r="B443" s="80" t="s">
        <v>500</v>
      </c>
      <c r="C443" s="80" t="s">
        <v>124</v>
      </c>
      <c r="D443" s="80" t="s">
        <v>432</v>
      </c>
      <c r="E443" s="80" t="s">
        <v>93</v>
      </c>
      <c r="F443" s="316">
        <v>105651.19</v>
      </c>
      <c r="G443" s="317">
        <f>19797344.4+399245.78</f>
        <v>20196590.18</v>
      </c>
      <c r="H443" s="370">
        <v>8539128.2200000007</v>
      </c>
      <c r="I443" s="317">
        <v>20474954.34</v>
      </c>
      <c r="J443" s="324"/>
      <c r="K443" s="296"/>
      <c r="L443" s="232"/>
      <c r="M443" s="232"/>
      <c r="N443" s="232"/>
    </row>
    <row r="444" spans="1:14" ht="47.25" customHeight="1" outlineLevel="1" x14ac:dyDescent="0.25">
      <c r="A444" s="81" t="s">
        <v>97</v>
      </c>
      <c r="B444" s="80" t="s">
        <v>500</v>
      </c>
      <c r="C444" s="80" t="s">
        <v>124</v>
      </c>
      <c r="D444" s="80" t="s">
        <v>432</v>
      </c>
      <c r="E444" s="80" t="s">
        <v>98</v>
      </c>
      <c r="F444" s="316">
        <v>105651.19</v>
      </c>
      <c r="G444" s="317">
        <v>2000000</v>
      </c>
      <c r="H444" s="370">
        <v>1458436.23</v>
      </c>
      <c r="I444" s="317">
        <v>2000000</v>
      </c>
      <c r="J444" s="324"/>
      <c r="K444" s="296"/>
      <c r="L444" s="232"/>
      <c r="M444" s="232"/>
      <c r="N444" s="232"/>
    </row>
    <row r="445" spans="1:14" ht="84.25" customHeight="1" outlineLevel="1" x14ac:dyDescent="0.25">
      <c r="A445" s="100" t="s">
        <v>760</v>
      </c>
      <c r="B445" s="80" t="s">
        <v>500</v>
      </c>
      <c r="C445" s="80" t="s">
        <v>124</v>
      </c>
      <c r="D445" s="80" t="s">
        <v>792</v>
      </c>
      <c r="E445" s="80" t="s">
        <v>6</v>
      </c>
      <c r="F445" s="316">
        <v>13629136.34</v>
      </c>
      <c r="G445" s="317">
        <f t="shared" ref="G445:J446" si="60">G446</f>
        <v>16214571.039999999</v>
      </c>
      <c r="H445" s="317">
        <f t="shared" si="60"/>
        <v>10015143.42</v>
      </c>
      <c r="I445" s="317">
        <f t="shared" si="60"/>
        <v>16214571.039999999</v>
      </c>
      <c r="J445" s="317">
        <f t="shared" si="60"/>
        <v>0</v>
      </c>
      <c r="K445" s="296"/>
      <c r="L445" s="232"/>
      <c r="M445" s="232"/>
      <c r="N445" s="232"/>
    </row>
    <row r="446" spans="1:14" ht="42.8" customHeight="1" outlineLevel="1" x14ac:dyDescent="0.25">
      <c r="A446" s="81" t="s">
        <v>264</v>
      </c>
      <c r="B446" s="80" t="s">
        <v>500</v>
      </c>
      <c r="C446" s="80" t="s">
        <v>124</v>
      </c>
      <c r="D446" s="80" t="s">
        <v>792</v>
      </c>
      <c r="E446" s="80" t="s">
        <v>265</v>
      </c>
      <c r="F446" s="316">
        <v>11719309.77</v>
      </c>
      <c r="G446" s="317">
        <f t="shared" si="60"/>
        <v>16214571.039999999</v>
      </c>
      <c r="H446" s="370">
        <v>10015143.42</v>
      </c>
      <c r="I446" s="317">
        <f t="shared" si="60"/>
        <v>16214571.039999999</v>
      </c>
      <c r="J446" s="317">
        <f t="shared" si="60"/>
        <v>0</v>
      </c>
      <c r="K446" s="296"/>
      <c r="L446" s="232"/>
      <c r="M446" s="232"/>
      <c r="N446" s="232"/>
    </row>
    <row r="447" spans="1:14" ht="28.55" customHeight="1" outlineLevel="1" x14ac:dyDescent="0.25">
      <c r="A447" s="81" t="s">
        <v>266</v>
      </c>
      <c r="B447" s="80" t="s">
        <v>500</v>
      </c>
      <c r="C447" s="80" t="s">
        <v>124</v>
      </c>
      <c r="D447" s="80" t="s">
        <v>792</v>
      </c>
      <c r="E447" s="80" t="s">
        <v>267</v>
      </c>
      <c r="F447" s="316">
        <v>1909826.57</v>
      </c>
      <c r="G447" s="317">
        <v>16214571.039999999</v>
      </c>
      <c r="H447" s="370">
        <v>10015143.42</v>
      </c>
      <c r="I447" s="317">
        <v>16214571.039999999</v>
      </c>
      <c r="J447" s="324"/>
      <c r="K447" s="296"/>
      <c r="L447" s="232"/>
      <c r="M447" s="232"/>
      <c r="N447" s="232"/>
    </row>
    <row r="448" spans="1:14" ht="99" customHeight="1" outlineLevel="1" x14ac:dyDescent="0.25">
      <c r="A448" s="100" t="s">
        <v>656</v>
      </c>
      <c r="B448" s="80" t="s">
        <v>500</v>
      </c>
      <c r="C448" s="80" t="s">
        <v>124</v>
      </c>
      <c r="D448" s="80" t="s">
        <v>295</v>
      </c>
      <c r="E448" s="80" t="s">
        <v>6</v>
      </c>
      <c r="F448" s="316">
        <v>17208945.620000001</v>
      </c>
      <c r="G448" s="318">
        <f t="shared" ref="G448:J449" si="61">G449</f>
        <v>8915708.4000000004</v>
      </c>
      <c r="H448" s="318">
        <f t="shared" si="61"/>
        <v>0</v>
      </c>
      <c r="I448" s="318">
        <f t="shared" si="61"/>
        <v>20305313.620000001</v>
      </c>
      <c r="J448" s="318">
        <f t="shared" si="61"/>
        <v>0</v>
      </c>
      <c r="K448" s="296"/>
      <c r="L448" s="232"/>
      <c r="M448" s="232"/>
      <c r="N448" s="232"/>
    </row>
    <row r="449" spans="1:14" ht="55.05" outlineLevel="1" x14ac:dyDescent="0.25">
      <c r="A449" s="81" t="s">
        <v>264</v>
      </c>
      <c r="B449" s="80" t="s">
        <v>500</v>
      </c>
      <c r="C449" s="80" t="s">
        <v>124</v>
      </c>
      <c r="D449" s="80" t="s">
        <v>295</v>
      </c>
      <c r="E449" s="80" t="s">
        <v>265</v>
      </c>
      <c r="F449" s="316">
        <v>17208945.620000001</v>
      </c>
      <c r="G449" s="318">
        <f t="shared" si="61"/>
        <v>8915708.4000000004</v>
      </c>
      <c r="H449" s="318">
        <v>0</v>
      </c>
      <c r="I449" s="318">
        <f t="shared" si="61"/>
        <v>20305313.620000001</v>
      </c>
      <c r="J449" s="318">
        <f t="shared" si="61"/>
        <v>0</v>
      </c>
      <c r="K449" s="296"/>
      <c r="L449" s="232"/>
      <c r="M449" s="232"/>
      <c r="N449" s="232"/>
    </row>
    <row r="450" spans="1:14" outlineLevel="1" x14ac:dyDescent="0.25">
      <c r="A450" s="81" t="s">
        <v>266</v>
      </c>
      <c r="B450" s="80" t="s">
        <v>500</v>
      </c>
      <c r="C450" s="80" t="s">
        <v>124</v>
      </c>
      <c r="D450" s="80" t="s">
        <v>295</v>
      </c>
      <c r="E450" s="80" t="s">
        <v>267</v>
      </c>
      <c r="F450" s="316">
        <v>17208945.620000001</v>
      </c>
      <c r="G450" s="317">
        <f>10197469.69-468919.69-812841.6</f>
        <v>8915708.4000000004</v>
      </c>
      <c r="H450" s="317">
        <v>0</v>
      </c>
      <c r="I450" s="317">
        <v>20305313.620000001</v>
      </c>
      <c r="J450" s="324"/>
      <c r="K450" s="296"/>
      <c r="L450" s="232"/>
      <c r="M450" s="232"/>
      <c r="N450" s="232"/>
    </row>
    <row r="451" spans="1:14" outlineLevel="1" x14ac:dyDescent="0.25">
      <c r="A451" s="109" t="s">
        <v>100</v>
      </c>
      <c r="B451" s="110" t="s">
        <v>500</v>
      </c>
      <c r="C451" s="110" t="s">
        <v>101</v>
      </c>
      <c r="D451" s="110" t="s">
        <v>126</v>
      </c>
      <c r="E451" s="110" t="s">
        <v>6</v>
      </c>
      <c r="F451" s="316">
        <v>710998.64</v>
      </c>
      <c r="G451" s="323">
        <f>G452</f>
        <v>11156395.439999999</v>
      </c>
      <c r="H451" s="323">
        <f>H452</f>
        <v>10079819.859999999</v>
      </c>
      <c r="I451" s="323">
        <f>I452</f>
        <v>1973229.4</v>
      </c>
      <c r="J451" s="323">
        <f>J452</f>
        <v>1809810.64</v>
      </c>
      <c r="K451" s="296"/>
      <c r="L451" s="232"/>
      <c r="M451" s="232"/>
      <c r="N451" s="232"/>
    </row>
    <row r="452" spans="1:14" ht="22.75" customHeight="1" outlineLevel="1" x14ac:dyDescent="0.25">
      <c r="A452" s="81" t="s">
        <v>301</v>
      </c>
      <c r="B452" s="80" t="s">
        <v>500</v>
      </c>
      <c r="C452" s="80" t="s">
        <v>300</v>
      </c>
      <c r="D452" s="80" t="s">
        <v>126</v>
      </c>
      <c r="E452" s="80" t="s">
        <v>6</v>
      </c>
      <c r="F452" s="316">
        <v>710998.64</v>
      </c>
      <c r="G452" s="318">
        <f>G453+G488</f>
        <v>11156395.439999999</v>
      </c>
      <c r="H452" s="318">
        <f>H453+H488</f>
        <v>10079819.859999999</v>
      </c>
      <c r="I452" s="318">
        <f>I453+I488</f>
        <v>1973229.4</v>
      </c>
      <c r="J452" s="318">
        <f>J453+J488</f>
        <v>1809810.64</v>
      </c>
      <c r="K452" s="296"/>
      <c r="L452" s="232"/>
      <c r="M452" s="232"/>
      <c r="N452" s="232"/>
    </row>
    <row r="453" spans="1:14" ht="48.75" customHeight="1" outlineLevel="1" x14ac:dyDescent="0.25">
      <c r="A453" s="109" t="s">
        <v>836</v>
      </c>
      <c r="B453" s="110" t="s">
        <v>500</v>
      </c>
      <c r="C453" s="110" t="s">
        <v>300</v>
      </c>
      <c r="D453" s="110" t="s">
        <v>200</v>
      </c>
      <c r="E453" s="110" t="s">
        <v>6</v>
      </c>
      <c r="F453" s="320">
        <v>660998.64</v>
      </c>
      <c r="G453" s="323">
        <f>G454+G472</f>
        <v>11106395.439999999</v>
      </c>
      <c r="H453" s="323">
        <f>H454+H472</f>
        <v>10029819.859999999</v>
      </c>
      <c r="I453" s="323">
        <f>I454+I472</f>
        <v>1923229.4</v>
      </c>
      <c r="J453" s="323">
        <f>J454+J472</f>
        <v>1759810.64</v>
      </c>
      <c r="K453" s="296"/>
      <c r="L453" s="232"/>
      <c r="M453" s="232"/>
      <c r="N453" s="232"/>
    </row>
    <row r="454" spans="1:14" ht="55.05" outlineLevel="1" x14ac:dyDescent="0.25">
      <c r="A454" s="81" t="s">
        <v>837</v>
      </c>
      <c r="B454" s="80" t="s">
        <v>500</v>
      </c>
      <c r="C454" s="80" t="s">
        <v>300</v>
      </c>
      <c r="D454" s="80" t="s">
        <v>230</v>
      </c>
      <c r="E454" s="80" t="s">
        <v>6</v>
      </c>
      <c r="F454" s="316">
        <v>660998.64</v>
      </c>
      <c r="G454" s="318">
        <f>G455+G460+G463+G466+G469</f>
        <v>9907138.4499999993</v>
      </c>
      <c r="H454" s="318">
        <f>H455+H460+H463+H466+H469</f>
        <v>9833329.7299999986</v>
      </c>
      <c r="I454" s="318">
        <f>I455+I460+I463+I466+I469</f>
        <v>661000</v>
      </c>
      <c r="J454" s="318">
        <f>J455+J460+J463+J466+J469</f>
        <v>661000</v>
      </c>
      <c r="K454" s="296"/>
      <c r="L454" s="232"/>
      <c r="M454" s="232"/>
      <c r="N454" s="232"/>
    </row>
    <row r="455" spans="1:14" ht="20.25" customHeight="1" outlineLevel="1" x14ac:dyDescent="0.25">
      <c r="A455" s="81" t="s">
        <v>102</v>
      </c>
      <c r="B455" s="80" t="s">
        <v>500</v>
      </c>
      <c r="C455" s="80" t="s">
        <v>300</v>
      </c>
      <c r="D455" s="80" t="s">
        <v>201</v>
      </c>
      <c r="E455" s="80" t="s">
        <v>6</v>
      </c>
      <c r="F455" s="316">
        <v>660998.64</v>
      </c>
      <c r="G455" s="318">
        <f>G456+G458</f>
        <v>704500</v>
      </c>
      <c r="H455" s="318">
        <f>H456+H458</f>
        <v>630691.68000000005</v>
      </c>
      <c r="I455" s="318">
        <f>I456+I458</f>
        <v>661000</v>
      </c>
      <c r="J455" s="318">
        <f>J456+J458</f>
        <v>661000</v>
      </c>
      <c r="K455" s="296"/>
      <c r="L455" s="232"/>
      <c r="M455" s="232"/>
      <c r="N455" s="232"/>
    </row>
    <row r="456" spans="1:14" ht="21.25" customHeight="1" outlineLevel="1" x14ac:dyDescent="0.25">
      <c r="A456" s="81" t="s">
        <v>15</v>
      </c>
      <c r="B456" s="80" t="s">
        <v>500</v>
      </c>
      <c r="C456" s="80" t="s">
        <v>300</v>
      </c>
      <c r="D456" s="80" t="s">
        <v>201</v>
      </c>
      <c r="E456" s="80" t="s">
        <v>16</v>
      </c>
      <c r="F456" s="316">
        <v>639298.64</v>
      </c>
      <c r="G456" s="318">
        <f>G457</f>
        <v>674500</v>
      </c>
      <c r="H456" s="370">
        <v>607991.68000000005</v>
      </c>
      <c r="I456" s="318">
        <f>I457</f>
        <v>631000</v>
      </c>
      <c r="J456" s="318">
        <f>J457</f>
        <v>631000</v>
      </c>
      <c r="K456" s="296"/>
      <c r="L456" s="232"/>
      <c r="M456" s="232"/>
      <c r="N456" s="232"/>
    </row>
    <row r="457" spans="1:14" s="172" customFormat="1" ht="55.05" outlineLevel="1" x14ac:dyDescent="0.25">
      <c r="A457" s="81" t="s">
        <v>17</v>
      </c>
      <c r="B457" s="80" t="s">
        <v>500</v>
      </c>
      <c r="C457" s="80" t="s">
        <v>300</v>
      </c>
      <c r="D457" s="80" t="s">
        <v>201</v>
      </c>
      <c r="E457" s="80" t="s">
        <v>18</v>
      </c>
      <c r="F457" s="316">
        <v>639298.64</v>
      </c>
      <c r="G457" s="318">
        <f>потребность!L432-156500</f>
        <v>674500</v>
      </c>
      <c r="H457" s="370">
        <v>607991.68000000005</v>
      </c>
      <c r="I457" s="318">
        <v>631000</v>
      </c>
      <c r="J457" s="323">
        <v>631000</v>
      </c>
      <c r="K457" s="297"/>
      <c r="L457" s="233"/>
      <c r="M457" s="233"/>
      <c r="N457" s="233"/>
    </row>
    <row r="458" spans="1:14" ht="24.8" customHeight="1" outlineLevel="2" x14ac:dyDescent="0.25">
      <c r="A458" s="81" t="s">
        <v>271</v>
      </c>
      <c r="B458" s="80" t="s">
        <v>500</v>
      </c>
      <c r="C458" s="80" t="s">
        <v>300</v>
      </c>
      <c r="D458" s="80" t="s">
        <v>201</v>
      </c>
      <c r="E458" s="80" t="s">
        <v>20</v>
      </c>
      <c r="F458" s="316">
        <v>21700</v>
      </c>
      <c r="G458" s="318">
        <f>G459</f>
        <v>30000</v>
      </c>
      <c r="H458" s="370">
        <v>22700</v>
      </c>
      <c r="I458" s="318">
        <f>I459</f>
        <v>30000</v>
      </c>
      <c r="J458" s="318">
        <f>J459</f>
        <v>30000</v>
      </c>
      <c r="K458" s="296"/>
      <c r="L458" s="232"/>
      <c r="M458" s="232"/>
      <c r="N458" s="232"/>
    </row>
    <row r="459" spans="1:14" s="172" customFormat="1" ht="27.7" customHeight="1" outlineLevel="3" x14ac:dyDescent="0.25">
      <c r="A459" s="81" t="s">
        <v>272</v>
      </c>
      <c r="B459" s="80" t="s">
        <v>500</v>
      </c>
      <c r="C459" s="80" t="s">
        <v>300</v>
      </c>
      <c r="D459" s="80" t="s">
        <v>201</v>
      </c>
      <c r="E459" s="80" t="s">
        <v>22</v>
      </c>
      <c r="F459" s="316">
        <v>21700</v>
      </c>
      <c r="G459" s="318">
        <v>30000</v>
      </c>
      <c r="H459" s="370">
        <v>22700</v>
      </c>
      <c r="I459" s="318">
        <v>30000</v>
      </c>
      <c r="J459" s="323">
        <v>30000</v>
      </c>
      <c r="K459" s="297"/>
      <c r="L459" s="233"/>
      <c r="M459" s="233"/>
      <c r="N459" s="233"/>
    </row>
    <row r="460" spans="1:14" s="172" customFormat="1" ht="43.5" customHeight="1" outlineLevel="3" x14ac:dyDescent="0.25">
      <c r="A460" s="81" t="s">
        <v>281</v>
      </c>
      <c r="B460" s="80" t="s">
        <v>500</v>
      </c>
      <c r="C460" s="80" t="s">
        <v>300</v>
      </c>
      <c r="D460" s="80" t="s">
        <v>920</v>
      </c>
      <c r="E460" s="80" t="s">
        <v>6</v>
      </c>
      <c r="F460" s="80"/>
      <c r="G460" s="318">
        <f>G461</f>
        <v>6553690</v>
      </c>
      <c r="H460" s="318">
        <f>H461</f>
        <v>6553689.5999999996</v>
      </c>
      <c r="I460" s="318">
        <v>0</v>
      </c>
      <c r="J460" s="318">
        <f>J461</f>
        <v>0</v>
      </c>
      <c r="K460" s="297"/>
      <c r="L460" s="233"/>
      <c r="M460" s="233"/>
      <c r="N460" s="233"/>
    </row>
    <row r="461" spans="1:14" s="172" customFormat="1" ht="27.7" customHeight="1" outlineLevel="3" x14ac:dyDescent="0.25">
      <c r="A461" s="81" t="s">
        <v>15</v>
      </c>
      <c r="B461" s="80" t="s">
        <v>500</v>
      </c>
      <c r="C461" s="80" t="s">
        <v>300</v>
      </c>
      <c r="D461" s="80" t="s">
        <v>920</v>
      </c>
      <c r="E461" s="80" t="s">
        <v>16</v>
      </c>
      <c r="F461" s="80"/>
      <c r="G461" s="318">
        <f>G462</f>
        <v>6553690</v>
      </c>
      <c r="H461" s="370">
        <v>6553689.5999999996</v>
      </c>
      <c r="I461" s="318">
        <v>0</v>
      </c>
      <c r="J461" s="318">
        <f>J462</f>
        <v>0</v>
      </c>
      <c r="K461" s="297"/>
      <c r="L461" s="233"/>
      <c r="M461" s="233"/>
      <c r="N461" s="233"/>
    </row>
    <row r="462" spans="1:14" s="172" customFormat="1" ht="49.75" customHeight="1" outlineLevel="3" x14ac:dyDescent="0.25">
      <c r="A462" s="81" t="s">
        <v>17</v>
      </c>
      <c r="B462" s="80" t="s">
        <v>500</v>
      </c>
      <c r="C462" s="80" t="s">
        <v>300</v>
      </c>
      <c r="D462" s="80" t="s">
        <v>920</v>
      </c>
      <c r="E462" s="80" t="s">
        <v>18</v>
      </c>
      <c r="F462" s="80"/>
      <c r="G462" s="318">
        <v>6553690</v>
      </c>
      <c r="H462" s="370">
        <v>6553689.5999999996</v>
      </c>
      <c r="I462" s="318">
        <v>0</v>
      </c>
      <c r="J462" s="323">
        <v>0</v>
      </c>
      <c r="K462" s="297"/>
      <c r="L462" s="233"/>
      <c r="M462" s="233"/>
      <c r="N462" s="233"/>
    </row>
    <row r="463" spans="1:14" s="172" customFormat="1" ht="38.049999999999997" customHeight="1" outlineLevel="3" x14ac:dyDescent="0.25">
      <c r="A463" s="81" t="s">
        <v>919</v>
      </c>
      <c r="B463" s="80" t="s">
        <v>500</v>
      </c>
      <c r="C463" s="80" t="s">
        <v>300</v>
      </c>
      <c r="D463" s="80" t="s">
        <v>921</v>
      </c>
      <c r="E463" s="80" t="s">
        <v>6</v>
      </c>
      <c r="F463" s="80"/>
      <c r="G463" s="318">
        <f>G464</f>
        <v>0</v>
      </c>
      <c r="H463" s="318">
        <f>H464</f>
        <v>0</v>
      </c>
      <c r="I463" s="318">
        <v>0</v>
      </c>
      <c r="J463" s="318">
        <f>J464</f>
        <v>0</v>
      </c>
      <c r="K463" s="297"/>
      <c r="L463" s="233"/>
      <c r="M463" s="233"/>
      <c r="N463" s="233"/>
    </row>
    <row r="464" spans="1:14" s="172" customFormat="1" ht="27.7" customHeight="1" outlineLevel="3" x14ac:dyDescent="0.25">
      <c r="A464" s="81" t="s">
        <v>15</v>
      </c>
      <c r="B464" s="80" t="s">
        <v>500</v>
      </c>
      <c r="C464" s="80" t="s">
        <v>300</v>
      </c>
      <c r="D464" s="80" t="s">
        <v>921</v>
      </c>
      <c r="E464" s="80" t="s">
        <v>16</v>
      </c>
      <c r="F464" s="80"/>
      <c r="G464" s="318">
        <f>G465</f>
        <v>0</v>
      </c>
      <c r="H464" s="318">
        <f>H465</f>
        <v>0</v>
      </c>
      <c r="I464" s="318">
        <v>0</v>
      </c>
      <c r="J464" s="318">
        <f>J465</f>
        <v>0</v>
      </c>
      <c r="K464" s="297"/>
      <c r="L464" s="233"/>
      <c r="M464" s="233"/>
      <c r="N464" s="233"/>
    </row>
    <row r="465" spans="1:14" s="172" customFormat="1" ht="41.95" customHeight="1" outlineLevel="3" x14ac:dyDescent="0.25">
      <c r="A465" s="81" t="s">
        <v>17</v>
      </c>
      <c r="B465" s="80" t="s">
        <v>500</v>
      </c>
      <c r="C465" s="80" t="s">
        <v>300</v>
      </c>
      <c r="D465" s="80" t="s">
        <v>921</v>
      </c>
      <c r="E465" s="80" t="s">
        <v>18</v>
      </c>
      <c r="F465" s="80"/>
      <c r="G465" s="318">
        <f>647275.5-317251-330024.5</f>
        <v>0</v>
      </c>
      <c r="H465" s="318">
        <f>647275.5-317251-330024.5</f>
        <v>0</v>
      </c>
      <c r="I465" s="318">
        <v>0</v>
      </c>
      <c r="J465" s="318">
        <f>647275.5-317251-330024.5</f>
        <v>0</v>
      </c>
      <c r="K465" s="297"/>
      <c r="L465" s="233"/>
      <c r="M465" s="233"/>
      <c r="N465" s="233"/>
    </row>
    <row r="466" spans="1:14" s="172" customFormat="1" ht="59.8" customHeight="1" outlineLevel="3" x14ac:dyDescent="0.25">
      <c r="A466" s="276" t="s">
        <v>945</v>
      </c>
      <c r="B466" s="80" t="s">
        <v>500</v>
      </c>
      <c r="C466" s="80" t="s">
        <v>300</v>
      </c>
      <c r="D466" s="80" t="s">
        <v>946</v>
      </c>
      <c r="E466" s="80" t="s">
        <v>6</v>
      </c>
      <c r="F466" s="80"/>
      <c r="G466" s="318">
        <f t="shared" ref="G466:J467" si="62">G467</f>
        <v>2569480</v>
      </c>
      <c r="H466" s="318">
        <f t="shared" si="62"/>
        <v>2569480</v>
      </c>
      <c r="I466" s="318">
        <f t="shared" si="62"/>
        <v>0</v>
      </c>
      <c r="J466" s="318">
        <f t="shared" si="62"/>
        <v>0</v>
      </c>
      <c r="K466" s="297"/>
      <c r="L466" s="233"/>
      <c r="M466" s="233"/>
      <c r="N466" s="233"/>
    </row>
    <row r="467" spans="1:14" s="172" customFormat="1" ht="41.95" customHeight="1" outlineLevel="3" x14ac:dyDescent="0.25">
      <c r="A467" s="81" t="s">
        <v>15</v>
      </c>
      <c r="B467" s="80" t="s">
        <v>500</v>
      </c>
      <c r="C467" s="80" t="s">
        <v>300</v>
      </c>
      <c r="D467" s="80" t="s">
        <v>946</v>
      </c>
      <c r="E467" s="80" t="s">
        <v>16</v>
      </c>
      <c r="F467" s="80"/>
      <c r="G467" s="318">
        <f t="shared" si="62"/>
        <v>2569480</v>
      </c>
      <c r="H467" s="370">
        <v>2569480</v>
      </c>
      <c r="I467" s="318">
        <f t="shared" si="62"/>
        <v>0</v>
      </c>
      <c r="J467" s="318">
        <f t="shared" si="62"/>
        <v>0</v>
      </c>
      <c r="K467" s="297"/>
      <c r="L467" s="233"/>
      <c r="M467" s="233"/>
      <c r="N467" s="233"/>
    </row>
    <row r="468" spans="1:14" s="172" customFormat="1" ht="27.7" customHeight="1" outlineLevel="3" x14ac:dyDescent="0.25">
      <c r="A468" s="81" t="s">
        <v>17</v>
      </c>
      <c r="B468" s="80" t="s">
        <v>500</v>
      </c>
      <c r="C468" s="80" t="s">
        <v>300</v>
      </c>
      <c r="D468" s="80" t="s">
        <v>946</v>
      </c>
      <c r="E468" s="80" t="s">
        <v>18</v>
      </c>
      <c r="F468" s="80"/>
      <c r="G468" s="318">
        <v>2569480</v>
      </c>
      <c r="H468" s="370">
        <v>2569480</v>
      </c>
      <c r="I468" s="318">
        <v>0</v>
      </c>
      <c r="J468" s="327">
        <v>0</v>
      </c>
      <c r="K468" s="297"/>
      <c r="L468" s="233"/>
      <c r="M468" s="233"/>
      <c r="N468" s="233"/>
    </row>
    <row r="469" spans="1:14" s="172" customFormat="1" ht="44.5" customHeight="1" outlineLevel="3" x14ac:dyDescent="0.25">
      <c r="A469" s="81" t="s">
        <v>943</v>
      </c>
      <c r="B469" s="80" t="s">
        <v>500</v>
      </c>
      <c r="C469" s="80" t="s">
        <v>300</v>
      </c>
      <c r="D469" s="80" t="s">
        <v>944</v>
      </c>
      <c r="E469" s="80" t="s">
        <v>6</v>
      </c>
      <c r="F469" s="80"/>
      <c r="G469" s="318">
        <f t="shared" ref="G469:J470" si="63">G470</f>
        <v>79468.45</v>
      </c>
      <c r="H469" s="318">
        <f t="shared" si="63"/>
        <v>79468.45</v>
      </c>
      <c r="I469" s="318">
        <f t="shared" si="63"/>
        <v>0</v>
      </c>
      <c r="J469" s="318">
        <f t="shared" si="63"/>
        <v>0</v>
      </c>
      <c r="K469" s="297"/>
      <c r="L469" s="233"/>
      <c r="M469" s="233"/>
      <c r="N469" s="233"/>
    </row>
    <row r="470" spans="1:14" s="172" customFormat="1" ht="27.7" customHeight="1" outlineLevel="3" x14ac:dyDescent="0.3">
      <c r="A470" s="81" t="s">
        <v>15</v>
      </c>
      <c r="B470" s="80" t="s">
        <v>500</v>
      </c>
      <c r="C470" s="80" t="s">
        <v>300</v>
      </c>
      <c r="D470" s="80" t="s">
        <v>944</v>
      </c>
      <c r="E470" s="80" t="s">
        <v>16</v>
      </c>
      <c r="F470" s="80"/>
      <c r="G470" s="318">
        <f t="shared" si="63"/>
        <v>79468.45</v>
      </c>
      <c r="H470" s="371">
        <v>79468.45</v>
      </c>
      <c r="I470" s="318">
        <f t="shared" si="63"/>
        <v>0</v>
      </c>
      <c r="J470" s="318">
        <f t="shared" si="63"/>
        <v>0</v>
      </c>
      <c r="K470" s="297"/>
      <c r="L470" s="233"/>
      <c r="M470" s="233"/>
      <c r="N470" s="233"/>
    </row>
    <row r="471" spans="1:14" s="172" customFormat="1" ht="27.7" customHeight="1" outlineLevel="3" x14ac:dyDescent="0.3">
      <c r="A471" s="81" t="s">
        <v>17</v>
      </c>
      <c r="B471" s="80" t="s">
        <v>500</v>
      </c>
      <c r="C471" s="80" t="s">
        <v>300</v>
      </c>
      <c r="D471" s="80" t="s">
        <v>944</v>
      </c>
      <c r="E471" s="80" t="s">
        <v>18</v>
      </c>
      <c r="F471" s="80"/>
      <c r="G471" s="318">
        <v>79468.45</v>
      </c>
      <c r="H471" s="371">
        <v>79468.45</v>
      </c>
      <c r="I471" s="318">
        <v>0</v>
      </c>
      <c r="J471" s="323">
        <v>0</v>
      </c>
      <c r="K471" s="297"/>
      <c r="L471" s="233"/>
      <c r="M471" s="233"/>
      <c r="N471" s="233"/>
    </row>
    <row r="472" spans="1:14" ht="24.8" customHeight="1" outlineLevel="4" x14ac:dyDescent="0.25">
      <c r="A472" s="81" t="s">
        <v>378</v>
      </c>
      <c r="B472" s="80" t="s">
        <v>500</v>
      </c>
      <c r="C472" s="80" t="s">
        <v>300</v>
      </c>
      <c r="D472" s="80" t="s">
        <v>303</v>
      </c>
      <c r="E472" s="80" t="s">
        <v>6</v>
      </c>
      <c r="F472" s="80"/>
      <c r="G472" s="317">
        <f>G473+G476+G479</f>
        <v>1199256.99</v>
      </c>
      <c r="H472" s="317">
        <f>H473+H476+H479</f>
        <v>196490.13</v>
      </c>
      <c r="I472" s="317">
        <f>I473+I476+I479+I482+I485</f>
        <v>1262229.3999999999</v>
      </c>
      <c r="J472" s="317">
        <f>J473+J476+J479+J482+J485</f>
        <v>1098810.6399999999</v>
      </c>
      <c r="K472" s="296"/>
      <c r="L472" s="232"/>
      <c r="M472" s="232"/>
      <c r="N472" s="232"/>
    </row>
    <row r="473" spans="1:14" ht="36.700000000000003" outlineLevel="5" x14ac:dyDescent="0.25">
      <c r="A473" s="81" t="s">
        <v>281</v>
      </c>
      <c r="B473" s="80" t="s">
        <v>500</v>
      </c>
      <c r="C473" s="80" t="s">
        <v>300</v>
      </c>
      <c r="D473" s="80" t="s">
        <v>302</v>
      </c>
      <c r="E473" s="80" t="s">
        <v>6</v>
      </c>
      <c r="F473" s="80"/>
      <c r="G473" s="317">
        <f t="shared" ref="G473:J474" si="64">G474</f>
        <v>0</v>
      </c>
      <c r="H473" s="317">
        <f t="shared" si="64"/>
        <v>0</v>
      </c>
      <c r="I473" s="329">
        <f t="shared" si="64"/>
        <v>1093747.2</v>
      </c>
      <c r="J473" s="317">
        <f t="shared" si="64"/>
        <v>1093747.2</v>
      </c>
      <c r="K473" s="296"/>
      <c r="L473" s="232"/>
      <c r="M473" s="232"/>
      <c r="N473" s="232"/>
    </row>
    <row r="474" spans="1:14" ht="55.05" outlineLevel="6" x14ac:dyDescent="0.25">
      <c r="A474" s="81" t="s">
        <v>264</v>
      </c>
      <c r="B474" s="80" t="s">
        <v>500</v>
      </c>
      <c r="C474" s="80" t="s">
        <v>300</v>
      </c>
      <c r="D474" s="80" t="s">
        <v>302</v>
      </c>
      <c r="E474" s="80" t="s">
        <v>265</v>
      </c>
      <c r="F474" s="80"/>
      <c r="G474" s="317">
        <f t="shared" si="64"/>
        <v>0</v>
      </c>
      <c r="H474" s="317">
        <f t="shared" si="64"/>
        <v>0</v>
      </c>
      <c r="I474" s="329">
        <f t="shared" si="64"/>
        <v>1093747.2</v>
      </c>
      <c r="J474" s="317">
        <f t="shared" si="64"/>
        <v>1093747.2</v>
      </c>
      <c r="K474" s="296"/>
      <c r="L474" s="232"/>
      <c r="M474" s="232"/>
      <c r="N474" s="232"/>
    </row>
    <row r="475" spans="1:14" outlineLevel="7" x14ac:dyDescent="0.25">
      <c r="A475" s="81" t="s">
        <v>266</v>
      </c>
      <c r="B475" s="80" t="s">
        <v>500</v>
      </c>
      <c r="C475" s="80" t="s">
        <v>300</v>
      </c>
      <c r="D475" s="80" t="s">
        <v>302</v>
      </c>
      <c r="E475" s="80" t="s">
        <v>267</v>
      </c>
      <c r="F475" s="80"/>
      <c r="G475" s="318">
        <f>1127310-1127310</f>
        <v>0</v>
      </c>
      <c r="H475" s="318">
        <f>1127310-1127310</f>
        <v>0</v>
      </c>
      <c r="I475" s="330">
        <v>1093747.2</v>
      </c>
      <c r="J475" s="318">
        <v>1093747.2</v>
      </c>
      <c r="K475" s="296"/>
      <c r="L475" s="232"/>
      <c r="M475" s="232"/>
      <c r="N475" s="232"/>
    </row>
    <row r="476" spans="1:14" ht="55.05" outlineLevel="7" x14ac:dyDescent="0.25">
      <c r="A476" s="81" t="s">
        <v>788</v>
      </c>
      <c r="B476" s="80" t="s">
        <v>500</v>
      </c>
      <c r="C476" s="80" t="s">
        <v>300</v>
      </c>
      <c r="D476" s="80" t="s">
        <v>764</v>
      </c>
      <c r="E476" s="80" t="s">
        <v>6</v>
      </c>
      <c r="F476" s="80"/>
      <c r="G476" s="318">
        <f>G477</f>
        <v>703249.99</v>
      </c>
      <c r="H476" s="318">
        <f>H477</f>
        <v>190595.43</v>
      </c>
      <c r="I476" s="318">
        <v>0</v>
      </c>
      <c r="J476" s="318">
        <f>J477</f>
        <v>0</v>
      </c>
      <c r="K476" s="296"/>
      <c r="L476" s="232"/>
      <c r="M476" s="232"/>
      <c r="N476" s="232"/>
    </row>
    <row r="477" spans="1:14" ht="36.700000000000003" outlineLevel="7" x14ac:dyDescent="0.25">
      <c r="A477" s="81" t="s">
        <v>15</v>
      </c>
      <c r="B477" s="80" t="s">
        <v>500</v>
      </c>
      <c r="C477" s="80" t="s">
        <v>300</v>
      </c>
      <c r="D477" s="80" t="s">
        <v>764</v>
      </c>
      <c r="E477" s="80" t="s">
        <v>16</v>
      </c>
      <c r="F477" s="80"/>
      <c r="G477" s="318">
        <f>G478</f>
        <v>703249.99</v>
      </c>
      <c r="H477" s="370">
        <v>190595.43</v>
      </c>
      <c r="I477" s="318">
        <v>0</v>
      </c>
      <c r="J477" s="318">
        <f>J478</f>
        <v>0</v>
      </c>
      <c r="K477" s="296"/>
      <c r="L477" s="232"/>
      <c r="M477" s="232"/>
      <c r="N477" s="232"/>
    </row>
    <row r="478" spans="1:14" ht="55.05" outlineLevel="7" x14ac:dyDescent="0.25">
      <c r="A478" s="81" t="s">
        <v>17</v>
      </c>
      <c r="B478" s="80" t="s">
        <v>500</v>
      </c>
      <c r="C478" s="80" t="s">
        <v>300</v>
      </c>
      <c r="D478" s="80" t="s">
        <v>764</v>
      </c>
      <c r="E478" s="80" t="s">
        <v>18</v>
      </c>
      <c r="F478" s="80"/>
      <c r="G478" s="318">
        <f>потребность!I441+0.99</f>
        <v>703249.99</v>
      </c>
      <c r="H478" s="370">
        <v>190595.43</v>
      </c>
      <c r="I478" s="318">
        <v>0</v>
      </c>
      <c r="J478" s="324"/>
      <c r="K478" s="296"/>
      <c r="L478" s="232"/>
      <c r="M478" s="232"/>
      <c r="N478" s="232"/>
    </row>
    <row r="479" spans="1:14" ht="73.400000000000006" outlineLevel="7" x14ac:dyDescent="0.25">
      <c r="A479" s="81" t="s">
        <v>911</v>
      </c>
      <c r="B479" s="80" t="s">
        <v>500</v>
      </c>
      <c r="C479" s="80" t="s">
        <v>300</v>
      </c>
      <c r="D479" s="80" t="s">
        <v>769</v>
      </c>
      <c r="E479" s="80" t="s">
        <v>6</v>
      </c>
      <c r="F479" s="80"/>
      <c r="G479" s="318">
        <f>G480</f>
        <v>496007</v>
      </c>
      <c r="H479" s="318">
        <f>H480</f>
        <v>5894.7</v>
      </c>
      <c r="I479" s="318">
        <v>0</v>
      </c>
      <c r="J479" s="318">
        <f>J480</f>
        <v>0</v>
      </c>
      <c r="K479" s="296"/>
      <c r="L479" s="232"/>
      <c r="M479" s="232"/>
      <c r="N479" s="232"/>
    </row>
    <row r="480" spans="1:14" ht="36.700000000000003" outlineLevel="7" x14ac:dyDescent="0.25">
      <c r="A480" s="81" t="s">
        <v>15</v>
      </c>
      <c r="B480" s="80" t="s">
        <v>500</v>
      </c>
      <c r="C480" s="80" t="s">
        <v>300</v>
      </c>
      <c r="D480" s="80" t="s">
        <v>769</v>
      </c>
      <c r="E480" s="80" t="s">
        <v>16</v>
      </c>
      <c r="F480" s="80"/>
      <c r="G480" s="318">
        <f>G481</f>
        <v>496007</v>
      </c>
      <c r="H480" s="370">
        <v>5894.7</v>
      </c>
      <c r="I480" s="318">
        <v>0</v>
      </c>
      <c r="J480" s="318">
        <f>J481</f>
        <v>0</v>
      </c>
      <c r="K480" s="296"/>
      <c r="L480" s="232"/>
      <c r="M480" s="232"/>
      <c r="N480" s="232"/>
    </row>
    <row r="481" spans="1:14" ht="25.5" customHeight="1" outlineLevel="7" x14ac:dyDescent="0.25">
      <c r="A481" s="81" t="s">
        <v>17</v>
      </c>
      <c r="B481" s="80" t="s">
        <v>500</v>
      </c>
      <c r="C481" s="80" t="s">
        <v>300</v>
      </c>
      <c r="D481" s="80" t="s">
        <v>769</v>
      </c>
      <c r="E481" s="80" t="s">
        <v>18</v>
      </c>
      <c r="F481" s="80"/>
      <c r="G481" s="318">
        <f>22000+156756+317251</f>
        <v>496007</v>
      </c>
      <c r="H481" s="370">
        <v>5894.7</v>
      </c>
      <c r="I481" s="318">
        <v>0</v>
      </c>
      <c r="J481" s="318">
        <v>0</v>
      </c>
      <c r="K481" s="296"/>
      <c r="L481" s="232"/>
      <c r="M481" s="232"/>
      <c r="N481" s="232"/>
    </row>
    <row r="482" spans="1:14" ht="61.15" customHeight="1" outlineLevel="7" x14ac:dyDescent="0.25">
      <c r="A482" s="81" t="s">
        <v>771</v>
      </c>
      <c r="B482" s="80" t="s">
        <v>500</v>
      </c>
      <c r="C482" s="80" t="s">
        <v>300</v>
      </c>
      <c r="D482" s="80" t="s">
        <v>796</v>
      </c>
      <c r="E482" s="83" t="s">
        <v>6</v>
      </c>
      <c r="F482" s="83"/>
      <c r="G482" s="318">
        <v>0</v>
      </c>
      <c r="H482" s="318">
        <v>0</v>
      </c>
      <c r="I482" s="318">
        <f>I483</f>
        <v>163718</v>
      </c>
      <c r="J482" s="318">
        <f>J483</f>
        <v>0</v>
      </c>
      <c r="K482" s="296"/>
      <c r="L482" s="232"/>
      <c r="M482" s="232"/>
      <c r="N482" s="232"/>
    </row>
    <row r="483" spans="1:14" ht="25.5" customHeight="1" outlineLevel="7" x14ac:dyDescent="0.25">
      <c r="A483" s="81" t="s">
        <v>15</v>
      </c>
      <c r="B483" s="80" t="s">
        <v>500</v>
      </c>
      <c r="C483" s="80" t="s">
        <v>300</v>
      </c>
      <c r="D483" s="80" t="s">
        <v>796</v>
      </c>
      <c r="E483" s="83" t="s">
        <v>16</v>
      </c>
      <c r="F483" s="83"/>
      <c r="G483" s="318">
        <v>0</v>
      </c>
      <c r="H483" s="318">
        <v>0</v>
      </c>
      <c r="I483" s="318">
        <f>I484</f>
        <v>163718</v>
      </c>
      <c r="J483" s="318">
        <f>J484</f>
        <v>0</v>
      </c>
      <c r="K483" s="296"/>
      <c r="L483" s="232"/>
      <c r="M483" s="232"/>
      <c r="N483" s="232"/>
    </row>
    <row r="484" spans="1:14" ht="42.45" customHeight="1" outlineLevel="7" x14ac:dyDescent="0.25">
      <c r="A484" s="81" t="s">
        <v>17</v>
      </c>
      <c r="B484" s="80" t="s">
        <v>500</v>
      </c>
      <c r="C484" s="80" t="s">
        <v>300</v>
      </c>
      <c r="D484" s="80" t="s">
        <v>796</v>
      </c>
      <c r="E484" s="83" t="s">
        <v>18</v>
      </c>
      <c r="F484" s="83"/>
      <c r="G484" s="318">
        <v>0</v>
      </c>
      <c r="H484" s="318">
        <v>0</v>
      </c>
      <c r="I484" s="318">
        <v>163718</v>
      </c>
      <c r="J484" s="324"/>
      <c r="K484" s="296"/>
      <c r="L484" s="232"/>
      <c r="M484" s="232"/>
      <c r="N484" s="232"/>
    </row>
    <row r="485" spans="1:14" ht="78.8" customHeight="1" outlineLevel="7" x14ac:dyDescent="0.25">
      <c r="A485" s="81" t="s">
        <v>974</v>
      </c>
      <c r="B485" s="80" t="s">
        <v>500</v>
      </c>
      <c r="C485" s="80" t="s">
        <v>300</v>
      </c>
      <c r="D485" s="80" t="s">
        <v>797</v>
      </c>
      <c r="E485" s="83" t="s">
        <v>6</v>
      </c>
      <c r="F485" s="83"/>
      <c r="G485" s="318">
        <v>0</v>
      </c>
      <c r="H485" s="318">
        <v>0</v>
      </c>
      <c r="I485" s="330">
        <f>I486</f>
        <v>4764.2</v>
      </c>
      <c r="J485" s="318">
        <f>J486</f>
        <v>5063.4399999999996</v>
      </c>
      <c r="K485" s="296"/>
      <c r="L485" s="232"/>
      <c r="M485" s="232"/>
      <c r="N485" s="232"/>
    </row>
    <row r="486" spans="1:14" ht="25.5" customHeight="1" outlineLevel="7" x14ac:dyDescent="0.25">
      <c r="A486" s="81" t="s">
        <v>15</v>
      </c>
      <c r="B486" s="80" t="s">
        <v>500</v>
      </c>
      <c r="C486" s="80" t="s">
        <v>300</v>
      </c>
      <c r="D486" s="80" t="s">
        <v>797</v>
      </c>
      <c r="E486" s="83" t="s">
        <v>16</v>
      </c>
      <c r="F486" s="83"/>
      <c r="G486" s="318">
        <v>0</v>
      </c>
      <c r="H486" s="318">
        <v>0</v>
      </c>
      <c r="I486" s="330">
        <f>I487</f>
        <v>4764.2</v>
      </c>
      <c r="J486" s="318">
        <f>J487</f>
        <v>5063.4399999999996</v>
      </c>
      <c r="K486" s="296"/>
      <c r="L486" s="232"/>
      <c r="M486" s="232"/>
      <c r="N486" s="232"/>
    </row>
    <row r="487" spans="1:14" ht="25.5" customHeight="1" outlineLevel="7" x14ac:dyDescent="0.25">
      <c r="A487" s="81" t="s">
        <v>17</v>
      </c>
      <c r="B487" s="80" t="s">
        <v>500</v>
      </c>
      <c r="C487" s="80" t="s">
        <v>300</v>
      </c>
      <c r="D487" s="300" t="s">
        <v>797</v>
      </c>
      <c r="E487" s="83" t="s">
        <v>18</v>
      </c>
      <c r="F487" s="83"/>
      <c r="G487" s="318">
        <v>0</v>
      </c>
      <c r="H487" s="318">
        <v>0</v>
      </c>
      <c r="I487" s="330">
        <v>4764.2</v>
      </c>
      <c r="J487" s="318">
        <v>5063.4399999999996</v>
      </c>
      <c r="K487" s="296"/>
      <c r="L487" s="232"/>
      <c r="M487" s="232"/>
      <c r="N487" s="232"/>
    </row>
    <row r="488" spans="1:14" s="170" customFormat="1" ht="66.75" customHeight="1" x14ac:dyDescent="0.25">
      <c r="A488" s="114" t="s">
        <v>828</v>
      </c>
      <c r="B488" s="110" t="s">
        <v>500</v>
      </c>
      <c r="C488" s="110" t="s">
        <v>300</v>
      </c>
      <c r="D488" s="110" t="s">
        <v>463</v>
      </c>
      <c r="E488" s="110" t="s">
        <v>6</v>
      </c>
      <c r="F488" s="320">
        <v>50000</v>
      </c>
      <c r="G488" s="317">
        <f t="shared" ref="G488:J491" si="65">G489</f>
        <v>50000</v>
      </c>
      <c r="H488" s="317">
        <f t="shared" si="65"/>
        <v>50000</v>
      </c>
      <c r="I488" s="317">
        <f t="shared" si="65"/>
        <v>50000</v>
      </c>
      <c r="J488" s="317">
        <f t="shared" si="65"/>
        <v>50000</v>
      </c>
      <c r="K488" s="294"/>
      <c r="L488" s="295"/>
      <c r="M488" s="295"/>
      <c r="N488" s="295"/>
    </row>
    <row r="489" spans="1:14" outlineLevel="1" x14ac:dyDescent="0.25">
      <c r="A489" s="124" t="s">
        <v>464</v>
      </c>
      <c r="B489" s="80" t="s">
        <v>500</v>
      </c>
      <c r="C489" s="80" t="s">
        <v>300</v>
      </c>
      <c r="D489" s="80" t="s">
        <v>465</v>
      </c>
      <c r="E489" s="80" t="s">
        <v>6</v>
      </c>
      <c r="F489" s="316">
        <v>50000</v>
      </c>
      <c r="G489" s="317">
        <f t="shared" si="65"/>
        <v>50000</v>
      </c>
      <c r="H489" s="317">
        <f t="shared" si="65"/>
        <v>50000</v>
      </c>
      <c r="I489" s="317">
        <f t="shared" si="65"/>
        <v>50000</v>
      </c>
      <c r="J489" s="317">
        <f t="shared" si="65"/>
        <v>50000</v>
      </c>
      <c r="K489" s="296"/>
      <c r="L489" s="232"/>
      <c r="M489" s="232"/>
      <c r="N489" s="232"/>
    </row>
    <row r="490" spans="1:14" ht="37.549999999999997" customHeight="1" outlineLevel="2" x14ac:dyDescent="0.25">
      <c r="A490" s="81" t="s">
        <v>466</v>
      </c>
      <c r="B490" s="80" t="s">
        <v>500</v>
      </c>
      <c r="C490" s="80" t="s">
        <v>300</v>
      </c>
      <c r="D490" s="80" t="s">
        <v>467</v>
      </c>
      <c r="E490" s="80" t="s">
        <v>6</v>
      </c>
      <c r="F490" s="316">
        <v>50000</v>
      </c>
      <c r="G490" s="317">
        <f t="shared" si="65"/>
        <v>50000</v>
      </c>
      <c r="H490" s="317">
        <f t="shared" si="65"/>
        <v>50000</v>
      </c>
      <c r="I490" s="317">
        <f t="shared" si="65"/>
        <v>50000</v>
      </c>
      <c r="J490" s="317">
        <f t="shared" si="65"/>
        <v>50000</v>
      </c>
      <c r="K490" s="296"/>
      <c r="L490" s="232"/>
      <c r="M490" s="232"/>
      <c r="N490" s="232"/>
    </row>
    <row r="491" spans="1:14" ht="36.700000000000003" outlineLevel="4" x14ac:dyDescent="0.25">
      <c r="A491" s="81" t="s">
        <v>15</v>
      </c>
      <c r="B491" s="80" t="s">
        <v>500</v>
      </c>
      <c r="C491" s="80" t="s">
        <v>300</v>
      </c>
      <c r="D491" s="80" t="s">
        <v>467</v>
      </c>
      <c r="E491" s="80" t="s">
        <v>16</v>
      </c>
      <c r="F491" s="316">
        <v>50000</v>
      </c>
      <c r="G491" s="317">
        <f t="shared" si="65"/>
        <v>50000</v>
      </c>
      <c r="H491" s="370">
        <v>50000</v>
      </c>
      <c r="I491" s="317">
        <f t="shared" si="65"/>
        <v>50000</v>
      </c>
      <c r="J491" s="317">
        <f t="shared" si="65"/>
        <v>50000</v>
      </c>
      <c r="K491" s="296"/>
      <c r="L491" s="232"/>
      <c r="M491" s="232"/>
      <c r="N491" s="232"/>
    </row>
    <row r="492" spans="1:14" ht="55.05" outlineLevel="5" x14ac:dyDescent="0.25">
      <c r="A492" s="81" t="s">
        <v>17</v>
      </c>
      <c r="B492" s="80" t="s">
        <v>500</v>
      </c>
      <c r="C492" s="80" t="s">
        <v>300</v>
      </c>
      <c r="D492" s="80" t="s">
        <v>467</v>
      </c>
      <c r="E492" s="80" t="s">
        <v>18</v>
      </c>
      <c r="F492" s="316">
        <v>50000</v>
      </c>
      <c r="G492" s="318">
        <v>50000</v>
      </c>
      <c r="H492" s="370">
        <v>50000</v>
      </c>
      <c r="I492" s="318">
        <v>50000</v>
      </c>
      <c r="J492" s="318">
        <v>50000</v>
      </c>
      <c r="K492" s="296"/>
      <c r="L492" s="232"/>
      <c r="M492" s="232"/>
      <c r="N492" s="232"/>
    </row>
    <row r="493" spans="1:14" outlineLevel="6" x14ac:dyDescent="0.25">
      <c r="A493" s="109" t="s">
        <v>103</v>
      </c>
      <c r="B493" s="80" t="s">
        <v>500</v>
      </c>
      <c r="C493" s="110" t="s">
        <v>104</v>
      </c>
      <c r="D493" s="110" t="s">
        <v>126</v>
      </c>
      <c r="E493" s="110" t="s">
        <v>6</v>
      </c>
      <c r="F493" s="316">
        <v>2562000</v>
      </c>
      <c r="G493" s="321">
        <f t="shared" ref="G493:J498" si="66">G494</f>
        <v>3357000</v>
      </c>
      <c r="H493" s="321">
        <f t="shared" si="66"/>
        <v>2408600</v>
      </c>
      <c r="I493" s="321">
        <f t="shared" si="66"/>
        <v>2500000</v>
      </c>
      <c r="J493" s="321">
        <f t="shared" si="66"/>
        <v>3357000</v>
      </c>
      <c r="K493" s="296"/>
      <c r="L493" s="232"/>
      <c r="M493" s="232"/>
      <c r="N493" s="232"/>
    </row>
    <row r="494" spans="1:14" outlineLevel="7" x14ac:dyDescent="0.25">
      <c r="A494" s="81" t="s">
        <v>105</v>
      </c>
      <c r="B494" s="80" t="s">
        <v>500</v>
      </c>
      <c r="C494" s="80" t="s">
        <v>106</v>
      </c>
      <c r="D494" s="80" t="s">
        <v>126</v>
      </c>
      <c r="E494" s="80" t="s">
        <v>6</v>
      </c>
      <c r="F494" s="316">
        <v>2562000</v>
      </c>
      <c r="G494" s="317">
        <f t="shared" si="66"/>
        <v>3357000</v>
      </c>
      <c r="H494" s="317">
        <f t="shared" si="66"/>
        <v>2408600</v>
      </c>
      <c r="I494" s="317">
        <f t="shared" si="66"/>
        <v>2500000</v>
      </c>
      <c r="J494" s="317">
        <f t="shared" si="66"/>
        <v>3357000</v>
      </c>
      <c r="K494" s="296"/>
      <c r="L494" s="232"/>
      <c r="M494" s="232"/>
      <c r="N494" s="232"/>
    </row>
    <row r="495" spans="1:14" ht="55.05" outlineLevel="5" x14ac:dyDescent="0.25">
      <c r="A495" s="109" t="s">
        <v>829</v>
      </c>
      <c r="B495" s="80" t="s">
        <v>500</v>
      </c>
      <c r="C495" s="110" t="s">
        <v>106</v>
      </c>
      <c r="D495" s="110" t="s">
        <v>317</v>
      </c>
      <c r="E495" s="110" t="s">
        <v>6</v>
      </c>
      <c r="F495" s="320">
        <v>2562000</v>
      </c>
      <c r="G495" s="321">
        <f>G496</f>
        <v>3357000</v>
      </c>
      <c r="H495" s="321">
        <f>H496</f>
        <v>2408600</v>
      </c>
      <c r="I495" s="321">
        <f>I496</f>
        <v>2500000</v>
      </c>
      <c r="J495" s="321">
        <f>J496</f>
        <v>3357000</v>
      </c>
      <c r="K495" s="296"/>
      <c r="L495" s="232"/>
      <c r="M495" s="232"/>
      <c r="N495" s="232"/>
    </row>
    <row r="496" spans="1:14" ht="36.700000000000003" outlineLevel="6" x14ac:dyDescent="0.25">
      <c r="A496" s="113" t="s">
        <v>327</v>
      </c>
      <c r="B496" s="80" t="s">
        <v>500</v>
      </c>
      <c r="C496" s="80" t="s">
        <v>106</v>
      </c>
      <c r="D496" s="80" t="s">
        <v>318</v>
      </c>
      <c r="E496" s="80" t="s">
        <v>6</v>
      </c>
      <c r="F496" s="316">
        <v>2562000</v>
      </c>
      <c r="G496" s="317">
        <f t="shared" si="66"/>
        <v>3357000</v>
      </c>
      <c r="H496" s="317">
        <f t="shared" si="66"/>
        <v>2408600</v>
      </c>
      <c r="I496" s="317">
        <f t="shared" si="66"/>
        <v>2500000</v>
      </c>
      <c r="J496" s="317">
        <f t="shared" si="66"/>
        <v>3357000</v>
      </c>
      <c r="K496" s="296"/>
      <c r="L496" s="232"/>
      <c r="M496" s="232"/>
      <c r="N496" s="232"/>
    </row>
    <row r="497" spans="1:14" ht="55.05" outlineLevel="7" x14ac:dyDescent="0.25">
      <c r="A497" s="81" t="s">
        <v>107</v>
      </c>
      <c r="B497" s="80" t="s">
        <v>500</v>
      </c>
      <c r="C497" s="80" t="s">
        <v>106</v>
      </c>
      <c r="D497" s="80" t="s">
        <v>319</v>
      </c>
      <c r="E497" s="80" t="s">
        <v>6</v>
      </c>
      <c r="F497" s="316">
        <v>2562000</v>
      </c>
      <c r="G497" s="317">
        <f t="shared" si="66"/>
        <v>3357000</v>
      </c>
      <c r="H497" s="317">
        <f t="shared" si="66"/>
        <v>2408600</v>
      </c>
      <c r="I497" s="317">
        <f t="shared" si="66"/>
        <v>2500000</v>
      </c>
      <c r="J497" s="317">
        <f t="shared" si="66"/>
        <v>3357000</v>
      </c>
      <c r="K497" s="296"/>
      <c r="L497" s="232"/>
      <c r="M497" s="232"/>
      <c r="N497" s="232"/>
    </row>
    <row r="498" spans="1:14" ht="55.05" outlineLevel="6" x14ac:dyDescent="0.25">
      <c r="A498" s="81" t="s">
        <v>37</v>
      </c>
      <c r="B498" s="80" t="s">
        <v>500</v>
      </c>
      <c r="C498" s="80" t="s">
        <v>106</v>
      </c>
      <c r="D498" s="80" t="s">
        <v>319</v>
      </c>
      <c r="E498" s="80" t="s">
        <v>38</v>
      </c>
      <c r="F498" s="316">
        <v>2562000</v>
      </c>
      <c r="G498" s="317">
        <f t="shared" si="66"/>
        <v>3357000</v>
      </c>
      <c r="H498" s="370">
        <v>2408600</v>
      </c>
      <c r="I498" s="317">
        <f t="shared" si="66"/>
        <v>2500000</v>
      </c>
      <c r="J498" s="317">
        <f t="shared" si="66"/>
        <v>3357000</v>
      </c>
      <c r="K498" s="296"/>
      <c r="L498" s="232"/>
      <c r="M498" s="232"/>
      <c r="N498" s="232"/>
    </row>
    <row r="499" spans="1:14" ht="20.25" customHeight="1" outlineLevel="7" x14ac:dyDescent="0.25">
      <c r="A499" s="81" t="s">
        <v>39</v>
      </c>
      <c r="B499" s="80" t="s">
        <v>500</v>
      </c>
      <c r="C499" s="80" t="s">
        <v>106</v>
      </c>
      <c r="D499" s="80" t="s">
        <v>319</v>
      </c>
      <c r="E499" s="80" t="s">
        <v>40</v>
      </c>
      <c r="F499" s="316">
        <v>2562000</v>
      </c>
      <c r="G499" s="317">
        <f>потребность!I456+247000+610000</f>
        <v>3357000</v>
      </c>
      <c r="H499" s="370">
        <v>2408600</v>
      </c>
      <c r="I499" s="317">
        <v>2500000</v>
      </c>
      <c r="J499" s="318">
        <v>3357000</v>
      </c>
      <c r="K499" s="296"/>
      <c r="L499" s="232"/>
      <c r="M499" s="232"/>
      <c r="N499" s="232"/>
    </row>
    <row r="500" spans="1:14" ht="29.9" customHeight="1" outlineLevel="6" collapsed="1" x14ac:dyDescent="0.25">
      <c r="A500" s="104" t="s">
        <v>527</v>
      </c>
      <c r="B500" s="105" t="s">
        <v>501</v>
      </c>
      <c r="C500" s="105" t="s">
        <v>5</v>
      </c>
      <c r="D500" s="105" t="s">
        <v>126</v>
      </c>
      <c r="E500" s="105" t="s">
        <v>6</v>
      </c>
      <c r="F500" s="314">
        <v>6282947.6699999999</v>
      </c>
      <c r="G500" s="315">
        <f>G501</f>
        <v>5488017.29</v>
      </c>
      <c r="H500" s="315">
        <f>H501</f>
        <v>4018836.4699999997</v>
      </c>
      <c r="I500" s="315">
        <f>I501</f>
        <v>5805481.6399999997</v>
      </c>
      <c r="J500" s="315">
        <f>J501</f>
        <v>5847909.2999999998</v>
      </c>
      <c r="K500" s="296"/>
      <c r="L500" s="296">
        <f>K500-H500</f>
        <v>-4018836.4699999997</v>
      </c>
      <c r="M500" s="232"/>
      <c r="N500" s="232"/>
    </row>
    <row r="501" spans="1:14" outlineLevel="7" x14ac:dyDescent="0.25">
      <c r="A501" s="81" t="s">
        <v>7</v>
      </c>
      <c r="B501" s="80" t="s">
        <v>501</v>
      </c>
      <c r="C501" s="80" t="s">
        <v>8</v>
      </c>
      <c r="D501" s="80" t="s">
        <v>126</v>
      </c>
      <c r="E501" s="80" t="s">
        <v>6</v>
      </c>
      <c r="F501" s="316">
        <v>6282947.6699999999</v>
      </c>
      <c r="G501" s="317">
        <f>G502+G517+G522</f>
        <v>5488017.29</v>
      </c>
      <c r="H501" s="317">
        <f>H502+H517+H522</f>
        <v>4018836.4699999997</v>
      </c>
      <c r="I501" s="317">
        <f>I502+I517+I522</f>
        <v>5805481.6399999997</v>
      </c>
      <c r="J501" s="317">
        <f>J502+J517+J522</f>
        <v>5847909.2999999998</v>
      </c>
      <c r="K501" s="296"/>
      <c r="L501" s="232"/>
      <c r="M501" s="232"/>
      <c r="N501" s="232"/>
    </row>
    <row r="502" spans="1:14" ht="73.400000000000006" outlineLevel="5" x14ac:dyDescent="0.25">
      <c r="A502" s="81" t="s">
        <v>108</v>
      </c>
      <c r="B502" s="80" t="s">
        <v>501</v>
      </c>
      <c r="C502" s="80" t="s">
        <v>109</v>
      </c>
      <c r="D502" s="80" t="s">
        <v>126</v>
      </c>
      <c r="E502" s="80" t="s">
        <v>6</v>
      </c>
      <c r="F502" s="316">
        <v>5081721.7699999996</v>
      </c>
      <c r="G502" s="317">
        <f>G503</f>
        <v>5350737.29</v>
      </c>
      <c r="H502" s="317">
        <f>H503</f>
        <v>3890917.9699999997</v>
      </c>
      <c r="I502" s="317">
        <f>I503</f>
        <v>5668201.6399999997</v>
      </c>
      <c r="J502" s="317">
        <f>J503</f>
        <v>5596959.2999999998</v>
      </c>
      <c r="K502" s="296"/>
      <c r="L502" s="232"/>
      <c r="M502" s="232"/>
      <c r="N502" s="232"/>
    </row>
    <row r="503" spans="1:14" ht="36.700000000000003" outlineLevel="6" x14ac:dyDescent="0.25">
      <c r="A503" s="81" t="s">
        <v>132</v>
      </c>
      <c r="B503" s="80" t="s">
        <v>501</v>
      </c>
      <c r="C503" s="80" t="s">
        <v>109</v>
      </c>
      <c r="D503" s="80" t="s">
        <v>127</v>
      </c>
      <c r="E503" s="80" t="s">
        <v>6</v>
      </c>
      <c r="F503" s="316">
        <v>5081721.7699999996</v>
      </c>
      <c r="G503" s="317">
        <f>G504+G507+G514</f>
        <v>5350737.29</v>
      </c>
      <c r="H503" s="317">
        <f>H504+H507+H514</f>
        <v>3890917.9699999997</v>
      </c>
      <c r="I503" s="317">
        <f>I504+I507+I514</f>
        <v>5668201.6399999997</v>
      </c>
      <c r="J503" s="317">
        <f>J504+J507+J514</f>
        <v>5596959.2999999998</v>
      </c>
      <c r="K503" s="296"/>
      <c r="L503" s="232"/>
      <c r="M503" s="232"/>
      <c r="N503" s="232"/>
    </row>
    <row r="504" spans="1:14" ht="36.700000000000003" outlineLevel="7" x14ac:dyDescent="0.25">
      <c r="A504" s="81" t="s">
        <v>528</v>
      </c>
      <c r="B504" s="80" t="s">
        <v>501</v>
      </c>
      <c r="C504" s="80" t="s">
        <v>109</v>
      </c>
      <c r="D504" s="80" t="s">
        <v>529</v>
      </c>
      <c r="E504" s="80" t="s">
        <v>6</v>
      </c>
      <c r="F504" s="316">
        <v>2365763.5699999998</v>
      </c>
      <c r="G504" s="329">
        <f t="shared" ref="G504:J505" si="67">G505</f>
        <v>2472253.96</v>
      </c>
      <c r="H504" s="317">
        <f t="shared" si="67"/>
        <v>1921124.34</v>
      </c>
      <c r="I504" s="317">
        <f t="shared" si="67"/>
        <v>2618572.2799999998</v>
      </c>
      <c r="J504" s="319">
        <f t="shared" si="67"/>
        <v>2537974.2999999998</v>
      </c>
      <c r="K504" s="296"/>
      <c r="L504" s="232"/>
      <c r="M504" s="232"/>
      <c r="N504" s="232"/>
    </row>
    <row r="505" spans="1:14" ht="37.549999999999997" customHeight="1" outlineLevel="2" x14ac:dyDescent="0.3">
      <c r="A505" s="81" t="s">
        <v>11</v>
      </c>
      <c r="B505" s="80" t="s">
        <v>501</v>
      </c>
      <c r="C505" s="80" t="s">
        <v>109</v>
      </c>
      <c r="D505" s="80" t="s">
        <v>529</v>
      </c>
      <c r="E505" s="80" t="s">
        <v>12</v>
      </c>
      <c r="F505" s="316">
        <v>2365763.5699999998</v>
      </c>
      <c r="G505" s="317">
        <f t="shared" si="67"/>
        <v>2472253.96</v>
      </c>
      <c r="H505" s="373">
        <v>1921124.34</v>
      </c>
      <c r="I505" s="317">
        <f t="shared" si="67"/>
        <v>2618572.2799999998</v>
      </c>
      <c r="J505" s="319">
        <f t="shared" si="67"/>
        <v>2537974.2999999998</v>
      </c>
      <c r="K505" s="296"/>
      <c r="L505" s="232"/>
      <c r="M505" s="232"/>
      <c r="N505" s="232"/>
    </row>
    <row r="506" spans="1:14" ht="36.700000000000003" outlineLevel="4" x14ac:dyDescent="0.3">
      <c r="A506" s="81" t="s">
        <v>13</v>
      </c>
      <c r="B506" s="80" t="s">
        <v>501</v>
      </c>
      <c r="C506" s="80" t="s">
        <v>109</v>
      </c>
      <c r="D506" s="80" t="s">
        <v>529</v>
      </c>
      <c r="E506" s="80" t="s">
        <v>14</v>
      </c>
      <c r="F506" s="316">
        <v>2365763.5699999998</v>
      </c>
      <c r="G506" s="318">
        <f>потребность!I463-45604</f>
        <v>2472253.96</v>
      </c>
      <c r="H506" s="373">
        <v>1921124.34</v>
      </c>
      <c r="I506" s="318">
        <f>'прил 12'!F476</f>
        <v>2618572.2799999998</v>
      </c>
      <c r="J506" s="319">
        <v>2537974.2999999998</v>
      </c>
      <c r="K506" s="296"/>
      <c r="L506" s="232"/>
      <c r="M506" s="232"/>
      <c r="N506" s="232"/>
    </row>
    <row r="507" spans="1:14" ht="55.05" outlineLevel="5" x14ac:dyDescent="0.25">
      <c r="A507" s="81" t="s">
        <v>494</v>
      </c>
      <c r="B507" s="80" t="s">
        <v>501</v>
      </c>
      <c r="C507" s="80" t="s">
        <v>109</v>
      </c>
      <c r="D507" s="80" t="s">
        <v>495</v>
      </c>
      <c r="E507" s="80" t="s">
        <v>6</v>
      </c>
      <c r="F507" s="316">
        <v>2535958.2000000002</v>
      </c>
      <c r="G507" s="329">
        <f>G508+G510+G512</f>
        <v>2698483.33</v>
      </c>
      <c r="H507" s="317">
        <f>H508+H510+H512</f>
        <v>1834793.63</v>
      </c>
      <c r="I507" s="317">
        <f>I508+I510+I512</f>
        <v>2869629.36</v>
      </c>
      <c r="J507" s="317">
        <f>J508+J510+J512</f>
        <v>2878985</v>
      </c>
      <c r="K507" s="296"/>
      <c r="L507" s="232"/>
      <c r="M507" s="232"/>
      <c r="N507" s="232"/>
    </row>
    <row r="508" spans="1:14" ht="91.7" outlineLevel="6" x14ac:dyDescent="0.25">
      <c r="A508" s="81" t="s">
        <v>11</v>
      </c>
      <c r="B508" s="80" t="s">
        <v>501</v>
      </c>
      <c r="C508" s="80" t="s">
        <v>109</v>
      </c>
      <c r="D508" s="80" t="s">
        <v>495</v>
      </c>
      <c r="E508" s="80" t="s">
        <v>12</v>
      </c>
      <c r="F508" s="316">
        <v>2387673</v>
      </c>
      <c r="G508" s="317">
        <f>G509</f>
        <v>2446983.33</v>
      </c>
      <c r="H508" s="370">
        <v>1724385.69</v>
      </c>
      <c r="I508" s="317">
        <f>I509</f>
        <v>2618129.36</v>
      </c>
      <c r="J508" s="319">
        <f>J509</f>
        <v>2627985</v>
      </c>
      <c r="K508" s="296"/>
      <c r="L508" s="232"/>
      <c r="M508" s="232"/>
      <c r="N508" s="232"/>
    </row>
    <row r="509" spans="1:14" ht="36.700000000000003" outlineLevel="7" x14ac:dyDescent="0.25">
      <c r="A509" s="81" t="s">
        <v>13</v>
      </c>
      <c r="B509" s="80" t="s">
        <v>501</v>
      </c>
      <c r="C509" s="80" t="s">
        <v>109</v>
      </c>
      <c r="D509" s="80" t="s">
        <v>495</v>
      </c>
      <c r="E509" s="80" t="s">
        <v>14</v>
      </c>
      <c r="F509" s="316">
        <v>2387673</v>
      </c>
      <c r="G509" s="317">
        <f>потребность!I466-70449</f>
        <v>2446983.33</v>
      </c>
      <c r="H509" s="370">
        <v>1724385.69</v>
      </c>
      <c r="I509" s="317">
        <f>'прил 12'!F479</f>
        <v>2618129.36</v>
      </c>
      <c r="J509" s="319">
        <v>2627985</v>
      </c>
      <c r="K509" s="296"/>
      <c r="L509" s="232"/>
      <c r="M509" s="232"/>
      <c r="N509" s="232"/>
    </row>
    <row r="510" spans="1:14" ht="36.700000000000003" outlineLevel="7" x14ac:dyDescent="0.25">
      <c r="A510" s="81" t="s">
        <v>15</v>
      </c>
      <c r="B510" s="80" t="s">
        <v>501</v>
      </c>
      <c r="C510" s="80" t="s">
        <v>109</v>
      </c>
      <c r="D510" s="80" t="s">
        <v>495</v>
      </c>
      <c r="E510" s="80" t="s">
        <v>16</v>
      </c>
      <c r="F510" s="316">
        <v>146395.20000000001</v>
      </c>
      <c r="G510" s="317">
        <f>G511</f>
        <v>246000</v>
      </c>
      <c r="H510" s="370">
        <v>110407.94</v>
      </c>
      <c r="I510" s="317">
        <f>I511</f>
        <v>246000</v>
      </c>
      <c r="J510" s="319">
        <f>J511</f>
        <v>246000</v>
      </c>
      <c r="K510" s="296"/>
      <c r="L510" s="232"/>
      <c r="M510" s="232"/>
      <c r="N510" s="232"/>
    </row>
    <row r="511" spans="1:14" ht="55.05" outlineLevel="7" x14ac:dyDescent="0.25">
      <c r="A511" s="81" t="s">
        <v>17</v>
      </c>
      <c r="B511" s="80" t="s">
        <v>501</v>
      </c>
      <c r="C511" s="80" t="s">
        <v>109</v>
      </c>
      <c r="D511" s="80" t="s">
        <v>495</v>
      </c>
      <c r="E511" s="80" t="s">
        <v>18</v>
      </c>
      <c r="F511" s="316">
        <v>146395.20000000001</v>
      </c>
      <c r="G511" s="318">
        <v>246000</v>
      </c>
      <c r="H511" s="370">
        <v>110407.94</v>
      </c>
      <c r="I511" s="318">
        <f>'прил 12'!F481</f>
        <v>246000</v>
      </c>
      <c r="J511" s="319">
        <v>246000</v>
      </c>
      <c r="K511" s="296"/>
      <c r="L511" s="232"/>
      <c r="M511" s="232"/>
      <c r="N511" s="232"/>
    </row>
    <row r="512" spans="1:14" outlineLevel="2" x14ac:dyDescent="0.25">
      <c r="A512" s="81" t="s">
        <v>19</v>
      </c>
      <c r="B512" s="80" t="s">
        <v>501</v>
      </c>
      <c r="C512" s="80" t="s">
        <v>109</v>
      </c>
      <c r="D512" s="80" t="s">
        <v>495</v>
      </c>
      <c r="E512" s="80" t="s">
        <v>20</v>
      </c>
      <c r="F512" s="316">
        <v>1890</v>
      </c>
      <c r="G512" s="317">
        <f>G513</f>
        <v>5500</v>
      </c>
      <c r="H512" s="360"/>
      <c r="I512" s="317">
        <f>I513</f>
        <v>5500</v>
      </c>
      <c r="J512" s="319">
        <f>J513</f>
        <v>5000</v>
      </c>
      <c r="K512" s="296"/>
      <c r="L512" s="232"/>
      <c r="M512" s="232"/>
      <c r="N512" s="232"/>
    </row>
    <row r="513" spans="1:14" s="172" customFormat="1" outlineLevel="3" x14ac:dyDescent="0.25">
      <c r="A513" s="81" t="s">
        <v>21</v>
      </c>
      <c r="B513" s="80" t="s">
        <v>501</v>
      </c>
      <c r="C513" s="80" t="s">
        <v>109</v>
      </c>
      <c r="D513" s="80" t="s">
        <v>495</v>
      </c>
      <c r="E513" s="80" t="s">
        <v>22</v>
      </c>
      <c r="F513" s="316">
        <v>1890</v>
      </c>
      <c r="G513" s="318">
        <v>5500</v>
      </c>
      <c r="H513" s="131"/>
      <c r="I513" s="318">
        <f>'прил 12'!F483</f>
        <v>5500</v>
      </c>
      <c r="J513" s="322">
        <v>5000</v>
      </c>
      <c r="K513" s="297"/>
      <c r="L513" s="233"/>
      <c r="M513" s="233"/>
      <c r="N513" s="233"/>
    </row>
    <row r="514" spans="1:14" ht="36.700000000000003" outlineLevel="4" x14ac:dyDescent="0.25">
      <c r="A514" s="81" t="s">
        <v>531</v>
      </c>
      <c r="B514" s="80" t="s">
        <v>501</v>
      </c>
      <c r="C514" s="80" t="s">
        <v>109</v>
      </c>
      <c r="D514" s="80" t="s">
        <v>530</v>
      </c>
      <c r="E514" s="80" t="s">
        <v>6</v>
      </c>
      <c r="F514" s="316">
        <v>180000</v>
      </c>
      <c r="G514" s="329">
        <f t="shared" ref="G514:J515" si="68">G515</f>
        <v>180000</v>
      </c>
      <c r="H514" s="317">
        <f t="shared" si="68"/>
        <v>135000</v>
      </c>
      <c r="I514" s="317">
        <f t="shared" si="68"/>
        <v>180000</v>
      </c>
      <c r="J514" s="319">
        <f t="shared" si="68"/>
        <v>180000</v>
      </c>
      <c r="K514" s="296"/>
      <c r="L514" s="232"/>
      <c r="M514" s="232"/>
      <c r="N514" s="232"/>
    </row>
    <row r="515" spans="1:14" ht="91.7" outlineLevel="5" x14ac:dyDescent="0.25">
      <c r="A515" s="81" t="s">
        <v>11</v>
      </c>
      <c r="B515" s="80" t="s">
        <v>501</v>
      </c>
      <c r="C515" s="80" t="s">
        <v>109</v>
      </c>
      <c r="D515" s="80" t="s">
        <v>530</v>
      </c>
      <c r="E515" s="80" t="s">
        <v>12</v>
      </c>
      <c r="F515" s="316">
        <v>180000</v>
      </c>
      <c r="G515" s="317">
        <f t="shared" si="68"/>
        <v>180000</v>
      </c>
      <c r="H515" s="370">
        <v>135000</v>
      </c>
      <c r="I515" s="317">
        <f t="shared" si="68"/>
        <v>180000</v>
      </c>
      <c r="J515" s="319">
        <f t="shared" si="68"/>
        <v>180000</v>
      </c>
      <c r="K515" s="296"/>
      <c r="L515" s="232"/>
      <c r="M515" s="232"/>
      <c r="N515" s="232"/>
    </row>
    <row r="516" spans="1:14" ht="45.7" customHeight="1" outlineLevel="6" x14ac:dyDescent="0.25">
      <c r="A516" s="81" t="s">
        <v>13</v>
      </c>
      <c r="B516" s="80" t="s">
        <v>501</v>
      </c>
      <c r="C516" s="80" t="s">
        <v>109</v>
      </c>
      <c r="D516" s="80" t="s">
        <v>530</v>
      </c>
      <c r="E516" s="80" t="s">
        <v>14</v>
      </c>
      <c r="F516" s="316">
        <v>180000</v>
      </c>
      <c r="G516" s="318">
        <v>180000</v>
      </c>
      <c r="H516" s="370">
        <v>135000</v>
      </c>
      <c r="I516" s="318">
        <f>'прил 12'!F486</f>
        <v>180000</v>
      </c>
      <c r="J516" s="319">
        <v>180000</v>
      </c>
      <c r="K516" s="296"/>
      <c r="L516" s="232"/>
      <c r="M516" s="232"/>
      <c r="N516" s="232"/>
    </row>
    <row r="517" spans="1:14" ht="46.2" customHeight="1" outlineLevel="7" x14ac:dyDescent="0.25">
      <c r="A517" s="81" t="s">
        <v>9</v>
      </c>
      <c r="B517" s="80" t="s">
        <v>501</v>
      </c>
      <c r="C517" s="80" t="s">
        <v>10</v>
      </c>
      <c r="D517" s="80" t="s">
        <v>126</v>
      </c>
      <c r="E517" s="80" t="s">
        <v>6</v>
      </c>
      <c r="F517" s="316">
        <v>1105064.8999999999</v>
      </c>
      <c r="G517" s="317">
        <f t="shared" ref="G517:H520" si="69">G518</f>
        <v>0</v>
      </c>
      <c r="H517" s="317">
        <f t="shared" si="69"/>
        <v>0</v>
      </c>
      <c r="I517" s="317"/>
      <c r="J517" s="319"/>
      <c r="K517" s="296"/>
      <c r="L517" s="232"/>
      <c r="M517" s="232"/>
      <c r="N517" s="232"/>
    </row>
    <row r="518" spans="1:14" s="172" customFormat="1" ht="36.700000000000003" outlineLevel="7" x14ac:dyDescent="0.25">
      <c r="A518" s="81" t="s">
        <v>132</v>
      </c>
      <c r="B518" s="80" t="s">
        <v>501</v>
      </c>
      <c r="C518" s="80" t="s">
        <v>10</v>
      </c>
      <c r="D518" s="80" t="s">
        <v>127</v>
      </c>
      <c r="E518" s="80" t="s">
        <v>6</v>
      </c>
      <c r="F518" s="316">
        <v>1105064.8999999999</v>
      </c>
      <c r="G518" s="317">
        <f t="shared" si="69"/>
        <v>0</v>
      </c>
      <c r="H518" s="317">
        <f t="shared" si="69"/>
        <v>0</v>
      </c>
      <c r="I518" s="317"/>
      <c r="J518" s="322"/>
      <c r="K518" s="297"/>
      <c r="L518" s="233"/>
      <c r="M518" s="233"/>
      <c r="N518" s="233"/>
    </row>
    <row r="519" spans="1:14" outlineLevel="7" x14ac:dyDescent="0.25">
      <c r="A519" s="81" t="s">
        <v>120</v>
      </c>
      <c r="B519" s="80" t="s">
        <v>501</v>
      </c>
      <c r="C519" s="80" t="s">
        <v>10</v>
      </c>
      <c r="D519" s="80" t="s">
        <v>143</v>
      </c>
      <c r="E519" s="80" t="s">
        <v>6</v>
      </c>
      <c r="F519" s="316">
        <v>1105064.8999999999</v>
      </c>
      <c r="G519" s="317">
        <f t="shared" si="69"/>
        <v>0</v>
      </c>
      <c r="H519" s="317">
        <f t="shared" si="69"/>
        <v>0</v>
      </c>
      <c r="I519" s="317"/>
      <c r="J519" s="319"/>
      <c r="K519" s="296"/>
      <c r="L519" s="232"/>
      <c r="M519" s="232"/>
      <c r="N519" s="232"/>
    </row>
    <row r="520" spans="1:14" ht="91.7" outlineLevel="7" x14ac:dyDescent="0.25">
      <c r="A520" s="81" t="s">
        <v>11</v>
      </c>
      <c r="B520" s="80" t="s">
        <v>501</v>
      </c>
      <c r="C520" s="80" t="s">
        <v>10</v>
      </c>
      <c r="D520" s="80" t="s">
        <v>143</v>
      </c>
      <c r="E520" s="80" t="s">
        <v>12</v>
      </c>
      <c r="F520" s="316">
        <v>1105064.8999999999</v>
      </c>
      <c r="G520" s="317">
        <f t="shared" si="69"/>
        <v>0</v>
      </c>
      <c r="H520" s="317">
        <f t="shared" si="69"/>
        <v>0</v>
      </c>
      <c r="I520" s="317"/>
      <c r="J520" s="319"/>
      <c r="K520" s="296"/>
      <c r="L520" s="232"/>
      <c r="M520" s="232"/>
      <c r="N520" s="232"/>
    </row>
    <row r="521" spans="1:14" ht="21.25" customHeight="1" outlineLevel="7" x14ac:dyDescent="0.25">
      <c r="A521" s="81" t="s">
        <v>13</v>
      </c>
      <c r="B521" s="80" t="s">
        <v>501</v>
      </c>
      <c r="C521" s="80" t="s">
        <v>10</v>
      </c>
      <c r="D521" s="80" t="s">
        <v>143</v>
      </c>
      <c r="E521" s="80" t="s">
        <v>14</v>
      </c>
      <c r="F521" s="316">
        <v>1105064.8999999999</v>
      </c>
      <c r="G521" s="317">
        <v>0</v>
      </c>
      <c r="H521" s="360">
        <v>0</v>
      </c>
      <c r="I521" s="317"/>
      <c r="J521" s="319"/>
      <c r="K521" s="296"/>
      <c r="L521" s="232"/>
      <c r="M521" s="232"/>
      <c r="N521" s="232"/>
    </row>
    <row r="522" spans="1:14" s="170" customFormat="1" x14ac:dyDescent="0.25">
      <c r="A522" s="81" t="s">
        <v>23</v>
      </c>
      <c r="B522" s="80" t="s">
        <v>501</v>
      </c>
      <c r="C522" s="80" t="s">
        <v>24</v>
      </c>
      <c r="D522" s="80" t="s">
        <v>126</v>
      </c>
      <c r="E522" s="80" t="s">
        <v>6</v>
      </c>
      <c r="F522" s="316">
        <v>0</v>
      </c>
      <c r="G522" s="317">
        <f>G523+G528</f>
        <v>137280</v>
      </c>
      <c r="H522" s="317">
        <f>H523+H528</f>
        <v>127918.5</v>
      </c>
      <c r="I522" s="317">
        <f>I523+I528</f>
        <v>137280</v>
      </c>
      <c r="J522" s="317">
        <f>J523+J528+J532</f>
        <v>250950</v>
      </c>
      <c r="K522" s="298"/>
      <c r="L522" s="295"/>
      <c r="M522" s="295"/>
      <c r="N522" s="295"/>
    </row>
    <row r="523" spans="1:14" s="172" customFormat="1" ht="55.05" outlineLevel="1" x14ac:dyDescent="0.25">
      <c r="A523" s="109" t="s">
        <v>830</v>
      </c>
      <c r="B523" s="110" t="s">
        <v>501</v>
      </c>
      <c r="C523" s="110" t="s">
        <v>24</v>
      </c>
      <c r="D523" s="110" t="s">
        <v>128</v>
      </c>
      <c r="E523" s="110" t="s">
        <v>6</v>
      </c>
      <c r="F523" s="316">
        <v>0</v>
      </c>
      <c r="G523" s="321">
        <f t="shared" ref="G523:J526" si="70">G524</f>
        <v>33280</v>
      </c>
      <c r="H523" s="361"/>
      <c r="I523" s="321">
        <f t="shared" si="70"/>
        <v>33280</v>
      </c>
      <c r="J523" s="322">
        <f t="shared" si="70"/>
        <v>33280</v>
      </c>
      <c r="K523" s="297"/>
      <c r="L523" s="233"/>
      <c r="M523" s="233"/>
      <c r="N523" s="233"/>
    </row>
    <row r="524" spans="1:14" ht="55.05" outlineLevel="2" x14ac:dyDescent="0.25">
      <c r="A524" s="113" t="s">
        <v>835</v>
      </c>
      <c r="B524" s="80" t="s">
        <v>501</v>
      </c>
      <c r="C524" s="80" t="s">
        <v>24</v>
      </c>
      <c r="D524" s="80" t="s">
        <v>315</v>
      </c>
      <c r="E524" s="80" t="s">
        <v>6</v>
      </c>
      <c r="F524" s="316">
        <v>0</v>
      </c>
      <c r="G524" s="317">
        <f t="shared" si="70"/>
        <v>33280</v>
      </c>
      <c r="H524" s="360"/>
      <c r="I524" s="317">
        <f t="shared" si="70"/>
        <v>33280</v>
      </c>
      <c r="J524" s="319">
        <f t="shared" si="70"/>
        <v>33280</v>
      </c>
      <c r="K524" s="296"/>
      <c r="L524" s="232"/>
      <c r="M524" s="232"/>
      <c r="N524" s="232"/>
    </row>
    <row r="525" spans="1:14" s="172" customFormat="1" outlineLevel="3" x14ac:dyDescent="0.25">
      <c r="A525" s="113" t="s">
        <v>321</v>
      </c>
      <c r="B525" s="80" t="s">
        <v>501</v>
      </c>
      <c r="C525" s="80" t="s">
        <v>24</v>
      </c>
      <c r="D525" s="80" t="s">
        <v>316</v>
      </c>
      <c r="E525" s="80" t="s">
        <v>6</v>
      </c>
      <c r="F525" s="320">
        <v>0</v>
      </c>
      <c r="G525" s="317">
        <f t="shared" si="70"/>
        <v>33280</v>
      </c>
      <c r="H525" s="360"/>
      <c r="I525" s="317">
        <f t="shared" si="70"/>
        <v>33280</v>
      </c>
      <c r="J525" s="322">
        <f t="shared" si="70"/>
        <v>33280</v>
      </c>
      <c r="K525" s="297"/>
      <c r="L525" s="233"/>
      <c r="M525" s="233"/>
      <c r="N525" s="233"/>
    </row>
    <row r="526" spans="1:14" ht="36.700000000000003" outlineLevel="4" x14ac:dyDescent="0.25">
      <c r="A526" s="81" t="s">
        <v>15</v>
      </c>
      <c r="B526" s="80" t="s">
        <v>501</v>
      </c>
      <c r="C526" s="80" t="s">
        <v>24</v>
      </c>
      <c r="D526" s="80" t="s">
        <v>316</v>
      </c>
      <c r="E526" s="80" t="s">
        <v>16</v>
      </c>
      <c r="F526" s="316">
        <v>0</v>
      </c>
      <c r="G526" s="317">
        <f t="shared" si="70"/>
        <v>33280</v>
      </c>
      <c r="H526" s="360"/>
      <c r="I526" s="317">
        <f t="shared" si="70"/>
        <v>33280</v>
      </c>
      <c r="J526" s="319">
        <f t="shared" si="70"/>
        <v>33280</v>
      </c>
      <c r="K526" s="296"/>
      <c r="L526" s="232"/>
      <c r="M526" s="232"/>
      <c r="N526" s="232"/>
    </row>
    <row r="527" spans="1:14" ht="55.05" outlineLevel="4" x14ac:dyDescent="0.25">
      <c r="A527" s="81" t="s">
        <v>17</v>
      </c>
      <c r="B527" s="80" t="s">
        <v>501</v>
      </c>
      <c r="C527" s="80" t="s">
        <v>24</v>
      </c>
      <c r="D527" s="80" t="s">
        <v>316</v>
      </c>
      <c r="E527" s="80" t="s">
        <v>18</v>
      </c>
      <c r="F527" s="316">
        <v>0</v>
      </c>
      <c r="G527" s="317">
        <v>33280</v>
      </c>
      <c r="H527" s="360"/>
      <c r="I527" s="317">
        <f>'прил 12'!F497</f>
        <v>33280</v>
      </c>
      <c r="J527" s="319">
        <v>33280</v>
      </c>
      <c r="K527" s="296"/>
      <c r="L527" s="232"/>
      <c r="M527" s="232"/>
      <c r="N527" s="232"/>
    </row>
    <row r="528" spans="1:14" ht="36.700000000000003" outlineLevel="5" x14ac:dyDescent="0.25">
      <c r="A528" s="109" t="s">
        <v>132</v>
      </c>
      <c r="B528" s="110" t="s">
        <v>501</v>
      </c>
      <c r="C528" s="110" t="s">
        <v>24</v>
      </c>
      <c r="D528" s="110" t="s">
        <v>127</v>
      </c>
      <c r="E528" s="110" t="s">
        <v>6</v>
      </c>
      <c r="F528" s="316">
        <v>96161</v>
      </c>
      <c r="G528" s="323">
        <f t="shared" ref="G528:J530" si="71">G529</f>
        <v>104000</v>
      </c>
      <c r="H528" s="133">
        <f>H529</f>
        <v>127918.5</v>
      </c>
      <c r="I528" s="323">
        <f t="shared" si="71"/>
        <v>104000</v>
      </c>
      <c r="J528" s="319">
        <f t="shared" si="71"/>
        <v>104000</v>
      </c>
      <c r="K528" s="296"/>
      <c r="L528" s="232"/>
      <c r="M528" s="232"/>
      <c r="N528" s="232"/>
    </row>
    <row r="529" spans="1:14" ht="36.700000000000003" outlineLevel="6" x14ac:dyDescent="0.3">
      <c r="A529" s="81" t="s">
        <v>532</v>
      </c>
      <c r="B529" s="80" t="s">
        <v>501</v>
      </c>
      <c r="C529" s="80" t="s">
        <v>24</v>
      </c>
      <c r="D529" s="160">
        <v>9909970201</v>
      </c>
      <c r="E529" s="80" t="s">
        <v>6</v>
      </c>
      <c r="F529" s="316">
        <v>96161</v>
      </c>
      <c r="G529" s="318">
        <f t="shared" si="71"/>
        <v>104000</v>
      </c>
      <c r="H529" s="373">
        <v>127918.5</v>
      </c>
      <c r="I529" s="318">
        <f t="shared" si="71"/>
        <v>104000</v>
      </c>
      <c r="J529" s="319">
        <f t="shared" si="71"/>
        <v>104000</v>
      </c>
      <c r="K529" s="296"/>
      <c r="L529" s="232"/>
      <c r="M529" s="232"/>
      <c r="N529" s="232"/>
    </row>
    <row r="530" spans="1:14" ht="36.700000000000003" outlineLevel="7" x14ac:dyDescent="0.3">
      <c r="A530" s="81" t="s">
        <v>15</v>
      </c>
      <c r="B530" s="80" t="s">
        <v>501</v>
      </c>
      <c r="C530" s="80" t="s">
        <v>24</v>
      </c>
      <c r="D530" s="160">
        <v>9909970201</v>
      </c>
      <c r="E530" s="80" t="s">
        <v>16</v>
      </c>
      <c r="F530" s="316">
        <v>96161</v>
      </c>
      <c r="G530" s="318">
        <f t="shared" si="71"/>
        <v>104000</v>
      </c>
      <c r="H530" s="373">
        <v>127918.5</v>
      </c>
      <c r="I530" s="318">
        <f t="shared" si="71"/>
        <v>104000</v>
      </c>
      <c r="J530" s="319">
        <f t="shared" si="71"/>
        <v>104000</v>
      </c>
      <c r="K530" s="296"/>
      <c r="L530" s="232"/>
      <c r="M530" s="232"/>
      <c r="N530" s="232"/>
    </row>
    <row r="531" spans="1:14" ht="45" customHeight="1" outlineLevel="7" x14ac:dyDescent="0.3">
      <c r="A531" s="81" t="s">
        <v>17</v>
      </c>
      <c r="B531" s="80" t="s">
        <v>501</v>
      </c>
      <c r="C531" s="80" t="s">
        <v>24</v>
      </c>
      <c r="D531" s="160">
        <v>9909970201</v>
      </c>
      <c r="E531" s="80" t="s">
        <v>18</v>
      </c>
      <c r="F531" s="326">
        <v>96161</v>
      </c>
      <c r="G531" s="317">
        <v>104000</v>
      </c>
      <c r="H531" s="373">
        <v>127918.5</v>
      </c>
      <c r="I531" s="317">
        <f>'прил 12'!F501</f>
        <v>104000</v>
      </c>
      <c r="J531" s="319">
        <v>104000</v>
      </c>
      <c r="K531" s="296"/>
      <c r="L531" s="232"/>
      <c r="M531" s="232"/>
      <c r="N531" s="232"/>
    </row>
    <row r="532" spans="1:14" ht="55.05" outlineLevel="7" x14ac:dyDescent="0.25">
      <c r="A532" s="114" t="s">
        <v>829</v>
      </c>
      <c r="B532" s="110" t="s">
        <v>501</v>
      </c>
      <c r="C532" s="80" t="s">
        <v>24</v>
      </c>
      <c r="D532" s="110" t="s">
        <v>317</v>
      </c>
      <c r="E532" s="110" t="s">
        <v>6</v>
      </c>
      <c r="F532" s="160">
        <v>0</v>
      </c>
      <c r="G532" s="317">
        <v>0</v>
      </c>
      <c r="H532" s="360">
        <v>0</v>
      </c>
      <c r="I532" s="317">
        <v>0</v>
      </c>
      <c r="J532" s="319">
        <f>J533</f>
        <v>113670</v>
      </c>
      <c r="K532" s="296"/>
      <c r="L532" s="232"/>
      <c r="M532" s="232"/>
      <c r="N532" s="232"/>
    </row>
    <row r="533" spans="1:14" ht="36.700000000000003" outlineLevel="7" x14ac:dyDescent="0.25">
      <c r="A533" s="113" t="s">
        <v>249</v>
      </c>
      <c r="B533" s="80" t="s">
        <v>501</v>
      </c>
      <c r="C533" s="80" t="s">
        <v>24</v>
      </c>
      <c r="D533" s="80" t="s">
        <v>318</v>
      </c>
      <c r="E533" s="80" t="s">
        <v>6</v>
      </c>
      <c r="F533" s="160">
        <v>0</v>
      </c>
      <c r="G533" s="317">
        <v>0</v>
      </c>
      <c r="H533" s="360">
        <v>0</v>
      </c>
      <c r="I533" s="317">
        <v>0</v>
      </c>
      <c r="J533" s="319">
        <f>J534</f>
        <v>113670</v>
      </c>
      <c r="K533" s="296"/>
      <c r="L533" s="232"/>
      <c r="M533" s="232"/>
      <c r="N533" s="232"/>
    </row>
    <row r="534" spans="1:14" ht="18.7" customHeight="1" outlineLevel="7" x14ac:dyDescent="0.25">
      <c r="A534" s="81" t="s">
        <v>25</v>
      </c>
      <c r="B534" s="80" t="s">
        <v>501</v>
      </c>
      <c r="C534" s="80" t="s">
        <v>24</v>
      </c>
      <c r="D534" s="80" t="s">
        <v>329</v>
      </c>
      <c r="E534" s="80" t="s">
        <v>6</v>
      </c>
      <c r="F534" s="80" t="s">
        <v>976</v>
      </c>
      <c r="G534" s="317">
        <v>0</v>
      </c>
      <c r="H534" s="360">
        <v>0</v>
      </c>
      <c r="I534" s="317">
        <v>0</v>
      </c>
      <c r="J534" s="319">
        <f>J535</f>
        <v>113670</v>
      </c>
      <c r="K534" s="296"/>
      <c r="L534" s="232"/>
      <c r="M534" s="232"/>
      <c r="N534" s="232"/>
    </row>
    <row r="535" spans="1:14" ht="36.700000000000003" outlineLevel="7" x14ac:dyDescent="0.25">
      <c r="A535" s="81" t="s">
        <v>15</v>
      </c>
      <c r="B535" s="80" t="s">
        <v>501</v>
      </c>
      <c r="C535" s="80" t="s">
        <v>24</v>
      </c>
      <c r="D535" s="80" t="s">
        <v>329</v>
      </c>
      <c r="E535" s="80" t="s">
        <v>16</v>
      </c>
      <c r="F535" s="80" t="s">
        <v>976</v>
      </c>
      <c r="G535" s="317">
        <v>0</v>
      </c>
      <c r="H535" s="360">
        <v>0</v>
      </c>
      <c r="I535" s="317">
        <v>0</v>
      </c>
      <c r="J535" s="319">
        <f>J536</f>
        <v>113670</v>
      </c>
      <c r="K535" s="296"/>
      <c r="L535" s="232"/>
      <c r="M535" s="232"/>
      <c r="N535" s="232"/>
    </row>
    <row r="536" spans="1:14" ht="55.05" outlineLevel="7" x14ac:dyDescent="0.25">
      <c r="A536" s="81" t="s">
        <v>17</v>
      </c>
      <c r="B536" s="80" t="s">
        <v>501</v>
      </c>
      <c r="C536" s="80" t="s">
        <v>24</v>
      </c>
      <c r="D536" s="80" t="s">
        <v>329</v>
      </c>
      <c r="E536" s="80" t="s">
        <v>18</v>
      </c>
      <c r="F536" s="80" t="s">
        <v>976</v>
      </c>
      <c r="G536" s="317">
        <v>0</v>
      </c>
      <c r="H536" s="360">
        <v>0</v>
      </c>
      <c r="I536" s="317">
        <v>0</v>
      </c>
      <c r="J536" s="319">
        <v>113670</v>
      </c>
      <c r="K536" s="296"/>
      <c r="L536" s="232"/>
      <c r="M536" s="232"/>
      <c r="N536" s="232"/>
    </row>
    <row r="537" spans="1:14" ht="55.05" outlineLevel="7" x14ac:dyDescent="0.25">
      <c r="A537" s="104" t="s">
        <v>546</v>
      </c>
      <c r="B537" s="105" t="s">
        <v>536</v>
      </c>
      <c r="C537" s="105" t="s">
        <v>5</v>
      </c>
      <c r="D537" s="105" t="s">
        <v>126</v>
      </c>
      <c r="E537" s="105" t="s">
        <v>6</v>
      </c>
      <c r="F537" s="314">
        <v>539922363.24000001</v>
      </c>
      <c r="G537" s="315" t="e">
        <f>G538+G689+G705</f>
        <v>#REF!</v>
      </c>
      <c r="H537" s="315">
        <f>H538+H689+H705</f>
        <v>448686771.28000015</v>
      </c>
      <c r="I537" s="315">
        <f>I538+I689+I705</f>
        <v>585353722.39999998</v>
      </c>
      <c r="J537" s="315">
        <f>J538+J689+J705</f>
        <v>213797670.37</v>
      </c>
      <c r="K537" s="296"/>
      <c r="L537" s="296">
        <f>K537-H537</f>
        <v>-448686771.28000015</v>
      </c>
      <c r="M537" s="232"/>
      <c r="N537" s="232"/>
    </row>
    <row r="538" spans="1:14" outlineLevel="7" x14ac:dyDescent="0.25">
      <c r="A538" s="109" t="s">
        <v>69</v>
      </c>
      <c r="B538" s="110" t="s">
        <v>536</v>
      </c>
      <c r="C538" s="110" t="s">
        <v>70</v>
      </c>
      <c r="D538" s="110" t="s">
        <v>126</v>
      </c>
      <c r="E538" s="110" t="s">
        <v>6</v>
      </c>
      <c r="F538" s="316">
        <v>531585411.58999997</v>
      </c>
      <c r="G538" s="321" t="e">
        <f>G539+G575+G650+G669+G624</f>
        <v>#REF!</v>
      </c>
      <c r="H538" s="321">
        <f>H539+H575+H650+H669+H624</f>
        <v>444707177.88000011</v>
      </c>
      <c r="I538" s="321">
        <f>I539+I575+I650+I669+I624</f>
        <v>580505853.39999998</v>
      </c>
      <c r="J538" s="321">
        <f>J539+J575+J650+J669+J624</f>
        <v>213438870.37</v>
      </c>
      <c r="K538" s="296"/>
      <c r="L538" s="232"/>
      <c r="M538" s="232"/>
      <c r="N538" s="232"/>
    </row>
    <row r="539" spans="1:14" outlineLevel="7" x14ac:dyDescent="0.25">
      <c r="A539" s="81" t="s">
        <v>110</v>
      </c>
      <c r="B539" s="80" t="s">
        <v>536</v>
      </c>
      <c r="C539" s="80" t="s">
        <v>111</v>
      </c>
      <c r="D539" s="80" t="s">
        <v>126</v>
      </c>
      <c r="E539" s="80" t="s">
        <v>6</v>
      </c>
      <c r="F539" s="316">
        <v>118364131.27</v>
      </c>
      <c r="G539" s="317">
        <f t="shared" ref="G539:J540" si="72">G540</f>
        <v>139928096.22</v>
      </c>
      <c r="H539" s="317">
        <f t="shared" si="72"/>
        <v>96923388.159999996</v>
      </c>
      <c r="I539" s="317">
        <f t="shared" si="72"/>
        <v>136647891</v>
      </c>
      <c r="J539" s="317">
        <f t="shared" si="72"/>
        <v>55128622.199999996</v>
      </c>
      <c r="K539" s="296"/>
      <c r="L539" s="232"/>
      <c r="M539" s="232"/>
      <c r="N539" s="232"/>
    </row>
    <row r="540" spans="1:14" ht="55.05" outlineLevel="7" x14ac:dyDescent="0.25">
      <c r="A540" s="109" t="s">
        <v>825</v>
      </c>
      <c r="B540" s="110" t="s">
        <v>536</v>
      </c>
      <c r="C540" s="110" t="s">
        <v>111</v>
      </c>
      <c r="D540" s="110" t="s">
        <v>138</v>
      </c>
      <c r="E540" s="110" t="s">
        <v>6</v>
      </c>
      <c r="F540" s="320">
        <v>118364131.27</v>
      </c>
      <c r="G540" s="321">
        <f t="shared" si="72"/>
        <v>139928096.22</v>
      </c>
      <c r="H540" s="321">
        <f t="shared" si="72"/>
        <v>96923388.159999996</v>
      </c>
      <c r="I540" s="321">
        <f t="shared" si="72"/>
        <v>136647891</v>
      </c>
      <c r="J540" s="321">
        <f t="shared" si="72"/>
        <v>55128622.199999996</v>
      </c>
      <c r="K540" s="296"/>
      <c r="L540" s="232"/>
      <c r="M540" s="232"/>
      <c r="N540" s="232"/>
    </row>
    <row r="541" spans="1:14" ht="55.05" outlineLevel="7" x14ac:dyDescent="0.25">
      <c r="A541" s="81" t="s">
        <v>834</v>
      </c>
      <c r="B541" s="80" t="s">
        <v>536</v>
      </c>
      <c r="C541" s="80" t="s">
        <v>111</v>
      </c>
      <c r="D541" s="80" t="s">
        <v>139</v>
      </c>
      <c r="E541" s="80" t="s">
        <v>6</v>
      </c>
      <c r="F541" s="320">
        <v>118364131.27</v>
      </c>
      <c r="G541" s="317">
        <f>G542+G549</f>
        <v>139928096.22</v>
      </c>
      <c r="H541" s="317">
        <f>H542+H549</f>
        <v>96923388.159999996</v>
      </c>
      <c r="I541" s="317">
        <f>I542+I549</f>
        <v>136647891</v>
      </c>
      <c r="J541" s="317">
        <f>J542+J549</f>
        <v>55128622.199999996</v>
      </c>
      <c r="K541" s="296"/>
      <c r="L541" s="232"/>
      <c r="M541" s="232"/>
      <c r="N541" s="232"/>
    </row>
    <row r="542" spans="1:14" ht="55.05" outlineLevel="7" x14ac:dyDescent="0.25">
      <c r="A542" s="113" t="s">
        <v>202</v>
      </c>
      <c r="B542" s="80" t="s">
        <v>536</v>
      </c>
      <c r="C542" s="80" t="s">
        <v>111</v>
      </c>
      <c r="D542" s="80" t="s">
        <v>219</v>
      </c>
      <c r="E542" s="80" t="s">
        <v>6</v>
      </c>
      <c r="F542" s="316">
        <v>116865686.84</v>
      </c>
      <c r="G542" s="317">
        <f>G543+G546</f>
        <v>130093742.69</v>
      </c>
      <c r="H542" s="317">
        <f>H543+H546</f>
        <v>91675352.060000002</v>
      </c>
      <c r="I542" s="317">
        <f>I543+I546</f>
        <v>134240407.59999999</v>
      </c>
      <c r="J542" s="317">
        <f>J543+J546</f>
        <v>49664655.299999997</v>
      </c>
      <c r="K542" s="296"/>
      <c r="L542" s="232"/>
      <c r="M542" s="232"/>
      <c r="N542" s="232"/>
    </row>
    <row r="543" spans="1:14" ht="55.05" outlineLevel="7" x14ac:dyDescent="0.25">
      <c r="A543" s="81" t="s">
        <v>113</v>
      </c>
      <c r="B543" s="80" t="s">
        <v>536</v>
      </c>
      <c r="C543" s="80" t="s">
        <v>111</v>
      </c>
      <c r="D543" s="80" t="s">
        <v>144</v>
      </c>
      <c r="E543" s="80" t="s">
        <v>6</v>
      </c>
      <c r="F543" s="316">
        <v>41271815.840000004</v>
      </c>
      <c r="G543" s="317">
        <f t="shared" ref="G543:J544" si="73">G544</f>
        <v>45003324.689999998</v>
      </c>
      <c r="H543" s="317">
        <f t="shared" si="73"/>
        <v>31822280.059999999</v>
      </c>
      <c r="I543" s="317">
        <f t="shared" si="73"/>
        <v>48316977.600000001</v>
      </c>
      <c r="J543" s="317">
        <f t="shared" si="73"/>
        <v>49664655.299999997</v>
      </c>
      <c r="K543" s="296"/>
      <c r="L543" s="232"/>
      <c r="M543" s="232"/>
      <c r="N543" s="232"/>
    </row>
    <row r="544" spans="1:14" ht="55.05" outlineLevel="7" x14ac:dyDescent="0.25">
      <c r="A544" s="81" t="s">
        <v>37</v>
      </c>
      <c r="B544" s="80" t="s">
        <v>536</v>
      </c>
      <c r="C544" s="80" t="s">
        <v>111</v>
      </c>
      <c r="D544" s="80" t="s">
        <v>144</v>
      </c>
      <c r="E544" s="80" t="s">
        <v>38</v>
      </c>
      <c r="F544" s="316">
        <v>41271815.840000004</v>
      </c>
      <c r="G544" s="317">
        <f t="shared" si="73"/>
        <v>45003324.689999998</v>
      </c>
      <c r="H544" s="317">
        <f t="shared" si="73"/>
        <v>31822280.059999999</v>
      </c>
      <c r="I544" s="317">
        <f t="shared" si="73"/>
        <v>48316977.600000001</v>
      </c>
      <c r="J544" s="317">
        <f t="shared" si="73"/>
        <v>49664655.299999997</v>
      </c>
      <c r="K544" s="296"/>
      <c r="L544" s="232"/>
      <c r="M544" s="232"/>
      <c r="N544" s="232"/>
    </row>
    <row r="545" spans="1:14" outlineLevel="7" x14ac:dyDescent="0.25">
      <c r="A545" s="81" t="s">
        <v>74</v>
      </c>
      <c r="B545" s="80" t="s">
        <v>536</v>
      </c>
      <c r="C545" s="80" t="s">
        <v>111</v>
      </c>
      <c r="D545" s="80" t="s">
        <v>144</v>
      </c>
      <c r="E545" s="80" t="s">
        <v>75</v>
      </c>
      <c r="F545" s="316">
        <v>41271815.840000004</v>
      </c>
      <c r="G545" s="318">
        <f>потребность!I504-3300000+556776+859477+84223.69</f>
        <v>45003324.689999998</v>
      </c>
      <c r="H545" s="131">
        <v>31822280.059999999</v>
      </c>
      <c r="I545" s="318">
        <v>48316977.600000001</v>
      </c>
      <c r="J545" s="318">
        <v>49664655.299999997</v>
      </c>
      <c r="K545" s="296"/>
      <c r="L545" s="232"/>
      <c r="M545" s="232"/>
      <c r="N545" s="232"/>
    </row>
    <row r="546" spans="1:14" ht="110.05" outlineLevel="7" x14ac:dyDescent="0.25">
      <c r="A546" s="113" t="s">
        <v>397</v>
      </c>
      <c r="B546" s="80" t="s">
        <v>536</v>
      </c>
      <c r="C546" s="80" t="s">
        <v>111</v>
      </c>
      <c r="D546" s="80" t="s">
        <v>145</v>
      </c>
      <c r="E546" s="80" t="s">
        <v>6</v>
      </c>
      <c r="F546" s="316">
        <v>75593871</v>
      </c>
      <c r="G546" s="317">
        <f t="shared" ref="G546:J547" si="74">G547</f>
        <v>85090418</v>
      </c>
      <c r="H546" s="317">
        <f t="shared" si="74"/>
        <v>59853072</v>
      </c>
      <c r="I546" s="317">
        <f t="shared" si="74"/>
        <v>85923430</v>
      </c>
      <c r="J546" s="317">
        <f t="shared" si="74"/>
        <v>0</v>
      </c>
      <c r="K546" s="296"/>
      <c r="L546" s="232"/>
      <c r="M546" s="232"/>
      <c r="N546" s="232"/>
    </row>
    <row r="547" spans="1:14" ht="55.05" outlineLevel="7" x14ac:dyDescent="0.25">
      <c r="A547" s="81" t="s">
        <v>37</v>
      </c>
      <c r="B547" s="80" t="s">
        <v>536</v>
      </c>
      <c r="C547" s="80" t="s">
        <v>111</v>
      </c>
      <c r="D547" s="80" t="s">
        <v>145</v>
      </c>
      <c r="E547" s="80" t="s">
        <v>38</v>
      </c>
      <c r="F547" s="316">
        <v>75593871</v>
      </c>
      <c r="G547" s="317">
        <f t="shared" si="74"/>
        <v>85090418</v>
      </c>
      <c r="H547" s="317">
        <f t="shared" si="74"/>
        <v>59853072</v>
      </c>
      <c r="I547" s="317">
        <f t="shared" si="74"/>
        <v>85923430</v>
      </c>
      <c r="J547" s="317">
        <f t="shared" si="74"/>
        <v>0</v>
      </c>
      <c r="K547" s="296"/>
      <c r="L547" s="232"/>
      <c r="M547" s="232"/>
      <c r="N547" s="232"/>
    </row>
    <row r="548" spans="1:14" ht="24.8" customHeight="1" outlineLevel="7" x14ac:dyDescent="0.25">
      <c r="A548" s="81" t="s">
        <v>74</v>
      </c>
      <c r="B548" s="80" t="s">
        <v>536</v>
      </c>
      <c r="C548" s="80" t="s">
        <v>111</v>
      </c>
      <c r="D548" s="80" t="s">
        <v>145</v>
      </c>
      <c r="E548" s="80" t="s">
        <v>75</v>
      </c>
      <c r="F548" s="316">
        <v>75593871</v>
      </c>
      <c r="G548" s="318">
        <f>81227204+3863214</f>
        <v>85090418</v>
      </c>
      <c r="H548" s="131">
        <v>59853072</v>
      </c>
      <c r="I548" s="318">
        <v>85923430</v>
      </c>
      <c r="J548" s="324">
        <v>0</v>
      </c>
      <c r="K548" s="296"/>
      <c r="L548" s="232"/>
      <c r="M548" s="232"/>
      <c r="N548" s="232"/>
    </row>
    <row r="549" spans="1:14" ht="36.700000000000003" outlineLevel="7" x14ac:dyDescent="0.25">
      <c r="A549" s="113" t="s">
        <v>203</v>
      </c>
      <c r="B549" s="80" t="s">
        <v>536</v>
      </c>
      <c r="C549" s="80" t="s">
        <v>111</v>
      </c>
      <c r="D549" s="80" t="s">
        <v>221</v>
      </c>
      <c r="E549" s="80" t="s">
        <v>6</v>
      </c>
      <c r="F549" s="316">
        <v>1498444.43</v>
      </c>
      <c r="G549" s="318">
        <f>G568+G550+G553+G556+G559+G562</f>
        <v>9834353.5300000012</v>
      </c>
      <c r="H549" s="318">
        <f>H568+H550+H553+H556+H559+H562</f>
        <v>5248036.0999999996</v>
      </c>
      <c r="I549" s="318">
        <f>I568+I550+I553+I556+I559+I562</f>
        <v>2407483.4</v>
      </c>
      <c r="J549" s="318">
        <f>J568+J550+J553+J556+J559+J562</f>
        <v>5463966.9000000004</v>
      </c>
      <c r="K549" s="296"/>
      <c r="L549" s="232"/>
      <c r="M549" s="232"/>
      <c r="N549" s="232"/>
    </row>
    <row r="550" spans="1:14" ht="36.700000000000003" outlineLevel="7" x14ac:dyDescent="0.25">
      <c r="A550" s="81" t="s">
        <v>282</v>
      </c>
      <c r="B550" s="80" t="s">
        <v>536</v>
      </c>
      <c r="C550" s="80" t="s">
        <v>111</v>
      </c>
      <c r="D550" s="80" t="s">
        <v>283</v>
      </c>
      <c r="E550" s="80" t="s">
        <v>6</v>
      </c>
      <c r="F550" s="316">
        <v>97500</v>
      </c>
      <c r="G550" s="318">
        <f t="shared" ref="G550:J551" si="75">G551</f>
        <v>97500</v>
      </c>
      <c r="H550" s="318">
        <f t="shared" si="75"/>
        <v>0</v>
      </c>
      <c r="I550" s="318">
        <f t="shared" si="75"/>
        <v>97500</v>
      </c>
      <c r="J550" s="318">
        <f t="shared" si="75"/>
        <v>100000</v>
      </c>
      <c r="K550" s="296"/>
      <c r="L550" s="232"/>
      <c r="M550" s="232"/>
      <c r="N550" s="232"/>
    </row>
    <row r="551" spans="1:14" ht="22.75" customHeight="1" outlineLevel="7" x14ac:dyDescent="0.25">
      <c r="A551" s="81" t="s">
        <v>37</v>
      </c>
      <c r="B551" s="80" t="s">
        <v>536</v>
      </c>
      <c r="C551" s="80" t="s">
        <v>111</v>
      </c>
      <c r="D551" s="80" t="s">
        <v>283</v>
      </c>
      <c r="E551" s="80" t="s">
        <v>38</v>
      </c>
      <c r="F551" s="316">
        <v>97500</v>
      </c>
      <c r="G551" s="318">
        <f t="shared" si="75"/>
        <v>97500</v>
      </c>
      <c r="H551" s="318">
        <f t="shared" si="75"/>
        <v>0</v>
      </c>
      <c r="I551" s="318">
        <f t="shared" si="75"/>
        <v>97500</v>
      </c>
      <c r="J551" s="318">
        <f t="shared" si="75"/>
        <v>100000</v>
      </c>
      <c r="K551" s="296"/>
      <c r="L551" s="232"/>
      <c r="M551" s="232"/>
      <c r="N551" s="232"/>
    </row>
    <row r="552" spans="1:14" outlineLevel="7" x14ac:dyDescent="0.25">
      <c r="A552" s="81" t="s">
        <v>74</v>
      </c>
      <c r="B552" s="80" t="s">
        <v>536</v>
      </c>
      <c r="C552" s="80" t="s">
        <v>111</v>
      </c>
      <c r="D552" s="80" t="s">
        <v>283</v>
      </c>
      <c r="E552" s="80" t="s">
        <v>75</v>
      </c>
      <c r="F552" s="316">
        <v>97500</v>
      </c>
      <c r="G552" s="318">
        <v>97500</v>
      </c>
      <c r="H552" s="131"/>
      <c r="I552" s="318">
        <v>97500</v>
      </c>
      <c r="J552" s="318">
        <v>100000</v>
      </c>
      <c r="K552" s="296"/>
      <c r="L552" s="232"/>
      <c r="M552" s="232"/>
      <c r="N552" s="232"/>
    </row>
    <row r="553" spans="1:14" ht="36.700000000000003" outlineLevel="7" x14ac:dyDescent="0.25">
      <c r="A553" s="81" t="s">
        <v>268</v>
      </c>
      <c r="B553" s="80" t="s">
        <v>536</v>
      </c>
      <c r="C553" s="80" t="s">
        <v>111</v>
      </c>
      <c r="D553" s="80" t="s">
        <v>284</v>
      </c>
      <c r="E553" s="80" t="s">
        <v>6</v>
      </c>
      <c r="F553" s="316">
        <v>111181.43</v>
      </c>
      <c r="G553" s="318">
        <f>G554</f>
        <v>152000</v>
      </c>
      <c r="H553" s="318">
        <f>H554</f>
        <v>77979.91</v>
      </c>
      <c r="I553" s="318">
        <f>I554</f>
        <v>152000</v>
      </c>
      <c r="J553" s="318">
        <f>J554</f>
        <v>158000</v>
      </c>
      <c r="K553" s="296"/>
      <c r="L553" s="232"/>
      <c r="M553" s="232"/>
      <c r="N553" s="232"/>
    </row>
    <row r="554" spans="1:14" ht="55.05" outlineLevel="7" x14ac:dyDescent="0.25">
      <c r="A554" s="81" t="s">
        <v>37</v>
      </c>
      <c r="B554" s="80" t="s">
        <v>536</v>
      </c>
      <c r="C554" s="80" t="s">
        <v>111</v>
      </c>
      <c r="D554" s="80" t="s">
        <v>284</v>
      </c>
      <c r="E554" s="80" t="s">
        <v>38</v>
      </c>
      <c r="F554" s="316">
        <v>111181.43</v>
      </c>
      <c r="G554" s="318">
        <f>G555</f>
        <v>152000</v>
      </c>
      <c r="H554" s="318">
        <f>H555</f>
        <v>77979.91</v>
      </c>
      <c r="I554" s="318">
        <v>152000</v>
      </c>
      <c r="J554" s="318">
        <f>J555</f>
        <v>158000</v>
      </c>
      <c r="K554" s="296"/>
      <c r="L554" s="232"/>
      <c r="M554" s="232"/>
      <c r="N554" s="232"/>
    </row>
    <row r="555" spans="1:14" outlineLevel="7" x14ac:dyDescent="0.25">
      <c r="A555" s="81" t="s">
        <v>74</v>
      </c>
      <c r="B555" s="80" t="s">
        <v>536</v>
      </c>
      <c r="C555" s="80" t="s">
        <v>111</v>
      </c>
      <c r="D555" s="80" t="s">
        <v>284</v>
      </c>
      <c r="E555" s="80" t="s">
        <v>75</v>
      </c>
      <c r="F555" s="316">
        <v>111181.43</v>
      </c>
      <c r="G555" s="318">
        <v>152000</v>
      </c>
      <c r="H555" s="131">
        <v>77979.91</v>
      </c>
      <c r="I555" s="318">
        <v>152000</v>
      </c>
      <c r="J555" s="318">
        <v>158000</v>
      </c>
      <c r="K555" s="296"/>
      <c r="L555" s="232"/>
      <c r="M555" s="232"/>
      <c r="N555" s="232"/>
    </row>
    <row r="556" spans="1:14" outlineLevel="7" x14ac:dyDescent="0.25">
      <c r="A556" s="81" t="s">
        <v>311</v>
      </c>
      <c r="B556" s="80" t="s">
        <v>536</v>
      </c>
      <c r="C556" s="80" t="s">
        <v>111</v>
      </c>
      <c r="D556" s="80" t="s">
        <v>534</v>
      </c>
      <c r="E556" s="80" t="s">
        <v>6</v>
      </c>
      <c r="F556" s="316">
        <v>413306</v>
      </c>
      <c r="G556" s="318">
        <f t="shared" ref="G556:J557" si="76">G557</f>
        <v>92750</v>
      </c>
      <c r="H556" s="318">
        <f t="shared" si="76"/>
        <v>4700</v>
      </c>
      <c r="I556" s="318">
        <f t="shared" si="76"/>
        <v>400000</v>
      </c>
      <c r="J556" s="318">
        <f t="shared" si="76"/>
        <v>2200000</v>
      </c>
      <c r="K556" s="296"/>
      <c r="L556" s="232"/>
      <c r="M556" s="232"/>
      <c r="N556" s="232"/>
    </row>
    <row r="557" spans="1:14" ht="55.05" outlineLevel="7" x14ac:dyDescent="0.25">
      <c r="A557" s="81" t="s">
        <v>37</v>
      </c>
      <c r="B557" s="80" t="s">
        <v>536</v>
      </c>
      <c r="C557" s="80" t="s">
        <v>111</v>
      </c>
      <c r="D557" s="80" t="s">
        <v>534</v>
      </c>
      <c r="E557" s="80" t="s">
        <v>38</v>
      </c>
      <c r="F557" s="316">
        <v>413306</v>
      </c>
      <c r="G557" s="318">
        <f t="shared" si="76"/>
        <v>92750</v>
      </c>
      <c r="H557" s="318">
        <f t="shared" si="76"/>
        <v>4700</v>
      </c>
      <c r="I557" s="318">
        <f t="shared" si="76"/>
        <v>400000</v>
      </c>
      <c r="J557" s="318">
        <f t="shared" si="76"/>
        <v>2200000</v>
      </c>
      <c r="K557" s="296"/>
      <c r="L557" s="232"/>
      <c r="M557" s="232"/>
      <c r="N557" s="232"/>
    </row>
    <row r="558" spans="1:14" outlineLevel="7" x14ac:dyDescent="0.25">
      <c r="A558" s="81" t="s">
        <v>74</v>
      </c>
      <c r="B558" s="80" t="s">
        <v>536</v>
      </c>
      <c r="C558" s="80" t="s">
        <v>111</v>
      </c>
      <c r="D558" s="80" t="s">
        <v>534</v>
      </c>
      <c r="E558" s="80" t="s">
        <v>75</v>
      </c>
      <c r="F558" s="316">
        <v>413306</v>
      </c>
      <c r="G558" s="318">
        <f>273250-180500</f>
        <v>92750</v>
      </c>
      <c r="H558" s="131">
        <v>4700</v>
      </c>
      <c r="I558" s="318">
        <v>400000</v>
      </c>
      <c r="J558" s="318">
        <v>2200000</v>
      </c>
      <c r="K558" s="296"/>
      <c r="L558" s="232"/>
      <c r="M558" s="232"/>
      <c r="N558" s="232"/>
    </row>
    <row r="559" spans="1:14" ht="55.05" outlineLevel="7" x14ac:dyDescent="0.25">
      <c r="A559" s="113" t="s">
        <v>458</v>
      </c>
      <c r="B559" s="80" t="s">
        <v>536</v>
      </c>
      <c r="C559" s="80" t="s">
        <v>111</v>
      </c>
      <c r="D559" s="80" t="s">
        <v>459</v>
      </c>
      <c r="E559" s="80" t="s">
        <v>6</v>
      </c>
      <c r="F559" s="316">
        <v>125600</v>
      </c>
      <c r="G559" s="318">
        <f t="shared" ref="G559:J560" si="77">G560</f>
        <v>6000000</v>
      </c>
      <c r="H559" s="318">
        <f t="shared" si="77"/>
        <v>1800000</v>
      </c>
      <c r="I559" s="318">
        <f t="shared" si="77"/>
        <v>1400000</v>
      </c>
      <c r="J559" s="318">
        <f t="shared" si="77"/>
        <v>2817500</v>
      </c>
      <c r="K559" s="296"/>
      <c r="L559" s="232"/>
      <c r="M559" s="232"/>
      <c r="N559" s="232"/>
    </row>
    <row r="560" spans="1:14" ht="55.05" outlineLevel="7" x14ac:dyDescent="0.25">
      <c r="A560" s="81" t="s">
        <v>37</v>
      </c>
      <c r="B560" s="80" t="s">
        <v>536</v>
      </c>
      <c r="C560" s="80" t="s">
        <v>111</v>
      </c>
      <c r="D560" s="80" t="s">
        <v>459</v>
      </c>
      <c r="E560" s="80" t="s">
        <v>38</v>
      </c>
      <c r="F560" s="316">
        <v>125600</v>
      </c>
      <c r="G560" s="318">
        <f t="shared" si="77"/>
        <v>6000000</v>
      </c>
      <c r="H560" s="318">
        <f t="shared" si="77"/>
        <v>1800000</v>
      </c>
      <c r="I560" s="318">
        <f t="shared" si="77"/>
        <v>1400000</v>
      </c>
      <c r="J560" s="318">
        <f t="shared" si="77"/>
        <v>2817500</v>
      </c>
      <c r="K560" s="296"/>
      <c r="L560" s="232"/>
      <c r="M560" s="232"/>
      <c r="N560" s="232"/>
    </row>
    <row r="561" spans="1:14" ht="19.05" outlineLevel="2" thickBot="1" x14ac:dyDescent="0.3">
      <c r="A561" s="81" t="s">
        <v>74</v>
      </c>
      <c r="B561" s="80" t="s">
        <v>536</v>
      </c>
      <c r="C561" s="80" t="s">
        <v>111</v>
      </c>
      <c r="D561" s="80" t="s">
        <v>459</v>
      </c>
      <c r="E561" s="80" t="s">
        <v>75</v>
      </c>
      <c r="F561" s="316">
        <v>125600</v>
      </c>
      <c r="G561" s="318">
        <f>потребность!I520+3300000-3000000-400000+6000000</f>
        <v>6000000</v>
      </c>
      <c r="H561" s="131">
        <v>1800000</v>
      </c>
      <c r="I561" s="318">
        <v>1400000</v>
      </c>
      <c r="J561" s="318">
        <v>2817500</v>
      </c>
      <c r="K561" s="296"/>
      <c r="L561" s="232"/>
      <c r="M561" s="232"/>
      <c r="N561" s="232"/>
    </row>
    <row r="562" spans="1:14" s="172" customFormat="1" ht="57.25" customHeight="1" outlineLevel="3" thickBot="1" x14ac:dyDescent="0.3">
      <c r="A562" s="274" t="s">
        <v>938</v>
      </c>
      <c r="B562" s="80" t="s">
        <v>536</v>
      </c>
      <c r="C562" s="80" t="s">
        <v>111</v>
      </c>
      <c r="D562" s="80" t="s">
        <v>726</v>
      </c>
      <c r="E562" s="80" t="s">
        <v>6</v>
      </c>
      <c r="F562" s="316">
        <v>343895</v>
      </c>
      <c r="G562" s="318">
        <f>G563</f>
        <v>3492103.5300000003</v>
      </c>
      <c r="H562" s="318">
        <f>H563</f>
        <v>3365356.19</v>
      </c>
      <c r="I562" s="318">
        <v>0</v>
      </c>
      <c r="J562" s="323">
        <v>0</v>
      </c>
      <c r="K562" s="297"/>
      <c r="L562" s="233"/>
      <c r="M562" s="233"/>
      <c r="N562" s="233"/>
    </row>
    <row r="563" spans="1:14" ht="23.95" customHeight="1" outlineLevel="4" x14ac:dyDescent="0.25">
      <c r="A563" s="81" t="s">
        <v>37</v>
      </c>
      <c r="B563" s="80" t="s">
        <v>536</v>
      </c>
      <c r="C563" s="80" t="s">
        <v>111</v>
      </c>
      <c r="D563" s="80" t="s">
        <v>726</v>
      </c>
      <c r="E563" s="80" t="s">
        <v>38</v>
      </c>
      <c r="F563" s="316">
        <v>343895</v>
      </c>
      <c r="G563" s="318">
        <f>G564</f>
        <v>3492103.5300000003</v>
      </c>
      <c r="H563" s="318">
        <f>H564</f>
        <v>3365356.19</v>
      </c>
      <c r="I563" s="318">
        <v>0</v>
      </c>
      <c r="J563" s="318">
        <v>0</v>
      </c>
      <c r="K563" s="296"/>
      <c r="L563" s="232"/>
      <c r="M563" s="232"/>
      <c r="N563" s="232"/>
    </row>
    <row r="564" spans="1:14" ht="22.75" customHeight="1" outlineLevel="4" x14ac:dyDescent="0.25">
      <c r="A564" s="81" t="s">
        <v>74</v>
      </c>
      <c r="B564" s="80" t="s">
        <v>536</v>
      </c>
      <c r="C564" s="80" t="s">
        <v>111</v>
      </c>
      <c r="D564" s="80" t="s">
        <v>726</v>
      </c>
      <c r="E564" s="80" t="s">
        <v>75</v>
      </c>
      <c r="F564" s="316">
        <v>343895</v>
      </c>
      <c r="G564" s="318">
        <f>потребность!L521+340000+282103.53+400000+70000</f>
        <v>3492103.5300000003</v>
      </c>
      <c r="H564" s="131">
        <v>3365356.19</v>
      </c>
      <c r="I564" s="318">
        <v>0</v>
      </c>
      <c r="J564" s="318">
        <v>0</v>
      </c>
      <c r="K564" s="296"/>
      <c r="L564" s="232"/>
      <c r="M564" s="232"/>
      <c r="N564" s="232"/>
    </row>
    <row r="565" spans="1:14" ht="54" customHeight="1" outlineLevel="4" x14ac:dyDescent="0.25">
      <c r="A565" s="100" t="s">
        <v>589</v>
      </c>
      <c r="B565" s="80" t="s">
        <v>536</v>
      </c>
      <c r="C565" s="80" t="s">
        <v>111</v>
      </c>
      <c r="D565" s="80" t="s">
        <v>590</v>
      </c>
      <c r="E565" s="80" t="s">
        <v>6</v>
      </c>
      <c r="F565" s="316">
        <v>394753.14</v>
      </c>
      <c r="G565" s="318">
        <f>G566</f>
        <v>0</v>
      </c>
      <c r="H565" s="318">
        <f>H566</f>
        <v>0</v>
      </c>
      <c r="I565" s="318">
        <v>0</v>
      </c>
      <c r="J565" s="318">
        <v>0</v>
      </c>
      <c r="K565" s="296"/>
      <c r="L565" s="232"/>
      <c r="M565" s="232"/>
      <c r="N565" s="232"/>
    </row>
    <row r="566" spans="1:14" ht="32.299999999999997" customHeight="1" outlineLevel="4" x14ac:dyDescent="0.25">
      <c r="A566" s="81" t="s">
        <v>37</v>
      </c>
      <c r="B566" s="80" t="s">
        <v>536</v>
      </c>
      <c r="C566" s="80" t="s">
        <v>111</v>
      </c>
      <c r="D566" s="80" t="s">
        <v>590</v>
      </c>
      <c r="E566" s="80" t="s">
        <v>38</v>
      </c>
      <c r="F566" s="316">
        <v>394753.14</v>
      </c>
      <c r="G566" s="318">
        <f>G567</f>
        <v>0</v>
      </c>
      <c r="H566" s="318">
        <f>H567</f>
        <v>0</v>
      </c>
      <c r="I566" s="318">
        <v>0</v>
      </c>
      <c r="J566" s="318">
        <v>0</v>
      </c>
      <c r="K566" s="296"/>
      <c r="L566" s="232"/>
      <c r="M566" s="232"/>
      <c r="N566" s="232"/>
    </row>
    <row r="567" spans="1:14" ht="30.75" customHeight="1" outlineLevel="4" x14ac:dyDescent="0.25">
      <c r="A567" s="81" t="s">
        <v>74</v>
      </c>
      <c r="B567" s="80" t="s">
        <v>536</v>
      </c>
      <c r="C567" s="80" t="s">
        <v>111</v>
      </c>
      <c r="D567" s="80" t="s">
        <v>590</v>
      </c>
      <c r="E567" s="80" t="s">
        <v>75</v>
      </c>
      <c r="F567" s="316">
        <v>394753.14</v>
      </c>
      <c r="G567" s="318">
        <v>0</v>
      </c>
      <c r="H567" s="318">
        <v>0</v>
      </c>
      <c r="I567" s="318">
        <v>0</v>
      </c>
      <c r="J567" s="318">
        <v>0</v>
      </c>
      <c r="K567" s="296"/>
      <c r="L567" s="232"/>
      <c r="M567" s="232"/>
      <c r="N567" s="232"/>
    </row>
    <row r="568" spans="1:14" ht="73.400000000000006" outlineLevel="5" x14ac:dyDescent="0.25">
      <c r="A568" s="81" t="s">
        <v>443</v>
      </c>
      <c r="B568" s="80" t="s">
        <v>536</v>
      </c>
      <c r="C568" s="80" t="s">
        <v>111</v>
      </c>
      <c r="D568" s="80" t="s">
        <v>444</v>
      </c>
      <c r="E568" s="80" t="s">
        <v>6</v>
      </c>
      <c r="F568" s="316">
        <v>12208.86</v>
      </c>
      <c r="G568" s="318">
        <f t="shared" ref="G568:J569" si="78">G569</f>
        <v>0</v>
      </c>
      <c r="H568" s="318">
        <f t="shared" si="78"/>
        <v>0</v>
      </c>
      <c r="I568" s="318">
        <f t="shared" si="78"/>
        <v>357983.4</v>
      </c>
      <c r="J568" s="318">
        <f t="shared" si="78"/>
        <v>188466.9</v>
      </c>
      <c r="K568" s="296"/>
      <c r="L568" s="232"/>
      <c r="M568" s="232"/>
      <c r="N568" s="232"/>
    </row>
    <row r="569" spans="1:14" ht="55.05" outlineLevel="6" x14ac:dyDescent="0.25">
      <c r="A569" s="81" t="s">
        <v>37</v>
      </c>
      <c r="B569" s="80" t="s">
        <v>536</v>
      </c>
      <c r="C569" s="80" t="s">
        <v>111</v>
      </c>
      <c r="D569" s="80" t="s">
        <v>444</v>
      </c>
      <c r="E569" s="80" t="s">
        <v>38</v>
      </c>
      <c r="F569" s="316">
        <v>12208.86</v>
      </c>
      <c r="G569" s="318">
        <f t="shared" si="78"/>
        <v>0</v>
      </c>
      <c r="H569" s="318">
        <f t="shared" si="78"/>
        <v>0</v>
      </c>
      <c r="I569" s="318">
        <f t="shared" si="78"/>
        <v>357983.4</v>
      </c>
      <c r="J569" s="318">
        <f t="shared" si="78"/>
        <v>188466.9</v>
      </c>
      <c r="K569" s="296"/>
      <c r="L569" s="232"/>
      <c r="M569" s="232"/>
      <c r="N569" s="232"/>
    </row>
    <row r="570" spans="1:14" ht="20.25" customHeight="1" outlineLevel="7" x14ac:dyDescent="0.25">
      <c r="A570" s="81" t="s">
        <v>74</v>
      </c>
      <c r="B570" s="80" t="s">
        <v>536</v>
      </c>
      <c r="C570" s="80" t="s">
        <v>111</v>
      </c>
      <c r="D570" s="80" t="s">
        <v>444</v>
      </c>
      <c r="E570" s="80" t="s">
        <v>75</v>
      </c>
      <c r="F570" s="316">
        <v>12208.86</v>
      </c>
      <c r="G570" s="318">
        <f>282103.53-282103.53</f>
        <v>0</v>
      </c>
      <c r="H570" s="318">
        <f>282103.53-282103.53</f>
        <v>0</v>
      </c>
      <c r="I570" s="318">
        <v>357983.4</v>
      </c>
      <c r="J570" s="318">
        <v>188466.9</v>
      </c>
      <c r="K570" s="296"/>
      <c r="L570" s="232"/>
      <c r="M570" s="232"/>
      <c r="N570" s="232"/>
    </row>
    <row r="571" spans="1:14" ht="63.7" customHeight="1" outlineLevel="5" x14ac:dyDescent="0.25">
      <c r="A571" s="114" t="s">
        <v>591</v>
      </c>
      <c r="B571" s="80" t="s">
        <v>536</v>
      </c>
      <c r="C571" s="80" t="s">
        <v>111</v>
      </c>
      <c r="D571" s="80" t="s">
        <v>592</v>
      </c>
      <c r="E571" s="80" t="s">
        <v>6</v>
      </c>
      <c r="F571" s="80" t="s">
        <v>976</v>
      </c>
      <c r="G571" s="318">
        <f t="shared" ref="G571:H573" si="79">G572</f>
        <v>0</v>
      </c>
      <c r="H571" s="318">
        <f t="shared" si="79"/>
        <v>0</v>
      </c>
      <c r="I571" s="318">
        <v>0</v>
      </c>
      <c r="J571" s="318">
        <v>0</v>
      </c>
      <c r="K571" s="296"/>
      <c r="L571" s="232"/>
      <c r="M571" s="232"/>
      <c r="N571" s="232"/>
    </row>
    <row r="572" spans="1:14" ht="128.4" outlineLevel="5" x14ac:dyDescent="0.25">
      <c r="A572" s="113" t="s">
        <v>562</v>
      </c>
      <c r="B572" s="80" t="s">
        <v>536</v>
      </c>
      <c r="C572" s="80" t="s">
        <v>111</v>
      </c>
      <c r="D572" s="80" t="s">
        <v>675</v>
      </c>
      <c r="E572" s="80" t="s">
        <v>6</v>
      </c>
      <c r="F572" s="80" t="s">
        <v>976</v>
      </c>
      <c r="G572" s="318">
        <f t="shared" si="79"/>
        <v>0</v>
      </c>
      <c r="H572" s="318">
        <f t="shared" si="79"/>
        <v>0</v>
      </c>
      <c r="I572" s="318">
        <v>0</v>
      </c>
      <c r="J572" s="318">
        <v>0</v>
      </c>
      <c r="K572" s="296"/>
      <c r="L572" s="232"/>
      <c r="M572" s="232"/>
      <c r="N572" s="232"/>
    </row>
    <row r="573" spans="1:14" ht="55.05" outlineLevel="5" x14ac:dyDescent="0.25">
      <c r="A573" s="81" t="s">
        <v>264</v>
      </c>
      <c r="B573" s="80" t="s">
        <v>536</v>
      </c>
      <c r="C573" s="80" t="s">
        <v>111</v>
      </c>
      <c r="D573" s="80" t="s">
        <v>675</v>
      </c>
      <c r="E573" s="80" t="s">
        <v>265</v>
      </c>
      <c r="F573" s="80" t="s">
        <v>976</v>
      </c>
      <c r="G573" s="318">
        <f t="shared" si="79"/>
        <v>0</v>
      </c>
      <c r="H573" s="318">
        <f t="shared" si="79"/>
        <v>0</v>
      </c>
      <c r="I573" s="318">
        <v>0</v>
      </c>
      <c r="J573" s="318">
        <v>0</v>
      </c>
      <c r="K573" s="296"/>
      <c r="L573" s="232"/>
      <c r="M573" s="232"/>
      <c r="N573" s="232"/>
    </row>
    <row r="574" spans="1:14" ht="24.8" customHeight="1" outlineLevel="5" x14ac:dyDescent="0.25">
      <c r="A574" s="81" t="s">
        <v>266</v>
      </c>
      <c r="B574" s="80" t="s">
        <v>536</v>
      </c>
      <c r="C574" s="80" t="s">
        <v>111</v>
      </c>
      <c r="D574" s="80" t="s">
        <v>675</v>
      </c>
      <c r="E574" s="80" t="s">
        <v>267</v>
      </c>
      <c r="F574" s="80" t="s">
        <v>976</v>
      </c>
      <c r="G574" s="318">
        <v>0</v>
      </c>
      <c r="H574" s="318">
        <v>0</v>
      </c>
      <c r="I574" s="318">
        <v>0</v>
      </c>
      <c r="J574" s="318">
        <v>0</v>
      </c>
      <c r="K574" s="296"/>
      <c r="L574" s="232"/>
      <c r="M574" s="232"/>
      <c r="N574" s="232"/>
    </row>
    <row r="575" spans="1:14" outlineLevel="5" x14ac:dyDescent="0.25">
      <c r="A575" s="81" t="s">
        <v>71</v>
      </c>
      <c r="B575" s="80" t="s">
        <v>536</v>
      </c>
      <c r="C575" s="80" t="s">
        <v>72</v>
      </c>
      <c r="D575" s="80" t="s">
        <v>126</v>
      </c>
      <c r="E575" s="80" t="s">
        <v>6</v>
      </c>
      <c r="F575" s="316">
        <v>367630079.58999997</v>
      </c>
      <c r="G575" s="317" t="e">
        <f t="shared" ref="G575:J576" si="80">G576</f>
        <v>#REF!</v>
      </c>
      <c r="H575" s="317">
        <f t="shared" si="80"/>
        <v>311413061.14000005</v>
      </c>
      <c r="I575" s="317">
        <f t="shared" si="80"/>
        <v>391756723.39999998</v>
      </c>
      <c r="J575" s="317">
        <f t="shared" si="80"/>
        <v>106561183.17</v>
      </c>
      <c r="K575" s="296"/>
      <c r="L575" s="232"/>
      <c r="M575" s="232"/>
      <c r="N575" s="232"/>
    </row>
    <row r="576" spans="1:14" ht="55.05" outlineLevel="5" x14ac:dyDescent="0.25">
      <c r="A576" s="109" t="s">
        <v>825</v>
      </c>
      <c r="B576" s="110" t="s">
        <v>536</v>
      </c>
      <c r="C576" s="110" t="s">
        <v>72</v>
      </c>
      <c r="D576" s="110" t="s">
        <v>138</v>
      </c>
      <c r="E576" s="110" t="s">
        <v>6</v>
      </c>
      <c r="F576" s="320">
        <v>367630079.58999997</v>
      </c>
      <c r="G576" s="321" t="e">
        <f t="shared" si="80"/>
        <v>#REF!</v>
      </c>
      <c r="H576" s="321">
        <f t="shared" si="80"/>
        <v>311413061.14000005</v>
      </c>
      <c r="I576" s="321">
        <f t="shared" si="80"/>
        <v>391756723.39999998</v>
      </c>
      <c r="J576" s="321">
        <f t="shared" si="80"/>
        <v>106561183.17</v>
      </c>
      <c r="K576" s="296"/>
      <c r="L576" s="232"/>
      <c r="M576" s="232"/>
      <c r="N576" s="232"/>
    </row>
    <row r="577" spans="1:14" ht="45" customHeight="1" outlineLevel="5" x14ac:dyDescent="0.25">
      <c r="A577" s="81" t="s">
        <v>831</v>
      </c>
      <c r="B577" s="80" t="s">
        <v>536</v>
      </c>
      <c r="C577" s="80" t="s">
        <v>72</v>
      </c>
      <c r="D577" s="80" t="s">
        <v>146</v>
      </c>
      <c r="E577" s="80" t="s">
        <v>6</v>
      </c>
      <c r="F577" s="320">
        <v>367630079.58999997</v>
      </c>
      <c r="G577" s="317" t="e">
        <f>G578+G594+G613+G617</f>
        <v>#REF!</v>
      </c>
      <c r="H577" s="317">
        <f>H578+H594+H613+H617</f>
        <v>311413061.14000005</v>
      </c>
      <c r="I577" s="317">
        <f>I578+I594+I613+I617</f>
        <v>391756723.39999998</v>
      </c>
      <c r="J577" s="317">
        <f>J578+J594+J613+J617</f>
        <v>106561183.17</v>
      </c>
      <c r="K577" s="296"/>
      <c r="L577" s="232"/>
      <c r="M577" s="232"/>
      <c r="N577" s="232"/>
    </row>
    <row r="578" spans="1:14" ht="45.7" customHeight="1" outlineLevel="5" x14ac:dyDescent="0.25">
      <c r="A578" s="113" t="s">
        <v>205</v>
      </c>
      <c r="B578" s="80" t="s">
        <v>536</v>
      </c>
      <c r="C578" s="80" t="s">
        <v>72</v>
      </c>
      <c r="D578" s="80" t="s">
        <v>222</v>
      </c>
      <c r="E578" s="80" t="s">
        <v>6</v>
      </c>
      <c r="F578" s="316">
        <v>351510244.41000003</v>
      </c>
      <c r="G578" s="317">
        <f>G579+G582+G585+G588+G591</f>
        <v>376463222.84000003</v>
      </c>
      <c r="H578" s="317">
        <f>H579+H582+H585+H588+H591</f>
        <v>270640249.52000004</v>
      </c>
      <c r="I578" s="317">
        <f>I579+I582+I585+I588+I591</f>
        <v>380525659.37</v>
      </c>
      <c r="J578" s="317">
        <f>J579+J582+J585+J588+J591</f>
        <v>102159299.14</v>
      </c>
      <c r="K578" s="296"/>
      <c r="L578" s="232"/>
      <c r="M578" s="232"/>
      <c r="N578" s="232"/>
    </row>
    <row r="579" spans="1:14" ht="73.400000000000006" outlineLevel="5" x14ac:dyDescent="0.25">
      <c r="A579" s="25" t="s">
        <v>593</v>
      </c>
      <c r="B579" s="80" t="s">
        <v>536</v>
      </c>
      <c r="C579" s="80" t="s">
        <v>72</v>
      </c>
      <c r="D579" s="80" t="s">
        <v>594</v>
      </c>
      <c r="E579" s="80" t="s">
        <v>6</v>
      </c>
      <c r="F579" s="316">
        <v>19603028.300000001</v>
      </c>
      <c r="G579" s="317">
        <f t="shared" ref="G579:J580" si="81">G580</f>
        <v>20475000</v>
      </c>
      <c r="H579" s="317">
        <f t="shared" si="81"/>
        <v>15369721.029999999</v>
      </c>
      <c r="I579" s="317">
        <f t="shared" si="81"/>
        <v>20475000</v>
      </c>
      <c r="J579" s="317">
        <f t="shared" si="81"/>
        <v>0</v>
      </c>
      <c r="K579" s="296"/>
      <c r="L579" s="232"/>
      <c r="M579" s="232"/>
      <c r="N579" s="232"/>
    </row>
    <row r="580" spans="1:14" ht="55.05" outlineLevel="5" x14ac:dyDescent="0.25">
      <c r="A580" s="81" t="s">
        <v>37</v>
      </c>
      <c r="B580" s="80" t="s">
        <v>536</v>
      </c>
      <c r="C580" s="80" t="s">
        <v>72</v>
      </c>
      <c r="D580" s="80" t="s">
        <v>594</v>
      </c>
      <c r="E580" s="80" t="s">
        <v>38</v>
      </c>
      <c r="F580" s="316">
        <v>19603028.300000001</v>
      </c>
      <c r="G580" s="317">
        <f t="shared" si="81"/>
        <v>20475000</v>
      </c>
      <c r="H580" s="317">
        <f t="shared" si="81"/>
        <v>15369721.029999999</v>
      </c>
      <c r="I580" s="317">
        <f t="shared" si="81"/>
        <v>20475000</v>
      </c>
      <c r="J580" s="317">
        <f t="shared" si="81"/>
        <v>0</v>
      </c>
      <c r="K580" s="296"/>
      <c r="L580" s="232"/>
      <c r="M580" s="232"/>
      <c r="N580" s="232"/>
    </row>
    <row r="581" spans="1:14" outlineLevel="5" x14ac:dyDescent="0.25">
      <c r="A581" s="81" t="s">
        <v>74</v>
      </c>
      <c r="B581" s="80" t="s">
        <v>536</v>
      </c>
      <c r="C581" s="80" t="s">
        <v>72</v>
      </c>
      <c r="D581" s="80" t="s">
        <v>594</v>
      </c>
      <c r="E581" s="80" t="s">
        <v>75</v>
      </c>
      <c r="F581" s="316">
        <v>19603028.300000001</v>
      </c>
      <c r="G581" s="317">
        <v>20475000</v>
      </c>
      <c r="H581" s="360">
        <v>15369721.029999999</v>
      </c>
      <c r="I581" s="317">
        <v>20475000</v>
      </c>
      <c r="J581" s="331">
        <v>0</v>
      </c>
      <c r="K581" s="296"/>
      <c r="L581" s="232"/>
      <c r="M581" s="232"/>
      <c r="N581" s="232"/>
    </row>
    <row r="582" spans="1:14" ht="55.05" outlineLevel="5" x14ac:dyDescent="0.25">
      <c r="A582" s="81" t="s">
        <v>114</v>
      </c>
      <c r="B582" s="80" t="s">
        <v>536</v>
      </c>
      <c r="C582" s="80" t="s">
        <v>72</v>
      </c>
      <c r="D582" s="80" t="s">
        <v>147</v>
      </c>
      <c r="E582" s="80" t="s">
        <v>6</v>
      </c>
      <c r="F582" s="316">
        <v>90019549.159999996</v>
      </c>
      <c r="G582" s="317">
        <f t="shared" ref="G582:J583" si="82">G583</f>
        <v>98033803.840000004</v>
      </c>
      <c r="H582" s="317">
        <f t="shared" si="82"/>
        <v>68707267.829999998</v>
      </c>
      <c r="I582" s="317">
        <f t="shared" si="82"/>
        <v>95919169.370000005</v>
      </c>
      <c r="J582" s="317">
        <f t="shared" si="82"/>
        <v>102159299.14</v>
      </c>
      <c r="K582" s="296"/>
      <c r="L582" s="232"/>
      <c r="M582" s="232"/>
      <c r="N582" s="232"/>
    </row>
    <row r="583" spans="1:14" ht="55.05" outlineLevel="5" x14ac:dyDescent="0.25">
      <c r="A583" s="81" t="s">
        <v>37</v>
      </c>
      <c r="B583" s="80" t="s">
        <v>536</v>
      </c>
      <c r="C583" s="80" t="s">
        <v>72</v>
      </c>
      <c r="D583" s="80" t="s">
        <v>147</v>
      </c>
      <c r="E583" s="80" t="s">
        <v>38</v>
      </c>
      <c r="F583" s="316">
        <v>90019549.159999996</v>
      </c>
      <c r="G583" s="317">
        <f t="shared" si="82"/>
        <v>98033803.840000004</v>
      </c>
      <c r="H583" s="317">
        <f t="shared" si="82"/>
        <v>68707267.829999998</v>
      </c>
      <c r="I583" s="317">
        <f t="shared" si="82"/>
        <v>95919169.370000005</v>
      </c>
      <c r="J583" s="317">
        <f t="shared" si="82"/>
        <v>102159299.14</v>
      </c>
      <c r="K583" s="296"/>
      <c r="L583" s="232"/>
      <c r="M583" s="232"/>
      <c r="N583" s="232"/>
    </row>
    <row r="584" spans="1:14" outlineLevel="5" x14ac:dyDescent="0.25">
      <c r="A584" s="81" t="s">
        <v>74</v>
      </c>
      <c r="B584" s="80" t="s">
        <v>536</v>
      </c>
      <c r="C584" s="80" t="s">
        <v>72</v>
      </c>
      <c r="D584" s="80" t="s">
        <v>147</v>
      </c>
      <c r="E584" s="80" t="s">
        <v>75</v>
      </c>
      <c r="F584" s="316">
        <v>90019549.159999996</v>
      </c>
      <c r="G584" s="318">
        <f>потребность!I543-4490000+1689516+590000+85160-50000+1454727+1150987.84</f>
        <v>98033803.840000004</v>
      </c>
      <c r="H584" s="131">
        <v>68707267.829999998</v>
      </c>
      <c r="I584" s="318">
        <v>95919169.370000005</v>
      </c>
      <c r="J584" s="318">
        <v>102159299.14</v>
      </c>
      <c r="K584" s="296"/>
      <c r="L584" s="232"/>
      <c r="M584" s="232"/>
      <c r="N584" s="232"/>
    </row>
    <row r="585" spans="1:14" ht="165.1" outlineLevel="5" x14ac:dyDescent="0.25">
      <c r="A585" s="113" t="s">
        <v>400</v>
      </c>
      <c r="B585" s="80" t="s">
        <v>536</v>
      </c>
      <c r="C585" s="80" t="s">
        <v>72</v>
      </c>
      <c r="D585" s="80" t="s">
        <v>148</v>
      </c>
      <c r="E585" s="80" t="s">
        <v>6</v>
      </c>
      <c r="F585" s="316">
        <v>232256540</v>
      </c>
      <c r="G585" s="317">
        <f t="shared" ref="G585:J586" si="83">G586</f>
        <v>247077819</v>
      </c>
      <c r="H585" s="317">
        <f t="shared" si="83"/>
        <v>179186292</v>
      </c>
      <c r="I585" s="317">
        <f t="shared" si="83"/>
        <v>253254890</v>
      </c>
      <c r="J585" s="317">
        <f t="shared" si="83"/>
        <v>0</v>
      </c>
      <c r="K585" s="296"/>
      <c r="L585" s="232"/>
      <c r="M585" s="232"/>
      <c r="N585" s="232"/>
    </row>
    <row r="586" spans="1:14" ht="55.05" outlineLevel="5" x14ac:dyDescent="0.25">
      <c r="A586" s="81" t="s">
        <v>37</v>
      </c>
      <c r="B586" s="80" t="s">
        <v>536</v>
      </c>
      <c r="C586" s="80" t="s">
        <v>72</v>
      </c>
      <c r="D586" s="80" t="s">
        <v>148</v>
      </c>
      <c r="E586" s="80" t="s">
        <v>38</v>
      </c>
      <c r="F586" s="316">
        <v>232256540</v>
      </c>
      <c r="G586" s="317">
        <f t="shared" si="83"/>
        <v>247077819</v>
      </c>
      <c r="H586" s="317">
        <f t="shared" si="83"/>
        <v>179186292</v>
      </c>
      <c r="I586" s="317">
        <f t="shared" si="83"/>
        <v>253254890</v>
      </c>
      <c r="J586" s="317">
        <f t="shared" si="83"/>
        <v>0</v>
      </c>
      <c r="K586" s="296"/>
      <c r="L586" s="232"/>
      <c r="M586" s="232"/>
      <c r="N586" s="232"/>
    </row>
    <row r="587" spans="1:14" outlineLevel="5" x14ac:dyDescent="0.25">
      <c r="A587" s="81" t="s">
        <v>74</v>
      </c>
      <c r="B587" s="80" t="s">
        <v>536</v>
      </c>
      <c r="C587" s="80" t="s">
        <v>72</v>
      </c>
      <c r="D587" s="80" t="s">
        <v>148</v>
      </c>
      <c r="E587" s="80" t="s">
        <v>75</v>
      </c>
      <c r="F587" s="316">
        <v>232256540</v>
      </c>
      <c r="G587" s="318">
        <f>238943015.2+8134803.8</f>
        <v>247077819</v>
      </c>
      <c r="H587" s="131">
        <v>179186292</v>
      </c>
      <c r="I587" s="318">
        <v>253254890</v>
      </c>
      <c r="J587" s="324">
        <v>0</v>
      </c>
      <c r="K587" s="296"/>
      <c r="L587" s="232"/>
      <c r="M587" s="232"/>
      <c r="N587" s="232"/>
    </row>
    <row r="588" spans="1:14" ht="165.1" outlineLevel="5" x14ac:dyDescent="0.25">
      <c r="A588" s="25" t="s">
        <v>470</v>
      </c>
      <c r="B588" s="80" t="s">
        <v>536</v>
      </c>
      <c r="C588" s="80" t="s">
        <v>72</v>
      </c>
      <c r="D588" s="80" t="s">
        <v>471</v>
      </c>
      <c r="E588" s="80" t="s">
        <v>6</v>
      </c>
      <c r="F588" s="316">
        <v>9631126.9499999993</v>
      </c>
      <c r="G588" s="318">
        <f>G589</f>
        <v>0</v>
      </c>
      <c r="H588" s="318">
        <f>H589</f>
        <v>0</v>
      </c>
      <c r="I588" s="318"/>
      <c r="J588" s="318">
        <v>0</v>
      </c>
      <c r="K588" s="296"/>
      <c r="L588" s="232"/>
      <c r="M588" s="232"/>
      <c r="N588" s="232"/>
    </row>
    <row r="589" spans="1:14" ht="55.05" outlineLevel="5" x14ac:dyDescent="0.25">
      <c r="A589" s="81" t="s">
        <v>37</v>
      </c>
      <c r="B589" s="80" t="s">
        <v>536</v>
      </c>
      <c r="C589" s="80" t="s">
        <v>72</v>
      </c>
      <c r="D589" s="80" t="s">
        <v>471</v>
      </c>
      <c r="E589" s="80" t="s">
        <v>38</v>
      </c>
      <c r="F589" s="316">
        <v>9631126.9499999993</v>
      </c>
      <c r="G589" s="318">
        <v>0</v>
      </c>
      <c r="H589" s="318">
        <v>0</v>
      </c>
      <c r="I589" s="318"/>
      <c r="J589" s="318">
        <v>0</v>
      </c>
      <c r="K589" s="296"/>
      <c r="L589" s="232"/>
      <c r="M589" s="232"/>
      <c r="N589" s="232"/>
    </row>
    <row r="590" spans="1:14" outlineLevel="5" x14ac:dyDescent="0.25">
      <c r="A590" s="81" t="s">
        <v>74</v>
      </c>
      <c r="B590" s="80" t="s">
        <v>536</v>
      </c>
      <c r="C590" s="80" t="s">
        <v>72</v>
      </c>
      <c r="D590" s="80" t="s">
        <v>471</v>
      </c>
      <c r="E590" s="80" t="s">
        <v>75</v>
      </c>
      <c r="F590" s="316">
        <v>9631126.9499999993</v>
      </c>
      <c r="G590" s="318">
        <v>0</v>
      </c>
      <c r="H590" s="318">
        <v>0</v>
      </c>
      <c r="I590" s="318"/>
      <c r="J590" s="318">
        <v>0</v>
      </c>
      <c r="K590" s="296"/>
      <c r="L590" s="232"/>
      <c r="M590" s="232"/>
      <c r="N590" s="232"/>
    </row>
    <row r="591" spans="1:14" ht="165.1" outlineLevel="5" x14ac:dyDescent="0.25">
      <c r="A591" s="25" t="s">
        <v>470</v>
      </c>
      <c r="B591" s="80" t="s">
        <v>536</v>
      </c>
      <c r="C591" s="80" t="s">
        <v>72</v>
      </c>
      <c r="D591" s="80" t="s">
        <v>922</v>
      </c>
      <c r="E591" s="80" t="s">
        <v>6</v>
      </c>
      <c r="F591" s="80"/>
      <c r="G591" s="318">
        <f t="shared" ref="G591:J592" si="84">G592</f>
        <v>10876600</v>
      </c>
      <c r="H591" s="318">
        <f t="shared" si="84"/>
        <v>7376968.6600000001</v>
      </c>
      <c r="I591" s="318">
        <f t="shared" si="84"/>
        <v>10876600</v>
      </c>
      <c r="J591" s="318">
        <f t="shared" si="84"/>
        <v>0</v>
      </c>
      <c r="K591" s="296"/>
      <c r="L591" s="232"/>
      <c r="M591" s="232"/>
      <c r="N591" s="232"/>
    </row>
    <row r="592" spans="1:14" ht="55.05" outlineLevel="5" x14ac:dyDescent="0.25">
      <c r="A592" s="81" t="s">
        <v>37</v>
      </c>
      <c r="B592" s="80" t="s">
        <v>536</v>
      </c>
      <c r="C592" s="80" t="s">
        <v>72</v>
      </c>
      <c r="D592" s="80" t="s">
        <v>922</v>
      </c>
      <c r="E592" s="80" t="s">
        <v>38</v>
      </c>
      <c r="F592" s="80"/>
      <c r="G592" s="318">
        <f t="shared" si="84"/>
        <v>10876600</v>
      </c>
      <c r="H592" s="318">
        <f t="shared" si="84"/>
        <v>7376968.6600000001</v>
      </c>
      <c r="I592" s="318">
        <f t="shared" si="84"/>
        <v>10876600</v>
      </c>
      <c r="J592" s="318">
        <f t="shared" si="84"/>
        <v>0</v>
      </c>
      <c r="K592" s="296"/>
      <c r="L592" s="232"/>
      <c r="M592" s="232"/>
      <c r="N592" s="232"/>
    </row>
    <row r="593" spans="1:14" outlineLevel="5" x14ac:dyDescent="0.25">
      <c r="A593" s="81" t="s">
        <v>74</v>
      </c>
      <c r="B593" s="80" t="s">
        <v>536</v>
      </c>
      <c r="C593" s="80" t="s">
        <v>72</v>
      </c>
      <c r="D593" s="80" t="s">
        <v>922</v>
      </c>
      <c r="E593" s="80" t="s">
        <v>75</v>
      </c>
      <c r="F593" s="80"/>
      <c r="G593" s="318">
        <v>10876600</v>
      </c>
      <c r="H593" s="131">
        <v>7376968.6600000001</v>
      </c>
      <c r="I593" s="318">
        <v>10876600</v>
      </c>
      <c r="J593" s="324">
        <v>0</v>
      </c>
      <c r="K593" s="296"/>
      <c r="L593" s="232"/>
      <c r="M593" s="232"/>
      <c r="N593" s="232"/>
    </row>
    <row r="594" spans="1:14" ht="36.700000000000003" outlineLevel="5" x14ac:dyDescent="0.25">
      <c r="A594" s="113" t="s">
        <v>206</v>
      </c>
      <c r="B594" s="80" t="s">
        <v>536</v>
      </c>
      <c r="C594" s="80" t="s">
        <v>72</v>
      </c>
      <c r="D594" s="80" t="s">
        <v>220</v>
      </c>
      <c r="E594" s="80" t="s">
        <v>6</v>
      </c>
      <c r="F594" s="316">
        <v>8008436.3600000003</v>
      </c>
      <c r="G594" s="318" t="e">
        <f>G607+G595+G598+G604+G601+G610+G621</f>
        <v>#REF!</v>
      </c>
      <c r="H594" s="318">
        <f>H607+H595+H598+H604+H601+H610+H621</f>
        <v>36949732.850000001</v>
      </c>
      <c r="I594" s="318">
        <f>I607+I595+I598+I604+I601+I610+I621</f>
        <v>2356579.52</v>
      </c>
      <c r="J594" s="318">
        <f>J607+J595+J598+J604+J601+J610+J621</f>
        <v>4214979.5199999996</v>
      </c>
      <c r="K594" s="296"/>
      <c r="L594" s="232"/>
      <c r="M594" s="232"/>
      <c r="N594" s="232"/>
    </row>
    <row r="595" spans="1:14" ht="36.700000000000003" outlineLevel="5" x14ac:dyDescent="0.25">
      <c r="A595" s="81" t="s">
        <v>268</v>
      </c>
      <c r="B595" s="80" t="s">
        <v>536</v>
      </c>
      <c r="C595" s="80" t="s">
        <v>72</v>
      </c>
      <c r="D595" s="80" t="s">
        <v>269</v>
      </c>
      <c r="E595" s="80" t="s">
        <v>6</v>
      </c>
      <c r="F595" s="316">
        <v>147686.07</v>
      </c>
      <c r="G595" s="318">
        <f t="shared" ref="G595:J596" si="85">G596</f>
        <v>212800</v>
      </c>
      <c r="H595" s="318">
        <f t="shared" si="85"/>
        <v>124850.48</v>
      </c>
      <c r="I595" s="318">
        <f t="shared" si="85"/>
        <v>212800</v>
      </c>
      <c r="J595" s="318">
        <f t="shared" si="85"/>
        <v>221200</v>
      </c>
      <c r="K595" s="296"/>
      <c r="L595" s="232"/>
      <c r="M595" s="232"/>
      <c r="N595" s="232"/>
    </row>
    <row r="596" spans="1:14" ht="55.05" outlineLevel="5" x14ac:dyDescent="0.25">
      <c r="A596" s="81" t="s">
        <v>37</v>
      </c>
      <c r="B596" s="80" t="s">
        <v>536</v>
      </c>
      <c r="C596" s="80" t="s">
        <v>72</v>
      </c>
      <c r="D596" s="80" t="s">
        <v>269</v>
      </c>
      <c r="E596" s="80" t="s">
        <v>38</v>
      </c>
      <c r="F596" s="316">
        <v>147686.07</v>
      </c>
      <c r="G596" s="318">
        <f t="shared" si="85"/>
        <v>212800</v>
      </c>
      <c r="H596" s="318">
        <f t="shared" si="85"/>
        <v>124850.48</v>
      </c>
      <c r="I596" s="318">
        <f t="shared" si="85"/>
        <v>212800</v>
      </c>
      <c r="J596" s="318">
        <f t="shared" si="85"/>
        <v>221200</v>
      </c>
      <c r="K596" s="296"/>
      <c r="L596" s="232"/>
      <c r="M596" s="232"/>
      <c r="N596" s="232"/>
    </row>
    <row r="597" spans="1:14" outlineLevel="5" x14ac:dyDescent="0.25">
      <c r="A597" s="81" t="s">
        <v>74</v>
      </c>
      <c r="B597" s="80" t="s">
        <v>536</v>
      </c>
      <c r="C597" s="80" t="s">
        <v>72</v>
      </c>
      <c r="D597" s="80" t="s">
        <v>269</v>
      </c>
      <c r="E597" s="80" t="s">
        <v>75</v>
      </c>
      <c r="F597" s="316">
        <v>147686.07</v>
      </c>
      <c r="G597" s="318">
        <v>212800</v>
      </c>
      <c r="H597" s="131">
        <v>124850.48</v>
      </c>
      <c r="I597" s="318">
        <v>212800</v>
      </c>
      <c r="J597" s="318">
        <v>221200</v>
      </c>
      <c r="K597" s="296"/>
      <c r="L597" s="232"/>
      <c r="M597" s="232"/>
      <c r="N597" s="232"/>
    </row>
    <row r="598" spans="1:14" outlineLevel="5" x14ac:dyDescent="0.25">
      <c r="A598" s="113" t="s">
        <v>311</v>
      </c>
      <c r="B598" s="80" t="s">
        <v>536</v>
      </c>
      <c r="C598" s="80" t="s">
        <v>72</v>
      </c>
      <c r="D598" s="80" t="s">
        <v>312</v>
      </c>
      <c r="E598" s="80" t="s">
        <v>6</v>
      </c>
      <c r="F598" s="316">
        <v>631535</v>
      </c>
      <c r="G598" s="318">
        <f t="shared" ref="G598:J599" si="86">G599</f>
        <v>881000</v>
      </c>
      <c r="H598" s="318">
        <f t="shared" si="86"/>
        <v>874250</v>
      </c>
      <c r="I598" s="318">
        <f t="shared" si="86"/>
        <v>350000</v>
      </c>
      <c r="J598" s="318">
        <f t="shared" si="86"/>
        <v>3000000</v>
      </c>
      <c r="K598" s="296"/>
      <c r="L598" s="232"/>
      <c r="M598" s="232"/>
      <c r="N598" s="232"/>
    </row>
    <row r="599" spans="1:14" ht="55.05" outlineLevel="5" x14ac:dyDescent="0.25">
      <c r="A599" s="81" t="s">
        <v>37</v>
      </c>
      <c r="B599" s="80" t="s">
        <v>536</v>
      </c>
      <c r="C599" s="80" t="s">
        <v>72</v>
      </c>
      <c r="D599" s="80" t="s">
        <v>312</v>
      </c>
      <c r="E599" s="80" t="s">
        <v>38</v>
      </c>
      <c r="F599" s="316">
        <v>631535</v>
      </c>
      <c r="G599" s="318">
        <f t="shared" si="86"/>
        <v>881000</v>
      </c>
      <c r="H599" s="318">
        <f t="shared" si="86"/>
        <v>874250</v>
      </c>
      <c r="I599" s="318">
        <f t="shared" si="86"/>
        <v>350000</v>
      </c>
      <c r="J599" s="318">
        <f t="shared" si="86"/>
        <v>3000000</v>
      </c>
      <c r="K599" s="296"/>
      <c r="L599" s="232"/>
      <c r="M599" s="232"/>
      <c r="N599" s="232"/>
    </row>
    <row r="600" spans="1:14" outlineLevel="5" x14ac:dyDescent="0.25">
      <c r="A600" s="81" t="s">
        <v>74</v>
      </c>
      <c r="B600" s="80" t="s">
        <v>536</v>
      </c>
      <c r="C600" s="80" t="s">
        <v>72</v>
      </c>
      <c r="D600" s="80" t="s">
        <v>312</v>
      </c>
      <c r="E600" s="80" t="s">
        <v>75</v>
      </c>
      <c r="F600" s="316">
        <v>631535</v>
      </c>
      <c r="G600" s="318">
        <f>350000+350500+180500</f>
        <v>881000</v>
      </c>
      <c r="H600" s="131">
        <v>874250</v>
      </c>
      <c r="I600" s="318">
        <v>350000</v>
      </c>
      <c r="J600" s="318">
        <v>3000000</v>
      </c>
      <c r="K600" s="296"/>
      <c r="L600" s="232"/>
      <c r="M600" s="232"/>
      <c r="N600" s="232"/>
    </row>
    <row r="601" spans="1:14" ht="39.75" customHeight="1" outlineLevel="5" x14ac:dyDescent="0.25">
      <c r="A601" s="113" t="s">
        <v>458</v>
      </c>
      <c r="B601" s="80" t="s">
        <v>536</v>
      </c>
      <c r="C601" s="80" t="s">
        <v>72</v>
      </c>
      <c r="D601" s="80" t="s">
        <v>720</v>
      </c>
      <c r="E601" s="80" t="s">
        <v>6</v>
      </c>
      <c r="F601" s="316">
        <v>1876201</v>
      </c>
      <c r="G601" s="318">
        <f t="shared" ref="G601:J602" si="87">G602</f>
        <v>193200</v>
      </c>
      <c r="H601" s="318">
        <f t="shared" si="87"/>
        <v>193200</v>
      </c>
      <c r="I601" s="318">
        <f t="shared" si="87"/>
        <v>800000</v>
      </c>
      <c r="J601" s="318">
        <f t="shared" si="87"/>
        <v>0</v>
      </c>
      <c r="K601" s="296"/>
      <c r="L601" s="232"/>
      <c r="M601" s="232"/>
      <c r="N601" s="232"/>
    </row>
    <row r="602" spans="1:14" ht="55.05" outlineLevel="5" x14ac:dyDescent="0.25">
      <c r="A602" s="81" t="s">
        <v>37</v>
      </c>
      <c r="B602" s="80" t="s">
        <v>536</v>
      </c>
      <c r="C602" s="80" t="s">
        <v>72</v>
      </c>
      <c r="D602" s="80" t="s">
        <v>720</v>
      </c>
      <c r="E602" s="80" t="s">
        <v>38</v>
      </c>
      <c r="F602" s="316">
        <v>1876201</v>
      </c>
      <c r="G602" s="318">
        <f t="shared" si="87"/>
        <v>193200</v>
      </c>
      <c r="H602" s="318">
        <f t="shared" si="87"/>
        <v>193200</v>
      </c>
      <c r="I602" s="318">
        <f t="shared" si="87"/>
        <v>800000</v>
      </c>
      <c r="J602" s="318">
        <f t="shared" si="87"/>
        <v>0</v>
      </c>
      <c r="K602" s="296"/>
      <c r="L602" s="232"/>
      <c r="M602" s="232"/>
      <c r="N602" s="232"/>
    </row>
    <row r="603" spans="1:14" outlineLevel="5" x14ac:dyDescent="0.25">
      <c r="A603" s="81" t="s">
        <v>74</v>
      </c>
      <c r="B603" s="80" t="s">
        <v>536</v>
      </c>
      <c r="C603" s="80" t="s">
        <v>72</v>
      </c>
      <c r="D603" s="80" t="s">
        <v>720</v>
      </c>
      <c r="E603" s="80" t="s">
        <v>75</v>
      </c>
      <c r="F603" s="316">
        <v>1876201</v>
      </c>
      <c r="G603" s="318">
        <f>потребность!I559+5490000-5000000-590000+193200</f>
        <v>193200</v>
      </c>
      <c r="H603" s="131">
        <v>193200</v>
      </c>
      <c r="I603" s="318">
        <v>800000</v>
      </c>
      <c r="J603" s="318">
        <v>0</v>
      </c>
      <c r="K603" s="296"/>
      <c r="L603" s="232"/>
      <c r="M603" s="232"/>
      <c r="N603" s="232"/>
    </row>
    <row r="604" spans="1:14" ht="73.400000000000006" outlineLevel="5" x14ac:dyDescent="0.25">
      <c r="A604" s="25" t="s">
        <v>595</v>
      </c>
      <c r="B604" s="80" t="s">
        <v>536</v>
      </c>
      <c r="C604" s="80" t="s">
        <v>72</v>
      </c>
      <c r="D604" s="80" t="s">
        <v>596</v>
      </c>
      <c r="E604" s="80" t="s">
        <v>6</v>
      </c>
      <c r="F604" s="316">
        <v>5192423.8600000003</v>
      </c>
      <c r="G604" s="318">
        <f t="shared" ref="G604:J605" si="88">G605</f>
        <v>19325166.399999999</v>
      </c>
      <c r="H604" s="318">
        <f t="shared" si="88"/>
        <v>12158531.359999999</v>
      </c>
      <c r="I604" s="318">
        <f t="shared" si="88"/>
        <v>0</v>
      </c>
      <c r="J604" s="318">
        <f t="shared" si="88"/>
        <v>0</v>
      </c>
      <c r="K604" s="296"/>
      <c r="L604" s="232"/>
      <c r="M604" s="232"/>
      <c r="N604" s="232"/>
    </row>
    <row r="605" spans="1:14" s="172" customFormat="1" ht="55.05" outlineLevel="5" x14ac:dyDescent="0.25">
      <c r="A605" s="81" t="s">
        <v>37</v>
      </c>
      <c r="B605" s="80" t="s">
        <v>536</v>
      </c>
      <c r="C605" s="80" t="s">
        <v>72</v>
      </c>
      <c r="D605" s="80" t="s">
        <v>596</v>
      </c>
      <c r="E605" s="80" t="s">
        <v>38</v>
      </c>
      <c r="F605" s="316">
        <v>5192423.8600000003</v>
      </c>
      <c r="G605" s="318">
        <f t="shared" si="88"/>
        <v>19325166.399999999</v>
      </c>
      <c r="H605" s="318">
        <f t="shared" si="88"/>
        <v>12158531.359999999</v>
      </c>
      <c r="I605" s="318">
        <f t="shared" si="88"/>
        <v>0</v>
      </c>
      <c r="J605" s="318">
        <f t="shared" si="88"/>
        <v>0</v>
      </c>
      <c r="K605" s="297"/>
      <c r="L605" s="233"/>
      <c r="M605" s="233"/>
      <c r="N605" s="233"/>
    </row>
    <row r="606" spans="1:14" ht="23.3" customHeight="1" outlineLevel="4" x14ac:dyDescent="0.25">
      <c r="A606" s="81" t="s">
        <v>74</v>
      </c>
      <c r="B606" s="80" t="s">
        <v>536</v>
      </c>
      <c r="C606" s="80" t="s">
        <v>72</v>
      </c>
      <c r="D606" s="80" t="s">
        <v>596</v>
      </c>
      <c r="E606" s="80" t="s">
        <v>75</v>
      </c>
      <c r="F606" s="316">
        <v>5192423.8600000003</v>
      </c>
      <c r="G606" s="318">
        <f>36003230.04-16678063.64</f>
        <v>19325166.399999999</v>
      </c>
      <c r="H606" s="131">
        <v>12158531.359999999</v>
      </c>
      <c r="I606" s="318">
        <v>0</v>
      </c>
      <c r="J606" s="318">
        <v>0</v>
      </c>
      <c r="K606" s="296"/>
      <c r="L606" s="232"/>
      <c r="M606" s="232"/>
      <c r="N606" s="232"/>
    </row>
    <row r="607" spans="1:14" ht="36.700000000000003" outlineLevel="4" x14ac:dyDescent="0.25">
      <c r="A607" s="81" t="s">
        <v>445</v>
      </c>
      <c r="B607" s="80" t="s">
        <v>536</v>
      </c>
      <c r="C607" s="80" t="s">
        <v>72</v>
      </c>
      <c r="D607" s="80" t="s">
        <v>446</v>
      </c>
      <c r="E607" s="80" t="s">
        <v>6</v>
      </c>
      <c r="F607" s="316">
        <v>160590.43</v>
      </c>
      <c r="G607" s="318">
        <f t="shared" ref="G607:J608" si="89">G608</f>
        <v>597685.56000000006</v>
      </c>
      <c r="H607" s="318">
        <f t="shared" si="89"/>
        <v>364162.07</v>
      </c>
      <c r="I607" s="318">
        <f t="shared" si="89"/>
        <v>993779.52</v>
      </c>
      <c r="J607" s="318">
        <f t="shared" si="89"/>
        <v>993779.52</v>
      </c>
      <c r="K607" s="296"/>
      <c r="L607" s="232"/>
      <c r="M607" s="232"/>
      <c r="N607" s="232"/>
    </row>
    <row r="608" spans="1:14" ht="55.05" outlineLevel="5" x14ac:dyDescent="0.25">
      <c r="A608" s="81" t="s">
        <v>37</v>
      </c>
      <c r="B608" s="80" t="s">
        <v>536</v>
      </c>
      <c r="C608" s="80" t="s">
        <v>72</v>
      </c>
      <c r="D608" s="80" t="s">
        <v>446</v>
      </c>
      <c r="E608" s="80" t="s">
        <v>38</v>
      </c>
      <c r="F608" s="316">
        <v>160590.43</v>
      </c>
      <c r="G608" s="318">
        <f t="shared" si="89"/>
        <v>597685.56000000006</v>
      </c>
      <c r="H608" s="318">
        <f t="shared" si="89"/>
        <v>364162.07</v>
      </c>
      <c r="I608" s="318">
        <f t="shared" si="89"/>
        <v>993779.52</v>
      </c>
      <c r="J608" s="318">
        <f t="shared" si="89"/>
        <v>993779.52</v>
      </c>
      <c r="K608" s="296"/>
      <c r="L608" s="232"/>
      <c r="M608" s="232"/>
      <c r="N608" s="232"/>
    </row>
    <row r="609" spans="1:14" outlineLevel="6" x14ac:dyDescent="0.25">
      <c r="A609" s="81" t="s">
        <v>74</v>
      </c>
      <c r="B609" s="80" t="s">
        <v>536</v>
      </c>
      <c r="C609" s="80" t="s">
        <v>72</v>
      </c>
      <c r="D609" s="80" t="s">
        <v>446</v>
      </c>
      <c r="E609" s="80" t="s">
        <v>75</v>
      </c>
      <c r="F609" s="316">
        <v>160590.43</v>
      </c>
      <c r="G609" s="318">
        <f>1730960-617458+50000-565816.44</f>
        <v>597685.56000000006</v>
      </c>
      <c r="H609" s="131">
        <v>364162.07</v>
      </c>
      <c r="I609" s="318">
        <v>993779.52</v>
      </c>
      <c r="J609" s="318">
        <v>993779.52</v>
      </c>
      <c r="K609" s="296"/>
      <c r="L609" s="232"/>
      <c r="M609" s="232"/>
      <c r="N609" s="232"/>
    </row>
    <row r="610" spans="1:14" ht="36.700000000000003" outlineLevel="6" x14ac:dyDescent="0.25">
      <c r="A610" s="81" t="s">
        <v>923</v>
      </c>
      <c r="B610" s="80" t="s">
        <v>536</v>
      </c>
      <c r="C610" s="80" t="s">
        <v>72</v>
      </c>
      <c r="D610" s="80" t="s">
        <v>924</v>
      </c>
      <c r="E610" s="80" t="s">
        <v>6</v>
      </c>
      <c r="F610" s="80" t="s">
        <v>976</v>
      </c>
      <c r="G610" s="318" t="e">
        <f>G611</f>
        <v>#REF!</v>
      </c>
      <c r="H610" s="318">
        <f>H611</f>
        <v>21307038.940000001</v>
      </c>
      <c r="I610" s="318">
        <v>0</v>
      </c>
      <c r="J610" s="318">
        <v>0</v>
      </c>
      <c r="K610" s="296"/>
      <c r="L610" s="232"/>
      <c r="M610" s="232"/>
      <c r="N610" s="232"/>
    </row>
    <row r="611" spans="1:14" ht="55.05" outlineLevel="6" x14ac:dyDescent="0.25">
      <c r="A611" s="81" t="s">
        <v>37</v>
      </c>
      <c r="B611" s="80" t="s">
        <v>536</v>
      </c>
      <c r="C611" s="80" t="s">
        <v>72</v>
      </c>
      <c r="D611" s="80" t="s">
        <v>924</v>
      </c>
      <c r="E611" s="80" t="s">
        <v>38</v>
      </c>
      <c r="F611" s="80" t="s">
        <v>976</v>
      </c>
      <c r="G611" s="318" t="e">
        <f>G612</f>
        <v>#REF!</v>
      </c>
      <c r="H611" s="318">
        <f>H612</f>
        <v>21307038.940000001</v>
      </c>
      <c r="I611" s="318">
        <v>0</v>
      </c>
      <c r="J611" s="318">
        <v>0</v>
      </c>
      <c r="K611" s="296"/>
      <c r="L611" s="232"/>
      <c r="M611" s="232"/>
      <c r="N611" s="232"/>
    </row>
    <row r="612" spans="1:14" outlineLevel="6" x14ac:dyDescent="0.25">
      <c r="A612" s="81" t="s">
        <v>74</v>
      </c>
      <c r="B612" s="80" t="s">
        <v>536</v>
      </c>
      <c r="C612" s="80" t="s">
        <v>72</v>
      </c>
      <c r="D612" s="80" t="s">
        <v>924</v>
      </c>
      <c r="E612" s="80" t="s">
        <v>75</v>
      </c>
      <c r="F612" s="80" t="s">
        <v>976</v>
      </c>
      <c r="G612" s="318" t="e">
        <f>'прил 7 '!#REF!+180149.71+2700000+1500000</f>
        <v>#REF!</v>
      </c>
      <c r="H612" s="131">
        <v>21307038.940000001</v>
      </c>
      <c r="I612" s="318">
        <v>0</v>
      </c>
      <c r="J612" s="318">
        <v>0</v>
      </c>
      <c r="K612" s="296"/>
      <c r="L612" s="232"/>
      <c r="M612" s="232"/>
      <c r="N612" s="232"/>
    </row>
    <row r="613" spans="1:14" ht="36.700000000000003" outlineLevel="7" x14ac:dyDescent="0.25">
      <c r="A613" s="113" t="s">
        <v>275</v>
      </c>
      <c r="B613" s="80" t="s">
        <v>536</v>
      </c>
      <c r="C613" s="80" t="s">
        <v>72</v>
      </c>
      <c r="D613" s="80" t="s">
        <v>223</v>
      </c>
      <c r="E613" s="80" t="s">
        <v>6</v>
      </c>
      <c r="F613" s="316">
        <v>5101292.82</v>
      </c>
      <c r="G613" s="318">
        <f t="shared" ref="G613:J615" si="90">G614</f>
        <v>6117450</v>
      </c>
      <c r="H613" s="318">
        <f t="shared" si="90"/>
        <v>3823078.77</v>
      </c>
      <c r="I613" s="318">
        <f t="shared" si="90"/>
        <v>6188850</v>
      </c>
      <c r="J613" s="318">
        <f t="shared" si="90"/>
        <v>0</v>
      </c>
      <c r="K613" s="296"/>
      <c r="L613" s="232"/>
      <c r="M613" s="232"/>
      <c r="N613" s="232"/>
    </row>
    <row r="614" spans="1:14" ht="128.4" outlineLevel="7" x14ac:dyDescent="0.25">
      <c r="A614" s="25" t="s">
        <v>658</v>
      </c>
      <c r="B614" s="80" t="s">
        <v>536</v>
      </c>
      <c r="C614" s="80" t="s">
        <v>72</v>
      </c>
      <c r="D614" s="80" t="s">
        <v>659</v>
      </c>
      <c r="E614" s="80" t="s">
        <v>6</v>
      </c>
      <c r="F614" s="316">
        <v>5101292.82</v>
      </c>
      <c r="G614" s="318">
        <f t="shared" si="90"/>
        <v>6117450</v>
      </c>
      <c r="H614" s="318">
        <f t="shared" si="90"/>
        <v>3823078.77</v>
      </c>
      <c r="I614" s="318">
        <f t="shared" si="90"/>
        <v>6188850</v>
      </c>
      <c r="J614" s="318">
        <f t="shared" si="90"/>
        <v>0</v>
      </c>
      <c r="K614" s="296"/>
      <c r="L614" s="232"/>
      <c r="M614" s="232"/>
      <c r="N614" s="232"/>
    </row>
    <row r="615" spans="1:14" ht="55.05" outlineLevel="7" x14ac:dyDescent="0.25">
      <c r="A615" s="81" t="s">
        <v>37</v>
      </c>
      <c r="B615" s="80" t="s">
        <v>536</v>
      </c>
      <c r="C615" s="80" t="s">
        <v>72</v>
      </c>
      <c r="D615" s="80" t="s">
        <v>659</v>
      </c>
      <c r="E615" s="80" t="s">
        <v>38</v>
      </c>
      <c r="F615" s="316">
        <v>5101292.82</v>
      </c>
      <c r="G615" s="318">
        <f t="shared" si="90"/>
        <v>6117450</v>
      </c>
      <c r="H615" s="318">
        <f t="shared" si="90"/>
        <v>3823078.77</v>
      </c>
      <c r="I615" s="318">
        <f t="shared" si="90"/>
        <v>6188850</v>
      </c>
      <c r="J615" s="318">
        <f t="shared" si="90"/>
        <v>0</v>
      </c>
      <c r="K615" s="296"/>
      <c r="L615" s="232"/>
      <c r="M615" s="232"/>
      <c r="N615" s="232"/>
    </row>
    <row r="616" spans="1:14" ht="22.75" customHeight="1" outlineLevel="7" x14ac:dyDescent="0.25">
      <c r="A616" s="81" t="s">
        <v>74</v>
      </c>
      <c r="B616" s="80" t="s">
        <v>536</v>
      </c>
      <c r="C616" s="80" t="s">
        <v>72</v>
      </c>
      <c r="D616" s="80" t="s">
        <v>659</v>
      </c>
      <c r="E616" s="80" t="s">
        <v>75</v>
      </c>
      <c r="F616" s="316">
        <v>5101292.82</v>
      </c>
      <c r="G616" s="318">
        <v>6117450</v>
      </c>
      <c r="H616" s="131">
        <v>3823078.77</v>
      </c>
      <c r="I616" s="318">
        <v>6188850</v>
      </c>
      <c r="J616" s="324">
        <v>0</v>
      </c>
      <c r="K616" s="296"/>
      <c r="L616" s="232"/>
      <c r="M616" s="232"/>
      <c r="N616" s="232"/>
    </row>
    <row r="617" spans="1:14" outlineLevel="7" x14ac:dyDescent="0.25">
      <c r="A617" s="25" t="s">
        <v>468</v>
      </c>
      <c r="B617" s="80" t="s">
        <v>536</v>
      </c>
      <c r="C617" s="80" t="s">
        <v>72</v>
      </c>
      <c r="D617" s="80" t="s">
        <v>313</v>
      </c>
      <c r="E617" s="80" t="s">
        <v>6</v>
      </c>
      <c r="F617" s="316">
        <v>3010106</v>
      </c>
      <c r="G617" s="318">
        <f t="shared" ref="G617:J619" si="91">G618</f>
        <v>0</v>
      </c>
      <c r="H617" s="318">
        <f t="shared" si="91"/>
        <v>0</v>
      </c>
      <c r="I617" s="318">
        <f t="shared" si="91"/>
        <v>2685634.51</v>
      </c>
      <c r="J617" s="318">
        <f t="shared" si="91"/>
        <v>186904.50999999978</v>
      </c>
      <c r="K617" s="296"/>
      <c r="L617" s="232"/>
      <c r="M617" s="232"/>
      <c r="N617" s="232"/>
    </row>
    <row r="618" spans="1:14" ht="55.05" outlineLevel="7" x14ac:dyDescent="0.25">
      <c r="A618" s="81" t="s">
        <v>469</v>
      </c>
      <c r="B618" s="80" t="s">
        <v>536</v>
      </c>
      <c r="C618" s="80" t="s">
        <v>72</v>
      </c>
      <c r="D618" s="300" t="s">
        <v>654</v>
      </c>
      <c r="E618" s="80" t="s">
        <v>6</v>
      </c>
      <c r="F618" s="316">
        <v>3010106</v>
      </c>
      <c r="G618" s="318">
        <f t="shared" si="91"/>
        <v>0</v>
      </c>
      <c r="H618" s="318">
        <f t="shared" si="91"/>
        <v>0</v>
      </c>
      <c r="I618" s="318">
        <f t="shared" si="91"/>
        <v>2685634.51</v>
      </c>
      <c r="J618" s="318">
        <f t="shared" si="91"/>
        <v>186904.50999999978</v>
      </c>
      <c r="K618" s="296"/>
      <c r="L618" s="232"/>
      <c r="M618" s="232"/>
      <c r="N618" s="232"/>
    </row>
    <row r="619" spans="1:14" ht="55.05" outlineLevel="7" x14ac:dyDescent="0.25">
      <c r="A619" s="81" t="s">
        <v>37</v>
      </c>
      <c r="B619" s="80" t="s">
        <v>536</v>
      </c>
      <c r="C619" s="80" t="s">
        <v>72</v>
      </c>
      <c r="D619" s="300" t="s">
        <v>654</v>
      </c>
      <c r="E619" s="80" t="s">
        <v>38</v>
      </c>
      <c r="F619" s="316">
        <v>3010106</v>
      </c>
      <c r="G619" s="318">
        <f t="shared" si="91"/>
        <v>0</v>
      </c>
      <c r="H619" s="318">
        <f t="shared" si="91"/>
        <v>0</v>
      </c>
      <c r="I619" s="318">
        <f t="shared" si="91"/>
        <v>2685634.51</v>
      </c>
      <c r="J619" s="318">
        <f t="shared" si="91"/>
        <v>186904.50999999978</v>
      </c>
      <c r="K619" s="296"/>
      <c r="L619" s="232"/>
      <c r="M619" s="232"/>
      <c r="N619" s="232"/>
    </row>
    <row r="620" spans="1:14" ht="19.05" outlineLevel="7" thickBot="1" x14ac:dyDescent="0.3">
      <c r="A620" s="81" t="s">
        <v>74</v>
      </c>
      <c r="B620" s="80" t="s">
        <v>536</v>
      </c>
      <c r="C620" s="80" t="s">
        <v>72</v>
      </c>
      <c r="D620" s="300" t="s">
        <v>968</v>
      </c>
      <c r="E620" s="80" t="s">
        <v>75</v>
      </c>
      <c r="F620" s="316">
        <v>3010106</v>
      </c>
      <c r="G620" s="318">
        <v>0</v>
      </c>
      <c r="H620" s="318">
        <v>0</v>
      </c>
      <c r="I620" s="318">
        <v>2685634.51</v>
      </c>
      <c r="J620" s="318">
        <f>2685634.51-2498730</f>
        <v>186904.50999999978</v>
      </c>
      <c r="K620" s="296"/>
      <c r="L620" s="232"/>
      <c r="M620" s="232"/>
      <c r="N620" s="232"/>
    </row>
    <row r="621" spans="1:14" ht="74.05" outlineLevel="7" thickBot="1" x14ac:dyDescent="0.3">
      <c r="A621" s="274" t="s">
        <v>938</v>
      </c>
      <c r="B621" s="80" t="s">
        <v>536</v>
      </c>
      <c r="C621" s="80" t="s">
        <v>72</v>
      </c>
      <c r="D621" s="80" t="s">
        <v>939</v>
      </c>
      <c r="E621" s="80" t="s">
        <v>6</v>
      </c>
      <c r="F621" s="80" t="s">
        <v>976</v>
      </c>
      <c r="G621" s="318">
        <f>G622</f>
        <v>2613963.91</v>
      </c>
      <c r="H621" s="318">
        <f>H622</f>
        <v>1927700</v>
      </c>
      <c r="I621" s="318">
        <v>0</v>
      </c>
      <c r="J621" s="318">
        <v>0</v>
      </c>
      <c r="K621" s="296"/>
      <c r="L621" s="232"/>
      <c r="M621" s="232"/>
      <c r="N621" s="232"/>
    </row>
    <row r="622" spans="1:14" ht="55.05" outlineLevel="7" x14ac:dyDescent="0.25">
      <c r="A622" s="81" t="s">
        <v>37</v>
      </c>
      <c r="B622" s="80" t="s">
        <v>536</v>
      </c>
      <c r="C622" s="80" t="s">
        <v>72</v>
      </c>
      <c r="D622" s="80" t="s">
        <v>939</v>
      </c>
      <c r="E622" s="80" t="s">
        <v>38</v>
      </c>
      <c r="F622" s="80" t="s">
        <v>976</v>
      </c>
      <c r="G622" s="318">
        <f>G623</f>
        <v>2613963.91</v>
      </c>
      <c r="H622" s="318">
        <f>H623</f>
        <v>1927700</v>
      </c>
      <c r="I622" s="318">
        <v>0</v>
      </c>
      <c r="J622" s="318">
        <v>0</v>
      </c>
      <c r="K622" s="296"/>
      <c r="L622" s="232"/>
      <c r="M622" s="232"/>
      <c r="N622" s="232"/>
    </row>
    <row r="623" spans="1:14" outlineLevel="7" x14ac:dyDescent="0.25">
      <c r="A623" s="81" t="s">
        <v>74</v>
      </c>
      <c r="B623" s="80" t="s">
        <v>536</v>
      </c>
      <c r="C623" s="80" t="s">
        <v>72</v>
      </c>
      <c r="D623" s="80" t="s">
        <v>939</v>
      </c>
      <c r="E623" s="80" t="s">
        <v>75</v>
      </c>
      <c r="F623" s="80" t="s">
        <v>976</v>
      </c>
      <c r="G623" s="318">
        <f>1000000+1613963.91</f>
        <v>2613963.91</v>
      </c>
      <c r="H623" s="131">
        <v>1927700</v>
      </c>
      <c r="I623" s="318">
        <v>0</v>
      </c>
      <c r="J623" s="318">
        <v>0</v>
      </c>
      <c r="K623" s="296"/>
      <c r="L623" s="232"/>
      <c r="M623" s="232"/>
      <c r="N623" s="232"/>
    </row>
    <row r="624" spans="1:14" outlineLevel="5" x14ac:dyDescent="0.25">
      <c r="A624" s="81" t="s">
        <v>257</v>
      </c>
      <c r="B624" s="80" t="s">
        <v>536</v>
      </c>
      <c r="C624" s="80" t="s">
        <v>256</v>
      </c>
      <c r="D624" s="80" t="s">
        <v>126</v>
      </c>
      <c r="E624" s="80" t="s">
        <v>6</v>
      </c>
      <c r="F624" s="316">
        <v>23253055.059999999</v>
      </c>
      <c r="G624" s="318">
        <f t="shared" ref="G624:J625" si="92">G625</f>
        <v>24263029.260000002</v>
      </c>
      <c r="H624" s="318">
        <f t="shared" si="92"/>
        <v>17264875.789999999</v>
      </c>
      <c r="I624" s="318">
        <f t="shared" si="92"/>
        <v>28310464</v>
      </c>
      <c r="J624" s="318">
        <f t="shared" si="92"/>
        <v>27710552</v>
      </c>
      <c r="K624" s="296"/>
      <c r="L624" s="232"/>
      <c r="M624" s="232"/>
      <c r="N624" s="232"/>
    </row>
    <row r="625" spans="1:14" ht="55.05" outlineLevel="6" x14ac:dyDescent="0.25">
      <c r="A625" s="109" t="s">
        <v>825</v>
      </c>
      <c r="B625" s="110" t="s">
        <v>536</v>
      </c>
      <c r="C625" s="110" t="s">
        <v>256</v>
      </c>
      <c r="D625" s="110" t="s">
        <v>138</v>
      </c>
      <c r="E625" s="110" t="s">
        <v>6</v>
      </c>
      <c r="F625" s="320">
        <v>23253055.059999999</v>
      </c>
      <c r="G625" s="323">
        <f t="shared" si="92"/>
        <v>24263029.260000002</v>
      </c>
      <c r="H625" s="323">
        <f t="shared" si="92"/>
        <v>17264875.789999999</v>
      </c>
      <c r="I625" s="323">
        <f t="shared" si="92"/>
        <v>28310464</v>
      </c>
      <c r="J625" s="323">
        <f t="shared" si="92"/>
        <v>27710552</v>
      </c>
      <c r="K625" s="296"/>
      <c r="L625" s="232"/>
      <c r="M625" s="232"/>
      <c r="N625" s="232"/>
    </row>
    <row r="626" spans="1:14" ht="49.75" customHeight="1" outlineLevel="7" x14ac:dyDescent="0.25">
      <c r="A626" s="81" t="s">
        <v>832</v>
      </c>
      <c r="B626" s="80" t="s">
        <v>536</v>
      </c>
      <c r="C626" s="80" t="s">
        <v>256</v>
      </c>
      <c r="D626" s="80" t="s">
        <v>149</v>
      </c>
      <c r="E626" s="80" t="s">
        <v>6</v>
      </c>
      <c r="F626" s="320">
        <v>23253055.059999999</v>
      </c>
      <c r="G626" s="317">
        <f>G627+G631+G641</f>
        <v>24263029.260000002</v>
      </c>
      <c r="H626" s="317">
        <f>H627+H631+H641</f>
        <v>17264875.789999999</v>
      </c>
      <c r="I626" s="317">
        <f>I627+I631+I641</f>
        <v>28310464</v>
      </c>
      <c r="J626" s="317">
        <f>J627+J631+J641</f>
        <v>27710552</v>
      </c>
      <c r="K626" s="296"/>
      <c r="L626" s="232"/>
      <c r="M626" s="232"/>
      <c r="N626" s="232"/>
    </row>
    <row r="627" spans="1:14" ht="23.3" customHeight="1" outlineLevel="7" x14ac:dyDescent="0.25">
      <c r="A627" s="113" t="s">
        <v>207</v>
      </c>
      <c r="B627" s="80" t="s">
        <v>536</v>
      </c>
      <c r="C627" s="80" t="s">
        <v>256</v>
      </c>
      <c r="D627" s="80" t="s">
        <v>224</v>
      </c>
      <c r="E627" s="80" t="s">
        <v>6</v>
      </c>
      <c r="F627" s="316">
        <v>22721588.399999999</v>
      </c>
      <c r="G627" s="317">
        <f t="shared" ref="G627:J629" si="93">G628</f>
        <v>22949529.260000002</v>
      </c>
      <c r="H627" s="317">
        <f t="shared" si="93"/>
        <v>16567468.119999999</v>
      </c>
      <c r="I627" s="317">
        <f t="shared" si="93"/>
        <v>26996964</v>
      </c>
      <c r="J627" s="317">
        <f t="shared" si="93"/>
        <v>25942762</v>
      </c>
      <c r="K627" s="296"/>
      <c r="L627" s="232"/>
      <c r="M627" s="232"/>
      <c r="N627" s="232"/>
    </row>
    <row r="628" spans="1:14" ht="22.75" customHeight="1" outlineLevel="7" x14ac:dyDescent="0.25">
      <c r="A628" s="81" t="s">
        <v>115</v>
      </c>
      <c r="B628" s="80" t="s">
        <v>536</v>
      </c>
      <c r="C628" s="80" t="s">
        <v>256</v>
      </c>
      <c r="D628" s="80" t="s">
        <v>151</v>
      </c>
      <c r="E628" s="80" t="s">
        <v>6</v>
      </c>
      <c r="F628" s="316">
        <v>22721588.399999999</v>
      </c>
      <c r="G628" s="317">
        <f t="shared" si="93"/>
        <v>22949529.260000002</v>
      </c>
      <c r="H628" s="317">
        <f t="shared" si="93"/>
        <v>16567468.119999999</v>
      </c>
      <c r="I628" s="317">
        <f t="shared" si="93"/>
        <v>26996964</v>
      </c>
      <c r="J628" s="317">
        <f t="shared" si="93"/>
        <v>25942762</v>
      </c>
      <c r="K628" s="296"/>
      <c r="L628" s="232"/>
      <c r="M628" s="232"/>
      <c r="N628" s="232"/>
    </row>
    <row r="629" spans="1:14" ht="24.8" customHeight="1" outlineLevel="7" x14ac:dyDescent="0.25">
      <c r="A629" s="81" t="s">
        <v>37</v>
      </c>
      <c r="B629" s="80" t="s">
        <v>536</v>
      </c>
      <c r="C629" s="80" t="s">
        <v>256</v>
      </c>
      <c r="D629" s="80" t="s">
        <v>151</v>
      </c>
      <c r="E629" s="80" t="s">
        <v>38</v>
      </c>
      <c r="F629" s="316">
        <v>22721588.399999999</v>
      </c>
      <c r="G629" s="317">
        <f t="shared" si="93"/>
        <v>22949529.260000002</v>
      </c>
      <c r="H629" s="317">
        <f t="shared" si="93"/>
        <v>16567468.119999999</v>
      </c>
      <c r="I629" s="317">
        <f t="shared" si="93"/>
        <v>26996964</v>
      </c>
      <c r="J629" s="317">
        <f t="shared" si="93"/>
        <v>25942762</v>
      </c>
      <c r="K629" s="296"/>
      <c r="L629" s="232"/>
      <c r="M629" s="232"/>
      <c r="N629" s="232"/>
    </row>
    <row r="630" spans="1:14" ht="27" customHeight="1" outlineLevel="7" x14ac:dyDescent="0.25">
      <c r="A630" s="81" t="s">
        <v>74</v>
      </c>
      <c r="B630" s="80" t="s">
        <v>536</v>
      </c>
      <c r="C630" s="80" t="s">
        <v>256</v>
      </c>
      <c r="D630" s="80" t="s">
        <v>151</v>
      </c>
      <c r="E630" s="80" t="s">
        <v>75</v>
      </c>
      <c r="F630" s="316">
        <v>22721588.399999999</v>
      </c>
      <c r="G630" s="318">
        <f>потребность!I580-1000000-1177656.74+130222</f>
        <v>22949529.260000002</v>
      </c>
      <c r="H630" s="131">
        <v>16567468.119999999</v>
      </c>
      <c r="I630" s="318">
        <v>26996964</v>
      </c>
      <c r="J630" s="318">
        <v>25942762</v>
      </c>
      <c r="K630" s="296"/>
      <c r="L630" s="232"/>
      <c r="M630" s="232"/>
      <c r="N630" s="232"/>
    </row>
    <row r="631" spans="1:14" ht="55.05" outlineLevel="7" x14ac:dyDescent="0.25">
      <c r="A631" s="113" t="s">
        <v>402</v>
      </c>
      <c r="B631" s="80" t="s">
        <v>536</v>
      </c>
      <c r="C631" s="80" t="s">
        <v>256</v>
      </c>
      <c r="D631" s="80" t="s">
        <v>225</v>
      </c>
      <c r="E631" s="80" t="s">
        <v>6</v>
      </c>
      <c r="F631" s="316">
        <v>273051.64</v>
      </c>
      <c r="G631" s="318">
        <f>G632+G638</f>
        <v>110500</v>
      </c>
      <c r="H631" s="318">
        <f>H632+H638+H647</f>
        <v>187954.08000000002</v>
      </c>
      <c r="I631" s="318">
        <f>I632+I638</f>
        <v>110500</v>
      </c>
      <c r="J631" s="318">
        <f>J632+J638</f>
        <v>31600</v>
      </c>
      <c r="K631" s="296"/>
      <c r="L631" s="232"/>
      <c r="M631" s="232"/>
      <c r="N631" s="232"/>
    </row>
    <row r="632" spans="1:14" ht="36.700000000000003" outlineLevel="7" x14ac:dyDescent="0.25">
      <c r="A632" s="81" t="s">
        <v>268</v>
      </c>
      <c r="B632" s="80" t="s">
        <v>536</v>
      </c>
      <c r="C632" s="80" t="s">
        <v>256</v>
      </c>
      <c r="D632" s="80" t="s">
        <v>288</v>
      </c>
      <c r="E632" s="80" t="s">
        <v>6</v>
      </c>
      <c r="F632" s="316">
        <v>19201.89</v>
      </c>
      <c r="G632" s="318">
        <f t="shared" ref="G632:J633" si="94">G633</f>
        <v>25000</v>
      </c>
      <c r="H632" s="318">
        <f t="shared" si="94"/>
        <v>15994.08</v>
      </c>
      <c r="I632" s="318">
        <f t="shared" si="94"/>
        <v>25000</v>
      </c>
      <c r="J632" s="318">
        <f t="shared" si="94"/>
        <v>31600</v>
      </c>
      <c r="K632" s="296"/>
      <c r="L632" s="232"/>
      <c r="M632" s="232"/>
      <c r="N632" s="232"/>
    </row>
    <row r="633" spans="1:14" ht="55.05" outlineLevel="7" x14ac:dyDescent="0.25">
      <c r="A633" s="81" t="s">
        <v>37</v>
      </c>
      <c r="B633" s="80" t="s">
        <v>536</v>
      </c>
      <c r="C633" s="80" t="s">
        <v>256</v>
      </c>
      <c r="D633" s="80" t="s">
        <v>288</v>
      </c>
      <c r="E633" s="80" t="s">
        <v>38</v>
      </c>
      <c r="F633" s="316">
        <v>19201.89</v>
      </c>
      <c r="G633" s="318">
        <f t="shared" si="94"/>
        <v>25000</v>
      </c>
      <c r="H633" s="318">
        <f t="shared" si="94"/>
        <v>15994.08</v>
      </c>
      <c r="I633" s="318">
        <f t="shared" si="94"/>
        <v>25000</v>
      </c>
      <c r="J633" s="318">
        <f t="shared" si="94"/>
        <v>31600</v>
      </c>
      <c r="K633" s="296"/>
      <c r="L633" s="232"/>
      <c r="M633" s="232"/>
      <c r="N633" s="232"/>
    </row>
    <row r="634" spans="1:14" outlineLevel="2" x14ac:dyDescent="0.25">
      <c r="A634" s="81" t="s">
        <v>74</v>
      </c>
      <c r="B634" s="80" t="s">
        <v>536</v>
      </c>
      <c r="C634" s="80" t="s">
        <v>256</v>
      </c>
      <c r="D634" s="80" t="s">
        <v>288</v>
      </c>
      <c r="E634" s="80" t="s">
        <v>75</v>
      </c>
      <c r="F634" s="316">
        <v>19201.89</v>
      </c>
      <c r="G634" s="318">
        <v>25000</v>
      </c>
      <c r="H634" s="131">
        <v>15994.08</v>
      </c>
      <c r="I634" s="318">
        <v>25000</v>
      </c>
      <c r="J634" s="318">
        <v>31600</v>
      </c>
      <c r="K634" s="296"/>
      <c r="L634" s="232"/>
      <c r="M634" s="232"/>
      <c r="N634" s="232"/>
    </row>
    <row r="635" spans="1:14" s="172" customFormat="1" outlineLevel="3" x14ac:dyDescent="0.25">
      <c r="A635" s="113" t="s">
        <v>311</v>
      </c>
      <c r="B635" s="80" t="s">
        <v>536</v>
      </c>
      <c r="C635" s="80" t="s">
        <v>256</v>
      </c>
      <c r="D635" s="80" t="s">
        <v>735</v>
      </c>
      <c r="E635" s="80" t="s">
        <v>6</v>
      </c>
      <c r="F635" s="316">
        <v>124350</v>
      </c>
      <c r="G635" s="318">
        <f>G636</f>
        <v>0</v>
      </c>
      <c r="H635" s="318">
        <f>H636</f>
        <v>0</v>
      </c>
      <c r="I635" s="318">
        <v>0</v>
      </c>
      <c r="J635" s="318">
        <v>0</v>
      </c>
      <c r="K635" s="297"/>
      <c r="L635" s="233"/>
      <c r="M635" s="233"/>
      <c r="N635" s="233"/>
    </row>
    <row r="636" spans="1:14" ht="55.05" outlineLevel="3" x14ac:dyDescent="0.25">
      <c r="A636" s="81" t="s">
        <v>37</v>
      </c>
      <c r="B636" s="80" t="s">
        <v>536</v>
      </c>
      <c r="C636" s="80" t="s">
        <v>256</v>
      </c>
      <c r="D636" s="80" t="s">
        <v>735</v>
      </c>
      <c r="E636" s="80" t="s">
        <v>38</v>
      </c>
      <c r="F636" s="316">
        <v>124350</v>
      </c>
      <c r="G636" s="318">
        <f>G637</f>
        <v>0</v>
      </c>
      <c r="H636" s="318">
        <f>H637</f>
        <v>0</v>
      </c>
      <c r="I636" s="318">
        <v>0</v>
      </c>
      <c r="J636" s="318">
        <v>0</v>
      </c>
      <c r="K636" s="296"/>
      <c r="L636" s="232"/>
      <c r="M636" s="232"/>
      <c r="N636" s="232"/>
    </row>
    <row r="637" spans="1:14" ht="19.55" customHeight="1" outlineLevel="3" x14ac:dyDescent="0.25">
      <c r="A637" s="81" t="s">
        <v>74</v>
      </c>
      <c r="B637" s="80" t="s">
        <v>536</v>
      </c>
      <c r="C637" s="80" t="s">
        <v>256</v>
      </c>
      <c r="D637" s="80" t="s">
        <v>735</v>
      </c>
      <c r="E637" s="80" t="s">
        <v>75</v>
      </c>
      <c r="F637" s="316">
        <v>124350</v>
      </c>
      <c r="G637" s="318">
        <v>0</v>
      </c>
      <c r="H637" s="131">
        <v>0</v>
      </c>
      <c r="I637" s="318">
        <v>0</v>
      </c>
      <c r="J637" s="318">
        <v>0</v>
      </c>
      <c r="K637" s="296"/>
      <c r="L637" s="232"/>
      <c r="M637" s="232"/>
      <c r="N637" s="232"/>
    </row>
    <row r="638" spans="1:14" ht="21.25" customHeight="1" outlineLevel="3" x14ac:dyDescent="0.25">
      <c r="A638" s="81" t="s">
        <v>112</v>
      </c>
      <c r="B638" s="80" t="s">
        <v>536</v>
      </c>
      <c r="C638" s="80" t="s">
        <v>256</v>
      </c>
      <c r="D638" s="80" t="s">
        <v>150</v>
      </c>
      <c r="E638" s="80" t="s">
        <v>6</v>
      </c>
      <c r="F638" s="316">
        <v>77499.75</v>
      </c>
      <c r="G638" s="317">
        <f t="shared" ref="G638:J639" si="95">G639</f>
        <v>85500</v>
      </c>
      <c r="H638" s="317">
        <f t="shared" si="95"/>
        <v>39360</v>
      </c>
      <c r="I638" s="317">
        <f t="shared" si="95"/>
        <v>85500</v>
      </c>
      <c r="J638" s="332">
        <f t="shared" si="95"/>
        <v>0</v>
      </c>
      <c r="K638" s="296"/>
      <c r="L638" s="232"/>
      <c r="M638" s="232"/>
      <c r="N638" s="232"/>
    </row>
    <row r="639" spans="1:14" ht="55.05" outlineLevel="3" x14ac:dyDescent="0.25">
      <c r="A639" s="81" t="s">
        <v>37</v>
      </c>
      <c r="B639" s="80" t="s">
        <v>536</v>
      </c>
      <c r="C639" s="80" t="s">
        <v>256</v>
      </c>
      <c r="D639" s="80" t="s">
        <v>150</v>
      </c>
      <c r="E639" s="80" t="s">
        <v>38</v>
      </c>
      <c r="F639" s="316">
        <v>77499.75</v>
      </c>
      <c r="G639" s="317">
        <f t="shared" si="95"/>
        <v>85500</v>
      </c>
      <c r="H639" s="317">
        <f t="shared" si="95"/>
        <v>39360</v>
      </c>
      <c r="I639" s="317">
        <f t="shared" si="95"/>
        <v>85500</v>
      </c>
      <c r="J639" s="332">
        <f t="shared" si="95"/>
        <v>0</v>
      </c>
      <c r="K639" s="296"/>
      <c r="L639" s="232"/>
      <c r="M639" s="232"/>
      <c r="N639" s="232"/>
    </row>
    <row r="640" spans="1:14" ht="21.25" customHeight="1" outlineLevel="3" x14ac:dyDescent="0.25">
      <c r="A640" s="81" t="s">
        <v>74</v>
      </c>
      <c r="B640" s="80" t="s">
        <v>536</v>
      </c>
      <c r="C640" s="80" t="s">
        <v>256</v>
      </c>
      <c r="D640" s="80" t="s">
        <v>150</v>
      </c>
      <c r="E640" s="80" t="s">
        <v>75</v>
      </c>
      <c r="F640" s="316">
        <v>77499.75</v>
      </c>
      <c r="G640" s="318">
        <v>85500</v>
      </c>
      <c r="H640" s="131">
        <v>39360</v>
      </c>
      <c r="I640" s="318">
        <v>85500</v>
      </c>
      <c r="J640" s="325">
        <v>0</v>
      </c>
      <c r="K640" s="296"/>
      <c r="L640" s="232"/>
      <c r="M640" s="232"/>
      <c r="N640" s="232"/>
    </row>
    <row r="641" spans="1:14" ht="55.05" outlineLevel="3" x14ac:dyDescent="0.25">
      <c r="A641" s="81" t="s">
        <v>754</v>
      </c>
      <c r="B641" s="80" t="s">
        <v>536</v>
      </c>
      <c r="C641" s="80" t="s">
        <v>256</v>
      </c>
      <c r="D641" s="80" t="s">
        <v>755</v>
      </c>
      <c r="E641" s="80" t="s">
        <v>6</v>
      </c>
      <c r="F641" s="316">
        <v>258415.02</v>
      </c>
      <c r="G641" s="318">
        <f t="shared" ref="G641:J642" si="96">G642</f>
        <v>1203000</v>
      </c>
      <c r="H641" s="318">
        <f t="shared" si="96"/>
        <v>509453.59</v>
      </c>
      <c r="I641" s="318">
        <f t="shared" si="96"/>
        <v>1203000</v>
      </c>
      <c r="J641" s="318">
        <f t="shared" si="96"/>
        <v>1736190</v>
      </c>
      <c r="K641" s="296"/>
      <c r="L641" s="232"/>
      <c r="M641" s="232"/>
      <c r="N641" s="232"/>
    </row>
    <row r="642" spans="1:14" ht="55.05" outlineLevel="3" x14ac:dyDescent="0.25">
      <c r="A642" s="81" t="s">
        <v>37</v>
      </c>
      <c r="B642" s="80" t="s">
        <v>536</v>
      </c>
      <c r="C642" s="80" t="s">
        <v>256</v>
      </c>
      <c r="D642" s="80" t="s">
        <v>756</v>
      </c>
      <c r="E642" s="80" t="s">
        <v>38</v>
      </c>
      <c r="F642" s="316">
        <v>258415.02</v>
      </c>
      <c r="G642" s="318">
        <f t="shared" si="96"/>
        <v>1203000</v>
      </c>
      <c r="H642" s="318">
        <f t="shared" si="96"/>
        <v>509453.59</v>
      </c>
      <c r="I642" s="318">
        <f t="shared" si="96"/>
        <v>1203000</v>
      </c>
      <c r="J642" s="318">
        <f t="shared" si="96"/>
        <v>1736190</v>
      </c>
      <c r="K642" s="296"/>
      <c r="L642" s="232"/>
      <c r="M642" s="232"/>
      <c r="N642" s="232"/>
    </row>
    <row r="643" spans="1:14" ht="21.75" customHeight="1" outlineLevel="3" x14ac:dyDescent="0.25">
      <c r="A643" s="81" t="s">
        <v>74</v>
      </c>
      <c r="B643" s="80" t="s">
        <v>536</v>
      </c>
      <c r="C643" s="80" t="s">
        <v>256</v>
      </c>
      <c r="D643" s="80" t="s">
        <v>756</v>
      </c>
      <c r="E643" s="80" t="s">
        <v>75</v>
      </c>
      <c r="F643" s="316">
        <v>258415.02</v>
      </c>
      <c r="G643" s="318">
        <v>1203000</v>
      </c>
      <c r="H643" s="131">
        <v>509453.59</v>
      </c>
      <c r="I643" s="318">
        <v>1203000</v>
      </c>
      <c r="J643" s="318">
        <v>1736190</v>
      </c>
      <c r="K643" s="296"/>
      <c r="L643" s="232"/>
      <c r="M643" s="232"/>
      <c r="N643" s="232"/>
    </row>
    <row r="644" spans="1:14" ht="55.05" outlineLevel="3" x14ac:dyDescent="0.25">
      <c r="A644" s="113" t="s">
        <v>458</v>
      </c>
      <c r="B644" s="80" t="s">
        <v>536</v>
      </c>
      <c r="C644" s="80" t="s">
        <v>256</v>
      </c>
      <c r="D644" s="80" t="s">
        <v>727</v>
      </c>
      <c r="E644" s="80" t="s">
        <v>6</v>
      </c>
      <c r="F644" s="316">
        <v>52000</v>
      </c>
      <c r="G644" s="318">
        <f t="shared" ref="G644:I645" si="97">G645</f>
        <v>0</v>
      </c>
      <c r="H644" s="318">
        <f t="shared" si="97"/>
        <v>0</v>
      </c>
      <c r="I644" s="318">
        <f t="shared" si="97"/>
        <v>100000</v>
      </c>
      <c r="J644" s="318">
        <v>0</v>
      </c>
      <c r="K644" s="296"/>
      <c r="L644" s="232"/>
      <c r="M644" s="232"/>
      <c r="N644" s="232"/>
    </row>
    <row r="645" spans="1:14" ht="55.05" outlineLevel="3" x14ac:dyDescent="0.25">
      <c r="A645" s="81" t="s">
        <v>37</v>
      </c>
      <c r="B645" s="80" t="s">
        <v>536</v>
      </c>
      <c r="C645" s="80" t="s">
        <v>256</v>
      </c>
      <c r="D645" s="80" t="s">
        <v>727</v>
      </c>
      <c r="E645" s="80" t="s">
        <v>38</v>
      </c>
      <c r="F645" s="316">
        <v>52000</v>
      </c>
      <c r="G645" s="318">
        <f t="shared" si="97"/>
        <v>0</v>
      </c>
      <c r="H645" s="318">
        <f t="shared" si="97"/>
        <v>0</v>
      </c>
      <c r="I645" s="318">
        <f t="shared" si="97"/>
        <v>100000</v>
      </c>
      <c r="J645" s="318">
        <v>0</v>
      </c>
      <c r="K645" s="296"/>
      <c r="L645" s="232"/>
      <c r="M645" s="232"/>
      <c r="N645" s="232"/>
    </row>
    <row r="646" spans="1:14" ht="19.05" outlineLevel="3" thickBot="1" x14ac:dyDescent="0.3">
      <c r="A646" s="81" t="s">
        <v>74</v>
      </c>
      <c r="B646" s="80" t="s">
        <v>536</v>
      </c>
      <c r="C646" s="80" t="s">
        <v>256</v>
      </c>
      <c r="D646" s="80" t="s">
        <v>727</v>
      </c>
      <c r="E646" s="80" t="s">
        <v>75</v>
      </c>
      <c r="F646" s="316">
        <v>52000</v>
      </c>
      <c r="G646" s="318">
        <v>0</v>
      </c>
      <c r="H646" s="318">
        <v>0</v>
      </c>
      <c r="I646" s="318">
        <v>100000</v>
      </c>
      <c r="J646" s="318">
        <v>0</v>
      </c>
      <c r="K646" s="296"/>
      <c r="L646" s="232"/>
      <c r="M646" s="232"/>
      <c r="N646" s="232"/>
    </row>
    <row r="647" spans="1:14" ht="74.05" outlineLevel="3" thickBot="1" x14ac:dyDescent="0.3">
      <c r="A647" s="274" t="s">
        <v>938</v>
      </c>
      <c r="B647" s="80" t="s">
        <v>536</v>
      </c>
      <c r="C647" s="80" t="s">
        <v>72</v>
      </c>
      <c r="D647" s="80" t="s">
        <v>980</v>
      </c>
      <c r="E647" s="80" t="s">
        <v>6</v>
      </c>
      <c r="F647" s="364"/>
      <c r="G647" s="330"/>
      <c r="H647" s="318">
        <f>H648</f>
        <v>132600</v>
      </c>
      <c r="I647" s="330"/>
      <c r="J647" s="330"/>
      <c r="K647" s="296"/>
      <c r="L647" s="232"/>
      <c r="M647" s="232"/>
      <c r="N647" s="232"/>
    </row>
    <row r="648" spans="1:14" ht="55.05" outlineLevel="3" x14ac:dyDescent="0.25">
      <c r="A648" s="81" t="s">
        <v>37</v>
      </c>
      <c r="B648" s="80" t="s">
        <v>536</v>
      </c>
      <c r="C648" s="80" t="s">
        <v>72</v>
      </c>
      <c r="D648" s="80" t="s">
        <v>981</v>
      </c>
      <c r="E648" s="80" t="s">
        <v>38</v>
      </c>
      <c r="F648" s="364"/>
      <c r="G648" s="330"/>
      <c r="H648" s="318">
        <f>H649</f>
        <v>132600</v>
      </c>
      <c r="I648" s="330"/>
      <c r="J648" s="330"/>
      <c r="K648" s="296"/>
      <c r="L648" s="232"/>
      <c r="M648" s="232"/>
      <c r="N648" s="232"/>
    </row>
    <row r="649" spans="1:14" outlineLevel="3" x14ac:dyDescent="0.25">
      <c r="A649" s="81" t="s">
        <v>74</v>
      </c>
      <c r="B649" s="80" t="s">
        <v>536</v>
      </c>
      <c r="C649" s="80" t="s">
        <v>72</v>
      </c>
      <c r="D649" s="80" t="s">
        <v>981</v>
      </c>
      <c r="E649" s="80" t="s">
        <v>75</v>
      </c>
      <c r="F649" s="364"/>
      <c r="G649" s="330"/>
      <c r="H649" s="318">
        <v>132600</v>
      </c>
      <c r="I649" s="330"/>
      <c r="J649" s="330"/>
      <c r="K649" s="296"/>
      <c r="L649" s="232"/>
      <c r="M649" s="232"/>
      <c r="N649" s="232"/>
    </row>
    <row r="650" spans="1:14" outlineLevel="3" x14ac:dyDescent="0.25">
      <c r="A650" s="81" t="s">
        <v>76</v>
      </c>
      <c r="B650" s="80" t="s">
        <v>536</v>
      </c>
      <c r="C650" s="80" t="s">
        <v>77</v>
      </c>
      <c r="D650" s="80" t="s">
        <v>126</v>
      </c>
      <c r="E650" s="80" t="s">
        <v>6</v>
      </c>
      <c r="F650" s="316">
        <v>1754985.46</v>
      </c>
      <c r="G650" s="317">
        <f>G651</f>
        <v>2041369</v>
      </c>
      <c r="H650" s="317">
        <f>H651</f>
        <v>1919444.25</v>
      </c>
      <c r="I650" s="317">
        <f>I651</f>
        <v>2042300</v>
      </c>
      <c r="J650" s="317">
        <f>J651</f>
        <v>195000</v>
      </c>
      <c r="K650" s="296"/>
      <c r="L650" s="232"/>
      <c r="M650" s="232"/>
      <c r="N650" s="232"/>
    </row>
    <row r="651" spans="1:14" ht="55.05" outlineLevel="3" x14ac:dyDescent="0.25">
      <c r="A651" s="109" t="s">
        <v>825</v>
      </c>
      <c r="B651" s="110" t="s">
        <v>536</v>
      </c>
      <c r="C651" s="110" t="s">
        <v>77</v>
      </c>
      <c r="D651" s="110" t="s">
        <v>138</v>
      </c>
      <c r="E651" s="110" t="s">
        <v>6</v>
      </c>
      <c r="F651" s="316">
        <v>1754985.46</v>
      </c>
      <c r="G651" s="321">
        <f>G652+G666</f>
        <v>2041369</v>
      </c>
      <c r="H651" s="321">
        <f>H652+H666</f>
        <v>1919444.25</v>
      </c>
      <c r="I651" s="321">
        <f>I652+I666</f>
        <v>2042300</v>
      </c>
      <c r="J651" s="321">
        <f>J652+J666</f>
        <v>195000</v>
      </c>
      <c r="K651" s="296"/>
      <c r="L651" s="232"/>
      <c r="M651" s="232"/>
      <c r="N651" s="232"/>
    </row>
    <row r="652" spans="1:14" ht="55.05" outlineLevel="3" x14ac:dyDescent="0.25">
      <c r="A652" s="81" t="s">
        <v>833</v>
      </c>
      <c r="B652" s="80" t="s">
        <v>536</v>
      </c>
      <c r="C652" s="80" t="s">
        <v>77</v>
      </c>
      <c r="D652" s="80" t="s">
        <v>146</v>
      </c>
      <c r="E652" s="80" t="s">
        <v>6</v>
      </c>
      <c r="F652" s="316">
        <v>69978.509999999995</v>
      </c>
      <c r="G652" s="317">
        <f>G653+G657</f>
        <v>1916369</v>
      </c>
      <c r="H652" s="317">
        <f>H653+H657</f>
        <v>1858488.25</v>
      </c>
      <c r="I652" s="317">
        <f>I653+I657</f>
        <v>1917300</v>
      </c>
      <c r="J652" s="317">
        <f>J653+J657</f>
        <v>70000</v>
      </c>
      <c r="K652" s="296"/>
      <c r="L652" s="232"/>
      <c r="M652" s="232"/>
      <c r="N652" s="232"/>
    </row>
    <row r="653" spans="1:14" ht="36.700000000000003" outlineLevel="7" x14ac:dyDescent="0.25">
      <c r="A653" s="113" t="s">
        <v>206</v>
      </c>
      <c r="B653" s="80" t="s">
        <v>536</v>
      </c>
      <c r="C653" s="80" t="s">
        <v>77</v>
      </c>
      <c r="D653" s="80" t="s">
        <v>220</v>
      </c>
      <c r="E653" s="80" t="s">
        <v>6</v>
      </c>
      <c r="F653" s="316">
        <v>69978.509999999995</v>
      </c>
      <c r="G653" s="317">
        <f t="shared" ref="G653:J655" si="98">G654</f>
        <v>70000</v>
      </c>
      <c r="H653" s="317">
        <f t="shared" si="98"/>
        <v>53268</v>
      </c>
      <c r="I653" s="317">
        <f t="shared" si="98"/>
        <v>70000</v>
      </c>
      <c r="J653" s="317">
        <f t="shared" si="98"/>
        <v>70000</v>
      </c>
      <c r="K653" s="296"/>
      <c r="L653" s="232"/>
      <c r="M653" s="232"/>
      <c r="N653" s="232"/>
    </row>
    <row r="654" spans="1:14" outlineLevel="7" x14ac:dyDescent="0.25">
      <c r="A654" s="81" t="s">
        <v>424</v>
      </c>
      <c r="B654" s="80" t="s">
        <v>536</v>
      </c>
      <c r="C654" s="80" t="s">
        <v>77</v>
      </c>
      <c r="D654" s="80" t="s">
        <v>235</v>
      </c>
      <c r="E654" s="80" t="s">
        <v>6</v>
      </c>
      <c r="F654" s="316">
        <v>69978.509999999995</v>
      </c>
      <c r="G654" s="317">
        <f t="shared" si="98"/>
        <v>70000</v>
      </c>
      <c r="H654" s="317">
        <f t="shared" si="98"/>
        <v>53268</v>
      </c>
      <c r="I654" s="317">
        <f t="shared" si="98"/>
        <v>70000</v>
      </c>
      <c r="J654" s="317">
        <f t="shared" si="98"/>
        <v>70000</v>
      </c>
      <c r="K654" s="296"/>
      <c r="L654" s="232"/>
      <c r="M654" s="232"/>
      <c r="N654" s="232"/>
    </row>
    <row r="655" spans="1:14" ht="23.3" customHeight="1" outlineLevel="7" x14ac:dyDescent="0.25">
      <c r="A655" s="81" t="s">
        <v>15</v>
      </c>
      <c r="B655" s="80" t="s">
        <v>536</v>
      </c>
      <c r="C655" s="80" t="s">
        <v>77</v>
      </c>
      <c r="D655" s="80" t="s">
        <v>235</v>
      </c>
      <c r="E655" s="80" t="s">
        <v>16</v>
      </c>
      <c r="F655" s="316">
        <v>69978.509999999995</v>
      </c>
      <c r="G655" s="317">
        <f t="shared" si="98"/>
        <v>70000</v>
      </c>
      <c r="H655" s="317">
        <f t="shared" si="98"/>
        <v>53268</v>
      </c>
      <c r="I655" s="317">
        <f t="shared" si="98"/>
        <v>70000</v>
      </c>
      <c r="J655" s="317">
        <f t="shared" si="98"/>
        <v>70000</v>
      </c>
      <c r="K655" s="296"/>
      <c r="L655" s="232"/>
      <c r="M655" s="232"/>
      <c r="N655" s="232"/>
    </row>
    <row r="656" spans="1:14" ht="55.05" outlineLevel="2" x14ac:dyDescent="0.25">
      <c r="A656" s="81" t="s">
        <v>17</v>
      </c>
      <c r="B656" s="80" t="s">
        <v>536</v>
      </c>
      <c r="C656" s="80" t="s">
        <v>77</v>
      </c>
      <c r="D656" s="80" t="s">
        <v>235</v>
      </c>
      <c r="E656" s="80" t="s">
        <v>18</v>
      </c>
      <c r="F656" s="316">
        <v>69978.509999999995</v>
      </c>
      <c r="G656" s="318">
        <v>70000</v>
      </c>
      <c r="H656" s="131">
        <v>53268</v>
      </c>
      <c r="I656" s="318">
        <v>70000</v>
      </c>
      <c r="J656" s="318">
        <v>70000</v>
      </c>
      <c r="K656" s="296"/>
      <c r="L656" s="232"/>
      <c r="M656" s="232"/>
      <c r="N656" s="232"/>
    </row>
    <row r="657" spans="1:14" s="172" customFormat="1" ht="36.700000000000003" outlineLevel="3" x14ac:dyDescent="0.25">
      <c r="A657" s="113" t="s">
        <v>275</v>
      </c>
      <c r="B657" s="80" t="s">
        <v>536</v>
      </c>
      <c r="C657" s="80" t="s">
        <v>77</v>
      </c>
      <c r="D657" s="80" t="s">
        <v>223</v>
      </c>
      <c r="E657" s="80" t="s">
        <v>6</v>
      </c>
      <c r="F657" s="316">
        <v>1561006.95</v>
      </c>
      <c r="G657" s="318">
        <f>G658</f>
        <v>1846369</v>
      </c>
      <c r="H657" s="318">
        <f>H658</f>
        <v>1805220.25</v>
      </c>
      <c r="I657" s="318">
        <f>I658</f>
        <v>1847300</v>
      </c>
      <c r="J657" s="318">
        <f>J658</f>
        <v>0</v>
      </c>
      <c r="K657" s="297"/>
      <c r="L657" s="233"/>
      <c r="M657" s="233"/>
      <c r="N657" s="233"/>
    </row>
    <row r="658" spans="1:14" s="172" customFormat="1" ht="91.7" outlineLevel="3" x14ac:dyDescent="0.25">
      <c r="A658" s="100" t="s">
        <v>403</v>
      </c>
      <c r="B658" s="80" t="s">
        <v>536</v>
      </c>
      <c r="C658" s="80" t="s">
        <v>77</v>
      </c>
      <c r="D658" s="80" t="s">
        <v>152</v>
      </c>
      <c r="E658" s="80" t="s">
        <v>6</v>
      </c>
      <c r="F658" s="316">
        <v>1561006.95</v>
      </c>
      <c r="G658" s="317">
        <f>G659+G663+G661</f>
        <v>1846369</v>
      </c>
      <c r="H658" s="317">
        <f>H659+H663+H661</f>
        <v>1805220.25</v>
      </c>
      <c r="I658" s="317">
        <f>I659+I663+I661</f>
        <v>1847300</v>
      </c>
      <c r="J658" s="317">
        <f>J659+J663+J661</f>
        <v>0</v>
      </c>
      <c r="K658" s="297"/>
      <c r="L658" s="233"/>
      <c r="M658" s="233"/>
      <c r="N658" s="233"/>
    </row>
    <row r="659" spans="1:14" ht="36.700000000000003" outlineLevel="5" x14ac:dyDescent="0.25">
      <c r="A659" s="81" t="s">
        <v>15</v>
      </c>
      <c r="B659" s="80" t="s">
        <v>536</v>
      </c>
      <c r="C659" s="80" t="s">
        <v>77</v>
      </c>
      <c r="D659" s="80" t="s">
        <v>152</v>
      </c>
      <c r="E659" s="80" t="s">
        <v>16</v>
      </c>
      <c r="F659" s="316">
        <v>0</v>
      </c>
      <c r="G659" s="317">
        <f>G660</f>
        <v>2000</v>
      </c>
      <c r="H659" s="317">
        <f>H660</f>
        <v>0</v>
      </c>
      <c r="I659" s="317">
        <f>I660</f>
        <v>2000</v>
      </c>
      <c r="J659" s="317">
        <f>J660</f>
        <v>0</v>
      </c>
      <c r="K659" s="296"/>
      <c r="L659" s="232"/>
      <c r="M659" s="232"/>
      <c r="N659" s="232"/>
    </row>
    <row r="660" spans="1:14" ht="55.05" outlineLevel="6" x14ac:dyDescent="0.25">
      <c r="A660" s="81" t="s">
        <v>17</v>
      </c>
      <c r="B660" s="80" t="s">
        <v>536</v>
      </c>
      <c r="C660" s="80" t="s">
        <v>77</v>
      </c>
      <c r="D660" s="80" t="s">
        <v>152</v>
      </c>
      <c r="E660" s="80" t="s">
        <v>18</v>
      </c>
      <c r="F660" s="316">
        <v>0</v>
      </c>
      <c r="G660" s="318">
        <v>2000</v>
      </c>
      <c r="H660" s="318">
        <v>0</v>
      </c>
      <c r="I660" s="318">
        <v>2000</v>
      </c>
      <c r="J660" s="324">
        <v>0</v>
      </c>
      <c r="K660" s="296"/>
      <c r="L660" s="232"/>
      <c r="M660" s="232"/>
      <c r="N660" s="232"/>
    </row>
    <row r="661" spans="1:14" ht="36.700000000000003" outlineLevel="7" x14ac:dyDescent="0.25">
      <c r="A661" s="81" t="s">
        <v>90</v>
      </c>
      <c r="B661" s="80" t="s">
        <v>536</v>
      </c>
      <c r="C661" s="80" t="s">
        <v>77</v>
      </c>
      <c r="D661" s="80" t="s">
        <v>152</v>
      </c>
      <c r="E661" s="80" t="s">
        <v>91</v>
      </c>
      <c r="F661" s="316">
        <v>194977.5</v>
      </c>
      <c r="G661" s="317">
        <f>G662</f>
        <v>320000</v>
      </c>
      <c r="H661" s="317">
        <f>H662</f>
        <v>280851.25</v>
      </c>
      <c r="I661" s="317">
        <f>I662</f>
        <v>320000</v>
      </c>
      <c r="J661" s="317">
        <f>J662</f>
        <v>0</v>
      </c>
      <c r="K661" s="296"/>
      <c r="L661" s="232"/>
      <c r="M661" s="232"/>
      <c r="N661" s="232"/>
    </row>
    <row r="662" spans="1:14" ht="36.700000000000003" outlineLevel="6" x14ac:dyDescent="0.25">
      <c r="A662" s="81" t="s">
        <v>97</v>
      </c>
      <c r="B662" s="80" t="s">
        <v>536</v>
      </c>
      <c r="C662" s="80" t="s">
        <v>77</v>
      </c>
      <c r="D662" s="80" t="s">
        <v>152</v>
      </c>
      <c r="E662" s="80" t="s">
        <v>98</v>
      </c>
      <c r="F662" s="316">
        <v>194977.5</v>
      </c>
      <c r="G662" s="318">
        <v>320000</v>
      </c>
      <c r="H662" s="131">
        <v>280851.25</v>
      </c>
      <c r="I662" s="318">
        <v>320000</v>
      </c>
      <c r="J662" s="324">
        <v>0</v>
      </c>
      <c r="K662" s="296"/>
      <c r="L662" s="232"/>
      <c r="M662" s="232"/>
      <c r="N662" s="232"/>
    </row>
    <row r="663" spans="1:14" ht="21.25" customHeight="1" outlineLevel="7" x14ac:dyDescent="0.25">
      <c r="A663" s="81" t="s">
        <v>37</v>
      </c>
      <c r="B663" s="80" t="s">
        <v>536</v>
      </c>
      <c r="C663" s="80" t="s">
        <v>77</v>
      </c>
      <c r="D663" s="80" t="s">
        <v>152</v>
      </c>
      <c r="E663" s="80" t="s">
        <v>38</v>
      </c>
      <c r="F663" s="316">
        <v>1366029.45</v>
      </c>
      <c r="G663" s="317">
        <v>1524369</v>
      </c>
      <c r="H663" s="360">
        <v>1524369</v>
      </c>
      <c r="I663" s="317">
        <f>I664</f>
        <v>1525300</v>
      </c>
      <c r="J663" s="317">
        <f>J664</f>
        <v>0</v>
      </c>
      <c r="K663" s="296"/>
      <c r="L663" s="232"/>
      <c r="M663" s="232"/>
      <c r="N663" s="232"/>
    </row>
    <row r="664" spans="1:14" outlineLevel="7" x14ac:dyDescent="0.25">
      <c r="A664" s="81" t="s">
        <v>74</v>
      </c>
      <c r="B664" s="80" t="s">
        <v>536</v>
      </c>
      <c r="C664" s="80" t="s">
        <v>77</v>
      </c>
      <c r="D664" s="80" t="s">
        <v>152</v>
      </c>
      <c r="E664" s="80" t="s">
        <v>75</v>
      </c>
      <c r="F664" s="316">
        <v>1366029.45</v>
      </c>
      <c r="G664" s="318">
        <v>1525300</v>
      </c>
      <c r="H664" s="131">
        <v>1524369</v>
      </c>
      <c r="I664" s="318">
        <v>1525300</v>
      </c>
      <c r="J664" s="324">
        <v>0</v>
      </c>
      <c r="K664" s="296"/>
      <c r="L664" s="232"/>
      <c r="M664" s="232"/>
      <c r="N664" s="232"/>
    </row>
    <row r="665" spans="1:14" ht="36.700000000000003" outlineLevel="7" x14ac:dyDescent="0.25">
      <c r="A665" s="25" t="s">
        <v>238</v>
      </c>
      <c r="B665" s="80" t="s">
        <v>536</v>
      </c>
      <c r="C665" s="80" t="s">
        <v>77</v>
      </c>
      <c r="D665" s="80" t="s">
        <v>237</v>
      </c>
      <c r="E665" s="80" t="s">
        <v>6</v>
      </c>
      <c r="F665" s="316">
        <v>124000</v>
      </c>
      <c r="G665" s="318">
        <f t="shared" ref="G665:J667" si="99">G666</f>
        <v>125000</v>
      </c>
      <c r="H665" s="318">
        <f t="shared" si="99"/>
        <v>60956</v>
      </c>
      <c r="I665" s="318">
        <f t="shared" si="99"/>
        <v>125000</v>
      </c>
      <c r="J665" s="318">
        <f t="shared" si="99"/>
        <v>125000</v>
      </c>
      <c r="K665" s="296"/>
      <c r="L665" s="232"/>
      <c r="M665" s="232"/>
      <c r="N665" s="232"/>
    </row>
    <row r="666" spans="1:14" outlineLevel="5" x14ac:dyDescent="0.25">
      <c r="A666" s="81" t="s">
        <v>78</v>
      </c>
      <c r="B666" s="80" t="s">
        <v>536</v>
      </c>
      <c r="C666" s="80" t="s">
        <v>77</v>
      </c>
      <c r="D666" s="80" t="s">
        <v>153</v>
      </c>
      <c r="E666" s="80" t="s">
        <v>6</v>
      </c>
      <c r="F666" s="316">
        <v>124000</v>
      </c>
      <c r="G666" s="317">
        <f t="shared" si="99"/>
        <v>125000</v>
      </c>
      <c r="H666" s="317">
        <f t="shared" si="99"/>
        <v>60956</v>
      </c>
      <c r="I666" s="317">
        <f t="shared" si="99"/>
        <v>125000</v>
      </c>
      <c r="J666" s="317">
        <f t="shared" si="99"/>
        <v>125000</v>
      </c>
      <c r="K666" s="296"/>
      <c r="L666" s="232"/>
      <c r="M666" s="232"/>
      <c r="N666" s="232"/>
    </row>
    <row r="667" spans="1:14" ht="36.700000000000003" outlineLevel="6" x14ac:dyDescent="0.25">
      <c r="A667" s="81" t="s">
        <v>15</v>
      </c>
      <c r="B667" s="80" t="s">
        <v>536</v>
      </c>
      <c r="C667" s="80" t="s">
        <v>77</v>
      </c>
      <c r="D667" s="80" t="s">
        <v>153</v>
      </c>
      <c r="E667" s="80" t="s">
        <v>16</v>
      </c>
      <c r="F667" s="316">
        <v>124000</v>
      </c>
      <c r="G667" s="317">
        <f t="shared" si="99"/>
        <v>125000</v>
      </c>
      <c r="H667" s="317">
        <f t="shared" si="99"/>
        <v>60956</v>
      </c>
      <c r="I667" s="317">
        <f t="shared" si="99"/>
        <v>125000</v>
      </c>
      <c r="J667" s="317">
        <f t="shared" si="99"/>
        <v>125000</v>
      </c>
      <c r="K667" s="296"/>
      <c r="L667" s="232"/>
      <c r="M667" s="232"/>
      <c r="N667" s="232"/>
    </row>
    <row r="668" spans="1:14" ht="55.05" outlineLevel="7" x14ac:dyDescent="0.25">
      <c r="A668" s="81" t="s">
        <v>17</v>
      </c>
      <c r="B668" s="80" t="s">
        <v>536</v>
      </c>
      <c r="C668" s="80" t="s">
        <v>77</v>
      </c>
      <c r="D668" s="80" t="s">
        <v>153</v>
      </c>
      <c r="E668" s="80" t="s">
        <v>18</v>
      </c>
      <c r="F668" s="316">
        <v>124000</v>
      </c>
      <c r="G668" s="318">
        <v>125000</v>
      </c>
      <c r="H668" s="131">
        <v>60956</v>
      </c>
      <c r="I668" s="318">
        <v>125000</v>
      </c>
      <c r="J668" s="318">
        <v>125000</v>
      </c>
      <c r="K668" s="296"/>
      <c r="L668" s="232"/>
      <c r="M668" s="232"/>
      <c r="N668" s="232"/>
    </row>
    <row r="669" spans="1:14" outlineLevel="6" x14ac:dyDescent="0.25">
      <c r="A669" s="81" t="s">
        <v>116</v>
      </c>
      <c r="B669" s="80" t="s">
        <v>536</v>
      </c>
      <c r="C669" s="80" t="s">
        <v>117</v>
      </c>
      <c r="D669" s="80" t="s">
        <v>126</v>
      </c>
      <c r="E669" s="80" t="s">
        <v>6</v>
      </c>
      <c r="F669" s="316">
        <v>20583160.210000001</v>
      </c>
      <c r="G669" s="317">
        <f t="shared" ref="G669:J670" si="100">G670</f>
        <v>23901235</v>
      </c>
      <c r="H669" s="317">
        <f t="shared" si="100"/>
        <v>17186408.539999999</v>
      </c>
      <c r="I669" s="317">
        <f t="shared" si="100"/>
        <v>21748475</v>
      </c>
      <c r="J669" s="317">
        <f t="shared" si="100"/>
        <v>23843513</v>
      </c>
      <c r="K669" s="296"/>
      <c r="L669" s="232"/>
      <c r="M669" s="232"/>
      <c r="N669" s="232"/>
    </row>
    <row r="670" spans="1:14" ht="46.55" customHeight="1" outlineLevel="7" x14ac:dyDescent="0.25">
      <c r="A670" s="109" t="s">
        <v>827</v>
      </c>
      <c r="B670" s="110" t="s">
        <v>536</v>
      </c>
      <c r="C670" s="110" t="s">
        <v>117</v>
      </c>
      <c r="D670" s="110" t="s">
        <v>138</v>
      </c>
      <c r="E670" s="110" t="s">
        <v>6</v>
      </c>
      <c r="F670" s="320">
        <v>20583160.210000001</v>
      </c>
      <c r="G670" s="333">
        <f t="shared" si="100"/>
        <v>23901235</v>
      </c>
      <c r="H670" s="333">
        <f t="shared" si="100"/>
        <v>17186408.539999999</v>
      </c>
      <c r="I670" s="333">
        <f t="shared" si="100"/>
        <v>21748475</v>
      </c>
      <c r="J670" s="333">
        <f t="shared" si="100"/>
        <v>23843513</v>
      </c>
      <c r="K670" s="296"/>
      <c r="L670" s="232"/>
      <c r="M670" s="232"/>
      <c r="N670" s="232"/>
    </row>
    <row r="671" spans="1:14" ht="55.05" outlineLevel="6" x14ac:dyDescent="0.25">
      <c r="A671" s="113" t="s">
        <v>209</v>
      </c>
      <c r="B671" s="80" t="s">
        <v>536</v>
      </c>
      <c r="C671" s="80" t="s">
        <v>117</v>
      </c>
      <c r="D671" s="80" t="s">
        <v>226</v>
      </c>
      <c r="E671" s="80" t="s">
        <v>6</v>
      </c>
      <c r="F671" s="316">
        <v>20583160.210000001</v>
      </c>
      <c r="G671" s="321">
        <f>G672+G679+G686</f>
        <v>23901235</v>
      </c>
      <c r="H671" s="321">
        <f>H672+H679+H686</f>
        <v>17186408.539999999</v>
      </c>
      <c r="I671" s="321">
        <f>I672+I679+I686</f>
        <v>21748475</v>
      </c>
      <c r="J671" s="321">
        <f>J672+J679+J686</f>
        <v>23843513</v>
      </c>
      <c r="K671" s="296"/>
      <c r="L671" s="232"/>
      <c r="M671" s="232"/>
      <c r="N671" s="232"/>
    </row>
    <row r="672" spans="1:14" ht="39.75" customHeight="1" outlineLevel="7" x14ac:dyDescent="0.25">
      <c r="A672" s="81" t="s">
        <v>494</v>
      </c>
      <c r="B672" s="80" t="s">
        <v>536</v>
      </c>
      <c r="C672" s="80" t="s">
        <v>117</v>
      </c>
      <c r="D672" s="80" t="s">
        <v>535</v>
      </c>
      <c r="E672" s="80" t="s">
        <v>6</v>
      </c>
      <c r="F672" s="316">
        <v>4679801.09</v>
      </c>
      <c r="G672" s="329">
        <f>G673+G675+G677</f>
        <v>6389242</v>
      </c>
      <c r="H672" s="317">
        <f>H673+H675+H677</f>
        <v>4957074.93</v>
      </c>
      <c r="I672" s="317">
        <f>I673+I675+I677</f>
        <v>5189242</v>
      </c>
      <c r="J672" s="317">
        <f>J673+J675+J677</f>
        <v>5880410</v>
      </c>
      <c r="K672" s="296"/>
      <c r="L672" s="232"/>
      <c r="M672" s="232"/>
      <c r="N672" s="232"/>
    </row>
    <row r="673" spans="1:14" ht="91.7" outlineLevel="3" x14ac:dyDescent="0.25">
      <c r="A673" s="81" t="s">
        <v>11</v>
      </c>
      <c r="B673" s="80" t="s">
        <v>536</v>
      </c>
      <c r="C673" s="80" t="s">
        <v>117</v>
      </c>
      <c r="D673" s="80" t="s">
        <v>535</v>
      </c>
      <c r="E673" s="80" t="s">
        <v>12</v>
      </c>
      <c r="F673" s="316">
        <v>4322530.09</v>
      </c>
      <c r="G673" s="317">
        <f>G674</f>
        <v>5089242</v>
      </c>
      <c r="H673" s="317">
        <f>H674</f>
        <v>3737020.13</v>
      </c>
      <c r="I673" s="317">
        <f>I674</f>
        <v>5089242</v>
      </c>
      <c r="J673" s="317">
        <f>J674</f>
        <v>5300410</v>
      </c>
      <c r="K673" s="296"/>
      <c r="L673" s="232"/>
      <c r="M673" s="232"/>
      <c r="N673" s="232"/>
    </row>
    <row r="674" spans="1:14" ht="36.700000000000003" outlineLevel="3" x14ac:dyDescent="0.25">
      <c r="A674" s="81" t="s">
        <v>13</v>
      </c>
      <c r="B674" s="80" t="s">
        <v>536</v>
      </c>
      <c r="C674" s="80" t="s">
        <v>117</v>
      </c>
      <c r="D674" s="80" t="s">
        <v>535</v>
      </c>
      <c r="E674" s="80" t="s">
        <v>14</v>
      </c>
      <c r="F674" s="316">
        <v>4322530.09</v>
      </c>
      <c r="G674" s="318">
        <f>потребность!I621</f>
        <v>5089242</v>
      </c>
      <c r="H674" s="131">
        <v>3737020.13</v>
      </c>
      <c r="I674" s="318">
        <v>5089242</v>
      </c>
      <c r="J674" s="318">
        <v>5300410</v>
      </c>
      <c r="K674" s="296"/>
      <c r="L674" s="232"/>
      <c r="M674" s="232"/>
      <c r="N674" s="232"/>
    </row>
    <row r="675" spans="1:14" ht="36.700000000000003" outlineLevel="3" x14ac:dyDescent="0.25">
      <c r="A675" s="81" t="s">
        <v>15</v>
      </c>
      <c r="B675" s="80" t="s">
        <v>536</v>
      </c>
      <c r="C675" s="80" t="s">
        <v>117</v>
      </c>
      <c r="D675" s="80" t="s">
        <v>535</v>
      </c>
      <c r="E675" s="80" t="s">
        <v>16</v>
      </c>
      <c r="F675" s="316">
        <v>310400</v>
      </c>
      <c r="G675" s="317">
        <f>G676</f>
        <v>1300000</v>
      </c>
      <c r="H675" s="317">
        <f>H676</f>
        <v>1220054.8</v>
      </c>
      <c r="I675" s="317">
        <f>I676</f>
        <v>100000</v>
      </c>
      <c r="J675" s="317">
        <f>J676</f>
        <v>580000</v>
      </c>
      <c r="K675" s="296"/>
      <c r="L675" s="232"/>
      <c r="M675" s="232"/>
      <c r="N675" s="232"/>
    </row>
    <row r="676" spans="1:14" s="172" customFormat="1" ht="46.2" customHeight="1" outlineLevel="3" x14ac:dyDescent="0.25">
      <c r="A676" s="81" t="s">
        <v>17</v>
      </c>
      <c r="B676" s="80" t="s">
        <v>536</v>
      </c>
      <c r="C676" s="80" t="s">
        <v>117</v>
      </c>
      <c r="D676" s="80" t="s">
        <v>535</v>
      </c>
      <c r="E676" s="80" t="s">
        <v>18</v>
      </c>
      <c r="F676" s="316">
        <v>310400</v>
      </c>
      <c r="G676" s="318">
        <f>потребность!I623+1200000</f>
        <v>1300000</v>
      </c>
      <c r="H676" s="131">
        <v>1220054.8</v>
      </c>
      <c r="I676" s="318">
        <v>100000</v>
      </c>
      <c r="J676" s="318">
        <v>580000</v>
      </c>
      <c r="K676" s="297"/>
      <c r="L676" s="233"/>
      <c r="M676" s="233"/>
      <c r="N676" s="233"/>
    </row>
    <row r="677" spans="1:14" outlineLevel="3" x14ac:dyDescent="0.25">
      <c r="A677" s="81" t="s">
        <v>19</v>
      </c>
      <c r="B677" s="80" t="s">
        <v>536</v>
      </c>
      <c r="C677" s="80" t="s">
        <v>117</v>
      </c>
      <c r="D677" s="80" t="s">
        <v>535</v>
      </c>
      <c r="E677" s="80" t="s">
        <v>20</v>
      </c>
      <c r="F677" s="316">
        <v>46871</v>
      </c>
      <c r="G677" s="318">
        <f>G678</f>
        <v>0</v>
      </c>
      <c r="H677" s="318">
        <f>H678</f>
        <v>0</v>
      </c>
      <c r="I677" s="318">
        <f>I678</f>
        <v>0</v>
      </c>
      <c r="J677" s="318">
        <v>0</v>
      </c>
      <c r="K677" s="296"/>
      <c r="L677" s="232"/>
      <c r="M677" s="232"/>
      <c r="N677" s="232"/>
    </row>
    <row r="678" spans="1:14" s="172" customFormat="1" outlineLevel="3" x14ac:dyDescent="0.25">
      <c r="A678" s="81" t="s">
        <v>21</v>
      </c>
      <c r="B678" s="80" t="s">
        <v>536</v>
      </c>
      <c r="C678" s="80" t="s">
        <v>117</v>
      </c>
      <c r="D678" s="80" t="s">
        <v>535</v>
      </c>
      <c r="E678" s="80" t="s">
        <v>22</v>
      </c>
      <c r="F678" s="316">
        <v>46871</v>
      </c>
      <c r="G678" s="318">
        <v>0</v>
      </c>
      <c r="H678" s="318">
        <v>0</v>
      </c>
      <c r="I678" s="318">
        <v>0</v>
      </c>
      <c r="J678" s="323">
        <v>0</v>
      </c>
      <c r="K678" s="297"/>
      <c r="L678" s="233"/>
      <c r="M678" s="233"/>
      <c r="N678" s="233"/>
    </row>
    <row r="679" spans="1:14" ht="55.05" outlineLevel="3" x14ac:dyDescent="0.25">
      <c r="A679" s="81" t="s">
        <v>33</v>
      </c>
      <c r="B679" s="80" t="s">
        <v>536</v>
      </c>
      <c r="C679" s="80" t="s">
        <v>117</v>
      </c>
      <c r="D679" s="80" t="s">
        <v>154</v>
      </c>
      <c r="E679" s="80" t="s">
        <v>6</v>
      </c>
      <c r="F679" s="316">
        <v>13829667.76</v>
      </c>
      <c r="G679" s="317">
        <f>G680+G682+G684</f>
        <v>15354732</v>
      </c>
      <c r="H679" s="317">
        <f>H680+H682+H684</f>
        <v>10604991.219999999</v>
      </c>
      <c r="I679" s="317">
        <f>I680+I682+I684</f>
        <v>14477700</v>
      </c>
      <c r="J679" s="317">
        <f>J680+J682+J684</f>
        <v>15696868</v>
      </c>
      <c r="K679" s="296"/>
      <c r="L679" s="232"/>
      <c r="M679" s="232"/>
      <c r="N679" s="232"/>
    </row>
    <row r="680" spans="1:14" ht="91.7" outlineLevel="3" x14ac:dyDescent="0.25">
      <c r="A680" s="81" t="s">
        <v>11</v>
      </c>
      <c r="B680" s="80" t="s">
        <v>536</v>
      </c>
      <c r="C680" s="80" t="s">
        <v>117</v>
      </c>
      <c r="D680" s="80" t="s">
        <v>154</v>
      </c>
      <c r="E680" s="80" t="s">
        <v>12</v>
      </c>
      <c r="F680" s="316">
        <v>11317918.75</v>
      </c>
      <c r="G680" s="317">
        <f>G681</f>
        <v>12224586</v>
      </c>
      <c r="H680" s="317">
        <f>H681</f>
        <v>8887451.2799999993</v>
      </c>
      <c r="I680" s="317">
        <f>I681</f>
        <v>11638500</v>
      </c>
      <c r="J680" s="317">
        <f>J681</f>
        <v>12652855</v>
      </c>
      <c r="K680" s="296"/>
      <c r="L680" s="232"/>
      <c r="M680" s="232"/>
      <c r="N680" s="232"/>
    </row>
    <row r="681" spans="1:14" ht="36.700000000000003" outlineLevel="3" x14ac:dyDescent="0.25">
      <c r="A681" s="81" t="s">
        <v>34</v>
      </c>
      <c r="B681" s="80" t="s">
        <v>536</v>
      </c>
      <c r="C681" s="80" t="s">
        <v>117</v>
      </c>
      <c r="D681" s="80" t="s">
        <v>154</v>
      </c>
      <c r="E681" s="80" t="s">
        <v>35</v>
      </c>
      <c r="F681" s="316">
        <v>11317918.75</v>
      </c>
      <c r="G681" s="318">
        <f>11638500-64022+650000+108</f>
        <v>12224586</v>
      </c>
      <c r="H681" s="131">
        <v>8887451.2799999993</v>
      </c>
      <c r="I681" s="318">
        <v>11638500</v>
      </c>
      <c r="J681" s="318">
        <v>12652855</v>
      </c>
      <c r="K681" s="296"/>
      <c r="L681" s="232"/>
      <c r="M681" s="232"/>
      <c r="N681" s="232"/>
    </row>
    <row r="682" spans="1:14" ht="36.700000000000003" outlineLevel="3" x14ac:dyDescent="0.25">
      <c r="A682" s="81" t="s">
        <v>15</v>
      </c>
      <c r="B682" s="80" t="s">
        <v>536</v>
      </c>
      <c r="C682" s="80" t="s">
        <v>117</v>
      </c>
      <c r="D682" s="80" t="s">
        <v>154</v>
      </c>
      <c r="E682" s="80" t="s">
        <v>16</v>
      </c>
      <c r="F682" s="316">
        <v>2478211.0099999998</v>
      </c>
      <c r="G682" s="317">
        <f>G683</f>
        <v>3090946</v>
      </c>
      <c r="H682" s="317">
        <f>H683</f>
        <v>1695350.94</v>
      </c>
      <c r="I682" s="317">
        <f>I683</f>
        <v>2800000</v>
      </c>
      <c r="J682" s="317">
        <f>J683</f>
        <v>3005948</v>
      </c>
      <c r="K682" s="296"/>
      <c r="L682" s="232"/>
      <c r="M682" s="232"/>
      <c r="N682" s="232"/>
    </row>
    <row r="683" spans="1:14" ht="55.05" outlineLevel="3" x14ac:dyDescent="0.25">
      <c r="A683" s="81" t="s">
        <v>17</v>
      </c>
      <c r="B683" s="80" t="s">
        <v>536</v>
      </c>
      <c r="C683" s="80" t="s">
        <v>117</v>
      </c>
      <c r="D683" s="80" t="s">
        <v>154</v>
      </c>
      <c r="E683" s="80" t="s">
        <v>18</v>
      </c>
      <c r="F683" s="316">
        <v>2478211.0099999998</v>
      </c>
      <c r="G683" s="318">
        <f>потребность!I630+7425+240000</f>
        <v>3090946</v>
      </c>
      <c r="H683" s="131">
        <v>1695350.94</v>
      </c>
      <c r="I683" s="318">
        <v>2800000</v>
      </c>
      <c r="J683" s="318">
        <v>3005948</v>
      </c>
      <c r="K683" s="296"/>
      <c r="L683" s="232"/>
      <c r="M683" s="232"/>
      <c r="N683" s="232"/>
    </row>
    <row r="684" spans="1:14" s="172" customFormat="1" outlineLevel="3" x14ac:dyDescent="0.25">
      <c r="A684" s="81" t="s">
        <v>19</v>
      </c>
      <c r="B684" s="80" t="s">
        <v>536</v>
      </c>
      <c r="C684" s="80" t="s">
        <v>117</v>
      </c>
      <c r="D684" s="80" t="s">
        <v>154</v>
      </c>
      <c r="E684" s="80" t="s">
        <v>20</v>
      </c>
      <c r="F684" s="316">
        <v>33538</v>
      </c>
      <c r="G684" s="317">
        <f>G685</f>
        <v>39200</v>
      </c>
      <c r="H684" s="317">
        <f>H685</f>
        <v>22189</v>
      </c>
      <c r="I684" s="317">
        <f>I685</f>
        <v>39200</v>
      </c>
      <c r="J684" s="317">
        <f>J685</f>
        <v>38065</v>
      </c>
      <c r="K684" s="297"/>
      <c r="L684" s="233"/>
      <c r="M684" s="233"/>
      <c r="N684" s="233"/>
    </row>
    <row r="685" spans="1:14" outlineLevel="3" x14ac:dyDescent="0.25">
      <c r="A685" s="81" t="s">
        <v>21</v>
      </c>
      <c r="B685" s="80" t="s">
        <v>536</v>
      </c>
      <c r="C685" s="80" t="s">
        <v>117</v>
      </c>
      <c r="D685" s="80" t="s">
        <v>154</v>
      </c>
      <c r="E685" s="80" t="s">
        <v>22</v>
      </c>
      <c r="F685" s="316">
        <v>33538</v>
      </c>
      <c r="G685" s="318">
        <v>39200</v>
      </c>
      <c r="H685" s="131">
        <v>22189</v>
      </c>
      <c r="I685" s="318">
        <v>39200</v>
      </c>
      <c r="J685" s="318">
        <v>38065</v>
      </c>
      <c r="K685" s="296"/>
      <c r="L685" s="232"/>
      <c r="M685" s="232"/>
      <c r="N685" s="232"/>
    </row>
    <row r="686" spans="1:14" ht="23.3" customHeight="1" outlineLevel="3" x14ac:dyDescent="0.25">
      <c r="A686" s="25" t="s">
        <v>36</v>
      </c>
      <c r="B686" s="80" t="s">
        <v>536</v>
      </c>
      <c r="C686" s="80" t="s">
        <v>117</v>
      </c>
      <c r="D686" s="80" t="s">
        <v>155</v>
      </c>
      <c r="E686" s="80" t="s">
        <v>6</v>
      </c>
      <c r="F686" s="316">
        <v>2073691.36</v>
      </c>
      <c r="G686" s="317">
        <f t="shared" ref="G686:J687" si="101">G687</f>
        <v>2157261</v>
      </c>
      <c r="H686" s="317">
        <f t="shared" si="101"/>
        <v>1624342.39</v>
      </c>
      <c r="I686" s="317">
        <f t="shared" si="101"/>
        <v>2081533</v>
      </c>
      <c r="J686" s="318">
        <f t="shared" si="101"/>
        <v>2266235</v>
      </c>
      <c r="K686" s="296"/>
      <c r="L686" s="232"/>
      <c r="M686" s="232"/>
      <c r="N686" s="232"/>
    </row>
    <row r="687" spans="1:14" ht="45.7" customHeight="1" outlineLevel="3" x14ac:dyDescent="0.25">
      <c r="A687" s="81" t="s">
        <v>37</v>
      </c>
      <c r="B687" s="80" t="s">
        <v>536</v>
      </c>
      <c r="C687" s="80" t="s">
        <v>117</v>
      </c>
      <c r="D687" s="80" t="s">
        <v>155</v>
      </c>
      <c r="E687" s="80" t="s">
        <v>38</v>
      </c>
      <c r="F687" s="316">
        <v>2073691.36</v>
      </c>
      <c r="G687" s="317">
        <f t="shared" si="101"/>
        <v>2157261</v>
      </c>
      <c r="H687" s="317">
        <f t="shared" si="101"/>
        <v>1624342.39</v>
      </c>
      <c r="I687" s="317">
        <f t="shared" si="101"/>
        <v>2081533</v>
      </c>
      <c r="J687" s="318">
        <f t="shared" si="101"/>
        <v>2266235</v>
      </c>
      <c r="K687" s="296"/>
      <c r="L687" s="232"/>
      <c r="M687" s="232"/>
      <c r="N687" s="232"/>
    </row>
    <row r="688" spans="1:14" ht="22.75" customHeight="1" outlineLevel="3" x14ac:dyDescent="0.25">
      <c r="A688" s="81" t="s">
        <v>39</v>
      </c>
      <c r="B688" s="80" t="s">
        <v>536</v>
      </c>
      <c r="C688" s="80" t="s">
        <v>117</v>
      </c>
      <c r="D688" s="80" t="s">
        <v>155</v>
      </c>
      <c r="E688" s="80" t="s">
        <v>40</v>
      </c>
      <c r="F688" s="316">
        <v>2073691.36</v>
      </c>
      <c r="G688" s="318">
        <f>2081533+64022+11706</f>
        <v>2157261</v>
      </c>
      <c r="H688" s="131">
        <v>1624342.39</v>
      </c>
      <c r="I688" s="318">
        <v>2081533</v>
      </c>
      <c r="J688" s="318">
        <v>2266235</v>
      </c>
      <c r="K688" s="296"/>
      <c r="L688" s="232"/>
      <c r="M688" s="232"/>
      <c r="N688" s="232"/>
    </row>
    <row r="689" spans="1:14" ht="23.3" customHeight="1" outlineLevel="3" x14ac:dyDescent="0.25">
      <c r="A689" s="109" t="s">
        <v>85</v>
      </c>
      <c r="B689" s="110" t="s">
        <v>536</v>
      </c>
      <c r="C689" s="110" t="s">
        <v>86</v>
      </c>
      <c r="D689" s="110" t="s">
        <v>126</v>
      </c>
      <c r="E689" s="110" t="s">
        <v>6</v>
      </c>
      <c r="F689" s="316">
        <v>4717600.49</v>
      </c>
      <c r="G689" s="321">
        <f>G690+G696</f>
        <v>4489069</v>
      </c>
      <c r="H689" s="321">
        <f>H690+H696</f>
        <v>2535444.17</v>
      </c>
      <c r="I689" s="321">
        <f>I690+I696</f>
        <v>4489069</v>
      </c>
      <c r="J689" s="321">
        <f>J690+J696</f>
        <v>0</v>
      </c>
      <c r="K689" s="296"/>
      <c r="L689" s="232"/>
      <c r="M689" s="232"/>
      <c r="N689" s="232"/>
    </row>
    <row r="690" spans="1:14" outlineLevel="3" x14ac:dyDescent="0.25">
      <c r="A690" s="81" t="s">
        <v>94</v>
      </c>
      <c r="B690" s="80" t="s">
        <v>536</v>
      </c>
      <c r="C690" s="80" t="s">
        <v>95</v>
      </c>
      <c r="D690" s="80" t="s">
        <v>126</v>
      </c>
      <c r="E690" s="80" t="s">
        <v>6</v>
      </c>
      <c r="F690" s="316">
        <v>1640454.55</v>
      </c>
      <c r="G690" s="317">
        <f t="shared" ref="G690:J694" si="102">G691</f>
        <v>1310000</v>
      </c>
      <c r="H690" s="317">
        <f t="shared" si="102"/>
        <v>566956.52</v>
      </c>
      <c r="I690" s="317">
        <f t="shared" si="102"/>
        <v>1310000</v>
      </c>
      <c r="J690" s="317">
        <f t="shared" si="102"/>
        <v>0</v>
      </c>
      <c r="K690" s="296"/>
      <c r="L690" s="232"/>
      <c r="M690" s="232"/>
      <c r="N690" s="232"/>
    </row>
    <row r="691" spans="1:14" ht="55.05" outlineLevel="3" x14ac:dyDescent="0.25">
      <c r="A691" s="109" t="s">
        <v>825</v>
      </c>
      <c r="B691" s="110" t="s">
        <v>536</v>
      </c>
      <c r="C691" s="110" t="s">
        <v>95</v>
      </c>
      <c r="D691" s="110" t="s">
        <v>138</v>
      </c>
      <c r="E691" s="110" t="s">
        <v>6</v>
      </c>
      <c r="F691" s="320">
        <v>1640454.55</v>
      </c>
      <c r="G691" s="321">
        <f t="shared" si="102"/>
        <v>1310000</v>
      </c>
      <c r="H691" s="321">
        <f t="shared" si="102"/>
        <v>566956.52</v>
      </c>
      <c r="I691" s="321">
        <f t="shared" si="102"/>
        <v>1310000</v>
      </c>
      <c r="J691" s="321">
        <f t="shared" si="102"/>
        <v>0</v>
      </c>
      <c r="K691" s="296"/>
      <c r="L691" s="232"/>
      <c r="M691" s="232"/>
      <c r="N691" s="232"/>
    </row>
    <row r="692" spans="1:14" outlineLevel="3" x14ac:dyDescent="0.25">
      <c r="A692" s="113" t="s">
        <v>738</v>
      </c>
      <c r="B692" s="80" t="s">
        <v>536</v>
      </c>
      <c r="C692" s="80" t="s">
        <v>95</v>
      </c>
      <c r="D692" s="80" t="s">
        <v>736</v>
      </c>
      <c r="E692" s="80" t="s">
        <v>6</v>
      </c>
      <c r="F692" s="316">
        <v>1640454.55</v>
      </c>
      <c r="G692" s="317">
        <f t="shared" si="102"/>
        <v>1310000</v>
      </c>
      <c r="H692" s="317">
        <f t="shared" si="102"/>
        <v>566956.52</v>
      </c>
      <c r="I692" s="317">
        <f t="shared" si="102"/>
        <v>1310000</v>
      </c>
      <c r="J692" s="317">
        <f t="shared" si="102"/>
        <v>0</v>
      </c>
      <c r="K692" s="296"/>
      <c r="L692" s="232"/>
      <c r="M692" s="232"/>
      <c r="N692" s="232"/>
    </row>
    <row r="693" spans="1:14" ht="110.05" outlineLevel="3" x14ac:dyDescent="0.25">
      <c r="A693" s="100" t="s">
        <v>405</v>
      </c>
      <c r="B693" s="80" t="s">
        <v>536</v>
      </c>
      <c r="C693" s="80" t="s">
        <v>95</v>
      </c>
      <c r="D693" s="80" t="s">
        <v>737</v>
      </c>
      <c r="E693" s="80" t="s">
        <v>6</v>
      </c>
      <c r="F693" s="316">
        <v>1640454.55</v>
      </c>
      <c r="G693" s="317">
        <f t="shared" si="102"/>
        <v>1310000</v>
      </c>
      <c r="H693" s="317">
        <f t="shared" si="102"/>
        <v>566956.52</v>
      </c>
      <c r="I693" s="317">
        <f t="shared" si="102"/>
        <v>1310000</v>
      </c>
      <c r="J693" s="317">
        <f t="shared" si="102"/>
        <v>0</v>
      </c>
      <c r="K693" s="296"/>
      <c r="L693" s="232"/>
      <c r="M693" s="232"/>
      <c r="N693" s="232"/>
    </row>
    <row r="694" spans="1:14" ht="23.3" customHeight="1" outlineLevel="3" x14ac:dyDescent="0.25">
      <c r="A694" s="81" t="s">
        <v>90</v>
      </c>
      <c r="B694" s="80" t="s">
        <v>536</v>
      </c>
      <c r="C694" s="80" t="s">
        <v>95</v>
      </c>
      <c r="D694" s="80" t="s">
        <v>737</v>
      </c>
      <c r="E694" s="80" t="s">
        <v>91</v>
      </c>
      <c r="F694" s="316">
        <v>1640454.55</v>
      </c>
      <c r="G694" s="317">
        <f t="shared" si="102"/>
        <v>1310000</v>
      </c>
      <c r="H694" s="317">
        <f t="shared" si="102"/>
        <v>566956.52</v>
      </c>
      <c r="I694" s="317">
        <f t="shared" si="102"/>
        <v>1310000</v>
      </c>
      <c r="J694" s="317">
        <f t="shared" si="102"/>
        <v>0</v>
      </c>
      <c r="K694" s="296"/>
      <c r="L694" s="232"/>
      <c r="M694" s="232"/>
      <c r="N694" s="232"/>
    </row>
    <row r="695" spans="1:14" ht="36.700000000000003" outlineLevel="3" x14ac:dyDescent="0.25">
      <c r="A695" s="81" t="s">
        <v>97</v>
      </c>
      <c r="B695" s="80" t="s">
        <v>536</v>
      </c>
      <c r="C695" s="80" t="s">
        <v>95</v>
      </c>
      <c r="D695" s="80" t="s">
        <v>737</v>
      </c>
      <c r="E695" s="80" t="s">
        <v>98</v>
      </c>
      <c r="F695" s="316">
        <v>1640454.55</v>
      </c>
      <c r="G695" s="318">
        <v>1310000</v>
      </c>
      <c r="H695" s="131">
        <v>566956.52</v>
      </c>
      <c r="I695" s="318">
        <v>1310000</v>
      </c>
      <c r="J695" s="324">
        <v>0</v>
      </c>
      <c r="K695" s="296"/>
      <c r="L695" s="232"/>
      <c r="M695" s="232"/>
      <c r="N695" s="232"/>
    </row>
    <row r="696" spans="1:14" outlineLevel="3" x14ac:dyDescent="0.25">
      <c r="A696" s="81" t="s">
        <v>123</v>
      </c>
      <c r="B696" s="80" t="s">
        <v>536</v>
      </c>
      <c r="C696" s="80" t="s">
        <v>124</v>
      </c>
      <c r="D696" s="80" t="s">
        <v>126</v>
      </c>
      <c r="E696" s="80" t="s">
        <v>6</v>
      </c>
      <c r="F696" s="316">
        <v>3077145.94</v>
      </c>
      <c r="G696" s="317">
        <f t="shared" ref="G696:J699" si="103">G697</f>
        <v>3179069</v>
      </c>
      <c r="H696" s="317">
        <f t="shared" si="103"/>
        <v>1968487.6500000001</v>
      </c>
      <c r="I696" s="317">
        <f t="shared" si="103"/>
        <v>3179069</v>
      </c>
      <c r="J696" s="317">
        <f t="shared" si="103"/>
        <v>0</v>
      </c>
      <c r="K696" s="296"/>
      <c r="L696" s="232"/>
      <c r="M696" s="232"/>
      <c r="N696" s="232"/>
    </row>
    <row r="697" spans="1:14" ht="39.75" customHeight="1" outlineLevel="3" x14ac:dyDescent="0.25">
      <c r="A697" s="109" t="s">
        <v>827</v>
      </c>
      <c r="B697" s="110" t="s">
        <v>536</v>
      </c>
      <c r="C697" s="110" t="s">
        <v>124</v>
      </c>
      <c r="D697" s="110" t="s">
        <v>138</v>
      </c>
      <c r="E697" s="110" t="s">
        <v>6</v>
      </c>
      <c r="F697" s="320">
        <v>3077145.94</v>
      </c>
      <c r="G697" s="321">
        <f t="shared" si="103"/>
        <v>3179069</v>
      </c>
      <c r="H697" s="321">
        <f t="shared" si="103"/>
        <v>1968487.6500000001</v>
      </c>
      <c r="I697" s="321">
        <f t="shared" si="103"/>
        <v>3179069</v>
      </c>
      <c r="J697" s="321">
        <f t="shared" si="103"/>
        <v>0</v>
      </c>
      <c r="K697" s="296"/>
      <c r="L697" s="232"/>
      <c r="M697" s="232"/>
      <c r="N697" s="232"/>
    </row>
    <row r="698" spans="1:14" ht="55.05" outlineLevel="3" x14ac:dyDescent="0.25">
      <c r="A698" s="81" t="s">
        <v>396</v>
      </c>
      <c r="B698" s="80" t="s">
        <v>536</v>
      </c>
      <c r="C698" s="80" t="s">
        <v>124</v>
      </c>
      <c r="D698" s="80" t="s">
        <v>139</v>
      </c>
      <c r="E698" s="80" t="s">
        <v>6</v>
      </c>
      <c r="F698" s="316">
        <v>3077145.94</v>
      </c>
      <c r="G698" s="317">
        <f t="shared" si="103"/>
        <v>3179069</v>
      </c>
      <c r="H698" s="317">
        <f t="shared" si="103"/>
        <v>1968487.6500000001</v>
      </c>
      <c r="I698" s="317">
        <f t="shared" si="103"/>
        <v>3179069</v>
      </c>
      <c r="J698" s="317">
        <f t="shared" si="103"/>
        <v>0</v>
      </c>
      <c r="K698" s="296"/>
      <c r="L698" s="232"/>
      <c r="M698" s="232"/>
      <c r="N698" s="232"/>
    </row>
    <row r="699" spans="1:14" ht="24.8" customHeight="1" outlineLevel="3" x14ac:dyDescent="0.25">
      <c r="A699" s="113" t="s">
        <v>204</v>
      </c>
      <c r="B699" s="80" t="s">
        <v>536</v>
      </c>
      <c r="C699" s="80" t="s">
        <v>124</v>
      </c>
      <c r="D699" s="80" t="s">
        <v>234</v>
      </c>
      <c r="E699" s="80" t="s">
        <v>6</v>
      </c>
      <c r="F699" s="316">
        <v>3077145.94</v>
      </c>
      <c r="G699" s="317">
        <f t="shared" si="103"/>
        <v>3179069</v>
      </c>
      <c r="H699" s="317">
        <f t="shared" si="103"/>
        <v>1968487.6500000001</v>
      </c>
      <c r="I699" s="317">
        <f t="shared" si="103"/>
        <v>3179069</v>
      </c>
      <c r="J699" s="317">
        <f t="shared" si="103"/>
        <v>0</v>
      </c>
      <c r="K699" s="296"/>
      <c r="L699" s="232"/>
      <c r="M699" s="232"/>
      <c r="N699" s="232"/>
    </row>
    <row r="700" spans="1:14" s="170" customFormat="1" ht="137.25" customHeight="1" x14ac:dyDescent="0.25">
      <c r="A700" s="100" t="s">
        <v>657</v>
      </c>
      <c r="B700" s="80" t="s">
        <v>536</v>
      </c>
      <c r="C700" s="80" t="s">
        <v>124</v>
      </c>
      <c r="D700" s="80" t="s">
        <v>156</v>
      </c>
      <c r="E700" s="80" t="s">
        <v>6</v>
      </c>
      <c r="F700" s="316">
        <v>3077145.94</v>
      </c>
      <c r="G700" s="317">
        <f>G703+G701</f>
        <v>3179069</v>
      </c>
      <c r="H700" s="317">
        <f>H703+H701</f>
        <v>1968487.6500000001</v>
      </c>
      <c r="I700" s="317">
        <f>I703+I701</f>
        <v>3179069</v>
      </c>
      <c r="J700" s="317">
        <f>J703+J701</f>
        <v>0</v>
      </c>
      <c r="K700" s="294"/>
      <c r="L700" s="295"/>
      <c r="M700" s="295"/>
      <c r="N700" s="295"/>
    </row>
    <row r="701" spans="1:14" s="170" customFormat="1" ht="36.700000000000003" x14ac:dyDescent="0.25">
      <c r="A701" s="81" t="s">
        <v>15</v>
      </c>
      <c r="B701" s="80" t="s">
        <v>536</v>
      </c>
      <c r="C701" s="80" t="s">
        <v>124</v>
      </c>
      <c r="D701" s="80" t="s">
        <v>156</v>
      </c>
      <c r="E701" s="80" t="s">
        <v>16</v>
      </c>
      <c r="F701" s="316">
        <v>19534.14</v>
      </c>
      <c r="G701" s="317">
        <f>G702</f>
        <v>27000</v>
      </c>
      <c r="H701" s="317">
        <f>H702</f>
        <v>12323.04</v>
      </c>
      <c r="I701" s="317">
        <v>0</v>
      </c>
      <c r="J701" s="317">
        <f>J702</f>
        <v>0</v>
      </c>
      <c r="K701" s="294"/>
      <c r="L701" s="295"/>
      <c r="M701" s="295"/>
      <c r="N701" s="295"/>
    </row>
    <row r="702" spans="1:14" s="170" customFormat="1" ht="55.05" x14ac:dyDescent="0.25">
      <c r="A702" s="81" t="s">
        <v>17</v>
      </c>
      <c r="B702" s="80" t="s">
        <v>536</v>
      </c>
      <c r="C702" s="80" t="s">
        <v>124</v>
      </c>
      <c r="D702" s="80" t="s">
        <v>156</v>
      </c>
      <c r="E702" s="80" t="s">
        <v>18</v>
      </c>
      <c r="F702" s="316">
        <v>19534.14</v>
      </c>
      <c r="G702" s="317">
        <f>22000+5000</f>
        <v>27000</v>
      </c>
      <c r="H702" s="360">
        <v>12323.04</v>
      </c>
      <c r="I702" s="317">
        <v>0</v>
      </c>
      <c r="J702" s="331">
        <v>0</v>
      </c>
      <c r="K702" s="294"/>
      <c r="L702" s="295"/>
      <c r="M702" s="295"/>
      <c r="N702" s="295"/>
    </row>
    <row r="703" spans="1:14" s="170" customFormat="1" ht="36.700000000000003" x14ac:dyDescent="0.25">
      <c r="A703" s="81" t="s">
        <v>90</v>
      </c>
      <c r="B703" s="80" t="s">
        <v>536</v>
      </c>
      <c r="C703" s="80" t="s">
        <v>124</v>
      </c>
      <c r="D703" s="80" t="s">
        <v>156</v>
      </c>
      <c r="E703" s="80" t="s">
        <v>91</v>
      </c>
      <c r="F703" s="316">
        <v>3057611.8</v>
      </c>
      <c r="G703" s="317">
        <f>G704</f>
        <v>3152069</v>
      </c>
      <c r="H703" s="317">
        <f>H704</f>
        <v>1956164.61</v>
      </c>
      <c r="I703" s="317">
        <f>I704</f>
        <v>3179069</v>
      </c>
      <c r="J703" s="317">
        <f>J704</f>
        <v>0</v>
      </c>
      <c r="K703" s="294"/>
      <c r="L703" s="295"/>
      <c r="M703" s="295"/>
      <c r="N703" s="295"/>
    </row>
    <row r="704" spans="1:14" s="170" customFormat="1" ht="39.25" customHeight="1" x14ac:dyDescent="0.25">
      <c r="A704" s="81" t="s">
        <v>97</v>
      </c>
      <c r="B704" s="80" t="s">
        <v>536</v>
      </c>
      <c r="C704" s="80" t="s">
        <v>124</v>
      </c>
      <c r="D704" s="80" t="s">
        <v>156</v>
      </c>
      <c r="E704" s="80" t="s">
        <v>98</v>
      </c>
      <c r="F704" s="316">
        <v>3057611.8</v>
      </c>
      <c r="G704" s="318">
        <f>3179069-22000-5000</f>
        <v>3152069</v>
      </c>
      <c r="H704" s="131">
        <v>1956164.61</v>
      </c>
      <c r="I704" s="318">
        <v>3179069</v>
      </c>
      <c r="J704" s="324">
        <v>0</v>
      </c>
      <c r="K704" s="294"/>
      <c r="L704" s="295"/>
      <c r="M704" s="295"/>
      <c r="N704" s="295"/>
    </row>
    <row r="705" spans="1:14" s="170" customFormat="1" x14ac:dyDescent="0.25">
      <c r="A705" s="109" t="s">
        <v>100</v>
      </c>
      <c r="B705" s="80" t="s">
        <v>536</v>
      </c>
      <c r="C705" s="80" t="s">
        <v>101</v>
      </c>
      <c r="D705" s="110" t="s">
        <v>126</v>
      </c>
      <c r="E705" s="80" t="s">
        <v>6</v>
      </c>
      <c r="F705" s="316">
        <v>3619351.16</v>
      </c>
      <c r="G705" s="318">
        <f t="shared" ref="G705:J713" si="104">G706</f>
        <v>2084474.79</v>
      </c>
      <c r="H705" s="318">
        <f t="shared" si="104"/>
        <v>1444149.23</v>
      </c>
      <c r="I705" s="318">
        <f t="shared" si="104"/>
        <v>358800</v>
      </c>
      <c r="J705" s="325">
        <f t="shared" si="104"/>
        <v>358800</v>
      </c>
      <c r="K705" s="294"/>
      <c r="L705" s="295"/>
      <c r="M705" s="295"/>
      <c r="N705" s="295"/>
    </row>
    <row r="706" spans="1:14" x14ac:dyDescent="0.25">
      <c r="A706" s="81" t="s">
        <v>301</v>
      </c>
      <c r="B706" s="80" t="s">
        <v>536</v>
      </c>
      <c r="C706" s="80" t="s">
        <v>300</v>
      </c>
      <c r="D706" s="110" t="s">
        <v>126</v>
      </c>
      <c r="E706" s="80" t="s">
        <v>6</v>
      </c>
      <c r="F706" s="316">
        <v>3619351.16</v>
      </c>
      <c r="G706" s="318">
        <f t="shared" si="104"/>
        <v>2084474.79</v>
      </c>
      <c r="H706" s="318">
        <f t="shared" si="104"/>
        <v>1444149.23</v>
      </c>
      <c r="I706" s="318">
        <f t="shared" si="104"/>
        <v>358800</v>
      </c>
      <c r="J706" s="325">
        <f t="shared" si="104"/>
        <v>358800</v>
      </c>
      <c r="K706" s="296"/>
      <c r="L706" s="232"/>
      <c r="M706" s="232"/>
      <c r="N706" s="232"/>
    </row>
    <row r="707" spans="1:14" ht="44.5" customHeight="1" x14ac:dyDescent="0.25">
      <c r="A707" s="109" t="s">
        <v>377</v>
      </c>
      <c r="B707" s="80" t="s">
        <v>536</v>
      </c>
      <c r="C707" s="80" t="s">
        <v>300</v>
      </c>
      <c r="D707" s="110" t="s">
        <v>200</v>
      </c>
      <c r="E707" s="80" t="s">
        <v>6</v>
      </c>
      <c r="F707" s="320">
        <v>3619351.16</v>
      </c>
      <c r="G707" s="318">
        <f t="shared" si="104"/>
        <v>2084474.79</v>
      </c>
      <c r="H707" s="318">
        <f t="shared" si="104"/>
        <v>1444149.23</v>
      </c>
      <c r="I707" s="318">
        <f t="shared" si="104"/>
        <v>358800</v>
      </c>
      <c r="J707" s="325">
        <f t="shared" si="104"/>
        <v>358800</v>
      </c>
      <c r="K707" s="296"/>
      <c r="L707" s="232"/>
      <c r="M707" s="232"/>
      <c r="N707" s="232"/>
    </row>
    <row r="708" spans="1:14" ht="55.05" x14ac:dyDescent="0.25">
      <c r="A708" s="81" t="s">
        <v>213</v>
      </c>
      <c r="B708" s="80" t="s">
        <v>536</v>
      </c>
      <c r="C708" s="80" t="s">
        <v>300</v>
      </c>
      <c r="D708" s="80" t="s">
        <v>674</v>
      </c>
      <c r="E708" s="80" t="s">
        <v>6</v>
      </c>
      <c r="F708" s="316">
        <v>3619351.16</v>
      </c>
      <c r="G708" s="318">
        <f>G709+G722</f>
        <v>2084474.79</v>
      </c>
      <c r="H708" s="318">
        <f>H709+H722</f>
        <v>1444149.23</v>
      </c>
      <c r="I708" s="318">
        <f>I712</f>
        <v>358800</v>
      </c>
      <c r="J708" s="325">
        <f>J712</f>
        <v>358800</v>
      </c>
      <c r="K708" s="296"/>
      <c r="L708" s="232"/>
      <c r="M708" s="232"/>
      <c r="N708" s="232"/>
    </row>
    <row r="709" spans="1:14" ht="45.7" customHeight="1" x14ac:dyDescent="0.25">
      <c r="A709" s="81" t="s">
        <v>925</v>
      </c>
      <c r="B709" s="80" t="s">
        <v>536</v>
      </c>
      <c r="C709" s="80" t="s">
        <v>300</v>
      </c>
      <c r="D709" s="80" t="s">
        <v>926</v>
      </c>
      <c r="E709" s="80" t="s">
        <v>6</v>
      </c>
      <c r="F709" s="80"/>
      <c r="G709" s="318">
        <f>G710</f>
        <v>1677418.74</v>
      </c>
      <c r="H709" s="318">
        <f>H710</f>
        <v>1128718.53</v>
      </c>
      <c r="I709" s="318">
        <v>0</v>
      </c>
      <c r="J709" s="325">
        <v>0</v>
      </c>
      <c r="K709" s="296"/>
      <c r="L709" s="232"/>
      <c r="M709" s="232"/>
      <c r="N709" s="232"/>
    </row>
    <row r="710" spans="1:14" ht="55.05" x14ac:dyDescent="0.25">
      <c r="A710" s="81" t="s">
        <v>37</v>
      </c>
      <c r="B710" s="80" t="s">
        <v>536</v>
      </c>
      <c r="C710" s="80" t="s">
        <v>300</v>
      </c>
      <c r="D710" s="80" t="s">
        <v>926</v>
      </c>
      <c r="E710" s="80" t="s">
        <v>38</v>
      </c>
      <c r="F710" s="80"/>
      <c r="G710" s="318">
        <f>G711</f>
        <v>1677418.74</v>
      </c>
      <c r="H710" s="318">
        <f>H711</f>
        <v>1128718.53</v>
      </c>
      <c r="I710" s="318">
        <v>0</v>
      </c>
      <c r="J710" s="325">
        <v>0</v>
      </c>
      <c r="K710" s="296"/>
      <c r="L710" s="232"/>
      <c r="M710" s="232"/>
      <c r="N710" s="232"/>
    </row>
    <row r="711" spans="1:14" ht="19.55" customHeight="1" x14ac:dyDescent="0.25">
      <c r="A711" s="81" t="s">
        <v>74</v>
      </c>
      <c r="B711" s="80" t="s">
        <v>536</v>
      </c>
      <c r="C711" s="80" t="s">
        <v>300</v>
      </c>
      <c r="D711" s="80" t="s">
        <v>926</v>
      </c>
      <c r="E711" s="80" t="s">
        <v>75</v>
      </c>
      <c r="F711" s="80"/>
      <c r="G711" s="318">
        <v>1677418.74</v>
      </c>
      <c r="H711" s="131">
        <v>1128718.53</v>
      </c>
      <c r="I711" s="318">
        <v>0</v>
      </c>
      <c r="J711" s="325">
        <v>0</v>
      </c>
      <c r="K711" s="296"/>
      <c r="L711" s="232"/>
      <c r="M711" s="232"/>
      <c r="N711" s="232"/>
    </row>
    <row r="712" spans="1:14" x14ac:dyDescent="0.25">
      <c r="A712" s="81" t="s">
        <v>378</v>
      </c>
      <c r="B712" s="80" t="s">
        <v>536</v>
      </c>
      <c r="C712" s="80" t="s">
        <v>300</v>
      </c>
      <c r="D712" s="80" t="s">
        <v>303</v>
      </c>
      <c r="E712" s="80" t="s">
        <v>6</v>
      </c>
      <c r="F712" s="80"/>
      <c r="G712" s="318">
        <f>G713+G716+G719</f>
        <v>0</v>
      </c>
      <c r="H712" s="318">
        <f>H713+H716+H719</f>
        <v>0</v>
      </c>
      <c r="I712" s="318">
        <f t="shared" ref="I712:J714" si="105">I713</f>
        <v>358800</v>
      </c>
      <c r="J712" s="325">
        <f t="shared" si="105"/>
        <v>358800</v>
      </c>
      <c r="K712" s="296"/>
      <c r="L712" s="232"/>
      <c r="M712" s="232"/>
      <c r="N712" s="232"/>
    </row>
    <row r="713" spans="1:14" ht="36.700000000000003" x14ac:dyDescent="0.25">
      <c r="A713" s="81" t="s">
        <v>281</v>
      </c>
      <c r="B713" s="80" t="s">
        <v>536</v>
      </c>
      <c r="C713" s="80" t="s">
        <v>300</v>
      </c>
      <c r="D713" s="80" t="s">
        <v>302</v>
      </c>
      <c r="E713" s="80" t="s">
        <v>6</v>
      </c>
      <c r="F713" s="80"/>
      <c r="G713" s="318">
        <f t="shared" si="104"/>
        <v>0</v>
      </c>
      <c r="H713" s="318">
        <f t="shared" si="104"/>
        <v>0</v>
      </c>
      <c r="I713" s="318">
        <f t="shared" si="105"/>
        <v>358800</v>
      </c>
      <c r="J713" s="325">
        <f t="shared" si="105"/>
        <v>358800</v>
      </c>
      <c r="K713" s="296"/>
      <c r="L713" s="232"/>
      <c r="M713" s="232"/>
      <c r="N713" s="232"/>
    </row>
    <row r="714" spans="1:14" ht="55.05" x14ac:dyDescent="0.25">
      <c r="A714" s="81" t="s">
        <v>37</v>
      </c>
      <c r="B714" s="80" t="s">
        <v>536</v>
      </c>
      <c r="C714" s="80" t="s">
        <v>300</v>
      </c>
      <c r="D714" s="80" t="s">
        <v>302</v>
      </c>
      <c r="E714" s="80" t="s">
        <v>38</v>
      </c>
      <c r="F714" s="80"/>
      <c r="G714" s="318">
        <f>G715</f>
        <v>0</v>
      </c>
      <c r="H714" s="318">
        <f>H715</f>
        <v>0</v>
      </c>
      <c r="I714" s="318">
        <f t="shared" si="105"/>
        <v>358800</v>
      </c>
      <c r="J714" s="325">
        <f t="shared" si="105"/>
        <v>358800</v>
      </c>
      <c r="K714" s="296"/>
      <c r="L714" s="232"/>
      <c r="M714" s="232"/>
      <c r="N714" s="232"/>
    </row>
    <row r="715" spans="1:14" ht="18" customHeight="1" x14ac:dyDescent="0.25">
      <c r="A715" s="81" t="s">
        <v>74</v>
      </c>
      <c r="B715" s="80" t="s">
        <v>536</v>
      </c>
      <c r="C715" s="80" t="s">
        <v>300</v>
      </c>
      <c r="D715" s="80" t="s">
        <v>302</v>
      </c>
      <c r="E715" s="80" t="s">
        <v>75</v>
      </c>
      <c r="F715" s="80"/>
      <c r="G715" s="318">
        <f>потребность!I659</f>
        <v>0</v>
      </c>
      <c r="H715" s="318">
        <v>0</v>
      </c>
      <c r="I715" s="318">
        <v>358800</v>
      </c>
      <c r="J715" s="325">
        <v>358800</v>
      </c>
      <c r="K715" s="296"/>
      <c r="L715" s="232"/>
      <c r="M715" s="232"/>
      <c r="N715" s="232"/>
    </row>
    <row r="716" spans="1:14" ht="55.05" x14ac:dyDescent="0.25">
      <c r="A716" s="81" t="s">
        <v>788</v>
      </c>
      <c r="B716" s="80" t="s">
        <v>536</v>
      </c>
      <c r="C716" s="80" t="s">
        <v>300</v>
      </c>
      <c r="D716" s="80" t="s">
        <v>764</v>
      </c>
      <c r="E716" s="80" t="s">
        <v>6</v>
      </c>
      <c r="F716" s="80"/>
      <c r="G716" s="318">
        <f>G717</f>
        <v>0</v>
      </c>
      <c r="H716" s="318">
        <f>H717</f>
        <v>0</v>
      </c>
      <c r="I716" s="318">
        <v>0</v>
      </c>
      <c r="J716" s="325">
        <v>0</v>
      </c>
      <c r="K716" s="296"/>
      <c r="L716" s="232"/>
      <c r="M716" s="232"/>
      <c r="N716" s="232"/>
    </row>
    <row r="717" spans="1:14" ht="55.05" x14ac:dyDescent="0.25">
      <c r="A717" s="81" t="s">
        <v>37</v>
      </c>
      <c r="B717" s="80" t="s">
        <v>536</v>
      </c>
      <c r="C717" s="80" t="s">
        <v>300</v>
      </c>
      <c r="D717" s="80" t="s">
        <v>764</v>
      </c>
      <c r="E717" s="80" t="s">
        <v>38</v>
      </c>
      <c r="F717" s="80"/>
      <c r="G717" s="318">
        <f>G718</f>
        <v>0</v>
      </c>
      <c r="H717" s="318">
        <f>H718</f>
        <v>0</v>
      </c>
      <c r="I717" s="318">
        <v>0</v>
      </c>
      <c r="J717" s="325">
        <v>0</v>
      </c>
      <c r="K717" s="296"/>
      <c r="L717" s="232"/>
      <c r="M717" s="232"/>
      <c r="N717" s="232"/>
    </row>
    <row r="718" spans="1:14" x14ac:dyDescent="0.25">
      <c r="A718" s="81" t="s">
        <v>74</v>
      </c>
      <c r="B718" s="80" t="s">
        <v>536</v>
      </c>
      <c r="C718" s="80" t="s">
        <v>300</v>
      </c>
      <c r="D718" s="80" t="s">
        <v>764</v>
      </c>
      <c r="E718" s="80" t="s">
        <v>75</v>
      </c>
      <c r="F718" s="80"/>
      <c r="G718" s="318">
        <v>0</v>
      </c>
      <c r="H718" s="318">
        <v>0</v>
      </c>
      <c r="I718" s="318">
        <v>0</v>
      </c>
      <c r="J718" s="325">
        <v>0</v>
      </c>
      <c r="K718" s="296"/>
      <c r="L718" s="232"/>
      <c r="M718" s="232"/>
      <c r="N718" s="232"/>
    </row>
    <row r="719" spans="1:14" ht="73.400000000000006" x14ac:dyDescent="0.25">
      <c r="A719" s="81" t="s">
        <v>911</v>
      </c>
      <c r="B719" s="80" t="s">
        <v>536</v>
      </c>
      <c r="C719" s="80" t="s">
        <v>300</v>
      </c>
      <c r="D719" s="80" t="s">
        <v>769</v>
      </c>
      <c r="E719" s="80" t="s">
        <v>6</v>
      </c>
      <c r="F719" s="80"/>
      <c r="G719" s="318">
        <f>G720</f>
        <v>0</v>
      </c>
      <c r="H719" s="318">
        <f>H720</f>
        <v>0</v>
      </c>
      <c r="I719" s="318">
        <v>0</v>
      </c>
      <c r="J719" s="325">
        <v>0</v>
      </c>
      <c r="K719" s="296"/>
      <c r="L719" s="232"/>
      <c r="M719" s="232"/>
      <c r="N719" s="232"/>
    </row>
    <row r="720" spans="1:14" ht="55.05" x14ac:dyDescent="0.25">
      <c r="A720" s="81" t="s">
        <v>37</v>
      </c>
      <c r="B720" s="80" t="s">
        <v>536</v>
      </c>
      <c r="C720" s="80" t="s">
        <v>300</v>
      </c>
      <c r="D720" s="80" t="s">
        <v>769</v>
      </c>
      <c r="E720" s="80" t="s">
        <v>38</v>
      </c>
      <c r="F720" s="80"/>
      <c r="G720" s="318">
        <f>G721</f>
        <v>0</v>
      </c>
      <c r="H720" s="318">
        <f>H721</f>
        <v>0</v>
      </c>
      <c r="I720" s="318">
        <v>0</v>
      </c>
      <c r="J720" s="325">
        <v>0</v>
      </c>
      <c r="K720" s="296"/>
      <c r="L720" s="232"/>
      <c r="M720" s="232"/>
      <c r="N720" s="232"/>
    </row>
    <row r="721" spans="1:14" x14ac:dyDescent="0.25">
      <c r="A721" s="81" t="s">
        <v>74</v>
      </c>
      <c r="B721" s="80" t="s">
        <v>536</v>
      </c>
      <c r="C721" s="80" t="s">
        <v>300</v>
      </c>
      <c r="D721" s="80" t="s">
        <v>769</v>
      </c>
      <c r="E721" s="80" t="s">
        <v>75</v>
      </c>
      <c r="F721" s="80"/>
      <c r="G721" s="318">
        <v>0</v>
      </c>
      <c r="H721" s="318">
        <v>0</v>
      </c>
      <c r="I721" s="318">
        <v>0</v>
      </c>
      <c r="J721" s="325">
        <v>0</v>
      </c>
      <c r="K721" s="296"/>
      <c r="L721" s="232"/>
      <c r="M721" s="232"/>
      <c r="N721" s="232"/>
    </row>
    <row r="722" spans="1:14" ht="27" customHeight="1" x14ac:dyDescent="0.25">
      <c r="A722" s="81" t="s">
        <v>102</v>
      </c>
      <c r="B722" s="80" t="s">
        <v>536</v>
      </c>
      <c r="C722" s="80" t="s">
        <v>300</v>
      </c>
      <c r="D722" s="80" t="s">
        <v>201</v>
      </c>
      <c r="E722" s="80" t="s">
        <v>6</v>
      </c>
      <c r="F722" s="80"/>
      <c r="G722" s="318">
        <f>G723</f>
        <v>407056.05</v>
      </c>
      <c r="H722" s="318">
        <f>H723</f>
        <v>315430.7</v>
      </c>
      <c r="I722" s="318">
        <v>0</v>
      </c>
      <c r="J722" s="325">
        <v>0</v>
      </c>
      <c r="K722" s="296"/>
      <c r="L722" s="232"/>
      <c r="M722" s="232"/>
      <c r="N722" s="232"/>
    </row>
    <row r="723" spans="1:14" ht="55.05" x14ac:dyDescent="0.25">
      <c r="A723" s="81" t="s">
        <v>37</v>
      </c>
      <c r="B723" s="80" t="s">
        <v>536</v>
      </c>
      <c r="C723" s="80" t="s">
        <v>300</v>
      </c>
      <c r="D723" s="80" t="s">
        <v>201</v>
      </c>
      <c r="E723" s="80" t="s">
        <v>38</v>
      </c>
      <c r="F723" s="80"/>
      <c r="G723" s="318">
        <f>G724</f>
        <v>407056.05</v>
      </c>
      <c r="H723" s="318">
        <f>H724</f>
        <v>315430.7</v>
      </c>
      <c r="I723" s="318">
        <v>0</v>
      </c>
      <c r="J723" s="325">
        <v>0</v>
      </c>
      <c r="K723" s="296"/>
      <c r="L723" s="232"/>
      <c r="M723" s="232"/>
      <c r="N723" s="232"/>
    </row>
    <row r="724" spans="1:14" x14ac:dyDescent="0.25">
      <c r="A724" s="81" t="s">
        <v>74</v>
      </c>
      <c r="B724" s="80" t="s">
        <v>536</v>
      </c>
      <c r="C724" s="80" t="s">
        <v>300</v>
      </c>
      <c r="D724" s="80" t="s">
        <v>201</v>
      </c>
      <c r="E724" s="80" t="s">
        <v>75</v>
      </c>
      <c r="F724" s="80"/>
      <c r="G724" s="318">
        <v>407056.05</v>
      </c>
      <c r="H724" s="131">
        <v>315430.7</v>
      </c>
      <c r="I724" s="318">
        <v>0</v>
      </c>
      <c r="J724" s="325">
        <v>0</v>
      </c>
      <c r="K724" s="296"/>
      <c r="L724" s="232"/>
      <c r="M724" s="232"/>
      <c r="N724" s="232"/>
    </row>
    <row r="725" spans="1:14" ht="36.700000000000003" x14ac:dyDescent="0.25">
      <c r="A725" s="138" t="s">
        <v>750</v>
      </c>
      <c r="B725" s="291">
        <v>959</v>
      </c>
      <c r="C725" s="105" t="s">
        <v>5</v>
      </c>
      <c r="D725" s="105" t="s">
        <v>126</v>
      </c>
      <c r="E725" s="105" t="s">
        <v>6</v>
      </c>
      <c r="F725" s="314">
        <v>300218.82</v>
      </c>
      <c r="G725" s="334">
        <f>G726</f>
        <v>1627772</v>
      </c>
      <c r="H725" s="334">
        <f>H726</f>
        <v>1140137.2000000002</v>
      </c>
      <c r="I725" s="334">
        <f>I726</f>
        <v>1510000</v>
      </c>
      <c r="J725" s="334">
        <f>J726</f>
        <v>1737916.6400000001</v>
      </c>
      <c r="K725" s="296"/>
      <c r="L725" s="232"/>
      <c r="M725" s="232"/>
      <c r="N725" s="232"/>
    </row>
    <row r="726" spans="1:14" x14ac:dyDescent="0.25">
      <c r="A726" s="81" t="s">
        <v>7</v>
      </c>
      <c r="B726" s="80" t="s">
        <v>751</v>
      </c>
      <c r="C726" s="80" t="s">
        <v>8</v>
      </c>
      <c r="D726" s="80" t="s">
        <v>126</v>
      </c>
      <c r="E726" s="80" t="s">
        <v>6</v>
      </c>
      <c r="F726" s="316">
        <v>300218.82</v>
      </c>
      <c r="G726" s="318">
        <f t="shared" ref="G726:I727" si="106">G727</f>
        <v>1627772</v>
      </c>
      <c r="H726" s="318">
        <f t="shared" si="106"/>
        <v>1140137.2000000002</v>
      </c>
      <c r="I726" s="318">
        <f t="shared" si="106"/>
        <v>1510000</v>
      </c>
      <c r="J726" s="318">
        <f>J727+J739</f>
        <v>1737916.6400000001</v>
      </c>
      <c r="K726" s="296"/>
      <c r="L726" s="232"/>
      <c r="M726" s="232"/>
      <c r="N726" s="232"/>
    </row>
    <row r="727" spans="1:14" ht="55.05" x14ac:dyDescent="0.25">
      <c r="A727" s="81" t="s">
        <v>9</v>
      </c>
      <c r="B727" s="80" t="s">
        <v>751</v>
      </c>
      <c r="C727" s="80" t="s">
        <v>10</v>
      </c>
      <c r="D727" s="80" t="s">
        <v>126</v>
      </c>
      <c r="E727" s="80" t="s">
        <v>6</v>
      </c>
      <c r="F727" s="316">
        <v>300218.82</v>
      </c>
      <c r="G727" s="317">
        <f t="shared" si="106"/>
        <v>1627772</v>
      </c>
      <c r="H727" s="317">
        <f t="shared" si="106"/>
        <v>1140137.2000000002</v>
      </c>
      <c r="I727" s="317">
        <f t="shared" si="106"/>
        <v>1510000</v>
      </c>
      <c r="J727" s="317">
        <f>J728</f>
        <v>1681276.6400000001</v>
      </c>
      <c r="K727" s="296"/>
      <c r="L727" s="232"/>
      <c r="M727" s="232"/>
      <c r="N727" s="232"/>
    </row>
    <row r="728" spans="1:14" ht="36.700000000000003" x14ac:dyDescent="0.25">
      <c r="A728" s="81" t="s">
        <v>132</v>
      </c>
      <c r="B728" s="80" t="s">
        <v>751</v>
      </c>
      <c r="C728" s="80" t="s">
        <v>10</v>
      </c>
      <c r="D728" s="80" t="s">
        <v>127</v>
      </c>
      <c r="E728" s="80" t="s">
        <v>6</v>
      </c>
      <c r="F728" s="316">
        <v>300218.82</v>
      </c>
      <c r="G728" s="317">
        <f>G729+G732</f>
        <v>1627772</v>
      </c>
      <c r="H728" s="317">
        <f>H729+H732</f>
        <v>1140137.2000000002</v>
      </c>
      <c r="I728" s="317">
        <f>I729+I732</f>
        <v>1510000</v>
      </c>
      <c r="J728" s="317">
        <f>J729+J732</f>
        <v>1681276.6400000001</v>
      </c>
      <c r="K728" s="296"/>
      <c r="L728" s="232"/>
      <c r="M728" s="232"/>
      <c r="N728" s="232"/>
    </row>
    <row r="729" spans="1:14" x14ac:dyDescent="0.25">
      <c r="A729" s="81" t="s">
        <v>752</v>
      </c>
      <c r="B729" s="80" t="s">
        <v>751</v>
      </c>
      <c r="C729" s="80" t="s">
        <v>10</v>
      </c>
      <c r="D729" s="80" t="s">
        <v>143</v>
      </c>
      <c r="E729" s="80" t="s">
        <v>6</v>
      </c>
      <c r="F729" s="316">
        <v>174318.55</v>
      </c>
      <c r="G729" s="317">
        <f t="shared" ref="G729:J730" si="107">G730</f>
        <v>1347772</v>
      </c>
      <c r="H729" s="317">
        <f t="shared" si="107"/>
        <v>981643.31</v>
      </c>
      <c r="I729" s="317">
        <f t="shared" si="107"/>
        <v>1220000</v>
      </c>
      <c r="J729" s="319">
        <f t="shared" si="107"/>
        <v>1384096</v>
      </c>
      <c r="K729" s="296"/>
      <c r="L729" s="232"/>
      <c r="M729" s="232"/>
      <c r="N729" s="232"/>
    </row>
    <row r="730" spans="1:14" ht="91.7" x14ac:dyDescent="0.25">
      <c r="A730" s="81" t="s">
        <v>11</v>
      </c>
      <c r="B730" s="80" t="s">
        <v>751</v>
      </c>
      <c r="C730" s="80" t="s">
        <v>10</v>
      </c>
      <c r="D730" s="80" t="s">
        <v>143</v>
      </c>
      <c r="E730" s="80" t="s">
        <v>12</v>
      </c>
      <c r="F730" s="316">
        <v>174318.55</v>
      </c>
      <c r="G730" s="317">
        <f t="shared" si="107"/>
        <v>1347772</v>
      </c>
      <c r="H730" s="317">
        <f t="shared" si="107"/>
        <v>981643.31</v>
      </c>
      <c r="I730" s="317">
        <f t="shared" si="107"/>
        <v>1220000</v>
      </c>
      <c r="J730" s="319">
        <f t="shared" si="107"/>
        <v>1384096</v>
      </c>
      <c r="K730" s="296"/>
      <c r="L730" s="232"/>
      <c r="M730" s="232"/>
      <c r="N730" s="232"/>
    </row>
    <row r="731" spans="1:14" ht="36.700000000000003" x14ac:dyDescent="0.25">
      <c r="A731" s="81" t="s">
        <v>13</v>
      </c>
      <c r="B731" s="80" t="s">
        <v>751</v>
      </c>
      <c r="C731" s="80" t="s">
        <v>10</v>
      </c>
      <c r="D731" s="80" t="s">
        <v>143</v>
      </c>
      <c r="E731" s="80" t="s">
        <v>14</v>
      </c>
      <c r="F731" s="316">
        <v>174318.55</v>
      </c>
      <c r="G731" s="318">
        <f>потребность!I672+248000-40228</f>
        <v>1347772</v>
      </c>
      <c r="H731" s="131">
        <v>981643.31</v>
      </c>
      <c r="I731" s="318">
        <f>'прил 12'!F678</f>
        <v>1220000</v>
      </c>
      <c r="J731" s="319">
        <v>1384096</v>
      </c>
      <c r="K731" s="296"/>
      <c r="L731" s="232"/>
      <c r="M731" s="232"/>
      <c r="N731" s="232"/>
    </row>
    <row r="732" spans="1:14" ht="45.7" customHeight="1" x14ac:dyDescent="0.25">
      <c r="A732" s="81" t="s">
        <v>494</v>
      </c>
      <c r="B732" s="80" t="s">
        <v>751</v>
      </c>
      <c r="C732" s="80" t="s">
        <v>10</v>
      </c>
      <c r="D732" s="80" t="s">
        <v>495</v>
      </c>
      <c r="E732" s="80" t="s">
        <v>6</v>
      </c>
      <c r="F732" s="316">
        <v>125900.27</v>
      </c>
      <c r="G732" s="318">
        <f>G733+G735</f>
        <v>280000</v>
      </c>
      <c r="H732" s="318">
        <f>H733+H735</f>
        <v>158493.89000000001</v>
      </c>
      <c r="I732" s="318">
        <f>I733+I735</f>
        <v>290000</v>
      </c>
      <c r="J732" s="318">
        <f>J733+J735+J737</f>
        <v>297180.64</v>
      </c>
      <c r="K732" s="296"/>
      <c r="L732" s="232"/>
      <c r="M732" s="232"/>
      <c r="N732" s="232"/>
    </row>
    <row r="733" spans="1:14" ht="91.7" x14ac:dyDescent="0.25">
      <c r="A733" s="81" t="s">
        <v>11</v>
      </c>
      <c r="B733" s="80" t="s">
        <v>751</v>
      </c>
      <c r="C733" s="80" t="s">
        <v>10</v>
      </c>
      <c r="D733" s="80" t="s">
        <v>495</v>
      </c>
      <c r="E733" s="80" t="s">
        <v>12</v>
      </c>
      <c r="F733" s="316">
        <v>14739.19</v>
      </c>
      <c r="G733" s="318">
        <f>G734</f>
        <v>200000</v>
      </c>
      <c r="H733" s="318">
        <f>H734</f>
        <v>148323.89000000001</v>
      </c>
      <c r="I733" s="318">
        <f>I734</f>
        <v>210000</v>
      </c>
      <c r="J733" s="319">
        <f>J734</f>
        <v>205180.64</v>
      </c>
      <c r="K733" s="296"/>
      <c r="L733" s="232"/>
      <c r="M733" s="232"/>
      <c r="N733" s="232"/>
    </row>
    <row r="734" spans="1:14" ht="36.700000000000003" x14ac:dyDescent="0.25">
      <c r="A734" s="81" t="s">
        <v>13</v>
      </c>
      <c r="B734" s="80" t="s">
        <v>751</v>
      </c>
      <c r="C734" s="80" t="s">
        <v>10</v>
      </c>
      <c r="D734" s="80" t="s">
        <v>495</v>
      </c>
      <c r="E734" s="80" t="s">
        <v>14</v>
      </c>
      <c r="F734" s="316">
        <v>14739.19</v>
      </c>
      <c r="G734" s="318">
        <f>потребность!I675</f>
        <v>200000</v>
      </c>
      <c r="H734" s="131">
        <v>148323.89000000001</v>
      </c>
      <c r="I734" s="318">
        <f>'прил 12'!F681</f>
        <v>210000</v>
      </c>
      <c r="J734" s="319">
        <v>205180.64</v>
      </c>
      <c r="K734" s="296"/>
      <c r="L734" s="232"/>
      <c r="M734" s="232"/>
      <c r="N734" s="232"/>
    </row>
    <row r="735" spans="1:14" ht="36.700000000000003" x14ac:dyDescent="0.25">
      <c r="A735" s="81" t="s">
        <v>15</v>
      </c>
      <c r="B735" s="80" t="s">
        <v>751</v>
      </c>
      <c r="C735" s="80" t="s">
        <v>10</v>
      </c>
      <c r="D735" s="80" t="s">
        <v>495</v>
      </c>
      <c r="E735" s="80" t="s">
        <v>16</v>
      </c>
      <c r="F735" s="316">
        <v>111161.08</v>
      </c>
      <c r="G735" s="318">
        <f>G736</f>
        <v>80000</v>
      </c>
      <c r="H735" s="318">
        <f>H736</f>
        <v>10170</v>
      </c>
      <c r="I735" s="318">
        <f>I736</f>
        <v>80000</v>
      </c>
      <c r="J735" s="319">
        <f>J736</f>
        <v>91500</v>
      </c>
      <c r="K735" s="296"/>
      <c r="L735" s="232"/>
      <c r="M735" s="232"/>
      <c r="N735" s="232"/>
    </row>
    <row r="736" spans="1:14" ht="42.8" customHeight="1" x14ac:dyDescent="0.25">
      <c r="A736" s="81" t="s">
        <v>17</v>
      </c>
      <c r="B736" s="80" t="s">
        <v>751</v>
      </c>
      <c r="C736" s="80" t="s">
        <v>10</v>
      </c>
      <c r="D736" s="80" t="s">
        <v>495</v>
      </c>
      <c r="E736" s="80" t="s">
        <v>18</v>
      </c>
      <c r="F736" s="316">
        <v>111161.08</v>
      </c>
      <c r="G736" s="318">
        <f>потребность!I677</f>
        <v>80000</v>
      </c>
      <c r="H736" s="131">
        <v>10170</v>
      </c>
      <c r="I736" s="318">
        <f>'прил 12'!F683</f>
        <v>80000</v>
      </c>
      <c r="J736" s="319">
        <v>91500</v>
      </c>
      <c r="K736" s="296"/>
      <c r="L736" s="232"/>
      <c r="M736" s="232"/>
      <c r="N736" s="232"/>
    </row>
    <row r="737" spans="1:14" ht="29.25" customHeight="1" x14ac:dyDescent="0.25">
      <c r="A737" s="81" t="s">
        <v>19</v>
      </c>
      <c r="B737" s="80" t="s">
        <v>751</v>
      </c>
      <c r="C737" s="80" t="s">
        <v>10</v>
      </c>
      <c r="D737" s="80" t="s">
        <v>495</v>
      </c>
      <c r="E737" s="80" t="s">
        <v>20</v>
      </c>
      <c r="F737" s="80"/>
      <c r="G737" s="318">
        <v>0</v>
      </c>
      <c r="H737" s="318">
        <v>0</v>
      </c>
      <c r="I737" s="318">
        <v>0</v>
      </c>
      <c r="J737" s="319">
        <f>J738</f>
        <v>500</v>
      </c>
      <c r="K737" s="296"/>
      <c r="L737" s="232"/>
      <c r="M737" s="232"/>
      <c r="N737" s="232"/>
    </row>
    <row r="738" spans="1:14" ht="27.2" customHeight="1" x14ac:dyDescent="0.25">
      <c r="A738" s="81" t="s">
        <v>21</v>
      </c>
      <c r="B738" s="80" t="s">
        <v>751</v>
      </c>
      <c r="C738" s="80" t="s">
        <v>10</v>
      </c>
      <c r="D738" s="80" t="s">
        <v>495</v>
      </c>
      <c r="E738" s="80" t="s">
        <v>22</v>
      </c>
      <c r="F738" s="80"/>
      <c r="G738" s="318">
        <v>0</v>
      </c>
      <c r="H738" s="318">
        <v>0</v>
      </c>
      <c r="I738" s="318">
        <v>0</v>
      </c>
      <c r="J738" s="319">
        <v>500</v>
      </c>
      <c r="K738" s="296"/>
      <c r="L738" s="232"/>
      <c r="M738" s="232"/>
      <c r="N738" s="232"/>
    </row>
    <row r="739" spans="1:14" ht="31.75" customHeight="1" x14ac:dyDescent="0.25">
      <c r="A739" s="81" t="s">
        <v>23</v>
      </c>
      <c r="B739" s="80" t="s">
        <v>751</v>
      </c>
      <c r="C739" s="80" t="s">
        <v>24</v>
      </c>
      <c r="D739" s="80" t="s">
        <v>126</v>
      </c>
      <c r="E739" s="80" t="s">
        <v>6</v>
      </c>
      <c r="F739" s="80"/>
      <c r="G739" s="318">
        <v>0</v>
      </c>
      <c r="H739" s="318">
        <v>0</v>
      </c>
      <c r="I739" s="318">
        <v>0</v>
      </c>
      <c r="J739" s="319">
        <f>J740+J745</f>
        <v>56640</v>
      </c>
      <c r="K739" s="296"/>
      <c r="L739" s="232"/>
      <c r="M739" s="232"/>
      <c r="N739" s="232"/>
    </row>
    <row r="740" spans="1:14" ht="42.8" customHeight="1" x14ac:dyDescent="0.25">
      <c r="A740" s="109" t="s">
        <v>830</v>
      </c>
      <c r="B740" s="110" t="s">
        <v>751</v>
      </c>
      <c r="C740" s="110" t="s">
        <v>24</v>
      </c>
      <c r="D740" s="110" t="s">
        <v>128</v>
      </c>
      <c r="E740" s="110" t="s">
        <v>6</v>
      </c>
      <c r="F740" s="110"/>
      <c r="G740" s="318">
        <v>0</v>
      </c>
      <c r="H740" s="318">
        <v>0</v>
      </c>
      <c r="I740" s="318">
        <v>0</v>
      </c>
      <c r="J740" s="319">
        <f>J741</f>
        <v>10000</v>
      </c>
      <c r="K740" s="296"/>
      <c r="L740" s="232"/>
      <c r="M740" s="232"/>
      <c r="N740" s="232"/>
    </row>
    <row r="741" spans="1:14" ht="38.049999999999997" customHeight="1" x14ac:dyDescent="0.25">
      <c r="A741" s="113" t="s">
        <v>835</v>
      </c>
      <c r="B741" s="80" t="s">
        <v>751</v>
      </c>
      <c r="C741" s="80" t="s">
        <v>24</v>
      </c>
      <c r="D741" s="80" t="s">
        <v>315</v>
      </c>
      <c r="E741" s="80" t="s">
        <v>6</v>
      </c>
      <c r="F741" s="80"/>
      <c r="G741" s="318">
        <v>0</v>
      </c>
      <c r="H741" s="318">
        <v>0</v>
      </c>
      <c r="I741" s="318">
        <v>0</v>
      </c>
      <c r="J741" s="319">
        <f>J742</f>
        <v>10000</v>
      </c>
      <c r="K741" s="296"/>
      <c r="L741" s="232"/>
      <c r="M741" s="232"/>
      <c r="N741" s="232"/>
    </row>
    <row r="742" spans="1:14" ht="23.8" customHeight="1" x14ac:dyDescent="0.25">
      <c r="A742" s="113" t="s">
        <v>321</v>
      </c>
      <c r="B742" s="80" t="s">
        <v>751</v>
      </c>
      <c r="C742" s="80" t="s">
        <v>24</v>
      </c>
      <c r="D742" s="80" t="s">
        <v>316</v>
      </c>
      <c r="E742" s="80" t="s">
        <v>6</v>
      </c>
      <c r="F742" s="80"/>
      <c r="G742" s="318">
        <v>0</v>
      </c>
      <c r="H742" s="318">
        <v>0</v>
      </c>
      <c r="I742" s="318">
        <v>0</v>
      </c>
      <c r="J742" s="319">
        <f>J743</f>
        <v>10000</v>
      </c>
      <c r="K742" s="296"/>
      <c r="L742" s="232"/>
      <c r="M742" s="232"/>
      <c r="N742" s="232"/>
    </row>
    <row r="743" spans="1:14" ht="42.8" customHeight="1" x14ac:dyDescent="0.25">
      <c r="A743" s="81" t="s">
        <v>15</v>
      </c>
      <c r="B743" s="80" t="s">
        <v>751</v>
      </c>
      <c r="C743" s="80" t="s">
        <v>24</v>
      </c>
      <c r="D743" s="80" t="s">
        <v>316</v>
      </c>
      <c r="E743" s="80" t="s">
        <v>16</v>
      </c>
      <c r="F743" s="80"/>
      <c r="G743" s="318">
        <v>0</v>
      </c>
      <c r="H743" s="318">
        <v>0</v>
      </c>
      <c r="I743" s="318">
        <v>0</v>
      </c>
      <c r="J743" s="319">
        <f>J744</f>
        <v>10000</v>
      </c>
      <c r="K743" s="296"/>
      <c r="L743" s="232"/>
      <c r="M743" s="232"/>
      <c r="N743" s="232"/>
    </row>
    <row r="744" spans="1:14" ht="42.8" customHeight="1" x14ac:dyDescent="0.25">
      <c r="A744" s="81" t="s">
        <v>17</v>
      </c>
      <c r="B744" s="80" t="s">
        <v>751</v>
      </c>
      <c r="C744" s="80" t="s">
        <v>24</v>
      </c>
      <c r="D744" s="80" t="s">
        <v>316</v>
      </c>
      <c r="E744" s="80" t="s">
        <v>18</v>
      </c>
      <c r="F744" s="80"/>
      <c r="G744" s="318">
        <v>0</v>
      </c>
      <c r="H744" s="318">
        <v>0</v>
      </c>
      <c r="I744" s="318">
        <v>0</v>
      </c>
      <c r="J744" s="319">
        <v>10000</v>
      </c>
      <c r="K744" s="296"/>
      <c r="L744" s="232"/>
      <c r="M744" s="232"/>
      <c r="N744" s="232"/>
    </row>
    <row r="745" spans="1:14" ht="44.15" customHeight="1" x14ac:dyDescent="0.25">
      <c r="A745" s="114" t="s">
        <v>829</v>
      </c>
      <c r="B745" s="110" t="s">
        <v>751</v>
      </c>
      <c r="C745" s="80" t="s">
        <v>24</v>
      </c>
      <c r="D745" s="110" t="s">
        <v>317</v>
      </c>
      <c r="E745" s="110" t="s">
        <v>6</v>
      </c>
      <c r="F745" s="110"/>
      <c r="G745" s="318">
        <v>0</v>
      </c>
      <c r="H745" s="318">
        <v>0</v>
      </c>
      <c r="I745" s="318">
        <v>0</v>
      </c>
      <c r="J745" s="319">
        <f>J746</f>
        <v>46640</v>
      </c>
      <c r="K745" s="296"/>
      <c r="L745" s="232"/>
      <c r="M745" s="232"/>
      <c r="N745" s="232"/>
    </row>
    <row r="746" spans="1:14" ht="19.2" customHeight="1" x14ac:dyDescent="0.25">
      <c r="A746" s="113" t="s">
        <v>249</v>
      </c>
      <c r="B746" s="80" t="s">
        <v>751</v>
      </c>
      <c r="C746" s="80" t="s">
        <v>24</v>
      </c>
      <c r="D746" s="80" t="s">
        <v>318</v>
      </c>
      <c r="E746" s="80" t="s">
        <v>6</v>
      </c>
      <c r="F746" s="80"/>
      <c r="G746" s="318">
        <v>0</v>
      </c>
      <c r="H746" s="318">
        <v>0</v>
      </c>
      <c r="I746" s="318">
        <v>0</v>
      </c>
      <c r="J746" s="319">
        <f>J747</f>
        <v>46640</v>
      </c>
      <c r="K746" s="296"/>
      <c r="L746" s="232"/>
      <c r="M746" s="232"/>
      <c r="N746" s="232"/>
    </row>
    <row r="747" spans="1:14" ht="23.8" customHeight="1" x14ac:dyDescent="0.25">
      <c r="A747" s="81" t="s">
        <v>25</v>
      </c>
      <c r="B747" s="80" t="s">
        <v>751</v>
      </c>
      <c r="C747" s="80" t="s">
        <v>24</v>
      </c>
      <c r="D747" s="80" t="s">
        <v>329</v>
      </c>
      <c r="E747" s="80" t="s">
        <v>6</v>
      </c>
      <c r="F747" s="80"/>
      <c r="G747" s="318">
        <v>0</v>
      </c>
      <c r="H747" s="318">
        <v>0</v>
      </c>
      <c r="I747" s="318">
        <v>0</v>
      </c>
      <c r="J747" s="319">
        <f>J748</f>
        <v>46640</v>
      </c>
      <c r="K747" s="296"/>
      <c r="L747" s="232"/>
      <c r="M747" s="232"/>
      <c r="N747" s="232"/>
    </row>
    <row r="748" spans="1:14" ht="23.8" customHeight="1" x14ac:dyDescent="0.25">
      <c r="A748" s="81" t="s">
        <v>15</v>
      </c>
      <c r="B748" s="80" t="s">
        <v>751</v>
      </c>
      <c r="C748" s="80" t="s">
        <v>24</v>
      </c>
      <c r="D748" s="80" t="s">
        <v>329</v>
      </c>
      <c r="E748" s="80" t="s">
        <v>16</v>
      </c>
      <c r="F748" s="80"/>
      <c r="G748" s="318">
        <v>0</v>
      </c>
      <c r="H748" s="318">
        <v>0</v>
      </c>
      <c r="I748" s="318">
        <v>0</v>
      </c>
      <c r="J748" s="319">
        <f>J749</f>
        <v>46640</v>
      </c>
      <c r="K748" s="296"/>
      <c r="L748" s="232"/>
      <c r="M748" s="232"/>
      <c r="N748" s="232"/>
    </row>
    <row r="749" spans="1:14" ht="22.75" customHeight="1" x14ac:dyDescent="0.25">
      <c r="A749" s="81" t="s">
        <v>17</v>
      </c>
      <c r="B749" s="80" t="s">
        <v>751</v>
      </c>
      <c r="C749" s="80" t="s">
        <v>24</v>
      </c>
      <c r="D749" s="80" t="s">
        <v>329</v>
      </c>
      <c r="E749" s="80" t="s">
        <v>18</v>
      </c>
      <c r="F749" s="80"/>
      <c r="G749" s="318">
        <v>0</v>
      </c>
      <c r="H749" s="318">
        <v>0</v>
      </c>
      <c r="I749" s="318">
        <v>0</v>
      </c>
      <c r="J749" s="319">
        <v>46640</v>
      </c>
      <c r="K749" s="296"/>
      <c r="L749" s="232"/>
      <c r="M749" s="232"/>
      <c r="N749" s="232"/>
    </row>
    <row r="750" spans="1:14" x14ac:dyDescent="0.25">
      <c r="A750" s="176" t="s">
        <v>768</v>
      </c>
      <c r="B750" s="160"/>
      <c r="C750" s="160"/>
      <c r="D750" s="345"/>
      <c r="E750" s="160"/>
      <c r="F750" s="334">
        <v>988413094.71000004</v>
      </c>
      <c r="G750" s="315" t="e">
        <f>G7+G29+G500+G537+G725</f>
        <v>#REF!</v>
      </c>
      <c r="H750" s="315">
        <f>H7+H29+H500+H537+H725</f>
        <v>721773772.18000019</v>
      </c>
      <c r="I750" s="315">
        <f>I7+I29+I500+I537+I725</f>
        <v>898268501.43599999</v>
      </c>
      <c r="J750" s="315">
        <f>J7+J29+J500+J537+J725</f>
        <v>491742276.22999996</v>
      </c>
      <c r="K750" s="296"/>
      <c r="L750" s="232"/>
      <c r="M750" s="232"/>
      <c r="N750" s="232"/>
    </row>
    <row r="751" spans="1:14" x14ac:dyDescent="0.25">
      <c r="A751" s="305"/>
      <c r="B751" s="346"/>
      <c r="C751" s="346"/>
      <c r="D751" s="347"/>
      <c r="E751" s="346"/>
      <c r="F751" s="348"/>
      <c r="G751" s="335"/>
      <c r="H751" s="362"/>
      <c r="I751" s="335"/>
      <c r="J751" s="335"/>
      <c r="K751" s="306"/>
      <c r="L751" s="307"/>
      <c r="M751" s="307"/>
      <c r="N751" s="307"/>
    </row>
    <row r="752" spans="1:14" x14ac:dyDescent="0.25">
      <c r="A752" s="305"/>
      <c r="B752" s="346"/>
      <c r="C752" s="346"/>
      <c r="D752" s="347" t="s">
        <v>798</v>
      </c>
      <c r="E752" s="346"/>
      <c r="F752" s="346"/>
      <c r="G752" s="335">
        <v>422970631.79000002</v>
      </c>
      <c r="H752" s="362"/>
      <c r="I752" s="335">
        <f>'прил 12'!F685</f>
        <v>171948000</v>
      </c>
      <c r="J752" s="355">
        <v>452526957</v>
      </c>
      <c r="K752" s="306"/>
      <c r="L752" s="307"/>
      <c r="M752" s="307"/>
      <c r="N752" s="307"/>
    </row>
    <row r="753" spans="1:14" x14ac:dyDescent="0.25">
      <c r="A753" s="305"/>
      <c r="B753" s="346"/>
      <c r="C753" s="346"/>
      <c r="D753" s="347" t="s">
        <v>970</v>
      </c>
      <c r="E753" s="346"/>
      <c r="F753" s="346"/>
      <c r="G753" s="335">
        <v>616907493.53999996</v>
      </c>
      <c r="H753" s="362"/>
      <c r="I753" s="335">
        <f>'прил 12'!F686</f>
        <v>482120951.43599993</v>
      </c>
      <c r="J753" s="336"/>
      <c r="K753" s="306"/>
      <c r="L753" s="307"/>
      <c r="M753" s="307"/>
      <c r="N753" s="307"/>
    </row>
    <row r="754" spans="1:14" x14ac:dyDescent="0.25">
      <c r="A754" s="305"/>
      <c r="B754" s="346"/>
      <c r="C754" s="346"/>
      <c r="D754" s="347" t="s">
        <v>978</v>
      </c>
      <c r="E754" s="346"/>
      <c r="F754" s="346"/>
      <c r="G754" s="335"/>
      <c r="H754" s="362"/>
      <c r="I754" s="335">
        <f>'прил 12'!F687</f>
        <v>4298700</v>
      </c>
      <c r="J754" s="336"/>
      <c r="K754" s="306"/>
      <c r="L754" s="307"/>
      <c r="M754" s="307"/>
      <c r="N754" s="307"/>
    </row>
    <row r="755" spans="1:14" x14ac:dyDescent="0.25">
      <c r="A755" s="305"/>
      <c r="B755" s="346"/>
      <c r="C755" s="346"/>
      <c r="D755" s="347" t="s">
        <v>971</v>
      </c>
      <c r="E755" s="346"/>
      <c r="F755" s="346"/>
      <c r="G755" s="335">
        <f>G752+G753</f>
        <v>1039878125.3299999</v>
      </c>
      <c r="H755" s="362"/>
      <c r="I755" s="335">
        <f>I752+I753</f>
        <v>654068951.43599987</v>
      </c>
      <c r="J755" s="337"/>
      <c r="K755" s="306"/>
      <c r="L755" s="307"/>
      <c r="M755" s="307"/>
      <c r="N755" s="307"/>
    </row>
    <row r="756" spans="1:14" x14ac:dyDescent="0.25">
      <c r="A756" s="305"/>
      <c r="B756" s="346"/>
      <c r="C756" s="346"/>
      <c r="D756" s="347"/>
      <c r="E756" s="346"/>
      <c r="F756" s="346"/>
      <c r="G756" s="335"/>
      <c r="H756" s="362"/>
      <c r="I756" s="335"/>
      <c r="J756" s="337">
        <v>164499000</v>
      </c>
      <c r="K756" s="306"/>
      <c r="L756" s="307"/>
      <c r="M756" s="307"/>
      <c r="N756" s="307"/>
    </row>
    <row r="757" spans="1:14" x14ac:dyDescent="0.25">
      <c r="A757" s="305"/>
      <c r="B757" s="346"/>
      <c r="C757" s="346"/>
      <c r="D757" s="347"/>
      <c r="E757" s="346"/>
      <c r="F757" s="346"/>
      <c r="G757" s="335"/>
      <c r="H757" s="362"/>
      <c r="I757" s="335"/>
      <c r="J757" s="337">
        <v>250588957</v>
      </c>
      <c r="K757" s="306"/>
      <c r="L757" s="306">
        <f>J750-J756-J757</f>
        <v>76654319.229999959</v>
      </c>
      <c r="M757" s="307"/>
      <c r="N757" s="307"/>
    </row>
    <row r="758" spans="1:14" x14ac:dyDescent="0.25">
      <c r="A758" s="305"/>
      <c r="B758" s="346"/>
      <c r="C758" s="346"/>
      <c r="D758" s="347"/>
      <c r="E758" s="346"/>
      <c r="F758" s="346"/>
      <c r="G758" s="335"/>
      <c r="H758" s="362"/>
      <c r="I758" s="335"/>
      <c r="J758" s="337">
        <v>37439000</v>
      </c>
      <c r="K758" s="306"/>
      <c r="L758" s="307"/>
      <c r="M758" s="307"/>
      <c r="N758" s="307"/>
    </row>
    <row r="759" spans="1:14" x14ac:dyDescent="0.25">
      <c r="D759" s="349"/>
      <c r="J759" s="338">
        <f>SUM(J756:J758)</f>
        <v>452526957</v>
      </c>
      <c r="K759" s="163">
        <f>J750-J759</f>
        <v>39215319.229999959</v>
      </c>
    </row>
    <row r="760" spans="1:14" x14ac:dyDescent="0.25">
      <c r="D760" s="350" t="s">
        <v>875</v>
      </c>
      <c r="G760" s="338" t="e">
        <f>'прил 7'!C14+'прил 7'!C43</f>
        <v>#REF!</v>
      </c>
      <c r="I760" s="338">
        <f>'прил 7'!D14+'прил 7'!D43</f>
        <v>0</v>
      </c>
      <c r="J760" s="338">
        <f>'прил 7'!E14+'прил 7'!E43</f>
        <v>0</v>
      </c>
    </row>
    <row r="761" spans="1:14" x14ac:dyDescent="0.25">
      <c r="D761" s="349"/>
      <c r="G761" s="351" t="e">
        <f>G760-G750</f>
        <v>#REF!</v>
      </c>
      <c r="H761" s="363"/>
      <c r="I761" s="351">
        <f>I760-I750</f>
        <v>-898268501.43599999</v>
      </c>
      <c r="J761" s="351">
        <f>J760-J750</f>
        <v>-491742276.22999996</v>
      </c>
    </row>
    <row r="762" spans="1:14" x14ac:dyDescent="0.25">
      <c r="D762" s="349"/>
      <c r="G762" s="351" t="e">
        <f>'прил 7'!C73-G750</f>
        <v>#REF!</v>
      </c>
      <c r="H762" s="363"/>
      <c r="I762" s="351">
        <f>'прил 7'!D73-I750</f>
        <v>-898268501.43599999</v>
      </c>
      <c r="J762" s="351">
        <f>'прил 7'!E73-J750</f>
        <v>-491742276.22999996</v>
      </c>
    </row>
    <row r="763" spans="1:14" x14ac:dyDescent="0.25">
      <c r="C763" s="345" t="s">
        <v>8</v>
      </c>
      <c r="D763" s="349"/>
      <c r="G763" s="338">
        <f>G8+G30++G501+G726</f>
        <v>123659726.01000001</v>
      </c>
      <c r="I763" s="338">
        <f>I8+I30++I501+I726</f>
        <v>114096497.84</v>
      </c>
      <c r="J763" s="338">
        <f>J8+J30++J501+J726</f>
        <v>140082358.94</v>
      </c>
    </row>
    <row r="764" spans="1:14" x14ac:dyDescent="0.25">
      <c r="C764" s="345" t="s">
        <v>26</v>
      </c>
      <c r="D764" s="349"/>
      <c r="G764" s="338">
        <f>G162</f>
        <v>1626656</v>
      </c>
      <c r="I764" s="338">
        <f>I162</f>
        <v>1700240</v>
      </c>
      <c r="J764" s="338">
        <f>J162</f>
        <v>270000</v>
      </c>
    </row>
    <row r="765" spans="1:14" x14ac:dyDescent="0.25">
      <c r="C765" s="345" t="s">
        <v>42</v>
      </c>
      <c r="D765" s="349"/>
      <c r="G765" s="338">
        <f>G172</f>
        <v>991747.04</v>
      </c>
      <c r="I765" s="338">
        <f>I172</f>
        <v>400000</v>
      </c>
      <c r="J765" s="338">
        <f>J172</f>
        <v>1805000</v>
      </c>
    </row>
    <row r="766" spans="1:14" x14ac:dyDescent="0.25">
      <c r="C766" s="345" t="s">
        <v>46</v>
      </c>
      <c r="D766" s="349"/>
      <c r="G766" s="338">
        <f>G183</f>
        <v>29220883.93</v>
      </c>
      <c r="I766" s="338">
        <f>I183</f>
        <v>14114514.17</v>
      </c>
      <c r="J766" s="338">
        <f>J183</f>
        <v>15042000</v>
      </c>
    </row>
    <row r="767" spans="1:14" x14ac:dyDescent="0.25">
      <c r="C767" s="345" t="s">
        <v>55</v>
      </c>
      <c r="D767" s="349"/>
      <c r="G767" s="338">
        <f>G228</f>
        <v>126974379.52000001</v>
      </c>
      <c r="I767" s="338">
        <f>I228</f>
        <v>48705734.209999993</v>
      </c>
      <c r="J767" s="338">
        <f>J228</f>
        <v>50403208.620000005</v>
      </c>
    </row>
    <row r="768" spans="1:14" x14ac:dyDescent="0.25">
      <c r="C768" s="345" t="s">
        <v>65</v>
      </c>
      <c r="D768" s="349"/>
      <c r="G768" s="338">
        <f>G333</f>
        <v>555000</v>
      </c>
      <c r="I768" s="338">
        <f>I333</f>
        <v>515000</v>
      </c>
      <c r="J768" s="338">
        <f>J333</f>
        <v>515000</v>
      </c>
    </row>
    <row r="769" spans="1:11" x14ac:dyDescent="0.25">
      <c r="C769" s="345" t="s">
        <v>70</v>
      </c>
      <c r="D769" s="349"/>
      <c r="G769" s="338" t="e">
        <f>G349+G538</f>
        <v>#REF!</v>
      </c>
      <c r="I769" s="338">
        <f>I349+I538</f>
        <v>604052943.37599993</v>
      </c>
      <c r="J769" s="338">
        <f>J349+J538</f>
        <v>234231507.71000001</v>
      </c>
    </row>
    <row r="770" spans="1:11" x14ac:dyDescent="0.25">
      <c r="C770" s="345" t="s">
        <v>80</v>
      </c>
      <c r="D770" s="349"/>
      <c r="G770" s="338">
        <f>G370</f>
        <v>41452318.13000001</v>
      </c>
      <c r="I770" s="338">
        <f>I370</f>
        <v>39865848.490000002</v>
      </c>
      <c r="J770" s="338">
        <f>J370</f>
        <v>37910944.649999999</v>
      </c>
    </row>
    <row r="771" spans="1:11" x14ac:dyDescent="0.25">
      <c r="C771" s="345" t="s">
        <v>86</v>
      </c>
      <c r="D771" s="349"/>
      <c r="G771" s="339">
        <f>G415+G689</f>
        <v>58858914.619999997</v>
      </c>
      <c r="H771" s="182"/>
      <c r="I771" s="339">
        <f>I415+I689</f>
        <v>69985693.950000003</v>
      </c>
      <c r="J771" s="339">
        <f>J415+J689</f>
        <v>5956645.6699999999</v>
      </c>
    </row>
    <row r="772" spans="1:11" x14ac:dyDescent="0.25">
      <c r="C772" s="345" t="s">
        <v>101</v>
      </c>
      <c r="D772" s="349"/>
      <c r="G772" s="338">
        <f>G451+G705</f>
        <v>13240870.23</v>
      </c>
      <c r="I772" s="338">
        <f>I451+I705</f>
        <v>2332029.4</v>
      </c>
      <c r="J772" s="338">
        <f>J451+J705</f>
        <v>2168610.6399999997</v>
      </c>
    </row>
    <row r="773" spans="1:11" x14ac:dyDescent="0.25">
      <c r="C773" s="345" t="s">
        <v>104</v>
      </c>
      <c r="G773" s="338">
        <f>G493</f>
        <v>3357000</v>
      </c>
      <c r="I773" s="338">
        <f>I493</f>
        <v>2500000</v>
      </c>
      <c r="J773" s="338">
        <f>J493</f>
        <v>3357000</v>
      </c>
    </row>
    <row r="774" spans="1:11" x14ac:dyDescent="0.25">
      <c r="A774" s="309"/>
      <c r="G774" s="340" t="e">
        <f>SUBTOTAL(9,G763:G773)</f>
        <v>#REF!</v>
      </c>
      <c r="H774" s="186"/>
      <c r="I774" s="340">
        <f>SUBTOTAL(9,I763:I773)</f>
        <v>898268501.43599999</v>
      </c>
      <c r="J774" s="340">
        <f>SUBTOTAL(9,J763:J773)</f>
        <v>491742276.22999996</v>
      </c>
    </row>
    <row r="776" spans="1:11" x14ac:dyDescent="0.25">
      <c r="D776" s="345" t="s">
        <v>876</v>
      </c>
      <c r="G776" s="338" t="e">
        <f>G540+G576+G625+G651+G670+G691+G697</f>
        <v>#REF!</v>
      </c>
      <c r="I776" s="338">
        <f>I540+I576+I625+I651+I670+I691+I697</f>
        <v>584994922.39999998</v>
      </c>
      <c r="J776" s="338">
        <f>J540+J576+J625+J651+J670+J691+J697</f>
        <v>213438870.37</v>
      </c>
      <c r="K776" s="5"/>
    </row>
    <row r="777" spans="1:11" x14ac:dyDescent="0.25">
      <c r="D777" s="345" t="s">
        <v>877</v>
      </c>
      <c r="G777" s="341">
        <f>G351+G372+G402</f>
        <v>58376849.760000005</v>
      </c>
      <c r="H777" s="183"/>
      <c r="I777" s="341">
        <f>I351+I372+I402</f>
        <v>60009573.906000003</v>
      </c>
      <c r="J777" s="341">
        <f>J351+J372+J402</f>
        <v>58703581.989999995</v>
      </c>
      <c r="K777" s="5"/>
    </row>
    <row r="778" spans="1:11" x14ac:dyDescent="0.25">
      <c r="D778" s="345" t="s">
        <v>878</v>
      </c>
      <c r="G778" s="341">
        <f>G335</f>
        <v>470000</v>
      </c>
      <c r="H778" s="183"/>
      <c r="I778" s="341">
        <f>I335</f>
        <v>470000</v>
      </c>
      <c r="J778" s="341">
        <f>J335</f>
        <v>470000</v>
      </c>
      <c r="K778" s="5"/>
    </row>
    <row r="779" spans="1:11" x14ac:dyDescent="0.25">
      <c r="D779" s="345" t="s">
        <v>879</v>
      </c>
      <c r="G779" s="338">
        <f>G453+G707</f>
        <v>13190870.23</v>
      </c>
      <c r="I779" s="338">
        <f>I453+I707</f>
        <v>2282029.4</v>
      </c>
      <c r="J779" s="338">
        <f>J453+J707</f>
        <v>2118610.6399999997</v>
      </c>
      <c r="K779" s="5"/>
    </row>
    <row r="780" spans="1:11" x14ac:dyDescent="0.25">
      <c r="D780" s="345" t="s">
        <v>880</v>
      </c>
      <c r="G780" s="338">
        <f>G422</f>
        <v>150000</v>
      </c>
      <c r="I780" s="338">
        <f>I422</f>
        <v>150000</v>
      </c>
      <c r="J780" s="338">
        <f>J422</f>
        <v>150000</v>
      </c>
      <c r="K780" s="5"/>
    </row>
    <row r="781" spans="1:11" x14ac:dyDescent="0.25">
      <c r="D781" s="345" t="s">
        <v>881</v>
      </c>
      <c r="G781" s="338">
        <f>G19+G60+G523</f>
        <v>23565855</v>
      </c>
      <c r="I781" s="338">
        <f>I19+I60+I523</f>
        <v>25122401.030000001</v>
      </c>
      <c r="J781" s="338">
        <f>J19+J60+J523</f>
        <v>26677664</v>
      </c>
      <c r="K781" s="5"/>
    </row>
    <row r="782" spans="1:11" x14ac:dyDescent="0.25">
      <c r="D782" s="345" t="s">
        <v>882</v>
      </c>
      <c r="G782" s="338">
        <f>G241+G273+G325</f>
        <v>69475792.460000008</v>
      </c>
      <c r="I782" s="338">
        <f>I241+I273+I325</f>
        <v>17293288.939999998</v>
      </c>
      <c r="J782" s="338">
        <f>J241+J273+J325</f>
        <v>35052289</v>
      </c>
    </row>
    <row r="783" spans="1:11" x14ac:dyDescent="0.25">
      <c r="D783" s="345" t="s">
        <v>883</v>
      </c>
      <c r="G783" s="338">
        <f>G85</f>
        <v>50000</v>
      </c>
      <c r="I783" s="338">
        <f>I85</f>
        <v>50000</v>
      </c>
      <c r="J783" s="338">
        <f>J85</f>
        <v>50000</v>
      </c>
    </row>
    <row r="784" spans="1:11" x14ac:dyDescent="0.25">
      <c r="D784" s="345" t="s">
        <v>884</v>
      </c>
      <c r="G784" s="338">
        <f>G214</f>
        <v>100000</v>
      </c>
      <c r="I784" s="338">
        <f>I214</f>
        <v>100000</v>
      </c>
      <c r="J784" s="338">
        <f>J214</f>
        <v>100000</v>
      </c>
    </row>
    <row r="785" spans="2:10" x14ac:dyDescent="0.25">
      <c r="D785" s="345" t="s">
        <v>885</v>
      </c>
      <c r="G785" s="338">
        <f>G427</f>
        <v>1276800</v>
      </c>
      <c r="I785" s="338">
        <f>I427</f>
        <v>735609.95</v>
      </c>
      <c r="J785" s="338">
        <f>J427</f>
        <v>173500</v>
      </c>
    </row>
    <row r="786" spans="2:10" x14ac:dyDescent="0.25">
      <c r="D786" s="345" t="s">
        <v>886</v>
      </c>
      <c r="G786" s="338">
        <f>G24+G90+G495</f>
        <v>5979054</v>
      </c>
      <c r="I786" s="338">
        <f>I24+I90+I495</f>
        <v>4521373.5</v>
      </c>
      <c r="J786" s="338">
        <f>J24+J90+J495</f>
        <v>11050226</v>
      </c>
    </row>
    <row r="787" spans="2:10" x14ac:dyDescent="0.25">
      <c r="D787" s="345" t="s">
        <v>887</v>
      </c>
      <c r="G787" s="338">
        <f>G202</f>
        <v>24051150</v>
      </c>
      <c r="I787" s="338">
        <f>I202</f>
        <v>13157000</v>
      </c>
      <c r="J787" s="338">
        <f>J202</f>
        <v>13057000</v>
      </c>
    </row>
    <row r="788" spans="2:10" x14ac:dyDescent="0.25">
      <c r="D788" s="345" t="s">
        <v>888</v>
      </c>
      <c r="G788" s="338">
        <f>G344</f>
        <v>85000</v>
      </c>
      <c r="I788" s="338">
        <f>I344</f>
        <v>45000</v>
      </c>
      <c r="J788" s="338">
        <f>J344</f>
        <v>45000</v>
      </c>
    </row>
    <row r="789" spans="2:10" x14ac:dyDescent="0.25">
      <c r="D789" s="345" t="s">
        <v>889</v>
      </c>
      <c r="G789" s="338">
        <f>G219</f>
        <v>3843600</v>
      </c>
      <c r="I789" s="338">
        <f>I219</f>
        <v>430000</v>
      </c>
      <c r="J789" s="338">
        <f>J219</f>
        <v>1785000</v>
      </c>
    </row>
    <row r="790" spans="2:10" x14ac:dyDescent="0.25">
      <c r="D790" s="345" t="s">
        <v>890</v>
      </c>
      <c r="G790" s="338">
        <f>G98+G230+G410</f>
        <v>10156930.949999999</v>
      </c>
      <c r="I790" s="338">
        <f>I98+I230+I410</f>
        <v>7503364.5600000005</v>
      </c>
      <c r="J790" s="338">
        <f>J98+J230+J410</f>
        <v>6319100.9400000004</v>
      </c>
    </row>
    <row r="791" spans="2:10" x14ac:dyDescent="0.25">
      <c r="D791" s="345" t="s">
        <v>895</v>
      </c>
      <c r="G791" s="338">
        <f>G196</f>
        <v>100000</v>
      </c>
      <c r="I791" s="338">
        <f>I196</f>
        <v>100000</v>
      </c>
      <c r="J791" s="338">
        <f>J196</f>
        <v>100000</v>
      </c>
    </row>
    <row r="792" spans="2:10" x14ac:dyDescent="0.25">
      <c r="D792" s="345" t="s">
        <v>891</v>
      </c>
      <c r="G792" s="338">
        <f>G488</f>
        <v>50000</v>
      </c>
      <c r="I792" s="338">
        <f>I488</f>
        <v>50000</v>
      </c>
      <c r="J792" s="338">
        <f>J488</f>
        <v>50000</v>
      </c>
    </row>
    <row r="793" spans="2:10" x14ac:dyDescent="0.25">
      <c r="D793" s="345" t="s">
        <v>892</v>
      </c>
      <c r="G793" s="338">
        <f>G287</f>
        <v>37602759.850000001</v>
      </c>
      <c r="I793" s="338">
        <f>I287</f>
        <v>8938369</v>
      </c>
      <c r="J793" s="338">
        <f>J287</f>
        <v>12414506.060000001</v>
      </c>
    </row>
    <row r="794" spans="2:10" x14ac:dyDescent="0.25">
      <c r="D794" s="345" t="s">
        <v>893</v>
      </c>
      <c r="G794" s="338">
        <f>G304</f>
        <v>15345827.210000001</v>
      </c>
      <c r="I794" s="338">
        <f>I304</f>
        <v>19974076.27</v>
      </c>
      <c r="J794" s="338">
        <f>J304</f>
        <v>436413.56</v>
      </c>
    </row>
    <row r="795" spans="2:10" x14ac:dyDescent="0.25">
      <c r="D795" s="345" t="s">
        <v>977</v>
      </c>
      <c r="G795" s="338">
        <v>50000</v>
      </c>
    </row>
    <row r="796" spans="2:10" x14ac:dyDescent="0.25">
      <c r="D796" s="345" t="s">
        <v>894</v>
      </c>
      <c r="G796" s="338">
        <f>G10+G32+G37+G44+G50+G55+G110+G164+G174+G179+G185+G191+G235+G417+G432+G437+G503+G518+G528+G728</f>
        <v>150619399.59999999</v>
      </c>
      <c r="I796" s="338">
        <f>I10+I32+I37+I44+I50+I55+I110+I164+I174+I179+I185+I191+I235+I417+I432+I437+I503+I518+I528+I728</f>
        <v>152341492.47999999</v>
      </c>
      <c r="J796" s="338">
        <f>J10+J32+J37+J44+J50+J55+J110+J164+J174+J179+J185+J191+J235+J417+J432+J437+J503+J518+J528+J728</f>
        <v>109382304.61</v>
      </c>
    </row>
    <row r="797" spans="2:10" x14ac:dyDescent="0.25">
      <c r="G797" s="340" t="e">
        <f>SUBTOTAL(9,G776:G796)</f>
        <v>#REF!</v>
      </c>
      <c r="H797" s="186"/>
      <c r="I797" s="340">
        <f>SUBTOTAL(9,I776:I796)</f>
        <v>898268501.43599987</v>
      </c>
      <c r="J797" s="340">
        <f>SUBTOTAL(9,J776:J796)</f>
        <v>491574067.17000002</v>
      </c>
    </row>
    <row r="798" spans="2:10" x14ac:dyDescent="0.25">
      <c r="B798" s="311" t="s">
        <v>896</v>
      </c>
      <c r="G798" s="340">
        <f>G420+G443</f>
        <v>25582766.18</v>
      </c>
      <c r="H798" s="186"/>
      <c r="I798" s="340">
        <f>I420+I443</f>
        <v>25861130.34</v>
      </c>
      <c r="J798" s="340">
        <f>J420+J443</f>
        <v>5533145.6699999999</v>
      </c>
    </row>
    <row r="800" spans="2:10" x14ac:dyDescent="0.25">
      <c r="B800" s="311" t="s">
        <v>774</v>
      </c>
      <c r="G800" s="338">
        <f>G11+G33+G38+G51+G114+G504+G507+G514+G672+G729+G732</f>
        <v>79038115.810000002</v>
      </c>
    </row>
    <row r="801" spans="1:7" x14ac:dyDescent="0.25">
      <c r="A801" s="309" t="s">
        <v>775</v>
      </c>
      <c r="C801" s="352">
        <v>25.55</v>
      </c>
      <c r="G801" s="338">
        <f>'прил 7'!C14*25.55%</f>
        <v>108068996.42234501</v>
      </c>
    </row>
    <row r="802" spans="1:7" x14ac:dyDescent="0.25">
      <c r="A802" s="309" t="s">
        <v>776</v>
      </c>
      <c r="G802" s="338">
        <v>2136400</v>
      </c>
    </row>
    <row r="803" spans="1:7" x14ac:dyDescent="0.25">
      <c r="A803" s="309" t="s">
        <v>969</v>
      </c>
      <c r="G803" s="338">
        <v>2136400</v>
      </c>
    </row>
  </sheetData>
  <mergeCells count="3">
    <mergeCell ref="A4:G4"/>
    <mergeCell ref="A2:G2"/>
    <mergeCell ref="A3:G3"/>
  </mergeCells>
  <pageMargins left="0.25" right="0.25" top="0.75" bottom="0.75" header="0.3" footer="0.3"/>
  <pageSetup paperSize="9" scale="66" fitToHeight="0" orientation="landscape" r:id="rId1"/>
  <rowBreaks count="3" manualBreakCount="3">
    <brk id="170" max="10" man="1"/>
    <brk id="201" max="10" man="1"/>
    <brk id="530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906"/>
  <sheetViews>
    <sheetView view="pageBreakPreview" zoomScale="86" zoomScaleNormal="100" zoomScaleSheetLayoutView="86" workbookViewId="0">
      <selection activeCell="D12" sqref="D12"/>
    </sheetView>
  </sheetViews>
  <sheetFormatPr defaultRowHeight="18.350000000000001" x14ac:dyDescent="0.3"/>
  <cols>
    <col min="1" max="1" width="30.375" style="7" customWidth="1"/>
    <col min="2" max="2" width="40.375" style="7" customWidth="1"/>
    <col min="3" max="4" width="20.125" style="7" customWidth="1"/>
    <col min="5" max="256" width="9.125" style="5"/>
    <col min="257" max="257" width="26.875" style="5" customWidth="1"/>
    <col min="258" max="258" width="40.375" style="5" customWidth="1"/>
    <col min="259" max="259" width="13.375" style="5" customWidth="1"/>
    <col min="260" max="512" width="9.125" style="5"/>
    <col min="513" max="513" width="26.875" style="5" customWidth="1"/>
    <col min="514" max="514" width="40.375" style="5" customWidth="1"/>
    <col min="515" max="515" width="13.375" style="5" customWidth="1"/>
    <col min="516" max="768" width="9.125" style="5"/>
    <col min="769" max="769" width="26.875" style="5" customWidth="1"/>
    <col min="770" max="770" width="40.375" style="5" customWidth="1"/>
    <col min="771" max="771" width="13.375" style="5" customWidth="1"/>
    <col min="772" max="1024" width="9.125" style="5"/>
    <col min="1025" max="1025" width="26.875" style="5" customWidth="1"/>
    <col min="1026" max="1026" width="40.375" style="5" customWidth="1"/>
    <col min="1027" max="1027" width="13.375" style="5" customWidth="1"/>
    <col min="1028" max="1280" width="9.125" style="5"/>
    <col min="1281" max="1281" width="26.875" style="5" customWidth="1"/>
    <col min="1282" max="1282" width="40.375" style="5" customWidth="1"/>
    <col min="1283" max="1283" width="13.375" style="5" customWidth="1"/>
    <col min="1284" max="1536" width="9.125" style="5"/>
    <col min="1537" max="1537" width="26.875" style="5" customWidth="1"/>
    <col min="1538" max="1538" width="40.375" style="5" customWidth="1"/>
    <col min="1539" max="1539" width="13.375" style="5" customWidth="1"/>
    <col min="1540" max="1792" width="9.125" style="5"/>
    <col min="1793" max="1793" width="26.875" style="5" customWidth="1"/>
    <col min="1794" max="1794" width="40.375" style="5" customWidth="1"/>
    <col min="1795" max="1795" width="13.375" style="5" customWidth="1"/>
    <col min="1796" max="2048" width="9.125" style="5"/>
    <col min="2049" max="2049" width="26.875" style="5" customWidth="1"/>
    <col min="2050" max="2050" width="40.375" style="5" customWidth="1"/>
    <col min="2051" max="2051" width="13.375" style="5" customWidth="1"/>
    <col min="2052" max="2304" width="9.125" style="5"/>
    <col min="2305" max="2305" width="26.875" style="5" customWidth="1"/>
    <col min="2306" max="2306" width="40.375" style="5" customWidth="1"/>
    <col min="2307" max="2307" width="13.375" style="5" customWidth="1"/>
    <col min="2308" max="2560" width="9.125" style="5"/>
    <col min="2561" max="2561" width="26.875" style="5" customWidth="1"/>
    <col min="2562" max="2562" width="40.375" style="5" customWidth="1"/>
    <col min="2563" max="2563" width="13.375" style="5" customWidth="1"/>
    <col min="2564" max="2816" width="9.125" style="5"/>
    <col min="2817" max="2817" width="26.875" style="5" customWidth="1"/>
    <col min="2818" max="2818" width="40.375" style="5" customWidth="1"/>
    <col min="2819" max="2819" width="13.375" style="5" customWidth="1"/>
    <col min="2820" max="3072" width="9.125" style="5"/>
    <col min="3073" max="3073" width="26.875" style="5" customWidth="1"/>
    <col min="3074" max="3074" width="40.375" style="5" customWidth="1"/>
    <col min="3075" max="3075" width="13.375" style="5" customWidth="1"/>
    <col min="3076" max="3328" width="9.125" style="5"/>
    <col min="3329" max="3329" width="26.875" style="5" customWidth="1"/>
    <col min="3330" max="3330" width="40.375" style="5" customWidth="1"/>
    <col min="3331" max="3331" width="13.375" style="5" customWidth="1"/>
    <col min="3332" max="3584" width="9.125" style="5"/>
    <col min="3585" max="3585" width="26.875" style="5" customWidth="1"/>
    <col min="3586" max="3586" width="40.375" style="5" customWidth="1"/>
    <col min="3587" max="3587" width="13.375" style="5" customWidth="1"/>
    <col min="3588" max="3840" width="9.125" style="5"/>
    <col min="3841" max="3841" width="26.875" style="5" customWidth="1"/>
    <col min="3842" max="3842" width="40.375" style="5" customWidth="1"/>
    <col min="3843" max="3843" width="13.375" style="5" customWidth="1"/>
    <col min="3844" max="4096" width="9.125" style="5"/>
    <col min="4097" max="4097" width="26.875" style="5" customWidth="1"/>
    <col min="4098" max="4098" width="40.375" style="5" customWidth="1"/>
    <col min="4099" max="4099" width="13.375" style="5" customWidth="1"/>
    <col min="4100" max="4352" width="9.125" style="5"/>
    <col min="4353" max="4353" width="26.875" style="5" customWidth="1"/>
    <col min="4354" max="4354" width="40.375" style="5" customWidth="1"/>
    <col min="4355" max="4355" width="13.375" style="5" customWidth="1"/>
    <col min="4356" max="4608" width="9.125" style="5"/>
    <col min="4609" max="4609" width="26.875" style="5" customWidth="1"/>
    <col min="4610" max="4610" width="40.375" style="5" customWidth="1"/>
    <col min="4611" max="4611" width="13.375" style="5" customWidth="1"/>
    <col min="4612" max="4864" width="9.125" style="5"/>
    <col min="4865" max="4865" width="26.875" style="5" customWidth="1"/>
    <col min="4866" max="4866" width="40.375" style="5" customWidth="1"/>
    <col min="4867" max="4867" width="13.375" style="5" customWidth="1"/>
    <col min="4868" max="5120" width="9.125" style="5"/>
    <col min="5121" max="5121" width="26.875" style="5" customWidth="1"/>
    <col min="5122" max="5122" width="40.375" style="5" customWidth="1"/>
    <col min="5123" max="5123" width="13.375" style="5" customWidth="1"/>
    <col min="5124" max="5376" width="9.125" style="5"/>
    <col min="5377" max="5377" width="26.875" style="5" customWidth="1"/>
    <col min="5378" max="5378" width="40.375" style="5" customWidth="1"/>
    <col min="5379" max="5379" width="13.375" style="5" customWidth="1"/>
    <col min="5380" max="5632" width="9.125" style="5"/>
    <col min="5633" max="5633" width="26.875" style="5" customWidth="1"/>
    <col min="5634" max="5634" width="40.375" style="5" customWidth="1"/>
    <col min="5635" max="5635" width="13.375" style="5" customWidth="1"/>
    <col min="5636" max="5888" width="9.125" style="5"/>
    <col min="5889" max="5889" width="26.875" style="5" customWidth="1"/>
    <col min="5890" max="5890" width="40.375" style="5" customWidth="1"/>
    <col min="5891" max="5891" width="13.375" style="5" customWidth="1"/>
    <col min="5892" max="6144" width="9.125" style="5"/>
    <col min="6145" max="6145" width="26.875" style="5" customWidth="1"/>
    <col min="6146" max="6146" width="40.375" style="5" customWidth="1"/>
    <col min="6147" max="6147" width="13.375" style="5" customWidth="1"/>
    <col min="6148" max="6400" width="9.125" style="5"/>
    <col min="6401" max="6401" width="26.875" style="5" customWidth="1"/>
    <col min="6402" max="6402" width="40.375" style="5" customWidth="1"/>
    <col min="6403" max="6403" width="13.375" style="5" customWidth="1"/>
    <col min="6404" max="6656" width="9.125" style="5"/>
    <col min="6657" max="6657" width="26.875" style="5" customWidth="1"/>
    <col min="6658" max="6658" width="40.375" style="5" customWidth="1"/>
    <col min="6659" max="6659" width="13.375" style="5" customWidth="1"/>
    <col min="6660" max="6912" width="9.125" style="5"/>
    <col min="6913" max="6913" width="26.875" style="5" customWidth="1"/>
    <col min="6914" max="6914" width="40.375" style="5" customWidth="1"/>
    <col min="6915" max="6915" width="13.375" style="5" customWidth="1"/>
    <col min="6916" max="7168" width="9.125" style="5"/>
    <col min="7169" max="7169" width="26.875" style="5" customWidth="1"/>
    <col min="7170" max="7170" width="40.375" style="5" customWidth="1"/>
    <col min="7171" max="7171" width="13.375" style="5" customWidth="1"/>
    <col min="7172" max="7424" width="9.125" style="5"/>
    <col min="7425" max="7425" width="26.875" style="5" customWidth="1"/>
    <col min="7426" max="7426" width="40.375" style="5" customWidth="1"/>
    <col min="7427" max="7427" width="13.375" style="5" customWidth="1"/>
    <col min="7428" max="7680" width="9.125" style="5"/>
    <col min="7681" max="7681" width="26.875" style="5" customWidth="1"/>
    <col min="7682" max="7682" width="40.375" style="5" customWidth="1"/>
    <col min="7683" max="7683" width="13.375" style="5" customWidth="1"/>
    <col min="7684" max="7936" width="9.125" style="5"/>
    <col min="7937" max="7937" width="26.875" style="5" customWidth="1"/>
    <col min="7938" max="7938" width="40.375" style="5" customWidth="1"/>
    <col min="7939" max="7939" width="13.375" style="5" customWidth="1"/>
    <col min="7940" max="8192" width="9.125" style="5"/>
    <col min="8193" max="8193" width="26.875" style="5" customWidth="1"/>
    <col min="8194" max="8194" width="40.375" style="5" customWidth="1"/>
    <col min="8195" max="8195" width="13.375" style="5" customWidth="1"/>
    <col min="8196" max="8448" width="9.125" style="5"/>
    <col min="8449" max="8449" width="26.875" style="5" customWidth="1"/>
    <col min="8450" max="8450" width="40.375" style="5" customWidth="1"/>
    <col min="8451" max="8451" width="13.375" style="5" customWidth="1"/>
    <col min="8452" max="8704" width="9.125" style="5"/>
    <col min="8705" max="8705" width="26.875" style="5" customWidth="1"/>
    <col min="8706" max="8706" width="40.375" style="5" customWidth="1"/>
    <col min="8707" max="8707" width="13.375" style="5" customWidth="1"/>
    <col min="8708" max="8960" width="9.125" style="5"/>
    <col min="8961" max="8961" width="26.875" style="5" customWidth="1"/>
    <col min="8962" max="8962" width="40.375" style="5" customWidth="1"/>
    <col min="8963" max="8963" width="13.375" style="5" customWidth="1"/>
    <col min="8964" max="9216" width="9.125" style="5"/>
    <col min="9217" max="9217" width="26.875" style="5" customWidth="1"/>
    <col min="9218" max="9218" width="40.375" style="5" customWidth="1"/>
    <col min="9219" max="9219" width="13.375" style="5" customWidth="1"/>
    <col min="9220" max="9472" width="9.125" style="5"/>
    <col min="9473" max="9473" width="26.875" style="5" customWidth="1"/>
    <col min="9474" max="9474" width="40.375" style="5" customWidth="1"/>
    <col min="9475" max="9475" width="13.375" style="5" customWidth="1"/>
    <col min="9476" max="9728" width="9.125" style="5"/>
    <col min="9729" max="9729" width="26.875" style="5" customWidth="1"/>
    <col min="9730" max="9730" width="40.375" style="5" customWidth="1"/>
    <col min="9731" max="9731" width="13.375" style="5" customWidth="1"/>
    <col min="9732" max="9984" width="9.125" style="5"/>
    <col min="9985" max="9985" width="26.875" style="5" customWidth="1"/>
    <col min="9986" max="9986" width="40.375" style="5" customWidth="1"/>
    <col min="9987" max="9987" width="13.375" style="5" customWidth="1"/>
    <col min="9988" max="10240" width="9.125" style="5"/>
    <col min="10241" max="10241" width="26.875" style="5" customWidth="1"/>
    <col min="10242" max="10242" width="40.375" style="5" customWidth="1"/>
    <col min="10243" max="10243" width="13.375" style="5" customWidth="1"/>
    <col min="10244" max="10496" width="9.125" style="5"/>
    <col min="10497" max="10497" width="26.875" style="5" customWidth="1"/>
    <col min="10498" max="10498" width="40.375" style="5" customWidth="1"/>
    <col min="10499" max="10499" width="13.375" style="5" customWidth="1"/>
    <col min="10500" max="10752" width="9.125" style="5"/>
    <col min="10753" max="10753" width="26.875" style="5" customWidth="1"/>
    <col min="10754" max="10754" width="40.375" style="5" customWidth="1"/>
    <col min="10755" max="10755" width="13.375" style="5" customWidth="1"/>
    <col min="10756" max="11008" width="9.125" style="5"/>
    <col min="11009" max="11009" width="26.875" style="5" customWidth="1"/>
    <col min="11010" max="11010" width="40.375" style="5" customWidth="1"/>
    <col min="11011" max="11011" width="13.375" style="5" customWidth="1"/>
    <col min="11012" max="11264" width="9.125" style="5"/>
    <col min="11265" max="11265" width="26.875" style="5" customWidth="1"/>
    <col min="11266" max="11266" width="40.375" style="5" customWidth="1"/>
    <col min="11267" max="11267" width="13.375" style="5" customWidth="1"/>
    <col min="11268" max="11520" width="9.125" style="5"/>
    <col min="11521" max="11521" width="26.875" style="5" customWidth="1"/>
    <col min="11522" max="11522" width="40.375" style="5" customWidth="1"/>
    <col min="11523" max="11523" width="13.375" style="5" customWidth="1"/>
    <col min="11524" max="11776" width="9.125" style="5"/>
    <col min="11777" max="11777" width="26.875" style="5" customWidth="1"/>
    <col min="11778" max="11778" width="40.375" style="5" customWidth="1"/>
    <col min="11779" max="11779" width="13.375" style="5" customWidth="1"/>
    <col min="11780" max="12032" width="9.125" style="5"/>
    <col min="12033" max="12033" width="26.875" style="5" customWidth="1"/>
    <col min="12034" max="12034" width="40.375" style="5" customWidth="1"/>
    <col min="12035" max="12035" width="13.375" style="5" customWidth="1"/>
    <col min="12036" max="12288" width="9.125" style="5"/>
    <col min="12289" max="12289" width="26.875" style="5" customWidth="1"/>
    <col min="12290" max="12290" width="40.375" style="5" customWidth="1"/>
    <col min="12291" max="12291" width="13.375" style="5" customWidth="1"/>
    <col min="12292" max="12544" width="9.125" style="5"/>
    <col min="12545" max="12545" width="26.875" style="5" customWidth="1"/>
    <col min="12546" max="12546" width="40.375" style="5" customWidth="1"/>
    <col min="12547" max="12547" width="13.375" style="5" customWidth="1"/>
    <col min="12548" max="12800" width="9.125" style="5"/>
    <col min="12801" max="12801" width="26.875" style="5" customWidth="1"/>
    <col min="12802" max="12802" width="40.375" style="5" customWidth="1"/>
    <col min="12803" max="12803" width="13.375" style="5" customWidth="1"/>
    <col min="12804" max="13056" width="9.125" style="5"/>
    <col min="13057" max="13057" width="26.875" style="5" customWidth="1"/>
    <col min="13058" max="13058" width="40.375" style="5" customWidth="1"/>
    <col min="13059" max="13059" width="13.375" style="5" customWidth="1"/>
    <col min="13060" max="13312" width="9.125" style="5"/>
    <col min="13313" max="13313" width="26.875" style="5" customWidth="1"/>
    <col min="13314" max="13314" width="40.375" style="5" customWidth="1"/>
    <col min="13315" max="13315" width="13.375" style="5" customWidth="1"/>
    <col min="13316" max="13568" width="9.125" style="5"/>
    <col min="13569" max="13569" width="26.875" style="5" customWidth="1"/>
    <col min="13570" max="13570" width="40.375" style="5" customWidth="1"/>
    <col min="13571" max="13571" width="13.375" style="5" customWidth="1"/>
    <col min="13572" max="13824" width="9.125" style="5"/>
    <col min="13825" max="13825" width="26.875" style="5" customWidth="1"/>
    <col min="13826" max="13826" width="40.375" style="5" customWidth="1"/>
    <col min="13827" max="13827" width="13.375" style="5" customWidth="1"/>
    <col min="13828" max="14080" width="9.125" style="5"/>
    <col min="14081" max="14081" width="26.875" style="5" customWidth="1"/>
    <col min="14082" max="14082" width="40.375" style="5" customWidth="1"/>
    <col min="14083" max="14083" width="13.375" style="5" customWidth="1"/>
    <col min="14084" max="14336" width="9.125" style="5"/>
    <col min="14337" max="14337" width="26.875" style="5" customWidth="1"/>
    <col min="14338" max="14338" width="40.375" style="5" customWidth="1"/>
    <col min="14339" max="14339" width="13.375" style="5" customWidth="1"/>
    <col min="14340" max="14592" width="9.125" style="5"/>
    <col min="14593" max="14593" width="26.875" style="5" customWidth="1"/>
    <col min="14594" max="14594" width="40.375" style="5" customWidth="1"/>
    <col min="14595" max="14595" width="13.375" style="5" customWidth="1"/>
    <col min="14596" max="14848" width="9.125" style="5"/>
    <col min="14849" max="14849" width="26.875" style="5" customWidth="1"/>
    <col min="14850" max="14850" width="40.375" style="5" customWidth="1"/>
    <col min="14851" max="14851" width="13.375" style="5" customWidth="1"/>
    <col min="14852" max="15104" width="9.125" style="5"/>
    <col min="15105" max="15105" width="26.875" style="5" customWidth="1"/>
    <col min="15106" max="15106" width="40.375" style="5" customWidth="1"/>
    <col min="15107" max="15107" width="13.375" style="5" customWidth="1"/>
    <col min="15108" max="15360" width="9.125" style="5"/>
    <col min="15361" max="15361" width="26.875" style="5" customWidth="1"/>
    <col min="15362" max="15362" width="40.375" style="5" customWidth="1"/>
    <col min="15363" max="15363" width="13.375" style="5" customWidth="1"/>
    <col min="15364" max="15616" width="9.125" style="5"/>
    <col min="15617" max="15617" width="26.875" style="5" customWidth="1"/>
    <col min="15618" max="15618" width="40.375" style="5" customWidth="1"/>
    <col min="15619" max="15619" width="13.375" style="5" customWidth="1"/>
    <col min="15620" max="15872" width="9.125" style="5"/>
    <col min="15873" max="15873" width="26.875" style="5" customWidth="1"/>
    <col min="15874" max="15874" width="40.375" style="5" customWidth="1"/>
    <col min="15875" max="15875" width="13.375" style="5" customWidth="1"/>
    <col min="15876" max="16128" width="9.125" style="5"/>
    <col min="16129" max="16129" width="26.875" style="5" customWidth="1"/>
    <col min="16130" max="16130" width="40.375" style="5" customWidth="1"/>
    <col min="16131" max="16131" width="13.375" style="5" customWidth="1"/>
    <col min="16132" max="16384" width="9.125" style="5"/>
  </cols>
  <sheetData>
    <row r="1" spans="1:8" x14ac:dyDescent="0.3">
      <c r="D1" s="44" t="s">
        <v>273</v>
      </c>
    </row>
    <row r="2" spans="1:8" x14ac:dyDescent="0.3">
      <c r="D2" s="44" t="s">
        <v>929</v>
      </c>
    </row>
    <row r="3" spans="1:8" x14ac:dyDescent="0.3">
      <c r="D3" s="44" t="s">
        <v>653</v>
      </c>
    </row>
    <row r="4" spans="1:8" x14ac:dyDescent="0.3">
      <c r="D4" s="44" t="s">
        <v>1070</v>
      </c>
    </row>
    <row r="5" spans="1:8" s="6" customFormat="1" ht="23.3" customHeight="1" x14ac:dyDescent="0.25">
      <c r="A5" s="667" t="s">
        <v>157</v>
      </c>
      <c r="B5" s="667"/>
      <c r="C5" s="667"/>
      <c r="D5" s="667"/>
    </row>
    <row r="6" spans="1:8" ht="28.55" customHeight="1" x14ac:dyDescent="0.25">
      <c r="A6" s="666" t="s">
        <v>545</v>
      </c>
      <c r="B6" s="666"/>
      <c r="C6" s="666"/>
      <c r="D6" s="666"/>
    </row>
    <row r="7" spans="1:8" ht="28.55" customHeight="1" x14ac:dyDescent="0.25">
      <c r="A7" s="666" t="s">
        <v>1071</v>
      </c>
      <c r="B7" s="666"/>
      <c r="C7" s="666"/>
      <c r="D7" s="666"/>
    </row>
    <row r="8" spans="1:8" ht="23.3" customHeight="1" x14ac:dyDescent="0.3">
      <c r="A8" s="44"/>
      <c r="D8" s="44" t="s">
        <v>408</v>
      </c>
    </row>
    <row r="9" spans="1:8" ht="62.5" customHeight="1" x14ac:dyDescent="0.25">
      <c r="A9" s="64" t="s">
        <v>159</v>
      </c>
      <c r="B9" s="64" t="s">
        <v>160</v>
      </c>
      <c r="C9" s="64" t="s">
        <v>747</v>
      </c>
      <c r="D9" s="64" t="s">
        <v>1034</v>
      </c>
    </row>
    <row r="10" spans="1:8" ht="46.55" customHeight="1" x14ac:dyDescent="0.3">
      <c r="A10" s="10" t="s">
        <v>161</v>
      </c>
      <c r="B10" s="11" t="s">
        <v>162</v>
      </c>
      <c r="C10" s="48">
        <f>C11+C12</f>
        <v>0</v>
      </c>
      <c r="D10" s="48">
        <f>D11+D12</f>
        <v>0</v>
      </c>
      <c r="H10" s="5" t="s">
        <v>51</v>
      </c>
    </row>
    <row r="11" spans="1:8" ht="58.75" customHeight="1" x14ac:dyDescent="0.3">
      <c r="A11" s="10" t="s">
        <v>663</v>
      </c>
      <c r="B11" s="11" t="s">
        <v>544</v>
      </c>
      <c r="C11" s="49">
        <f>-'прил 8'!C63</f>
        <v>-965296782.8599999</v>
      </c>
      <c r="D11" s="53">
        <f>-'прил 8'!D63</f>
        <v>-972108154.78999996</v>
      </c>
    </row>
    <row r="12" spans="1:8" ht="58.75" customHeight="1" x14ac:dyDescent="0.3">
      <c r="A12" s="10" t="s">
        <v>664</v>
      </c>
      <c r="B12" s="11" t="s">
        <v>543</v>
      </c>
      <c r="C12" s="49">
        <f>'прил 12 (2)'!F702</f>
        <v>965296782.8599999</v>
      </c>
      <c r="D12" s="49">
        <f>'прил 12 (2)'!G702</f>
        <v>972108154.78999996</v>
      </c>
    </row>
    <row r="13" spans="1:8" ht="24.8" customHeight="1" x14ac:dyDescent="0.3">
      <c r="A13" s="10"/>
      <c r="B13" s="12" t="s">
        <v>163</v>
      </c>
      <c r="C13" s="52">
        <f>C10</f>
        <v>0</v>
      </c>
      <c r="D13" s="52">
        <f>D10</f>
        <v>0</v>
      </c>
    </row>
    <row r="14" spans="1:8" ht="50.95" customHeight="1" x14ac:dyDescent="0.3">
      <c r="A14" s="13"/>
      <c r="B14" s="13"/>
      <c r="C14" s="13"/>
    </row>
    <row r="15" spans="1:8" ht="50.95" customHeight="1" x14ac:dyDescent="0.3">
      <c r="A15" s="13"/>
      <c r="B15" s="13"/>
      <c r="C15" s="13"/>
    </row>
    <row r="16" spans="1:8" ht="50.95" customHeight="1" x14ac:dyDescent="0.3">
      <c r="A16" s="13"/>
      <c r="B16" s="13"/>
      <c r="C16" s="13"/>
    </row>
    <row r="17" spans="1:3" ht="50.95" customHeight="1" x14ac:dyDescent="0.3">
      <c r="A17" s="13"/>
      <c r="B17" s="13"/>
      <c r="C17" s="13"/>
    </row>
    <row r="18" spans="1:3" ht="50.95" customHeight="1" x14ac:dyDescent="0.3">
      <c r="A18" s="13"/>
      <c r="B18" s="13"/>
      <c r="C18" s="13"/>
    </row>
    <row r="19" spans="1:3" ht="50.95" customHeight="1" x14ac:dyDescent="0.3">
      <c r="A19" s="13"/>
      <c r="B19" s="13"/>
      <c r="C19" s="13"/>
    </row>
    <row r="20" spans="1:3" ht="50.95" customHeight="1" x14ac:dyDescent="0.3">
      <c r="A20" s="13"/>
      <c r="B20" s="13"/>
      <c r="C20" s="13"/>
    </row>
    <row r="21" spans="1:3" ht="50.95" customHeight="1" x14ac:dyDescent="0.3">
      <c r="A21" s="13"/>
      <c r="B21" s="13"/>
      <c r="C21" s="13"/>
    </row>
    <row r="22" spans="1:3" ht="50.95" customHeight="1" x14ac:dyDescent="0.3">
      <c r="A22" s="13"/>
      <c r="B22" s="13"/>
      <c r="C22" s="13"/>
    </row>
    <row r="23" spans="1:3" ht="50.95" customHeight="1" x14ac:dyDescent="0.3">
      <c r="A23" s="13"/>
      <c r="B23" s="13"/>
      <c r="C23" s="13"/>
    </row>
    <row r="24" spans="1:3" ht="50.95" customHeight="1" x14ac:dyDescent="0.3">
      <c r="A24" s="13"/>
      <c r="B24" s="13"/>
      <c r="C24" s="13"/>
    </row>
    <row r="25" spans="1:3" ht="50.95" customHeight="1" x14ac:dyDescent="0.3">
      <c r="A25" s="13"/>
      <c r="B25" s="13"/>
      <c r="C25" s="13"/>
    </row>
    <row r="26" spans="1:3" ht="50.95" customHeight="1" x14ac:dyDescent="0.3">
      <c r="A26" s="13"/>
      <c r="B26" s="13"/>
      <c r="C26" s="13"/>
    </row>
    <row r="27" spans="1:3" ht="50.95" customHeight="1" x14ac:dyDescent="0.3">
      <c r="A27" s="13"/>
      <c r="B27" s="13"/>
      <c r="C27" s="13"/>
    </row>
    <row r="28" spans="1:3" ht="50.95" customHeight="1" x14ac:dyDescent="0.3">
      <c r="A28" s="13"/>
      <c r="B28" s="13"/>
      <c r="C28" s="13"/>
    </row>
    <row r="29" spans="1:3" ht="50.95" customHeight="1" x14ac:dyDescent="0.3">
      <c r="A29" s="13"/>
      <c r="B29" s="13"/>
      <c r="C29" s="13"/>
    </row>
    <row r="30" spans="1:3" ht="50.95" customHeight="1" x14ac:dyDescent="0.3">
      <c r="A30" s="13"/>
      <c r="B30" s="13"/>
      <c r="C30" s="13"/>
    </row>
    <row r="31" spans="1:3" ht="50.95" customHeight="1" x14ac:dyDescent="0.3">
      <c r="A31" s="13"/>
      <c r="B31" s="13"/>
      <c r="C31" s="13"/>
    </row>
    <row r="32" spans="1:3" ht="50.95" customHeight="1" x14ac:dyDescent="0.3">
      <c r="A32" s="13"/>
      <c r="B32" s="13"/>
      <c r="C32" s="13"/>
    </row>
    <row r="33" spans="1:3" ht="50.95" customHeight="1" x14ac:dyDescent="0.3">
      <c r="A33" s="13"/>
      <c r="B33" s="13"/>
      <c r="C33" s="13"/>
    </row>
    <row r="34" spans="1:3" ht="50.95" customHeight="1" x14ac:dyDescent="0.3">
      <c r="A34" s="13"/>
      <c r="B34" s="13"/>
      <c r="C34" s="13"/>
    </row>
    <row r="35" spans="1:3" ht="50.95" customHeight="1" x14ac:dyDescent="0.3">
      <c r="A35" s="13"/>
      <c r="B35" s="13"/>
      <c r="C35" s="13"/>
    </row>
    <row r="36" spans="1:3" ht="50.95" customHeight="1" x14ac:dyDescent="0.3">
      <c r="A36" s="13"/>
      <c r="B36" s="13"/>
      <c r="C36" s="13"/>
    </row>
    <row r="37" spans="1:3" ht="50.95" customHeight="1" x14ac:dyDescent="0.3">
      <c r="A37" s="13"/>
      <c r="B37" s="13"/>
      <c r="C37" s="13"/>
    </row>
    <row r="38" spans="1:3" ht="50.95" customHeight="1" x14ac:dyDescent="0.3">
      <c r="A38" s="13"/>
      <c r="B38" s="13"/>
      <c r="C38" s="13"/>
    </row>
    <row r="39" spans="1:3" ht="50.95" customHeight="1" x14ac:dyDescent="0.3">
      <c r="A39" s="13"/>
      <c r="B39" s="13"/>
      <c r="C39" s="13"/>
    </row>
    <row r="40" spans="1:3" ht="50.95" customHeight="1" x14ac:dyDescent="0.3">
      <c r="A40" s="13"/>
      <c r="B40" s="13"/>
      <c r="C40" s="13"/>
    </row>
    <row r="41" spans="1:3" ht="50.95" customHeight="1" x14ac:dyDescent="0.3">
      <c r="A41" s="13"/>
      <c r="B41" s="13"/>
      <c r="C41" s="13"/>
    </row>
    <row r="42" spans="1:3" ht="50.95" customHeight="1" x14ac:dyDescent="0.3">
      <c r="A42" s="13"/>
      <c r="B42" s="13"/>
      <c r="C42" s="13"/>
    </row>
    <row r="43" spans="1:3" ht="50.95" customHeight="1" x14ac:dyDescent="0.3">
      <c r="A43" s="13"/>
      <c r="B43" s="13"/>
      <c r="C43" s="13"/>
    </row>
    <row r="44" spans="1:3" ht="50.95" customHeight="1" x14ac:dyDescent="0.3">
      <c r="A44" s="13"/>
      <c r="B44" s="13"/>
      <c r="C44" s="13"/>
    </row>
    <row r="45" spans="1:3" ht="50.95" customHeight="1" x14ac:dyDescent="0.3">
      <c r="A45" s="13"/>
      <c r="B45" s="13"/>
      <c r="C45" s="13"/>
    </row>
    <row r="46" spans="1:3" ht="50.95" customHeight="1" x14ac:dyDescent="0.3">
      <c r="A46" s="13"/>
      <c r="B46" s="13"/>
      <c r="C46" s="13"/>
    </row>
    <row r="47" spans="1:3" ht="50.95" customHeight="1" x14ac:dyDescent="0.3">
      <c r="A47" s="13"/>
      <c r="B47" s="13"/>
      <c r="C47" s="13"/>
    </row>
    <row r="48" spans="1:3" ht="50.95" customHeight="1" x14ac:dyDescent="0.3">
      <c r="A48" s="13"/>
      <c r="B48" s="13"/>
      <c r="C48" s="13"/>
    </row>
    <row r="49" spans="1:3" ht="50.95" customHeight="1" x14ac:dyDescent="0.3">
      <c r="A49" s="13"/>
      <c r="B49" s="13"/>
      <c r="C49" s="13"/>
    </row>
    <row r="50" spans="1:3" ht="50.95" customHeight="1" x14ac:dyDescent="0.3">
      <c r="A50" s="13"/>
      <c r="B50" s="13"/>
      <c r="C50" s="13"/>
    </row>
    <row r="51" spans="1:3" ht="50.95" customHeight="1" x14ac:dyDescent="0.3">
      <c r="A51" s="13"/>
      <c r="B51" s="13"/>
      <c r="C51" s="13"/>
    </row>
    <row r="52" spans="1:3" ht="50.95" customHeight="1" x14ac:dyDescent="0.3">
      <c r="A52" s="13"/>
      <c r="B52" s="13"/>
      <c r="C52" s="13"/>
    </row>
    <row r="53" spans="1:3" ht="50.95" customHeight="1" x14ac:dyDescent="0.3">
      <c r="A53" s="13"/>
      <c r="B53" s="13"/>
      <c r="C53" s="13"/>
    </row>
    <row r="54" spans="1:3" ht="50.95" customHeight="1" x14ac:dyDescent="0.3">
      <c r="A54" s="13"/>
      <c r="B54" s="13"/>
      <c r="C54" s="13"/>
    </row>
    <row r="55" spans="1:3" ht="50.95" customHeight="1" x14ac:dyDescent="0.3">
      <c r="A55" s="13"/>
      <c r="B55" s="13"/>
      <c r="C55" s="13"/>
    </row>
    <row r="56" spans="1:3" ht="50.95" customHeight="1" x14ac:dyDescent="0.3">
      <c r="A56" s="13"/>
      <c r="B56" s="13"/>
      <c r="C56" s="13"/>
    </row>
    <row r="57" spans="1:3" ht="50.95" customHeight="1" x14ac:dyDescent="0.3">
      <c r="A57" s="13"/>
      <c r="B57" s="13"/>
      <c r="C57" s="13"/>
    </row>
    <row r="58" spans="1:3" ht="50.95" customHeight="1" x14ac:dyDescent="0.3">
      <c r="A58" s="13"/>
      <c r="B58" s="13"/>
      <c r="C58" s="13"/>
    </row>
    <row r="59" spans="1:3" ht="50.95" customHeight="1" x14ac:dyDescent="0.3">
      <c r="A59" s="13"/>
      <c r="B59" s="13"/>
      <c r="C59" s="13"/>
    </row>
    <row r="60" spans="1:3" ht="50.95" customHeight="1" x14ac:dyDescent="0.3">
      <c r="A60" s="13"/>
      <c r="B60" s="13"/>
      <c r="C60" s="13"/>
    </row>
    <row r="61" spans="1:3" ht="50.95" customHeight="1" x14ac:dyDescent="0.3">
      <c r="A61" s="13"/>
      <c r="B61" s="13"/>
      <c r="C61" s="13"/>
    </row>
    <row r="62" spans="1:3" ht="50.95" customHeight="1" x14ac:dyDescent="0.3">
      <c r="A62" s="13"/>
      <c r="B62" s="13"/>
      <c r="C62" s="13"/>
    </row>
    <row r="63" spans="1:3" ht="50.95" customHeight="1" x14ac:dyDescent="0.3">
      <c r="A63" s="13"/>
      <c r="B63" s="13"/>
      <c r="C63" s="13"/>
    </row>
    <row r="64" spans="1:3" ht="50.95" customHeight="1" x14ac:dyDescent="0.3">
      <c r="A64" s="13"/>
      <c r="B64" s="13"/>
      <c r="C64" s="13"/>
    </row>
    <row r="65" spans="1:3" ht="50.95" customHeight="1" x14ac:dyDescent="0.3">
      <c r="A65" s="13"/>
      <c r="B65" s="13"/>
      <c r="C65" s="13"/>
    </row>
    <row r="66" spans="1:3" ht="50.95" customHeight="1" x14ac:dyDescent="0.3">
      <c r="A66" s="13"/>
      <c r="B66" s="13"/>
      <c r="C66" s="13"/>
    </row>
    <row r="67" spans="1:3" ht="50.95" customHeight="1" x14ac:dyDescent="0.3">
      <c r="A67" s="13"/>
      <c r="B67" s="13"/>
      <c r="C67" s="13"/>
    </row>
    <row r="68" spans="1:3" ht="50.95" customHeight="1" x14ac:dyDescent="0.3">
      <c r="A68" s="13"/>
      <c r="B68" s="13"/>
      <c r="C68" s="13"/>
    </row>
    <row r="69" spans="1:3" ht="50.95" customHeight="1" x14ac:dyDescent="0.3">
      <c r="A69" s="13"/>
      <c r="B69" s="13"/>
      <c r="C69" s="13"/>
    </row>
    <row r="70" spans="1:3" ht="50.95" customHeight="1" x14ac:dyDescent="0.3">
      <c r="A70" s="13"/>
      <c r="B70" s="13"/>
      <c r="C70" s="13"/>
    </row>
    <row r="71" spans="1:3" ht="50.95" customHeight="1" x14ac:dyDescent="0.3">
      <c r="A71" s="13"/>
      <c r="B71" s="13"/>
      <c r="C71" s="13"/>
    </row>
    <row r="72" spans="1:3" ht="50.95" customHeight="1" x14ac:dyDescent="0.3">
      <c r="A72" s="13"/>
      <c r="B72" s="13"/>
      <c r="C72" s="13"/>
    </row>
    <row r="73" spans="1:3" ht="50.95" customHeight="1" x14ac:dyDescent="0.3">
      <c r="A73" s="13"/>
      <c r="B73" s="13"/>
      <c r="C73" s="13"/>
    </row>
    <row r="74" spans="1:3" ht="50.95" customHeight="1" x14ac:dyDescent="0.3">
      <c r="A74" s="13"/>
      <c r="B74" s="13"/>
      <c r="C74" s="13"/>
    </row>
    <row r="75" spans="1:3" ht="50.95" customHeight="1" x14ac:dyDescent="0.3">
      <c r="A75" s="13"/>
      <c r="B75" s="13"/>
      <c r="C75" s="13"/>
    </row>
    <row r="76" spans="1:3" ht="50.95" customHeight="1" x14ac:dyDescent="0.3">
      <c r="A76" s="13"/>
      <c r="B76" s="13"/>
      <c r="C76" s="13"/>
    </row>
    <row r="77" spans="1:3" ht="50.95" customHeight="1" x14ac:dyDescent="0.3">
      <c r="A77" s="13"/>
      <c r="B77" s="13"/>
      <c r="C77" s="13"/>
    </row>
    <row r="78" spans="1:3" ht="50.95" customHeight="1" x14ac:dyDescent="0.3">
      <c r="A78" s="13"/>
      <c r="B78" s="13"/>
      <c r="C78" s="13"/>
    </row>
    <row r="79" spans="1:3" ht="50.95" customHeight="1" x14ac:dyDescent="0.3">
      <c r="A79" s="13"/>
      <c r="B79" s="13"/>
      <c r="C79" s="13"/>
    </row>
    <row r="80" spans="1:3" ht="50.95" customHeight="1" x14ac:dyDescent="0.3">
      <c r="A80" s="13"/>
      <c r="B80" s="13"/>
      <c r="C80" s="13"/>
    </row>
    <row r="81" spans="1:3" ht="50.95" customHeight="1" x14ac:dyDescent="0.3">
      <c r="A81" s="13"/>
      <c r="B81" s="13"/>
      <c r="C81" s="13"/>
    </row>
    <row r="82" spans="1:3" ht="50.95" customHeight="1" x14ac:dyDescent="0.3">
      <c r="A82" s="13"/>
      <c r="B82" s="13"/>
      <c r="C82" s="13"/>
    </row>
    <row r="83" spans="1:3" ht="50.95" customHeight="1" x14ac:dyDescent="0.3">
      <c r="A83" s="13"/>
      <c r="B83" s="13"/>
      <c r="C83" s="13"/>
    </row>
    <row r="84" spans="1:3" ht="50.95" customHeight="1" x14ac:dyDescent="0.3">
      <c r="A84" s="13"/>
      <c r="B84" s="13"/>
      <c r="C84" s="13"/>
    </row>
    <row r="85" spans="1:3" ht="50.95" customHeight="1" x14ac:dyDescent="0.3">
      <c r="A85" s="13"/>
      <c r="B85" s="13"/>
      <c r="C85" s="13"/>
    </row>
    <row r="86" spans="1:3" ht="50.95" customHeight="1" x14ac:dyDescent="0.3">
      <c r="A86" s="13"/>
      <c r="B86" s="13"/>
      <c r="C86" s="13"/>
    </row>
    <row r="87" spans="1:3" ht="50.95" customHeight="1" x14ac:dyDescent="0.3">
      <c r="A87" s="13"/>
      <c r="B87" s="13"/>
      <c r="C87" s="13"/>
    </row>
    <row r="88" spans="1:3" ht="50.95" customHeight="1" x14ac:dyDescent="0.3">
      <c r="A88" s="13"/>
      <c r="B88" s="13"/>
      <c r="C88" s="13"/>
    </row>
    <row r="89" spans="1:3" ht="50.95" customHeight="1" x14ac:dyDescent="0.3">
      <c r="A89" s="13"/>
      <c r="B89" s="13"/>
      <c r="C89" s="13"/>
    </row>
    <row r="90" spans="1:3" ht="50.95" customHeight="1" x14ac:dyDescent="0.3">
      <c r="A90" s="13"/>
      <c r="B90" s="13"/>
      <c r="C90" s="13"/>
    </row>
    <row r="91" spans="1:3" ht="50.95" customHeight="1" x14ac:dyDescent="0.3">
      <c r="A91" s="13"/>
      <c r="B91" s="13"/>
      <c r="C91" s="13"/>
    </row>
    <row r="92" spans="1:3" ht="50.95" customHeight="1" x14ac:dyDescent="0.3">
      <c r="A92" s="13"/>
      <c r="B92" s="13"/>
      <c r="C92" s="13"/>
    </row>
    <row r="93" spans="1:3" ht="50.95" customHeight="1" x14ac:dyDescent="0.3">
      <c r="A93" s="13"/>
      <c r="B93" s="13"/>
      <c r="C93" s="13"/>
    </row>
    <row r="94" spans="1:3" ht="50.95" customHeight="1" x14ac:dyDescent="0.3">
      <c r="A94" s="13"/>
      <c r="B94" s="13"/>
      <c r="C94" s="13"/>
    </row>
    <row r="95" spans="1:3" ht="50.95" customHeight="1" x14ac:dyDescent="0.3">
      <c r="A95" s="13"/>
      <c r="B95" s="13"/>
      <c r="C95" s="13"/>
    </row>
    <row r="96" spans="1:3" ht="50.95" customHeight="1" x14ac:dyDescent="0.3">
      <c r="A96" s="13"/>
      <c r="B96" s="13"/>
      <c r="C96" s="13"/>
    </row>
    <row r="97" spans="1:3" ht="50.95" customHeight="1" x14ac:dyDescent="0.3">
      <c r="A97" s="13"/>
      <c r="B97" s="13"/>
      <c r="C97" s="13"/>
    </row>
    <row r="98" spans="1:3" ht="50.95" customHeight="1" x14ac:dyDescent="0.3">
      <c r="A98" s="13"/>
      <c r="B98" s="13"/>
      <c r="C98" s="13"/>
    </row>
    <row r="99" spans="1:3" ht="50.95" customHeight="1" x14ac:dyDescent="0.3">
      <c r="A99" s="13"/>
      <c r="B99" s="13"/>
      <c r="C99" s="13"/>
    </row>
    <row r="100" spans="1:3" ht="50.95" customHeight="1" x14ac:dyDescent="0.3">
      <c r="A100" s="13"/>
      <c r="B100" s="13"/>
      <c r="C100" s="13"/>
    </row>
    <row r="101" spans="1:3" ht="50.95" customHeight="1" x14ac:dyDescent="0.3">
      <c r="A101" s="13"/>
      <c r="B101" s="13"/>
      <c r="C101" s="13"/>
    </row>
    <row r="102" spans="1:3" ht="50.95" customHeight="1" x14ac:dyDescent="0.3">
      <c r="A102" s="13"/>
      <c r="B102" s="13"/>
      <c r="C102" s="13"/>
    </row>
    <row r="103" spans="1:3" ht="50.95" customHeight="1" x14ac:dyDescent="0.3">
      <c r="A103" s="13"/>
      <c r="B103" s="13"/>
      <c r="C103" s="13"/>
    </row>
    <row r="104" spans="1:3" ht="50.95" customHeight="1" x14ac:dyDescent="0.3">
      <c r="A104" s="13"/>
      <c r="B104" s="13"/>
      <c r="C104" s="13"/>
    </row>
    <row r="105" spans="1:3" ht="50.95" customHeight="1" x14ac:dyDescent="0.3">
      <c r="A105" s="13"/>
      <c r="B105" s="13"/>
      <c r="C105" s="13"/>
    </row>
    <row r="106" spans="1:3" ht="50.95" customHeight="1" x14ac:dyDescent="0.3">
      <c r="A106" s="13"/>
      <c r="B106" s="13"/>
      <c r="C106" s="13"/>
    </row>
    <row r="107" spans="1:3" ht="50.95" customHeight="1" x14ac:dyDescent="0.3">
      <c r="A107" s="13"/>
      <c r="B107" s="13"/>
      <c r="C107" s="13"/>
    </row>
    <row r="108" spans="1:3" ht="50.95" customHeight="1" x14ac:dyDescent="0.3">
      <c r="A108" s="13"/>
      <c r="B108" s="13"/>
      <c r="C108" s="13"/>
    </row>
    <row r="109" spans="1:3" ht="50.95" customHeight="1" x14ac:dyDescent="0.3">
      <c r="A109" s="13"/>
      <c r="B109" s="13"/>
      <c r="C109" s="13"/>
    </row>
    <row r="110" spans="1:3" ht="50.95" customHeight="1" x14ac:dyDescent="0.3">
      <c r="A110" s="13"/>
      <c r="B110" s="13"/>
      <c r="C110" s="13"/>
    </row>
    <row r="111" spans="1:3" ht="50.95" customHeight="1" x14ac:dyDescent="0.3">
      <c r="A111" s="13"/>
      <c r="B111" s="13"/>
      <c r="C111" s="13"/>
    </row>
    <row r="112" spans="1:3" ht="50.95" customHeight="1" x14ac:dyDescent="0.3">
      <c r="A112" s="13"/>
      <c r="B112" s="13"/>
      <c r="C112" s="13"/>
    </row>
    <row r="113" spans="1:3" ht="50.95" customHeight="1" x14ac:dyDescent="0.3">
      <c r="A113" s="13"/>
      <c r="B113" s="13"/>
      <c r="C113" s="13"/>
    </row>
    <row r="114" spans="1:3" ht="50.95" customHeight="1" x14ac:dyDescent="0.3">
      <c r="A114" s="13"/>
      <c r="B114" s="13"/>
      <c r="C114" s="13"/>
    </row>
    <row r="115" spans="1:3" ht="50.95" customHeight="1" x14ac:dyDescent="0.3">
      <c r="A115" s="13"/>
      <c r="B115" s="13"/>
      <c r="C115" s="13"/>
    </row>
    <row r="116" spans="1:3" ht="50.95" customHeight="1" x14ac:dyDescent="0.3">
      <c r="A116" s="13"/>
      <c r="B116" s="13"/>
      <c r="C116" s="13"/>
    </row>
    <row r="117" spans="1:3" ht="50.95" customHeight="1" x14ac:dyDescent="0.3">
      <c r="A117" s="13"/>
      <c r="B117" s="13"/>
      <c r="C117" s="13"/>
    </row>
    <row r="118" spans="1:3" ht="50.95" customHeight="1" x14ac:dyDescent="0.3">
      <c r="A118" s="13"/>
      <c r="B118" s="13"/>
      <c r="C118" s="13"/>
    </row>
    <row r="119" spans="1:3" ht="50.95" customHeight="1" x14ac:dyDescent="0.3">
      <c r="A119" s="13"/>
      <c r="B119" s="13"/>
      <c r="C119" s="13"/>
    </row>
    <row r="120" spans="1:3" ht="50.95" customHeight="1" x14ac:dyDescent="0.3">
      <c r="A120" s="13"/>
      <c r="B120" s="13"/>
      <c r="C120" s="13"/>
    </row>
    <row r="121" spans="1:3" ht="50.95" customHeight="1" x14ac:dyDescent="0.3">
      <c r="A121" s="13"/>
      <c r="B121" s="13"/>
      <c r="C121" s="13"/>
    </row>
    <row r="122" spans="1:3" ht="50.95" customHeight="1" x14ac:dyDescent="0.3">
      <c r="A122" s="13"/>
      <c r="B122" s="13"/>
      <c r="C122" s="13"/>
    </row>
    <row r="123" spans="1:3" ht="50.95" customHeight="1" x14ac:dyDescent="0.3">
      <c r="A123" s="13"/>
      <c r="B123" s="13"/>
      <c r="C123" s="13"/>
    </row>
    <row r="124" spans="1:3" ht="50.95" customHeight="1" x14ac:dyDescent="0.3">
      <c r="A124" s="13"/>
      <c r="B124" s="13"/>
      <c r="C124" s="13"/>
    </row>
    <row r="125" spans="1:3" ht="50.95" customHeight="1" x14ac:dyDescent="0.3">
      <c r="A125" s="13"/>
      <c r="B125" s="13"/>
      <c r="C125" s="13"/>
    </row>
    <row r="126" spans="1:3" ht="50.95" customHeight="1" x14ac:dyDescent="0.3">
      <c r="A126" s="13"/>
      <c r="B126" s="13"/>
      <c r="C126" s="13"/>
    </row>
    <row r="127" spans="1:3" ht="50.95" customHeight="1" x14ac:dyDescent="0.3">
      <c r="A127" s="13"/>
      <c r="B127" s="13"/>
      <c r="C127" s="13"/>
    </row>
    <row r="128" spans="1:3" ht="50.95" customHeight="1" x14ac:dyDescent="0.3">
      <c r="A128" s="13"/>
      <c r="B128" s="13"/>
      <c r="C128" s="13"/>
    </row>
    <row r="129" spans="1:3" ht="50.95" customHeight="1" x14ac:dyDescent="0.3">
      <c r="A129" s="13"/>
      <c r="B129" s="13"/>
      <c r="C129" s="13"/>
    </row>
    <row r="130" spans="1:3" ht="50.95" customHeight="1" x14ac:dyDescent="0.3">
      <c r="A130" s="13"/>
      <c r="B130" s="13"/>
      <c r="C130" s="13"/>
    </row>
    <row r="131" spans="1:3" ht="50.95" customHeight="1" x14ac:dyDescent="0.3">
      <c r="A131" s="13"/>
      <c r="B131" s="13"/>
      <c r="C131" s="13"/>
    </row>
    <row r="132" spans="1:3" ht="50.95" customHeight="1" x14ac:dyDescent="0.3">
      <c r="A132" s="13"/>
      <c r="B132" s="13"/>
      <c r="C132" s="13"/>
    </row>
    <row r="133" spans="1:3" ht="50.95" customHeight="1" x14ac:dyDescent="0.3">
      <c r="A133" s="13"/>
      <c r="B133" s="13"/>
      <c r="C133" s="13"/>
    </row>
    <row r="134" spans="1:3" ht="50.95" customHeight="1" x14ac:dyDescent="0.3">
      <c r="A134" s="13"/>
      <c r="B134" s="13"/>
      <c r="C134" s="13"/>
    </row>
    <row r="135" spans="1:3" ht="50.95" customHeight="1" x14ac:dyDescent="0.3">
      <c r="A135" s="13"/>
      <c r="B135" s="13"/>
      <c r="C135" s="13"/>
    </row>
    <row r="136" spans="1:3" ht="50.95" customHeight="1" x14ac:dyDescent="0.3">
      <c r="A136" s="13"/>
      <c r="B136" s="13"/>
      <c r="C136" s="13"/>
    </row>
    <row r="137" spans="1:3" ht="50.95" customHeight="1" x14ac:dyDescent="0.3">
      <c r="A137" s="13"/>
      <c r="B137" s="13"/>
      <c r="C137" s="13"/>
    </row>
    <row r="138" spans="1:3" ht="50.95" customHeight="1" x14ac:dyDescent="0.3">
      <c r="A138" s="13"/>
      <c r="B138" s="13"/>
      <c r="C138" s="13"/>
    </row>
    <row r="139" spans="1:3" ht="50.95" customHeight="1" x14ac:dyDescent="0.3">
      <c r="A139" s="13"/>
      <c r="B139" s="13"/>
      <c r="C139" s="13"/>
    </row>
    <row r="140" spans="1:3" ht="50.95" customHeight="1" x14ac:dyDescent="0.3">
      <c r="A140" s="13"/>
      <c r="B140" s="13"/>
      <c r="C140" s="13"/>
    </row>
    <row r="141" spans="1:3" ht="50.95" customHeight="1" x14ac:dyDescent="0.3">
      <c r="A141" s="13"/>
      <c r="B141" s="13"/>
      <c r="C141" s="13"/>
    </row>
    <row r="142" spans="1:3" ht="50.95" customHeight="1" x14ac:dyDescent="0.3">
      <c r="A142" s="13"/>
      <c r="B142" s="13"/>
      <c r="C142" s="13"/>
    </row>
    <row r="143" spans="1:3" ht="50.95" customHeight="1" x14ac:dyDescent="0.3">
      <c r="A143" s="13"/>
      <c r="B143" s="13"/>
      <c r="C143" s="13"/>
    </row>
    <row r="144" spans="1:3" ht="50.95" customHeight="1" x14ac:dyDescent="0.3">
      <c r="A144" s="13"/>
      <c r="B144" s="13"/>
      <c r="C144" s="13"/>
    </row>
    <row r="145" spans="1:3" ht="50.95" customHeight="1" x14ac:dyDescent="0.3">
      <c r="A145" s="13"/>
      <c r="B145" s="13"/>
      <c r="C145" s="13"/>
    </row>
    <row r="146" spans="1:3" ht="50.95" customHeight="1" x14ac:dyDescent="0.3">
      <c r="A146" s="13"/>
      <c r="B146" s="13"/>
      <c r="C146" s="13"/>
    </row>
    <row r="147" spans="1:3" ht="50.95" customHeight="1" x14ac:dyDescent="0.3">
      <c r="A147" s="13"/>
      <c r="B147" s="13"/>
      <c r="C147" s="13"/>
    </row>
    <row r="148" spans="1:3" ht="50.95" customHeight="1" x14ac:dyDescent="0.3">
      <c r="A148" s="13"/>
      <c r="B148" s="13"/>
      <c r="C148" s="13"/>
    </row>
    <row r="149" spans="1:3" ht="50.95" customHeight="1" x14ac:dyDescent="0.3">
      <c r="A149" s="13"/>
      <c r="B149" s="13"/>
      <c r="C149" s="13"/>
    </row>
    <row r="150" spans="1:3" ht="50.95" customHeight="1" x14ac:dyDescent="0.3">
      <c r="A150" s="13"/>
      <c r="B150" s="13"/>
      <c r="C150" s="13"/>
    </row>
    <row r="151" spans="1:3" ht="50.95" customHeight="1" x14ac:dyDescent="0.3">
      <c r="A151" s="13"/>
      <c r="B151" s="13"/>
      <c r="C151" s="13"/>
    </row>
    <row r="152" spans="1:3" ht="50.95" customHeight="1" x14ac:dyDescent="0.3">
      <c r="A152" s="13"/>
      <c r="B152" s="13"/>
      <c r="C152" s="13"/>
    </row>
    <row r="153" spans="1:3" ht="50.95" customHeight="1" x14ac:dyDescent="0.3">
      <c r="A153" s="13"/>
      <c r="B153" s="13"/>
      <c r="C153" s="13"/>
    </row>
    <row r="154" spans="1:3" ht="50.95" customHeight="1" x14ac:dyDescent="0.3">
      <c r="A154" s="13"/>
      <c r="B154" s="13"/>
      <c r="C154" s="13"/>
    </row>
    <row r="155" spans="1:3" ht="50.95" customHeight="1" x14ac:dyDescent="0.3">
      <c r="A155" s="13"/>
      <c r="B155" s="13"/>
      <c r="C155" s="13"/>
    </row>
    <row r="156" spans="1:3" ht="50.95" customHeight="1" x14ac:dyDescent="0.3">
      <c r="A156" s="13"/>
      <c r="B156" s="13"/>
      <c r="C156" s="13"/>
    </row>
    <row r="157" spans="1:3" ht="50.95" customHeight="1" x14ac:dyDescent="0.3">
      <c r="A157" s="13"/>
      <c r="B157" s="13"/>
      <c r="C157" s="13"/>
    </row>
    <row r="158" spans="1:3" ht="50.95" customHeight="1" x14ac:dyDescent="0.3">
      <c r="A158" s="13"/>
      <c r="B158" s="13"/>
      <c r="C158" s="13"/>
    </row>
    <row r="159" spans="1:3" ht="50.95" customHeight="1" x14ac:dyDescent="0.3">
      <c r="A159" s="13"/>
      <c r="B159" s="13"/>
      <c r="C159" s="13"/>
    </row>
    <row r="160" spans="1:3" ht="50.95" customHeight="1" x14ac:dyDescent="0.3">
      <c r="A160" s="13"/>
      <c r="B160" s="13"/>
      <c r="C160" s="13"/>
    </row>
    <row r="161" spans="1:3" ht="50.95" customHeight="1" x14ac:dyDescent="0.3">
      <c r="A161" s="13"/>
      <c r="B161" s="13"/>
      <c r="C161" s="13"/>
    </row>
    <row r="162" spans="1:3" ht="50.95" customHeight="1" x14ac:dyDescent="0.3">
      <c r="A162" s="13"/>
      <c r="B162" s="13"/>
      <c r="C162" s="13"/>
    </row>
    <row r="163" spans="1:3" ht="50.95" customHeight="1" x14ac:dyDescent="0.3">
      <c r="A163" s="13"/>
      <c r="B163" s="13"/>
      <c r="C163" s="13"/>
    </row>
    <row r="164" spans="1:3" ht="50.95" customHeight="1" x14ac:dyDescent="0.3">
      <c r="A164" s="13"/>
      <c r="B164" s="13"/>
      <c r="C164" s="13"/>
    </row>
    <row r="165" spans="1:3" ht="50.95" customHeight="1" x14ac:dyDescent="0.3">
      <c r="A165" s="13"/>
      <c r="B165" s="13"/>
      <c r="C165" s="13"/>
    </row>
    <row r="166" spans="1:3" ht="50.95" customHeight="1" x14ac:dyDescent="0.3">
      <c r="A166" s="13"/>
      <c r="B166" s="13"/>
      <c r="C166" s="13"/>
    </row>
    <row r="167" spans="1:3" ht="50.95" customHeight="1" x14ac:dyDescent="0.3">
      <c r="A167" s="13"/>
      <c r="B167" s="13"/>
      <c r="C167" s="13"/>
    </row>
    <row r="168" spans="1:3" ht="50.95" customHeight="1" x14ac:dyDescent="0.3">
      <c r="A168" s="13"/>
      <c r="B168" s="13"/>
      <c r="C168" s="13"/>
    </row>
    <row r="169" spans="1:3" ht="50.95" customHeight="1" x14ac:dyDescent="0.3">
      <c r="A169" s="13"/>
      <c r="B169" s="13"/>
      <c r="C169" s="13"/>
    </row>
    <row r="170" spans="1:3" ht="50.95" customHeight="1" x14ac:dyDescent="0.3">
      <c r="A170" s="13"/>
      <c r="B170" s="13"/>
      <c r="C170" s="13"/>
    </row>
    <row r="171" spans="1:3" ht="50.95" customHeight="1" x14ac:dyDescent="0.3">
      <c r="A171" s="13"/>
      <c r="B171" s="13"/>
      <c r="C171" s="13"/>
    </row>
    <row r="172" spans="1:3" ht="50.95" customHeight="1" x14ac:dyDescent="0.3">
      <c r="A172" s="13"/>
      <c r="B172" s="13"/>
      <c r="C172" s="13"/>
    </row>
    <row r="173" spans="1:3" ht="50.95" customHeight="1" x14ac:dyDescent="0.3">
      <c r="A173" s="13"/>
      <c r="B173" s="13"/>
      <c r="C173" s="13"/>
    </row>
    <row r="174" spans="1:3" ht="50.95" customHeight="1" x14ac:dyDescent="0.3">
      <c r="A174" s="13"/>
      <c r="B174" s="13"/>
      <c r="C174" s="13"/>
    </row>
    <row r="175" spans="1:3" ht="50.95" customHeight="1" x14ac:dyDescent="0.3">
      <c r="A175" s="13"/>
      <c r="B175" s="13"/>
      <c r="C175" s="13"/>
    </row>
    <row r="176" spans="1:3" ht="50.95" customHeight="1" x14ac:dyDescent="0.3">
      <c r="A176" s="13"/>
      <c r="B176" s="13"/>
      <c r="C176" s="13"/>
    </row>
    <row r="177" spans="1:3" ht="50.95" customHeight="1" x14ac:dyDescent="0.3">
      <c r="A177" s="13"/>
      <c r="B177" s="13"/>
      <c r="C177" s="13"/>
    </row>
    <row r="178" spans="1:3" ht="50.95" customHeight="1" x14ac:dyDescent="0.3">
      <c r="A178" s="13"/>
      <c r="B178" s="13"/>
      <c r="C178" s="13"/>
    </row>
    <row r="179" spans="1:3" ht="50.95" customHeight="1" x14ac:dyDescent="0.3">
      <c r="A179" s="13"/>
      <c r="B179" s="13"/>
      <c r="C179" s="13"/>
    </row>
    <row r="180" spans="1:3" ht="50.95" customHeight="1" x14ac:dyDescent="0.3">
      <c r="A180" s="13"/>
      <c r="B180" s="13"/>
      <c r="C180" s="13"/>
    </row>
    <row r="181" spans="1:3" ht="50.95" customHeight="1" x14ac:dyDescent="0.3">
      <c r="A181" s="13"/>
      <c r="B181" s="13"/>
      <c r="C181" s="13"/>
    </row>
    <row r="182" spans="1:3" ht="50.95" customHeight="1" x14ac:dyDescent="0.3">
      <c r="A182" s="13"/>
      <c r="B182" s="13"/>
      <c r="C182" s="13"/>
    </row>
    <row r="183" spans="1:3" ht="50.95" customHeight="1" x14ac:dyDescent="0.3">
      <c r="A183" s="13"/>
      <c r="B183" s="13"/>
      <c r="C183" s="13"/>
    </row>
    <row r="184" spans="1:3" ht="50.95" customHeight="1" x14ac:dyDescent="0.3">
      <c r="A184" s="13"/>
      <c r="B184" s="13"/>
      <c r="C184" s="13"/>
    </row>
    <row r="185" spans="1:3" ht="50.95" customHeight="1" x14ac:dyDescent="0.3">
      <c r="A185" s="13"/>
      <c r="B185" s="13"/>
      <c r="C185" s="13"/>
    </row>
    <row r="186" spans="1:3" ht="50.95" customHeight="1" x14ac:dyDescent="0.3">
      <c r="A186" s="13"/>
      <c r="B186" s="13"/>
      <c r="C186" s="13"/>
    </row>
    <row r="187" spans="1:3" ht="50.95" customHeight="1" x14ac:dyDescent="0.3">
      <c r="A187" s="13"/>
      <c r="B187" s="13"/>
      <c r="C187" s="13"/>
    </row>
    <row r="188" spans="1:3" ht="50.95" customHeight="1" x14ac:dyDescent="0.3">
      <c r="A188" s="13"/>
      <c r="B188" s="13"/>
      <c r="C188" s="13"/>
    </row>
    <row r="189" spans="1:3" ht="50.95" customHeight="1" x14ac:dyDescent="0.3">
      <c r="A189" s="13"/>
      <c r="B189" s="13"/>
      <c r="C189" s="13"/>
    </row>
    <row r="190" spans="1:3" ht="50.95" customHeight="1" x14ac:dyDescent="0.3">
      <c r="A190" s="13"/>
      <c r="B190" s="13"/>
      <c r="C190" s="13"/>
    </row>
    <row r="191" spans="1:3" ht="50.95" customHeight="1" x14ac:dyDescent="0.3">
      <c r="A191" s="13"/>
      <c r="B191" s="13"/>
      <c r="C191" s="13"/>
    </row>
    <row r="192" spans="1:3" ht="50.95" customHeight="1" x14ac:dyDescent="0.3">
      <c r="A192" s="13"/>
      <c r="B192" s="13"/>
      <c r="C192" s="13"/>
    </row>
    <row r="193" spans="1:3" ht="50.95" customHeight="1" x14ac:dyDescent="0.3">
      <c r="A193" s="13"/>
      <c r="B193" s="13"/>
      <c r="C193" s="13"/>
    </row>
    <row r="194" spans="1:3" ht="50.95" customHeight="1" x14ac:dyDescent="0.3">
      <c r="A194" s="13"/>
      <c r="B194" s="13"/>
      <c r="C194" s="13"/>
    </row>
    <row r="195" spans="1:3" ht="50.95" customHeight="1" x14ac:dyDescent="0.3">
      <c r="A195" s="13"/>
      <c r="B195" s="13"/>
      <c r="C195" s="13"/>
    </row>
    <row r="196" spans="1:3" ht="50.95" customHeight="1" x14ac:dyDescent="0.3">
      <c r="A196" s="13"/>
      <c r="B196" s="13"/>
      <c r="C196" s="13"/>
    </row>
    <row r="197" spans="1:3" ht="50.95" customHeight="1" x14ac:dyDescent="0.3">
      <c r="A197" s="13"/>
      <c r="B197" s="13"/>
      <c r="C197" s="13"/>
    </row>
    <row r="198" spans="1:3" ht="50.95" customHeight="1" x14ac:dyDescent="0.3">
      <c r="A198" s="13"/>
      <c r="B198" s="13"/>
      <c r="C198" s="13"/>
    </row>
    <row r="199" spans="1:3" ht="50.95" customHeight="1" x14ac:dyDescent="0.3">
      <c r="A199" s="13"/>
      <c r="B199" s="13"/>
      <c r="C199" s="13"/>
    </row>
    <row r="200" spans="1:3" ht="50.95" customHeight="1" x14ac:dyDescent="0.3">
      <c r="A200" s="13"/>
      <c r="B200" s="13"/>
      <c r="C200" s="13"/>
    </row>
    <row r="201" spans="1:3" ht="50.95" customHeight="1" x14ac:dyDescent="0.3">
      <c r="A201" s="13"/>
      <c r="B201" s="13"/>
      <c r="C201" s="13"/>
    </row>
    <row r="202" spans="1:3" ht="50.95" customHeight="1" x14ac:dyDescent="0.3">
      <c r="A202" s="13"/>
      <c r="B202" s="13"/>
      <c r="C202" s="13"/>
    </row>
    <row r="203" spans="1:3" ht="50.95" customHeight="1" x14ac:dyDescent="0.3">
      <c r="A203" s="13"/>
      <c r="B203" s="13"/>
      <c r="C203" s="13"/>
    </row>
    <row r="204" spans="1:3" ht="50.95" customHeight="1" x14ac:dyDescent="0.3">
      <c r="A204" s="13"/>
      <c r="B204" s="13"/>
      <c r="C204" s="13"/>
    </row>
    <row r="205" spans="1:3" ht="50.95" customHeight="1" x14ac:dyDescent="0.3">
      <c r="A205" s="13"/>
      <c r="B205" s="13"/>
      <c r="C205" s="13"/>
    </row>
    <row r="206" spans="1:3" ht="50.95" customHeight="1" x14ac:dyDescent="0.3">
      <c r="A206" s="13"/>
      <c r="B206" s="13"/>
      <c r="C206" s="13"/>
    </row>
    <row r="207" spans="1:3" ht="50.95" customHeight="1" x14ac:dyDescent="0.3">
      <c r="A207" s="13"/>
      <c r="B207" s="13"/>
      <c r="C207" s="13"/>
    </row>
    <row r="208" spans="1:3" ht="50.95" customHeight="1" x14ac:dyDescent="0.3">
      <c r="A208" s="13"/>
      <c r="B208" s="13"/>
      <c r="C208" s="13"/>
    </row>
    <row r="209" spans="1:3" ht="50.95" customHeight="1" x14ac:dyDescent="0.3">
      <c r="A209" s="13"/>
      <c r="B209" s="13"/>
      <c r="C209" s="13"/>
    </row>
    <row r="210" spans="1:3" ht="50.95" customHeight="1" x14ac:dyDescent="0.3">
      <c r="A210" s="13"/>
      <c r="B210" s="13"/>
      <c r="C210" s="13"/>
    </row>
    <row r="211" spans="1:3" ht="50.95" customHeight="1" x14ac:dyDescent="0.3">
      <c r="A211" s="13"/>
      <c r="B211" s="13"/>
      <c r="C211" s="13"/>
    </row>
    <row r="212" spans="1:3" ht="50.95" customHeight="1" x14ac:dyDescent="0.3">
      <c r="A212" s="13"/>
      <c r="B212" s="13"/>
      <c r="C212" s="13"/>
    </row>
    <row r="213" spans="1:3" ht="50.95" customHeight="1" x14ac:dyDescent="0.3">
      <c r="A213" s="13"/>
      <c r="B213" s="13"/>
      <c r="C213" s="13"/>
    </row>
    <row r="214" spans="1:3" ht="50.95" customHeight="1" x14ac:dyDescent="0.3">
      <c r="A214" s="13"/>
      <c r="B214" s="13"/>
      <c r="C214" s="13"/>
    </row>
    <row r="215" spans="1:3" ht="50.95" customHeight="1" x14ac:dyDescent="0.3">
      <c r="A215" s="13"/>
      <c r="B215" s="13"/>
      <c r="C215" s="13"/>
    </row>
    <row r="216" spans="1:3" ht="50.95" customHeight="1" x14ac:dyDescent="0.3">
      <c r="A216" s="13"/>
      <c r="B216" s="13"/>
      <c r="C216" s="13"/>
    </row>
    <row r="217" spans="1:3" ht="50.95" customHeight="1" x14ac:dyDescent="0.3">
      <c r="A217" s="13"/>
      <c r="B217" s="13"/>
      <c r="C217" s="13"/>
    </row>
    <row r="218" spans="1:3" ht="50.95" customHeight="1" x14ac:dyDescent="0.3">
      <c r="A218" s="13"/>
      <c r="B218" s="13"/>
      <c r="C218" s="13"/>
    </row>
    <row r="219" spans="1:3" ht="50.95" customHeight="1" x14ac:dyDescent="0.3">
      <c r="A219" s="13"/>
      <c r="B219" s="13"/>
      <c r="C219" s="13"/>
    </row>
    <row r="220" spans="1:3" ht="50.95" customHeight="1" x14ac:dyDescent="0.3">
      <c r="A220" s="13"/>
      <c r="B220" s="13"/>
      <c r="C220" s="13"/>
    </row>
    <row r="221" spans="1:3" ht="50.95" customHeight="1" x14ac:dyDescent="0.3">
      <c r="A221" s="13"/>
      <c r="B221" s="13"/>
      <c r="C221" s="13"/>
    </row>
    <row r="222" spans="1:3" ht="50.95" customHeight="1" x14ac:dyDescent="0.3">
      <c r="A222" s="13"/>
      <c r="B222" s="13"/>
      <c r="C222" s="13"/>
    </row>
    <row r="223" spans="1:3" ht="50.95" customHeight="1" x14ac:dyDescent="0.3">
      <c r="A223" s="13"/>
      <c r="B223" s="13"/>
      <c r="C223" s="13"/>
    </row>
    <row r="224" spans="1:3" ht="50.95" customHeight="1" x14ac:dyDescent="0.3">
      <c r="A224" s="13"/>
      <c r="B224" s="13"/>
      <c r="C224" s="13"/>
    </row>
    <row r="225" spans="1:3" ht="50.95" customHeight="1" x14ac:dyDescent="0.3">
      <c r="A225" s="13"/>
      <c r="B225" s="13"/>
      <c r="C225" s="13"/>
    </row>
    <row r="226" spans="1:3" ht="50.95" customHeight="1" x14ac:dyDescent="0.3">
      <c r="A226" s="13"/>
      <c r="B226" s="13"/>
      <c r="C226" s="13"/>
    </row>
    <row r="227" spans="1:3" ht="50.95" customHeight="1" x14ac:dyDescent="0.3">
      <c r="A227" s="13"/>
      <c r="B227" s="13"/>
      <c r="C227" s="13"/>
    </row>
    <row r="228" spans="1:3" ht="50.95" customHeight="1" x14ac:dyDescent="0.3">
      <c r="A228" s="13"/>
      <c r="B228" s="13"/>
      <c r="C228" s="13"/>
    </row>
    <row r="229" spans="1:3" ht="50.95" customHeight="1" x14ac:dyDescent="0.3">
      <c r="A229" s="13"/>
      <c r="B229" s="13"/>
      <c r="C229" s="13"/>
    </row>
    <row r="230" spans="1:3" ht="50.95" customHeight="1" x14ac:dyDescent="0.3">
      <c r="A230" s="13"/>
      <c r="B230" s="13"/>
      <c r="C230" s="13"/>
    </row>
    <row r="231" spans="1:3" ht="50.95" customHeight="1" x14ac:dyDescent="0.3">
      <c r="A231" s="13"/>
      <c r="B231" s="13"/>
      <c r="C231" s="13"/>
    </row>
    <row r="232" spans="1:3" ht="50.95" customHeight="1" x14ac:dyDescent="0.3">
      <c r="A232" s="13"/>
      <c r="B232" s="13"/>
      <c r="C232" s="13"/>
    </row>
    <row r="233" spans="1:3" ht="50.95" customHeight="1" x14ac:dyDescent="0.3">
      <c r="A233" s="13"/>
      <c r="B233" s="13"/>
      <c r="C233" s="13"/>
    </row>
    <row r="234" spans="1:3" ht="50.95" customHeight="1" x14ac:dyDescent="0.3">
      <c r="A234" s="13"/>
      <c r="B234" s="13"/>
      <c r="C234" s="13"/>
    </row>
    <row r="235" spans="1:3" ht="50.95" customHeight="1" x14ac:dyDescent="0.3">
      <c r="A235" s="13"/>
      <c r="B235" s="13"/>
      <c r="C235" s="13"/>
    </row>
    <row r="236" spans="1:3" ht="50.95" customHeight="1" x14ac:dyDescent="0.3">
      <c r="A236" s="13"/>
      <c r="B236" s="13"/>
      <c r="C236" s="13"/>
    </row>
    <row r="237" spans="1:3" ht="50.95" customHeight="1" x14ac:dyDescent="0.3">
      <c r="A237" s="13"/>
      <c r="B237" s="13"/>
      <c r="C237" s="13"/>
    </row>
    <row r="238" spans="1:3" ht="50.95" customHeight="1" x14ac:dyDescent="0.3">
      <c r="A238" s="13"/>
      <c r="B238" s="13"/>
      <c r="C238" s="13"/>
    </row>
    <row r="239" spans="1:3" ht="50.95" customHeight="1" x14ac:dyDescent="0.3">
      <c r="A239" s="13"/>
      <c r="B239" s="13"/>
      <c r="C239" s="13"/>
    </row>
    <row r="240" spans="1:3" ht="50.95" customHeight="1" x14ac:dyDescent="0.3">
      <c r="A240" s="13"/>
      <c r="B240" s="13"/>
      <c r="C240" s="13"/>
    </row>
    <row r="241" spans="1:3" ht="50.95" customHeight="1" x14ac:dyDescent="0.3">
      <c r="A241" s="13"/>
      <c r="B241" s="13"/>
      <c r="C241" s="13"/>
    </row>
    <row r="242" spans="1:3" ht="50.95" customHeight="1" x14ac:dyDescent="0.3">
      <c r="A242" s="13"/>
      <c r="B242" s="13"/>
      <c r="C242" s="13"/>
    </row>
    <row r="243" spans="1:3" ht="50.95" customHeight="1" x14ac:dyDescent="0.3">
      <c r="A243" s="13"/>
      <c r="B243" s="13"/>
      <c r="C243" s="13"/>
    </row>
    <row r="244" spans="1:3" ht="50.95" customHeight="1" x14ac:dyDescent="0.3">
      <c r="A244" s="13"/>
      <c r="B244" s="13"/>
      <c r="C244" s="13"/>
    </row>
    <row r="245" spans="1:3" ht="50.95" customHeight="1" x14ac:dyDescent="0.3">
      <c r="A245" s="13"/>
      <c r="B245" s="13"/>
      <c r="C245" s="13"/>
    </row>
    <row r="246" spans="1:3" ht="50.95" customHeight="1" x14ac:dyDescent="0.3">
      <c r="A246" s="13"/>
      <c r="B246" s="13"/>
      <c r="C246" s="13"/>
    </row>
    <row r="247" spans="1:3" ht="50.95" customHeight="1" x14ac:dyDescent="0.3">
      <c r="A247" s="13"/>
      <c r="B247" s="13"/>
      <c r="C247" s="13"/>
    </row>
    <row r="248" spans="1:3" ht="50.95" customHeight="1" x14ac:dyDescent="0.3">
      <c r="A248" s="13"/>
      <c r="B248" s="13"/>
      <c r="C248" s="13"/>
    </row>
    <row r="249" spans="1:3" ht="50.95" customHeight="1" x14ac:dyDescent="0.3">
      <c r="A249" s="13"/>
      <c r="B249" s="13"/>
      <c r="C249" s="13"/>
    </row>
    <row r="250" spans="1:3" ht="50.95" customHeight="1" x14ac:dyDescent="0.3">
      <c r="A250" s="13"/>
      <c r="B250" s="13"/>
      <c r="C250" s="13"/>
    </row>
    <row r="251" spans="1:3" ht="50.95" customHeight="1" x14ac:dyDescent="0.3">
      <c r="A251" s="13"/>
      <c r="B251" s="13"/>
      <c r="C251" s="13"/>
    </row>
    <row r="252" spans="1:3" ht="50.95" customHeight="1" x14ac:dyDescent="0.3">
      <c r="A252" s="13"/>
      <c r="B252" s="13"/>
      <c r="C252" s="13"/>
    </row>
    <row r="253" spans="1:3" ht="50.95" customHeight="1" x14ac:dyDescent="0.3">
      <c r="A253" s="13"/>
      <c r="B253" s="13"/>
      <c r="C253" s="13"/>
    </row>
    <row r="254" spans="1:3" ht="50.95" customHeight="1" x14ac:dyDescent="0.3">
      <c r="A254" s="13"/>
      <c r="B254" s="13"/>
      <c r="C254" s="13"/>
    </row>
    <row r="255" spans="1:3" ht="50.95" customHeight="1" x14ac:dyDescent="0.3">
      <c r="A255" s="13"/>
      <c r="B255" s="13"/>
      <c r="C255" s="13"/>
    </row>
    <row r="256" spans="1:3" ht="50.95" customHeight="1" x14ac:dyDescent="0.3">
      <c r="A256" s="13"/>
      <c r="B256" s="13"/>
      <c r="C256" s="13"/>
    </row>
    <row r="257" spans="1:3" ht="50.95" customHeight="1" x14ac:dyDescent="0.3">
      <c r="A257" s="13"/>
      <c r="B257" s="13"/>
      <c r="C257" s="13"/>
    </row>
    <row r="258" spans="1:3" ht="50.95" customHeight="1" x14ac:dyDescent="0.3">
      <c r="A258" s="13"/>
      <c r="B258" s="13"/>
      <c r="C258" s="13"/>
    </row>
    <row r="259" spans="1:3" ht="50.95" customHeight="1" x14ac:dyDescent="0.3">
      <c r="A259" s="13"/>
      <c r="B259" s="13"/>
      <c r="C259" s="13"/>
    </row>
    <row r="260" spans="1:3" ht="50.95" customHeight="1" x14ac:dyDescent="0.3">
      <c r="A260" s="13"/>
      <c r="B260" s="13"/>
      <c r="C260" s="13"/>
    </row>
    <row r="261" spans="1:3" ht="50.95" customHeight="1" x14ac:dyDescent="0.3">
      <c r="A261" s="13"/>
      <c r="B261" s="13"/>
      <c r="C261" s="13"/>
    </row>
    <row r="262" spans="1:3" ht="50.95" customHeight="1" x14ac:dyDescent="0.3">
      <c r="A262" s="13"/>
      <c r="B262" s="13"/>
      <c r="C262" s="13"/>
    </row>
    <row r="263" spans="1:3" ht="50.95" customHeight="1" x14ac:dyDescent="0.3">
      <c r="A263" s="13"/>
      <c r="B263" s="13"/>
      <c r="C263" s="13"/>
    </row>
    <row r="264" spans="1:3" ht="50.95" customHeight="1" x14ac:dyDescent="0.3">
      <c r="A264" s="13"/>
      <c r="B264" s="13"/>
      <c r="C264" s="13"/>
    </row>
    <row r="265" spans="1:3" ht="50.95" customHeight="1" x14ac:dyDescent="0.3">
      <c r="A265" s="13"/>
      <c r="B265" s="13"/>
      <c r="C265" s="13"/>
    </row>
    <row r="266" spans="1:3" ht="50.95" customHeight="1" x14ac:dyDescent="0.3">
      <c r="A266" s="13"/>
      <c r="B266" s="13"/>
      <c r="C266" s="13"/>
    </row>
    <row r="267" spans="1:3" ht="50.95" customHeight="1" x14ac:dyDescent="0.3">
      <c r="A267" s="13"/>
      <c r="B267" s="13"/>
      <c r="C267" s="13"/>
    </row>
    <row r="268" spans="1:3" ht="50.95" customHeight="1" x14ac:dyDescent="0.3">
      <c r="A268" s="13"/>
      <c r="B268" s="13"/>
      <c r="C268" s="13"/>
    </row>
    <row r="269" spans="1:3" ht="50.95" customHeight="1" x14ac:dyDescent="0.3">
      <c r="A269" s="13"/>
      <c r="B269" s="13"/>
      <c r="C269" s="13"/>
    </row>
    <row r="270" spans="1:3" ht="50.95" customHeight="1" x14ac:dyDescent="0.3">
      <c r="A270" s="13"/>
      <c r="B270" s="13"/>
      <c r="C270" s="13"/>
    </row>
    <row r="271" spans="1:3" ht="50.95" customHeight="1" x14ac:dyDescent="0.3">
      <c r="A271" s="13"/>
      <c r="B271" s="13"/>
      <c r="C271" s="13"/>
    </row>
    <row r="272" spans="1:3" ht="50.95" customHeight="1" x14ac:dyDescent="0.3">
      <c r="A272" s="13"/>
      <c r="B272" s="13"/>
      <c r="C272" s="13"/>
    </row>
    <row r="273" spans="1:3" ht="50.95" customHeight="1" x14ac:dyDescent="0.3">
      <c r="A273" s="13"/>
      <c r="B273" s="13"/>
      <c r="C273" s="13"/>
    </row>
    <row r="274" spans="1:3" ht="50.95" customHeight="1" x14ac:dyDescent="0.3">
      <c r="A274" s="13"/>
      <c r="B274" s="13"/>
      <c r="C274" s="13"/>
    </row>
    <row r="275" spans="1:3" ht="50.95" customHeight="1" x14ac:dyDescent="0.3">
      <c r="A275" s="13"/>
      <c r="B275" s="13"/>
      <c r="C275" s="13"/>
    </row>
    <row r="276" spans="1:3" ht="50.95" customHeight="1" x14ac:dyDescent="0.3">
      <c r="A276" s="13"/>
      <c r="B276" s="13"/>
      <c r="C276" s="13"/>
    </row>
    <row r="277" spans="1:3" ht="50.95" customHeight="1" x14ac:dyDescent="0.3">
      <c r="A277" s="13"/>
      <c r="B277" s="13"/>
      <c r="C277" s="13"/>
    </row>
    <row r="278" spans="1:3" ht="50.95" customHeight="1" x14ac:dyDescent="0.3">
      <c r="A278" s="13"/>
      <c r="B278" s="13"/>
      <c r="C278" s="13"/>
    </row>
    <row r="279" spans="1:3" ht="50.95" customHeight="1" x14ac:dyDescent="0.3">
      <c r="A279" s="13"/>
      <c r="B279" s="13"/>
      <c r="C279" s="13"/>
    </row>
    <row r="280" spans="1:3" ht="50.95" customHeight="1" x14ac:dyDescent="0.3">
      <c r="A280" s="13"/>
      <c r="B280" s="13"/>
      <c r="C280" s="13"/>
    </row>
    <row r="281" spans="1:3" ht="50.95" customHeight="1" x14ac:dyDescent="0.3">
      <c r="A281" s="13"/>
      <c r="B281" s="13"/>
      <c r="C281" s="13"/>
    </row>
    <row r="282" spans="1:3" ht="50.95" customHeight="1" x14ac:dyDescent="0.3">
      <c r="A282" s="13"/>
      <c r="B282" s="13"/>
      <c r="C282" s="13"/>
    </row>
    <row r="283" spans="1:3" ht="50.95" customHeight="1" x14ac:dyDescent="0.3">
      <c r="A283" s="13"/>
      <c r="B283" s="13"/>
      <c r="C283" s="13"/>
    </row>
    <row r="284" spans="1:3" ht="50.95" customHeight="1" x14ac:dyDescent="0.3">
      <c r="A284" s="13"/>
      <c r="B284" s="13"/>
      <c r="C284" s="13"/>
    </row>
    <row r="285" spans="1:3" ht="50.95" customHeight="1" x14ac:dyDescent="0.3">
      <c r="A285" s="13"/>
      <c r="B285" s="13"/>
      <c r="C285" s="13"/>
    </row>
    <row r="286" spans="1:3" ht="50.95" customHeight="1" x14ac:dyDescent="0.3">
      <c r="A286" s="13"/>
      <c r="B286" s="13"/>
      <c r="C286" s="13"/>
    </row>
    <row r="287" spans="1:3" ht="50.95" customHeight="1" x14ac:dyDescent="0.3">
      <c r="A287" s="13"/>
      <c r="B287" s="13"/>
      <c r="C287" s="13"/>
    </row>
    <row r="288" spans="1:3" ht="50.95" customHeight="1" x14ac:dyDescent="0.3">
      <c r="A288" s="13"/>
      <c r="B288" s="13"/>
      <c r="C288" s="13"/>
    </row>
    <row r="289" spans="1:3" ht="50.95" customHeight="1" x14ac:dyDescent="0.3">
      <c r="A289" s="13"/>
      <c r="B289" s="13"/>
      <c r="C289" s="13"/>
    </row>
    <row r="290" spans="1:3" ht="50.95" customHeight="1" x14ac:dyDescent="0.3">
      <c r="A290" s="13"/>
      <c r="B290" s="13"/>
      <c r="C290" s="13"/>
    </row>
    <row r="291" spans="1:3" ht="50.95" customHeight="1" x14ac:dyDescent="0.3">
      <c r="A291" s="13"/>
      <c r="B291" s="13"/>
      <c r="C291" s="13"/>
    </row>
    <row r="292" spans="1:3" ht="50.95" customHeight="1" x14ac:dyDescent="0.3">
      <c r="A292" s="13"/>
      <c r="B292" s="13"/>
      <c r="C292" s="13"/>
    </row>
    <row r="293" spans="1:3" ht="50.95" customHeight="1" x14ac:dyDescent="0.3">
      <c r="A293" s="13"/>
      <c r="B293" s="13"/>
      <c r="C293" s="13"/>
    </row>
    <row r="294" spans="1:3" ht="50.95" customHeight="1" x14ac:dyDescent="0.3">
      <c r="A294" s="13"/>
      <c r="B294" s="13"/>
      <c r="C294" s="13"/>
    </row>
    <row r="295" spans="1:3" ht="50.95" customHeight="1" x14ac:dyDescent="0.3">
      <c r="A295" s="13"/>
      <c r="B295" s="13"/>
      <c r="C295" s="13"/>
    </row>
    <row r="296" spans="1:3" ht="50.95" customHeight="1" x14ac:dyDescent="0.3">
      <c r="A296" s="13"/>
      <c r="B296" s="13"/>
      <c r="C296" s="13"/>
    </row>
    <row r="297" spans="1:3" ht="50.95" customHeight="1" x14ac:dyDescent="0.3">
      <c r="A297" s="13"/>
      <c r="B297" s="13"/>
      <c r="C297" s="13"/>
    </row>
    <row r="298" spans="1:3" ht="50.95" customHeight="1" x14ac:dyDescent="0.3">
      <c r="A298" s="13"/>
      <c r="B298" s="13"/>
      <c r="C298" s="13"/>
    </row>
    <row r="299" spans="1:3" ht="50.95" customHeight="1" x14ac:dyDescent="0.3">
      <c r="A299" s="13"/>
      <c r="B299" s="13"/>
      <c r="C299" s="13"/>
    </row>
    <row r="300" spans="1:3" ht="50.95" customHeight="1" x14ac:dyDescent="0.3">
      <c r="A300" s="13"/>
      <c r="B300" s="13"/>
      <c r="C300" s="13"/>
    </row>
    <row r="301" spans="1:3" ht="50.95" customHeight="1" x14ac:dyDescent="0.3">
      <c r="A301" s="13"/>
      <c r="B301" s="13"/>
      <c r="C301" s="13"/>
    </row>
    <row r="302" spans="1:3" ht="50.95" customHeight="1" x14ac:dyDescent="0.3">
      <c r="A302" s="13"/>
      <c r="B302" s="13"/>
      <c r="C302" s="13"/>
    </row>
    <row r="303" spans="1:3" ht="50.95" customHeight="1" x14ac:dyDescent="0.3">
      <c r="A303" s="13"/>
      <c r="B303" s="13"/>
      <c r="C303" s="13"/>
    </row>
    <row r="304" spans="1:3" ht="50.95" customHeight="1" x14ac:dyDescent="0.3">
      <c r="A304" s="13"/>
      <c r="B304" s="13"/>
      <c r="C304" s="13"/>
    </row>
    <row r="305" spans="1:3" ht="50.95" customHeight="1" x14ac:dyDescent="0.3">
      <c r="A305" s="13"/>
      <c r="B305" s="13"/>
      <c r="C305" s="13"/>
    </row>
    <row r="306" spans="1:3" ht="50.95" customHeight="1" x14ac:dyDescent="0.3">
      <c r="A306" s="13"/>
      <c r="B306" s="13"/>
      <c r="C306" s="13"/>
    </row>
    <row r="307" spans="1:3" ht="50.95" customHeight="1" x14ac:dyDescent="0.3">
      <c r="A307" s="13"/>
      <c r="B307" s="13"/>
      <c r="C307" s="13"/>
    </row>
    <row r="308" spans="1:3" ht="50.95" customHeight="1" x14ac:dyDescent="0.3">
      <c r="A308" s="13"/>
      <c r="B308" s="13"/>
      <c r="C308" s="13"/>
    </row>
    <row r="309" spans="1:3" ht="50.95" customHeight="1" x14ac:dyDescent="0.3">
      <c r="A309" s="13"/>
      <c r="B309" s="13"/>
      <c r="C309" s="13"/>
    </row>
    <row r="310" spans="1:3" ht="50.95" customHeight="1" x14ac:dyDescent="0.3">
      <c r="A310" s="13"/>
      <c r="B310" s="13"/>
      <c r="C310" s="13"/>
    </row>
    <row r="311" spans="1:3" ht="50.95" customHeight="1" x14ac:dyDescent="0.3">
      <c r="A311" s="13"/>
      <c r="B311" s="13"/>
      <c r="C311" s="13"/>
    </row>
    <row r="312" spans="1:3" ht="50.95" customHeight="1" x14ac:dyDescent="0.3">
      <c r="A312" s="13"/>
      <c r="B312" s="13"/>
      <c r="C312" s="13"/>
    </row>
    <row r="313" spans="1:3" ht="50.95" customHeight="1" x14ac:dyDescent="0.3">
      <c r="A313" s="13"/>
      <c r="B313" s="13"/>
      <c r="C313" s="13"/>
    </row>
    <row r="314" spans="1:3" ht="50.95" customHeight="1" x14ac:dyDescent="0.3">
      <c r="A314" s="13"/>
      <c r="B314" s="13"/>
      <c r="C314" s="13"/>
    </row>
    <row r="315" spans="1:3" ht="50.95" customHeight="1" x14ac:dyDescent="0.3">
      <c r="A315" s="13"/>
      <c r="B315" s="13"/>
      <c r="C315" s="13"/>
    </row>
    <row r="316" spans="1:3" ht="50.95" customHeight="1" x14ac:dyDescent="0.3">
      <c r="A316" s="13"/>
      <c r="B316" s="13"/>
      <c r="C316" s="13"/>
    </row>
    <row r="317" spans="1:3" ht="50.95" customHeight="1" x14ac:dyDescent="0.3">
      <c r="A317" s="13"/>
      <c r="B317" s="13"/>
      <c r="C317" s="13"/>
    </row>
    <row r="318" spans="1:3" ht="50.95" customHeight="1" x14ac:dyDescent="0.3">
      <c r="A318" s="13"/>
      <c r="B318" s="13"/>
      <c r="C318" s="13"/>
    </row>
    <row r="319" spans="1:3" ht="50.95" customHeight="1" x14ac:dyDescent="0.3">
      <c r="A319" s="13"/>
      <c r="B319" s="13"/>
      <c r="C319" s="13"/>
    </row>
    <row r="320" spans="1:3" ht="50.95" customHeight="1" x14ac:dyDescent="0.3">
      <c r="A320" s="13"/>
      <c r="B320" s="13"/>
      <c r="C320" s="13"/>
    </row>
    <row r="321" spans="1:3" ht="50.95" customHeight="1" x14ac:dyDescent="0.3">
      <c r="A321" s="13"/>
      <c r="B321" s="13"/>
      <c r="C321" s="13"/>
    </row>
    <row r="322" spans="1:3" ht="50.95" customHeight="1" x14ac:dyDescent="0.3">
      <c r="A322" s="13"/>
      <c r="B322" s="13"/>
      <c r="C322" s="13"/>
    </row>
    <row r="323" spans="1:3" ht="50.95" customHeight="1" x14ac:dyDescent="0.3">
      <c r="A323" s="13"/>
      <c r="B323" s="13"/>
      <c r="C323" s="13"/>
    </row>
    <row r="324" spans="1:3" ht="50.95" customHeight="1" x14ac:dyDescent="0.3">
      <c r="A324" s="13"/>
      <c r="B324" s="13"/>
      <c r="C324" s="13"/>
    </row>
    <row r="325" spans="1:3" ht="50.95" customHeight="1" x14ac:dyDescent="0.3">
      <c r="A325" s="13"/>
      <c r="B325" s="13"/>
      <c r="C325" s="13"/>
    </row>
    <row r="326" spans="1:3" ht="50.95" customHeight="1" x14ac:dyDescent="0.3">
      <c r="A326" s="13"/>
      <c r="B326" s="13"/>
      <c r="C326" s="13"/>
    </row>
    <row r="327" spans="1:3" ht="50.95" customHeight="1" x14ac:dyDescent="0.3">
      <c r="A327" s="13"/>
      <c r="B327" s="13"/>
      <c r="C327" s="13"/>
    </row>
    <row r="328" spans="1:3" ht="50.95" customHeight="1" x14ac:dyDescent="0.3">
      <c r="A328" s="13"/>
      <c r="B328" s="13"/>
      <c r="C328" s="13"/>
    </row>
    <row r="329" spans="1:3" ht="50.95" customHeight="1" x14ac:dyDescent="0.3">
      <c r="A329" s="13"/>
      <c r="B329" s="13"/>
      <c r="C329" s="13"/>
    </row>
    <row r="330" spans="1:3" ht="50.95" customHeight="1" x14ac:dyDescent="0.3">
      <c r="A330" s="13"/>
      <c r="B330" s="13"/>
      <c r="C330" s="13"/>
    </row>
    <row r="331" spans="1:3" ht="50.95" customHeight="1" x14ac:dyDescent="0.3">
      <c r="A331" s="13"/>
      <c r="B331" s="13"/>
      <c r="C331" s="13"/>
    </row>
    <row r="332" spans="1:3" ht="50.95" customHeight="1" x14ac:dyDescent="0.3">
      <c r="A332" s="13"/>
      <c r="B332" s="13"/>
      <c r="C332" s="13"/>
    </row>
    <row r="333" spans="1:3" ht="50.95" customHeight="1" x14ac:dyDescent="0.3">
      <c r="A333" s="13"/>
      <c r="B333" s="13"/>
      <c r="C333" s="13"/>
    </row>
    <row r="334" spans="1:3" ht="50.95" customHeight="1" x14ac:dyDescent="0.3">
      <c r="A334" s="13"/>
      <c r="B334" s="13"/>
      <c r="C334" s="13"/>
    </row>
    <row r="335" spans="1:3" ht="50.95" customHeight="1" x14ac:dyDescent="0.3">
      <c r="A335" s="13"/>
      <c r="B335" s="13"/>
      <c r="C335" s="13"/>
    </row>
    <row r="336" spans="1:3" ht="50.95" customHeight="1" x14ac:dyDescent="0.3">
      <c r="A336" s="13"/>
      <c r="B336" s="13"/>
      <c r="C336" s="13"/>
    </row>
    <row r="337" spans="1:3" ht="50.95" customHeight="1" x14ac:dyDescent="0.3">
      <c r="A337" s="13"/>
      <c r="B337" s="13"/>
      <c r="C337" s="13"/>
    </row>
    <row r="338" spans="1:3" ht="50.95" customHeight="1" x14ac:dyDescent="0.3">
      <c r="A338" s="13"/>
      <c r="B338" s="13"/>
      <c r="C338" s="13"/>
    </row>
    <row r="339" spans="1:3" ht="50.95" customHeight="1" x14ac:dyDescent="0.3">
      <c r="A339" s="13"/>
      <c r="B339" s="13"/>
      <c r="C339" s="13"/>
    </row>
    <row r="340" spans="1:3" ht="50.95" customHeight="1" x14ac:dyDescent="0.3">
      <c r="A340" s="13"/>
      <c r="B340" s="13"/>
      <c r="C340" s="13"/>
    </row>
    <row r="341" spans="1:3" ht="50.95" customHeight="1" x14ac:dyDescent="0.3">
      <c r="A341" s="13"/>
      <c r="B341" s="13"/>
      <c r="C341" s="13"/>
    </row>
    <row r="342" spans="1:3" ht="50.95" customHeight="1" x14ac:dyDescent="0.3">
      <c r="A342" s="13"/>
      <c r="B342" s="13"/>
      <c r="C342" s="13"/>
    </row>
    <row r="343" spans="1:3" ht="50.95" customHeight="1" x14ac:dyDescent="0.3">
      <c r="A343" s="13"/>
      <c r="B343" s="13"/>
      <c r="C343" s="13"/>
    </row>
    <row r="344" spans="1:3" ht="50.95" customHeight="1" x14ac:dyDescent="0.3">
      <c r="A344" s="13"/>
      <c r="B344" s="13"/>
      <c r="C344" s="13"/>
    </row>
    <row r="345" spans="1:3" ht="50.95" customHeight="1" x14ac:dyDescent="0.3">
      <c r="A345" s="13"/>
      <c r="B345" s="13"/>
      <c r="C345" s="13"/>
    </row>
    <row r="346" spans="1:3" ht="50.95" customHeight="1" x14ac:dyDescent="0.3">
      <c r="A346" s="13"/>
      <c r="B346" s="13"/>
      <c r="C346" s="13"/>
    </row>
    <row r="347" spans="1:3" ht="50.95" customHeight="1" x14ac:dyDescent="0.3">
      <c r="A347" s="13"/>
      <c r="B347" s="13"/>
      <c r="C347" s="13"/>
    </row>
    <row r="348" spans="1:3" ht="50.95" customHeight="1" x14ac:dyDescent="0.3">
      <c r="A348" s="13"/>
      <c r="B348" s="13"/>
      <c r="C348" s="13"/>
    </row>
    <row r="349" spans="1:3" ht="50.95" customHeight="1" x14ac:dyDescent="0.3">
      <c r="A349" s="13"/>
      <c r="B349" s="13"/>
      <c r="C349" s="13"/>
    </row>
    <row r="350" spans="1:3" ht="50.95" customHeight="1" x14ac:dyDescent="0.3">
      <c r="A350" s="13"/>
      <c r="B350" s="13"/>
      <c r="C350" s="13"/>
    </row>
    <row r="351" spans="1:3" ht="50.95" customHeight="1" x14ac:dyDescent="0.3">
      <c r="A351" s="13"/>
      <c r="B351" s="13"/>
      <c r="C351" s="13"/>
    </row>
    <row r="352" spans="1:3" ht="50.95" customHeight="1" x14ac:dyDescent="0.3">
      <c r="A352" s="13"/>
      <c r="B352" s="13"/>
      <c r="C352" s="13"/>
    </row>
    <row r="353" spans="1:3" ht="50.95" customHeight="1" x14ac:dyDescent="0.3">
      <c r="A353" s="13"/>
      <c r="B353" s="13"/>
      <c r="C353" s="13"/>
    </row>
    <row r="354" spans="1:3" ht="50.95" customHeight="1" x14ac:dyDescent="0.3">
      <c r="A354" s="13"/>
      <c r="B354" s="13"/>
      <c r="C354" s="13"/>
    </row>
    <row r="355" spans="1:3" ht="50.95" customHeight="1" x14ac:dyDescent="0.3">
      <c r="A355" s="13"/>
      <c r="B355" s="13"/>
      <c r="C355" s="13"/>
    </row>
    <row r="356" spans="1:3" ht="50.95" customHeight="1" x14ac:dyDescent="0.3">
      <c r="A356" s="13"/>
      <c r="B356" s="13"/>
      <c r="C356" s="13"/>
    </row>
    <row r="357" spans="1:3" ht="50.95" customHeight="1" x14ac:dyDescent="0.3">
      <c r="A357" s="13"/>
      <c r="B357" s="13"/>
      <c r="C357" s="13"/>
    </row>
    <row r="358" spans="1:3" ht="50.95" customHeight="1" x14ac:dyDescent="0.3">
      <c r="A358" s="13"/>
      <c r="B358" s="13"/>
      <c r="C358" s="13"/>
    </row>
    <row r="359" spans="1:3" ht="50.95" customHeight="1" x14ac:dyDescent="0.3">
      <c r="A359" s="13"/>
      <c r="B359" s="13"/>
      <c r="C359" s="13"/>
    </row>
    <row r="360" spans="1:3" ht="50.95" customHeight="1" x14ac:dyDescent="0.3">
      <c r="A360" s="13"/>
      <c r="B360" s="13"/>
      <c r="C360" s="13"/>
    </row>
    <row r="361" spans="1:3" ht="50.95" customHeight="1" x14ac:dyDescent="0.3">
      <c r="A361" s="13"/>
      <c r="B361" s="13"/>
      <c r="C361" s="13"/>
    </row>
    <row r="362" spans="1:3" ht="50.95" customHeight="1" x14ac:dyDescent="0.3">
      <c r="A362" s="13"/>
      <c r="B362" s="13"/>
      <c r="C362" s="13"/>
    </row>
    <row r="363" spans="1:3" ht="50.95" customHeight="1" x14ac:dyDescent="0.3">
      <c r="A363" s="13"/>
      <c r="B363" s="13"/>
      <c r="C363" s="13"/>
    </row>
    <row r="364" spans="1:3" ht="50.95" customHeight="1" x14ac:dyDescent="0.3">
      <c r="A364" s="13"/>
      <c r="B364" s="13"/>
      <c r="C364" s="13"/>
    </row>
    <row r="365" spans="1:3" ht="50.95" customHeight="1" x14ac:dyDescent="0.3">
      <c r="A365" s="13"/>
      <c r="B365" s="13"/>
      <c r="C365" s="13"/>
    </row>
    <row r="366" spans="1:3" ht="50.95" customHeight="1" x14ac:dyDescent="0.3">
      <c r="A366" s="13"/>
      <c r="B366" s="13"/>
      <c r="C366" s="13"/>
    </row>
    <row r="367" spans="1:3" ht="50.95" customHeight="1" x14ac:dyDescent="0.3">
      <c r="A367" s="13"/>
      <c r="B367" s="13"/>
      <c r="C367" s="13"/>
    </row>
    <row r="368" spans="1:3" ht="50.95" customHeight="1" x14ac:dyDescent="0.3">
      <c r="A368" s="13"/>
      <c r="B368" s="13"/>
      <c r="C368" s="13"/>
    </row>
    <row r="369" spans="1:3" ht="50.95" customHeight="1" x14ac:dyDescent="0.3">
      <c r="A369" s="13"/>
      <c r="B369" s="13"/>
      <c r="C369" s="13"/>
    </row>
    <row r="370" spans="1:3" ht="50.95" customHeight="1" x14ac:dyDescent="0.3">
      <c r="A370" s="13"/>
      <c r="B370" s="13"/>
      <c r="C370" s="13"/>
    </row>
    <row r="371" spans="1:3" ht="50.95" customHeight="1" x14ac:dyDescent="0.3">
      <c r="A371" s="13"/>
      <c r="B371" s="13"/>
      <c r="C371" s="13"/>
    </row>
    <row r="372" spans="1:3" ht="50.95" customHeight="1" x14ac:dyDescent="0.3">
      <c r="A372" s="13"/>
      <c r="B372" s="13"/>
      <c r="C372" s="13"/>
    </row>
    <row r="373" spans="1:3" ht="50.95" customHeight="1" x14ac:dyDescent="0.3">
      <c r="A373" s="13"/>
      <c r="B373" s="13"/>
      <c r="C373" s="13"/>
    </row>
    <row r="374" spans="1:3" ht="50.95" customHeight="1" x14ac:dyDescent="0.3">
      <c r="A374" s="13"/>
      <c r="B374" s="13"/>
      <c r="C374" s="13"/>
    </row>
    <row r="375" spans="1:3" ht="50.95" customHeight="1" x14ac:dyDescent="0.3">
      <c r="A375" s="13"/>
      <c r="B375" s="13"/>
      <c r="C375" s="13"/>
    </row>
    <row r="376" spans="1:3" ht="50.95" customHeight="1" x14ac:dyDescent="0.3">
      <c r="A376" s="13"/>
      <c r="B376" s="13"/>
      <c r="C376" s="13"/>
    </row>
    <row r="377" spans="1:3" ht="50.95" customHeight="1" x14ac:dyDescent="0.3">
      <c r="A377" s="13"/>
      <c r="B377" s="13"/>
      <c r="C377" s="13"/>
    </row>
    <row r="378" spans="1:3" ht="50.95" customHeight="1" x14ac:dyDescent="0.3">
      <c r="A378" s="13"/>
      <c r="B378" s="13"/>
      <c r="C378" s="13"/>
    </row>
    <row r="379" spans="1:3" ht="50.95" customHeight="1" x14ac:dyDescent="0.3">
      <c r="A379" s="13"/>
      <c r="B379" s="13"/>
      <c r="C379" s="13"/>
    </row>
    <row r="380" spans="1:3" ht="50.95" customHeight="1" x14ac:dyDescent="0.3">
      <c r="A380" s="13"/>
      <c r="B380" s="13"/>
      <c r="C380" s="13"/>
    </row>
    <row r="381" spans="1:3" ht="50.95" customHeight="1" x14ac:dyDescent="0.3">
      <c r="A381" s="13"/>
      <c r="B381" s="13"/>
      <c r="C381" s="13"/>
    </row>
    <row r="382" spans="1:3" ht="50.95" customHeight="1" x14ac:dyDescent="0.3">
      <c r="A382" s="13"/>
      <c r="B382" s="13"/>
      <c r="C382" s="13"/>
    </row>
    <row r="383" spans="1:3" ht="50.95" customHeight="1" x14ac:dyDescent="0.3">
      <c r="A383" s="13"/>
      <c r="B383" s="13"/>
      <c r="C383" s="13"/>
    </row>
    <row r="384" spans="1:3" ht="50.95" customHeight="1" x14ac:dyDescent="0.3">
      <c r="A384" s="13"/>
      <c r="B384" s="13"/>
      <c r="C384" s="13"/>
    </row>
    <row r="385" spans="1:3" ht="50.95" customHeight="1" x14ac:dyDescent="0.3">
      <c r="A385" s="13"/>
      <c r="B385" s="13"/>
      <c r="C385" s="13"/>
    </row>
    <row r="386" spans="1:3" ht="50.95" customHeight="1" x14ac:dyDescent="0.3">
      <c r="A386" s="13"/>
      <c r="B386" s="13"/>
      <c r="C386" s="13"/>
    </row>
    <row r="387" spans="1:3" ht="50.95" customHeight="1" x14ac:dyDescent="0.3">
      <c r="A387" s="13"/>
      <c r="B387" s="13"/>
      <c r="C387" s="13"/>
    </row>
    <row r="388" spans="1:3" ht="50.95" customHeight="1" x14ac:dyDescent="0.3">
      <c r="A388" s="13"/>
      <c r="B388" s="13"/>
      <c r="C388" s="13"/>
    </row>
    <row r="389" spans="1:3" ht="50.95" customHeight="1" x14ac:dyDescent="0.3">
      <c r="A389" s="13"/>
      <c r="B389" s="13"/>
      <c r="C389" s="13"/>
    </row>
    <row r="390" spans="1:3" ht="50.95" customHeight="1" x14ac:dyDescent="0.3">
      <c r="A390" s="13"/>
      <c r="B390" s="13"/>
      <c r="C390" s="13"/>
    </row>
    <row r="391" spans="1:3" ht="50.95" customHeight="1" x14ac:dyDescent="0.3">
      <c r="A391" s="13"/>
      <c r="B391" s="13"/>
      <c r="C391" s="13"/>
    </row>
    <row r="392" spans="1:3" ht="50.95" customHeight="1" x14ac:dyDescent="0.3">
      <c r="A392" s="13"/>
      <c r="B392" s="13"/>
      <c r="C392" s="13"/>
    </row>
    <row r="393" spans="1:3" ht="50.95" customHeight="1" x14ac:dyDescent="0.3">
      <c r="A393" s="13"/>
      <c r="B393" s="13"/>
      <c r="C393" s="13"/>
    </row>
    <row r="394" spans="1:3" ht="50.95" customHeight="1" x14ac:dyDescent="0.3">
      <c r="A394" s="13"/>
      <c r="B394" s="13"/>
      <c r="C394" s="13"/>
    </row>
    <row r="395" spans="1:3" ht="50.95" customHeight="1" x14ac:dyDescent="0.3">
      <c r="A395" s="13"/>
      <c r="B395" s="13"/>
      <c r="C395" s="13"/>
    </row>
    <row r="396" spans="1:3" ht="50.95" customHeight="1" x14ac:dyDescent="0.3">
      <c r="A396" s="13"/>
      <c r="B396" s="13"/>
      <c r="C396" s="13"/>
    </row>
    <row r="397" spans="1:3" ht="50.95" customHeight="1" x14ac:dyDescent="0.3">
      <c r="A397" s="13"/>
      <c r="B397" s="13"/>
      <c r="C397" s="13"/>
    </row>
    <row r="398" spans="1:3" ht="50.95" customHeight="1" x14ac:dyDescent="0.3">
      <c r="A398" s="13"/>
      <c r="B398" s="13"/>
      <c r="C398" s="13"/>
    </row>
    <row r="399" spans="1:3" ht="50.95" customHeight="1" x14ac:dyDescent="0.3">
      <c r="A399" s="13"/>
      <c r="B399" s="13"/>
      <c r="C399" s="13"/>
    </row>
    <row r="400" spans="1:3" ht="50.95" customHeight="1" x14ac:dyDescent="0.3">
      <c r="A400" s="13"/>
      <c r="B400" s="13"/>
      <c r="C400" s="13"/>
    </row>
    <row r="401" spans="1:3" ht="50.95" customHeight="1" x14ac:dyDescent="0.3">
      <c r="A401" s="13"/>
      <c r="B401" s="13"/>
      <c r="C401" s="13"/>
    </row>
    <row r="402" spans="1:3" ht="50.95" customHeight="1" x14ac:dyDescent="0.3">
      <c r="A402" s="13"/>
      <c r="B402" s="13"/>
      <c r="C402" s="13"/>
    </row>
    <row r="403" spans="1:3" ht="50.95" customHeight="1" x14ac:dyDescent="0.3">
      <c r="A403" s="13"/>
      <c r="B403" s="13"/>
      <c r="C403" s="13"/>
    </row>
    <row r="404" spans="1:3" ht="50.95" customHeight="1" x14ac:dyDescent="0.3">
      <c r="A404" s="13"/>
      <c r="B404" s="13"/>
      <c r="C404" s="13"/>
    </row>
    <row r="405" spans="1:3" ht="50.95" customHeight="1" x14ac:dyDescent="0.3">
      <c r="A405" s="13"/>
      <c r="B405" s="13"/>
      <c r="C405" s="13"/>
    </row>
    <row r="406" spans="1:3" ht="50.95" customHeight="1" x14ac:dyDescent="0.3">
      <c r="A406" s="13"/>
      <c r="B406" s="13"/>
      <c r="C406" s="13"/>
    </row>
    <row r="407" spans="1:3" ht="50.95" customHeight="1" x14ac:dyDescent="0.3">
      <c r="A407" s="13"/>
      <c r="B407" s="13"/>
      <c r="C407" s="13"/>
    </row>
    <row r="408" spans="1:3" ht="50.95" customHeight="1" x14ac:dyDescent="0.3">
      <c r="A408" s="13"/>
      <c r="B408" s="13"/>
      <c r="C408" s="13"/>
    </row>
    <row r="409" spans="1:3" ht="50.95" customHeight="1" x14ac:dyDescent="0.3">
      <c r="A409" s="13"/>
      <c r="B409" s="13"/>
      <c r="C409" s="13"/>
    </row>
    <row r="410" spans="1:3" ht="50.95" customHeight="1" x14ac:dyDescent="0.3">
      <c r="A410" s="13"/>
      <c r="B410" s="13"/>
      <c r="C410" s="13"/>
    </row>
    <row r="411" spans="1:3" ht="50.95" customHeight="1" x14ac:dyDescent="0.3">
      <c r="A411" s="13"/>
      <c r="B411" s="13"/>
      <c r="C411" s="13"/>
    </row>
    <row r="412" spans="1:3" ht="50.95" customHeight="1" x14ac:dyDescent="0.3">
      <c r="A412" s="13"/>
      <c r="B412" s="13"/>
      <c r="C412" s="13"/>
    </row>
    <row r="413" spans="1:3" ht="50.95" customHeight="1" x14ac:dyDescent="0.3">
      <c r="A413" s="13"/>
      <c r="B413" s="13"/>
      <c r="C413" s="13"/>
    </row>
    <row r="414" spans="1:3" ht="50.95" customHeight="1" x14ac:dyDescent="0.3">
      <c r="A414" s="13"/>
      <c r="B414" s="13"/>
      <c r="C414" s="13"/>
    </row>
    <row r="415" spans="1:3" ht="50.95" customHeight="1" x14ac:dyDescent="0.3">
      <c r="A415" s="13"/>
      <c r="B415" s="13"/>
      <c r="C415" s="13"/>
    </row>
    <row r="416" spans="1:3" ht="50.95" customHeight="1" x14ac:dyDescent="0.3">
      <c r="A416" s="13"/>
      <c r="B416" s="13"/>
      <c r="C416" s="13"/>
    </row>
    <row r="417" spans="1:3" ht="50.95" customHeight="1" x14ac:dyDescent="0.3">
      <c r="A417" s="13"/>
      <c r="B417" s="13"/>
      <c r="C417" s="13"/>
    </row>
    <row r="418" spans="1:3" ht="50.95" customHeight="1" x14ac:dyDescent="0.3">
      <c r="A418" s="13"/>
      <c r="B418" s="13"/>
      <c r="C418" s="13"/>
    </row>
    <row r="419" spans="1:3" ht="50.95" customHeight="1" x14ac:dyDescent="0.3">
      <c r="A419" s="13"/>
      <c r="B419" s="13"/>
      <c r="C419" s="13"/>
    </row>
    <row r="420" spans="1:3" ht="50.95" customHeight="1" x14ac:dyDescent="0.3">
      <c r="A420" s="13"/>
      <c r="B420" s="13"/>
      <c r="C420" s="13"/>
    </row>
    <row r="421" spans="1:3" ht="50.95" customHeight="1" x14ac:dyDescent="0.3">
      <c r="A421" s="13"/>
      <c r="B421" s="13"/>
      <c r="C421" s="13"/>
    </row>
    <row r="422" spans="1:3" ht="50.95" customHeight="1" x14ac:dyDescent="0.3">
      <c r="A422" s="13"/>
      <c r="B422" s="13"/>
      <c r="C422" s="13"/>
    </row>
    <row r="423" spans="1:3" ht="50.95" customHeight="1" x14ac:dyDescent="0.3">
      <c r="A423" s="13"/>
      <c r="B423" s="13"/>
      <c r="C423" s="13"/>
    </row>
    <row r="424" spans="1:3" ht="50.95" customHeight="1" x14ac:dyDescent="0.3">
      <c r="A424" s="13"/>
      <c r="B424" s="13"/>
      <c r="C424" s="13"/>
    </row>
    <row r="425" spans="1:3" ht="50.95" customHeight="1" x14ac:dyDescent="0.3">
      <c r="A425" s="13"/>
      <c r="B425" s="13"/>
      <c r="C425" s="13"/>
    </row>
    <row r="426" spans="1:3" ht="50.95" customHeight="1" x14ac:dyDescent="0.3">
      <c r="A426" s="13"/>
      <c r="B426" s="13"/>
      <c r="C426" s="13"/>
    </row>
    <row r="427" spans="1:3" ht="50.95" customHeight="1" x14ac:dyDescent="0.3">
      <c r="A427" s="13"/>
      <c r="B427" s="13"/>
      <c r="C427" s="13"/>
    </row>
    <row r="428" spans="1:3" ht="50.95" customHeight="1" x14ac:dyDescent="0.3">
      <c r="A428" s="13"/>
      <c r="B428" s="13"/>
      <c r="C428" s="13"/>
    </row>
    <row r="429" spans="1:3" ht="50.95" customHeight="1" x14ac:dyDescent="0.3">
      <c r="A429" s="13"/>
      <c r="B429" s="13"/>
      <c r="C429" s="13"/>
    </row>
    <row r="430" spans="1:3" ht="50.95" customHeight="1" x14ac:dyDescent="0.3">
      <c r="A430" s="13"/>
      <c r="B430" s="13"/>
      <c r="C430" s="13"/>
    </row>
    <row r="431" spans="1:3" ht="50.95" customHeight="1" x14ac:dyDescent="0.3">
      <c r="A431" s="13"/>
      <c r="B431" s="13"/>
      <c r="C431" s="13"/>
    </row>
    <row r="432" spans="1:3" ht="50.95" customHeight="1" x14ac:dyDescent="0.3">
      <c r="A432" s="13"/>
      <c r="B432" s="13"/>
      <c r="C432" s="13"/>
    </row>
    <row r="433" spans="1:3" ht="50.95" customHeight="1" x14ac:dyDescent="0.3">
      <c r="A433" s="13"/>
      <c r="B433" s="13"/>
      <c r="C433" s="13"/>
    </row>
    <row r="434" spans="1:3" ht="50.95" customHeight="1" x14ac:dyDescent="0.3">
      <c r="A434" s="13"/>
      <c r="B434" s="13"/>
      <c r="C434" s="13"/>
    </row>
    <row r="435" spans="1:3" ht="50.95" customHeight="1" x14ac:dyDescent="0.3">
      <c r="A435" s="13"/>
      <c r="B435" s="13"/>
      <c r="C435" s="13"/>
    </row>
    <row r="436" spans="1:3" ht="50.95" customHeight="1" x14ac:dyDescent="0.3">
      <c r="A436" s="13"/>
      <c r="B436" s="13"/>
      <c r="C436" s="13"/>
    </row>
    <row r="437" spans="1:3" ht="50.95" customHeight="1" x14ac:dyDescent="0.3">
      <c r="A437" s="13"/>
      <c r="B437" s="13"/>
      <c r="C437" s="13"/>
    </row>
    <row r="438" spans="1:3" ht="50.95" customHeight="1" x14ac:dyDescent="0.3">
      <c r="A438" s="13"/>
      <c r="B438" s="13"/>
      <c r="C438" s="13"/>
    </row>
    <row r="439" spans="1:3" ht="50.95" customHeight="1" x14ac:dyDescent="0.3">
      <c r="A439" s="13"/>
      <c r="B439" s="13"/>
      <c r="C439" s="13"/>
    </row>
    <row r="440" spans="1:3" ht="50.95" customHeight="1" x14ac:dyDescent="0.3">
      <c r="A440" s="13"/>
      <c r="B440" s="13"/>
      <c r="C440" s="13"/>
    </row>
    <row r="441" spans="1:3" ht="50.95" customHeight="1" x14ac:dyDescent="0.3">
      <c r="A441" s="13"/>
      <c r="B441" s="13"/>
      <c r="C441" s="13"/>
    </row>
    <row r="442" spans="1:3" ht="50.95" customHeight="1" x14ac:dyDescent="0.3">
      <c r="A442" s="13"/>
      <c r="B442" s="13"/>
      <c r="C442" s="13"/>
    </row>
    <row r="443" spans="1:3" ht="50.95" customHeight="1" x14ac:dyDescent="0.3">
      <c r="A443" s="13"/>
      <c r="B443" s="13"/>
      <c r="C443" s="13"/>
    </row>
    <row r="444" spans="1:3" ht="50.95" customHeight="1" x14ac:dyDescent="0.3">
      <c r="A444" s="13"/>
      <c r="B444" s="13"/>
      <c r="C444" s="13"/>
    </row>
    <row r="445" spans="1:3" ht="50.95" customHeight="1" x14ac:dyDescent="0.3">
      <c r="A445" s="13"/>
      <c r="B445" s="13"/>
      <c r="C445" s="13"/>
    </row>
    <row r="446" spans="1:3" ht="50.95" customHeight="1" x14ac:dyDescent="0.3">
      <c r="A446" s="13"/>
      <c r="B446" s="13"/>
      <c r="C446" s="13"/>
    </row>
    <row r="447" spans="1:3" ht="50.95" customHeight="1" x14ac:dyDescent="0.3">
      <c r="A447" s="13"/>
      <c r="B447" s="13"/>
      <c r="C447" s="13"/>
    </row>
    <row r="448" spans="1:3" ht="50.95" customHeight="1" x14ac:dyDescent="0.3">
      <c r="A448" s="13"/>
      <c r="B448" s="13"/>
      <c r="C448" s="13"/>
    </row>
    <row r="449" spans="1:3" ht="50.95" customHeight="1" x14ac:dyDescent="0.3">
      <c r="A449" s="13"/>
      <c r="B449" s="13"/>
      <c r="C449" s="13"/>
    </row>
    <row r="450" spans="1:3" ht="50.95" customHeight="1" x14ac:dyDescent="0.3">
      <c r="A450" s="13"/>
      <c r="B450" s="13"/>
      <c r="C450" s="13"/>
    </row>
    <row r="451" spans="1:3" ht="50.95" customHeight="1" x14ac:dyDescent="0.3">
      <c r="A451" s="13"/>
      <c r="B451" s="13"/>
      <c r="C451" s="13"/>
    </row>
    <row r="452" spans="1:3" ht="50.95" customHeight="1" x14ac:dyDescent="0.3">
      <c r="A452" s="13"/>
      <c r="B452" s="13"/>
      <c r="C452" s="13"/>
    </row>
    <row r="453" spans="1:3" ht="50.95" customHeight="1" x14ac:dyDescent="0.3">
      <c r="A453" s="13"/>
      <c r="B453" s="13"/>
      <c r="C453" s="13"/>
    </row>
    <row r="454" spans="1:3" ht="50.95" customHeight="1" x14ac:dyDescent="0.3">
      <c r="A454" s="13"/>
      <c r="B454" s="13"/>
      <c r="C454" s="13"/>
    </row>
    <row r="455" spans="1:3" ht="50.95" customHeight="1" x14ac:dyDescent="0.3">
      <c r="A455" s="13"/>
      <c r="B455" s="13"/>
      <c r="C455" s="13"/>
    </row>
    <row r="456" spans="1:3" ht="50.95" customHeight="1" x14ac:dyDescent="0.3">
      <c r="A456" s="13"/>
      <c r="B456" s="13"/>
      <c r="C456" s="13"/>
    </row>
    <row r="457" spans="1:3" ht="50.95" customHeight="1" x14ac:dyDescent="0.3">
      <c r="A457" s="13"/>
      <c r="B457" s="13"/>
      <c r="C457" s="13"/>
    </row>
    <row r="458" spans="1:3" ht="50.95" customHeight="1" x14ac:dyDescent="0.3">
      <c r="A458" s="13"/>
      <c r="B458" s="13"/>
      <c r="C458" s="13"/>
    </row>
    <row r="459" spans="1:3" ht="50.95" customHeight="1" x14ac:dyDescent="0.3">
      <c r="A459" s="13"/>
      <c r="B459" s="13"/>
      <c r="C459" s="13"/>
    </row>
    <row r="460" spans="1:3" ht="50.95" customHeight="1" x14ac:dyDescent="0.3">
      <c r="A460" s="13"/>
      <c r="B460" s="13"/>
      <c r="C460" s="13"/>
    </row>
    <row r="461" spans="1:3" ht="50.95" customHeight="1" x14ac:dyDescent="0.3">
      <c r="A461" s="13"/>
      <c r="B461" s="13"/>
      <c r="C461" s="13"/>
    </row>
    <row r="462" spans="1:3" ht="50.95" customHeight="1" x14ac:dyDescent="0.3">
      <c r="A462" s="13"/>
      <c r="B462" s="13"/>
      <c r="C462" s="13"/>
    </row>
    <row r="463" spans="1:3" ht="50.95" customHeight="1" x14ac:dyDescent="0.3">
      <c r="A463" s="13"/>
      <c r="B463" s="13"/>
      <c r="C463" s="13"/>
    </row>
    <row r="464" spans="1:3" ht="50.95" customHeight="1" x14ac:dyDescent="0.3">
      <c r="A464" s="13"/>
      <c r="B464" s="13"/>
      <c r="C464" s="13"/>
    </row>
    <row r="465" spans="1:3" ht="50.95" customHeight="1" x14ac:dyDescent="0.3">
      <c r="A465" s="13"/>
      <c r="B465" s="13"/>
      <c r="C465" s="13"/>
    </row>
    <row r="466" spans="1:3" ht="50.95" customHeight="1" x14ac:dyDescent="0.3">
      <c r="A466" s="13"/>
      <c r="B466" s="13"/>
      <c r="C466" s="13"/>
    </row>
    <row r="467" spans="1:3" ht="50.95" customHeight="1" x14ac:dyDescent="0.3">
      <c r="A467" s="13"/>
      <c r="B467" s="13"/>
      <c r="C467" s="13"/>
    </row>
    <row r="468" spans="1:3" ht="50.95" customHeight="1" x14ac:dyDescent="0.3">
      <c r="A468" s="13"/>
      <c r="B468" s="13"/>
      <c r="C468" s="13"/>
    </row>
    <row r="469" spans="1:3" ht="50.95" customHeight="1" x14ac:dyDescent="0.3">
      <c r="A469" s="13"/>
      <c r="B469" s="13"/>
      <c r="C469" s="13"/>
    </row>
    <row r="470" spans="1:3" ht="50.95" customHeight="1" x14ac:dyDescent="0.3">
      <c r="A470" s="13"/>
      <c r="B470" s="13"/>
      <c r="C470" s="13"/>
    </row>
    <row r="471" spans="1:3" ht="50.95" customHeight="1" x14ac:dyDescent="0.3">
      <c r="A471" s="13"/>
      <c r="B471" s="13"/>
      <c r="C471" s="13"/>
    </row>
    <row r="472" spans="1:3" ht="50.95" customHeight="1" x14ac:dyDescent="0.3">
      <c r="A472" s="13"/>
      <c r="B472" s="13"/>
      <c r="C472" s="13"/>
    </row>
    <row r="473" spans="1:3" ht="50.95" customHeight="1" x14ac:dyDescent="0.3">
      <c r="A473" s="13"/>
      <c r="B473" s="13"/>
      <c r="C473" s="13"/>
    </row>
    <row r="474" spans="1:3" ht="50.95" customHeight="1" x14ac:dyDescent="0.3">
      <c r="A474" s="13"/>
      <c r="B474" s="13"/>
      <c r="C474" s="13"/>
    </row>
    <row r="475" spans="1:3" ht="50.95" customHeight="1" x14ac:dyDescent="0.3">
      <c r="A475" s="13"/>
      <c r="B475" s="13"/>
      <c r="C475" s="13"/>
    </row>
    <row r="476" spans="1:3" ht="50.95" customHeight="1" x14ac:dyDescent="0.3">
      <c r="A476" s="13"/>
      <c r="B476" s="13"/>
      <c r="C476" s="13"/>
    </row>
    <row r="477" spans="1:3" ht="50.95" customHeight="1" x14ac:dyDescent="0.3">
      <c r="A477" s="13"/>
      <c r="B477" s="13"/>
      <c r="C477" s="13"/>
    </row>
    <row r="478" spans="1:3" ht="50.95" customHeight="1" x14ac:dyDescent="0.3">
      <c r="A478" s="13"/>
      <c r="B478" s="13"/>
      <c r="C478" s="13"/>
    </row>
    <row r="479" spans="1:3" ht="50.95" customHeight="1" x14ac:dyDescent="0.3">
      <c r="A479" s="13"/>
      <c r="B479" s="13"/>
      <c r="C479" s="13"/>
    </row>
    <row r="480" spans="1:3" ht="50.95" customHeight="1" x14ac:dyDescent="0.3">
      <c r="A480" s="13"/>
      <c r="B480" s="13"/>
      <c r="C480" s="13"/>
    </row>
    <row r="481" spans="1:3" ht="50.95" customHeight="1" x14ac:dyDescent="0.3">
      <c r="A481" s="13"/>
      <c r="B481" s="13"/>
      <c r="C481" s="13"/>
    </row>
    <row r="482" spans="1:3" ht="50.95" customHeight="1" x14ac:dyDescent="0.3">
      <c r="A482" s="13"/>
      <c r="B482" s="13"/>
      <c r="C482" s="13"/>
    </row>
    <row r="483" spans="1:3" ht="50.95" customHeight="1" x14ac:dyDescent="0.3">
      <c r="A483" s="13"/>
      <c r="B483" s="13"/>
      <c r="C483" s="13"/>
    </row>
    <row r="484" spans="1:3" ht="50.95" customHeight="1" x14ac:dyDescent="0.3">
      <c r="A484" s="13"/>
      <c r="B484" s="13"/>
      <c r="C484" s="13"/>
    </row>
    <row r="485" spans="1:3" ht="50.95" customHeight="1" x14ac:dyDescent="0.3">
      <c r="A485" s="13"/>
      <c r="B485" s="13"/>
      <c r="C485" s="13"/>
    </row>
    <row r="486" spans="1:3" ht="50.95" customHeight="1" x14ac:dyDescent="0.3">
      <c r="A486" s="13"/>
      <c r="B486" s="13"/>
      <c r="C486" s="13"/>
    </row>
    <row r="487" spans="1:3" ht="50.95" customHeight="1" x14ac:dyDescent="0.3">
      <c r="A487" s="13"/>
      <c r="B487" s="13"/>
      <c r="C487" s="13"/>
    </row>
    <row r="488" spans="1:3" ht="50.95" customHeight="1" x14ac:dyDescent="0.3">
      <c r="A488" s="13"/>
      <c r="B488" s="13"/>
      <c r="C488" s="13"/>
    </row>
    <row r="489" spans="1:3" ht="50.95" customHeight="1" x14ac:dyDescent="0.3">
      <c r="A489" s="13"/>
      <c r="B489" s="13"/>
      <c r="C489" s="13"/>
    </row>
    <row r="490" spans="1:3" ht="50.95" customHeight="1" x14ac:dyDescent="0.3">
      <c r="A490" s="13"/>
      <c r="B490" s="13"/>
      <c r="C490" s="13"/>
    </row>
    <row r="491" spans="1:3" ht="50.95" customHeight="1" x14ac:dyDescent="0.3">
      <c r="A491" s="13"/>
      <c r="B491" s="13"/>
      <c r="C491" s="13"/>
    </row>
    <row r="492" spans="1:3" ht="50.95" customHeight="1" x14ac:dyDescent="0.3">
      <c r="A492" s="13"/>
      <c r="B492" s="13"/>
      <c r="C492" s="13"/>
    </row>
    <row r="493" spans="1:3" ht="50.95" customHeight="1" x14ac:dyDescent="0.3">
      <c r="A493" s="13"/>
      <c r="B493" s="13"/>
      <c r="C493" s="13"/>
    </row>
    <row r="494" spans="1:3" ht="50.95" customHeight="1" x14ac:dyDescent="0.3">
      <c r="A494" s="13"/>
      <c r="B494" s="13"/>
      <c r="C494" s="13"/>
    </row>
    <row r="495" spans="1:3" ht="50.95" customHeight="1" x14ac:dyDescent="0.3">
      <c r="A495" s="13"/>
      <c r="B495" s="13"/>
      <c r="C495" s="13"/>
    </row>
    <row r="496" spans="1:3" ht="50.95" customHeight="1" x14ac:dyDescent="0.3">
      <c r="A496" s="13"/>
      <c r="B496" s="13"/>
      <c r="C496" s="13"/>
    </row>
    <row r="497" spans="1:3" ht="50.95" customHeight="1" x14ac:dyDescent="0.3">
      <c r="A497" s="13"/>
      <c r="B497" s="13"/>
      <c r="C497" s="13"/>
    </row>
    <row r="498" spans="1:3" ht="50.95" customHeight="1" x14ac:dyDescent="0.3">
      <c r="A498" s="13"/>
      <c r="B498" s="13"/>
      <c r="C498" s="13"/>
    </row>
    <row r="499" spans="1:3" ht="50.95" customHeight="1" x14ac:dyDescent="0.3">
      <c r="A499" s="13"/>
      <c r="B499" s="13"/>
      <c r="C499" s="13"/>
    </row>
    <row r="500" spans="1:3" ht="50.95" customHeight="1" x14ac:dyDescent="0.3">
      <c r="A500" s="13"/>
      <c r="B500" s="13"/>
      <c r="C500" s="13"/>
    </row>
    <row r="501" spans="1:3" ht="50.95" customHeight="1" x14ac:dyDescent="0.3">
      <c r="A501" s="13"/>
      <c r="B501" s="13"/>
      <c r="C501" s="13"/>
    </row>
    <row r="502" spans="1:3" ht="50.95" customHeight="1" x14ac:dyDescent="0.3">
      <c r="A502" s="13"/>
      <c r="B502" s="13"/>
      <c r="C502" s="13"/>
    </row>
    <row r="503" spans="1:3" ht="50.95" customHeight="1" x14ac:dyDescent="0.3">
      <c r="A503" s="13"/>
      <c r="B503" s="13"/>
      <c r="C503" s="13"/>
    </row>
    <row r="504" spans="1:3" ht="50.95" customHeight="1" x14ac:dyDescent="0.3">
      <c r="A504" s="13"/>
      <c r="B504" s="13"/>
      <c r="C504" s="13"/>
    </row>
    <row r="505" spans="1:3" ht="50.95" customHeight="1" x14ac:dyDescent="0.3">
      <c r="A505" s="13"/>
      <c r="B505" s="13"/>
      <c r="C505" s="13"/>
    </row>
    <row r="506" spans="1:3" ht="50.95" customHeight="1" x14ac:dyDescent="0.3">
      <c r="A506" s="13"/>
      <c r="B506" s="13"/>
      <c r="C506" s="13"/>
    </row>
    <row r="507" spans="1:3" ht="50.95" customHeight="1" x14ac:dyDescent="0.3">
      <c r="A507" s="13"/>
      <c r="B507" s="13"/>
      <c r="C507" s="13"/>
    </row>
    <row r="508" spans="1:3" ht="50.95" customHeight="1" x14ac:dyDescent="0.3">
      <c r="A508" s="13"/>
      <c r="B508" s="13"/>
      <c r="C508" s="13"/>
    </row>
    <row r="509" spans="1:3" ht="50.95" customHeight="1" x14ac:dyDescent="0.3">
      <c r="A509" s="13"/>
      <c r="B509" s="13"/>
      <c r="C509" s="13"/>
    </row>
    <row r="510" spans="1:3" ht="50.95" customHeight="1" x14ac:dyDescent="0.3">
      <c r="A510" s="13"/>
      <c r="B510" s="13"/>
      <c r="C510" s="13"/>
    </row>
    <row r="511" spans="1:3" ht="50.95" customHeight="1" x14ac:dyDescent="0.3">
      <c r="A511" s="13"/>
      <c r="B511" s="13"/>
      <c r="C511" s="13"/>
    </row>
    <row r="512" spans="1:3" ht="50.95" customHeight="1" x14ac:dyDescent="0.3">
      <c r="A512" s="13"/>
      <c r="B512" s="13"/>
      <c r="C512" s="13"/>
    </row>
    <row r="513" spans="1:3" ht="50.95" customHeight="1" x14ac:dyDescent="0.3">
      <c r="A513" s="13"/>
      <c r="B513" s="13"/>
      <c r="C513" s="13"/>
    </row>
    <row r="514" spans="1:3" ht="50.95" customHeight="1" x14ac:dyDescent="0.3">
      <c r="A514" s="13"/>
      <c r="B514" s="13"/>
      <c r="C514" s="13"/>
    </row>
    <row r="515" spans="1:3" ht="50.95" customHeight="1" x14ac:dyDescent="0.3">
      <c r="A515" s="13"/>
      <c r="B515" s="13"/>
      <c r="C515" s="13"/>
    </row>
    <row r="516" spans="1:3" ht="50.95" customHeight="1" x14ac:dyDescent="0.3">
      <c r="A516" s="13"/>
      <c r="B516" s="13"/>
      <c r="C516" s="13"/>
    </row>
    <row r="517" spans="1:3" ht="50.95" customHeight="1" x14ac:dyDescent="0.3">
      <c r="A517" s="13"/>
      <c r="B517" s="13"/>
      <c r="C517" s="13"/>
    </row>
    <row r="518" spans="1:3" ht="50.95" customHeight="1" x14ac:dyDescent="0.3">
      <c r="A518" s="13"/>
      <c r="B518" s="13"/>
      <c r="C518" s="13"/>
    </row>
    <row r="519" spans="1:3" ht="50.95" customHeight="1" x14ac:dyDescent="0.3">
      <c r="A519" s="13"/>
      <c r="B519" s="13"/>
      <c r="C519" s="13"/>
    </row>
    <row r="520" spans="1:3" ht="50.95" customHeight="1" x14ac:dyDescent="0.3">
      <c r="A520" s="13"/>
      <c r="B520" s="13"/>
      <c r="C520" s="13"/>
    </row>
    <row r="521" spans="1:3" ht="50.95" customHeight="1" x14ac:dyDescent="0.3">
      <c r="A521" s="13"/>
      <c r="B521" s="13"/>
      <c r="C521" s="13"/>
    </row>
    <row r="522" spans="1:3" ht="50.95" customHeight="1" x14ac:dyDescent="0.3">
      <c r="A522" s="13"/>
      <c r="B522" s="13"/>
      <c r="C522" s="13"/>
    </row>
    <row r="523" spans="1:3" ht="50.95" customHeight="1" x14ac:dyDescent="0.3">
      <c r="A523" s="13"/>
      <c r="B523" s="13"/>
      <c r="C523" s="13"/>
    </row>
    <row r="524" spans="1:3" ht="50.95" customHeight="1" x14ac:dyDescent="0.3">
      <c r="A524" s="13"/>
      <c r="B524" s="13"/>
      <c r="C524" s="13"/>
    </row>
    <row r="525" spans="1:3" ht="50.95" customHeight="1" x14ac:dyDescent="0.3">
      <c r="A525" s="13"/>
      <c r="B525" s="13"/>
      <c r="C525" s="13"/>
    </row>
    <row r="526" spans="1:3" ht="50.95" customHeight="1" x14ac:dyDescent="0.3">
      <c r="A526" s="13"/>
      <c r="B526" s="13"/>
      <c r="C526" s="13"/>
    </row>
    <row r="527" spans="1:3" ht="50.95" customHeight="1" x14ac:dyDescent="0.3">
      <c r="A527" s="13"/>
      <c r="B527" s="13"/>
      <c r="C527" s="13"/>
    </row>
    <row r="528" spans="1:3" ht="50.95" customHeight="1" x14ac:dyDescent="0.3">
      <c r="A528" s="13"/>
      <c r="B528" s="13"/>
      <c r="C528" s="13"/>
    </row>
    <row r="529" spans="1:3" ht="50.95" customHeight="1" x14ac:dyDescent="0.3">
      <c r="A529" s="13"/>
      <c r="B529" s="13"/>
      <c r="C529" s="13"/>
    </row>
    <row r="530" spans="1:3" ht="50.95" customHeight="1" x14ac:dyDescent="0.3">
      <c r="A530" s="13"/>
      <c r="B530" s="13"/>
      <c r="C530" s="13"/>
    </row>
    <row r="531" spans="1:3" ht="50.95" customHeight="1" x14ac:dyDescent="0.3">
      <c r="A531" s="13"/>
      <c r="B531" s="13"/>
      <c r="C531" s="13"/>
    </row>
    <row r="532" spans="1:3" ht="50.95" customHeight="1" x14ac:dyDescent="0.3">
      <c r="A532" s="13"/>
      <c r="B532" s="13"/>
      <c r="C532" s="13"/>
    </row>
    <row r="533" spans="1:3" ht="50.95" customHeight="1" x14ac:dyDescent="0.3">
      <c r="A533" s="13"/>
      <c r="B533" s="13"/>
      <c r="C533" s="13"/>
    </row>
    <row r="534" spans="1:3" ht="50.95" customHeight="1" x14ac:dyDescent="0.3">
      <c r="A534" s="13"/>
      <c r="B534" s="13"/>
      <c r="C534" s="13"/>
    </row>
    <row r="535" spans="1:3" ht="50.95" customHeight="1" x14ac:dyDescent="0.3">
      <c r="A535" s="13"/>
      <c r="B535" s="13"/>
      <c r="C535" s="13"/>
    </row>
    <row r="536" spans="1:3" ht="50.95" customHeight="1" x14ac:dyDescent="0.3">
      <c r="A536" s="13"/>
      <c r="B536" s="13"/>
      <c r="C536" s="13"/>
    </row>
    <row r="537" spans="1:3" ht="50.95" customHeight="1" x14ac:dyDescent="0.3">
      <c r="A537" s="13"/>
      <c r="B537" s="13"/>
      <c r="C537" s="13"/>
    </row>
    <row r="538" spans="1:3" ht="50.95" customHeight="1" x14ac:dyDescent="0.3">
      <c r="A538" s="13"/>
      <c r="B538" s="13"/>
      <c r="C538" s="13"/>
    </row>
    <row r="539" spans="1:3" ht="50.95" customHeight="1" x14ac:dyDescent="0.3">
      <c r="A539" s="13"/>
      <c r="B539" s="13"/>
      <c r="C539" s="13"/>
    </row>
    <row r="540" spans="1:3" ht="50.95" customHeight="1" x14ac:dyDescent="0.3">
      <c r="A540" s="13"/>
      <c r="B540" s="13"/>
      <c r="C540" s="13"/>
    </row>
    <row r="541" spans="1:3" ht="50.95" customHeight="1" x14ac:dyDescent="0.3">
      <c r="A541" s="13"/>
      <c r="B541" s="13"/>
      <c r="C541" s="13"/>
    </row>
    <row r="542" spans="1:3" ht="50.95" customHeight="1" x14ac:dyDescent="0.3">
      <c r="A542" s="13"/>
      <c r="B542" s="13"/>
      <c r="C542" s="13"/>
    </row>
    <row r="543" spans="1:3" ht="50.95" customHeight="1" x14ac:dyDescent="0.3">
      <c r="A543" s="13"/>
      <c r="B543" s="13"/>
      <c r="C543" s="13"/>
    </row>
    <row r="544" spans="1:3" ht="50.95" customHeight="1" x14ac:dyDescent="0.3">
      <c r="A544" s="13"/>
      <c r="B544" s="13"/>
      <c r="C544" s="13"/>
    </row>
    <row r="545" spans="1:3" ht="50.95" customHeight="1" x14ac:dyDescent="0.3">
      <c r="A545" s="13"/>
      <c r="B545" s="13"/>
      <c r="C545" s="13"/>
    </row>
    <row r="546" spans="1:3" ht="50.95" customHeight="1" x14ac:dyDescent="0.3">
      <c r="A546" s="13"/>
      <c r="B546" s="13"/>
      <c r="C546" s="13"/>
    </row>
    <row r="547" spans="1:3" ht="50.95" customHeight="1" x14ac:dyDescent="0.3">
      <c r="A547" s="13"/>
      <c r="B547" s="13"/>
      <c r="C547" s="13"/>
    </row>
    <row r="548" spans="1:3" ht="50.95" customHeight="1" x14ac:dyDescent="0.3">
      <c r="A548" s="13"/>
      <c r="B548" s="13"/>
      <c r="C548" s="13"/>
    </row>
    <row r="549" spans="1:3" ht="50.95" customHeight="1" x14ac:dyDescent="0.3">
      <c r="A549" s="13"/>
      <c r="B549" s="13"/>
      <c r="C549" s="13"/>
    </row>
    <row r="550" spans="1:3" ht="50.95" customHeight="1" x14ac:dyDescent="0.3">
      <c r="A550" s="13"/>
      <c r="B550" s="13"/>
      <c r="C550" s="13"/>
    </row>
    <row r="551" spans="1:3" ht="50.95" customHeight="1" x14ac:dyDescent="0.3">
      <c r="A551" s="13"/>
      <c r="B551" s="13"/>
      <c r="C551" s="13"/>
    </row>
    <row r="552" spans="1:3" ht="50.95" customHeight="1" x14ac:dyDescent="0.3">
      <c r="A552" s="13"/>
      <c r="B552" s="13"/>
      <c r="C552" s="13"/>
    </row>
    <row r="553" spans="1:3" ht="50.95" customHeight="1" x14ac:dyDescent="0.3">
      <c r="A553" s="13"/>
      <c r="B553" s="13"/>
      <c r="C553" s="13"/>
    </row>
    <row r="554" spans="1:3" ht="50.95" customHeight="1" x14ac:dyDescent="0.3">
      <c r="A554" s="13"/>
      <c r="B554" s="13"/>
      <c r="C554" s="13"/>
    </row>
    <row r="555" spans="1:3" ht="50.95" customHeight="1" x14ac:dyDescent="0.3">
      <c r="A555" s="13"/>
      <c r="B555" s="13"/>
      <c r="C555" s="13"/>
    </row>
    <row r="556" spans="1:3" ht="50.95" customHeight="1" x14ac:dyDescent="0.3">
      <c r="A556" s="13"/>
      <c r="B556" s="13"/>
      <c r="C556" s="13"/>
    </row>
    <row r="557" spans="1:3" ht="50.95" customHeight="1" x14ac:dyDescent="0.3">
      <c r="A557" s="13"/>
      <c r="B557" s="13"/>
      <c r="C557" s="13"/>
    </row>
    <row r="558" spans="1:3" ht="50.95" customHeight="1" x14ac:dyDescent="0.3">
      <c r="A558" s="13"/>
      <c r="B558" s="13"/>
      <c r="C558" s="13"/>
    </row>
    <row r="559" spans="1:3" ht="50.95" customHeight="1" x14ac:dyDescent="0.3">
      <c r="A559" s="13"/>
      <c r="B559" s="13"/>
      <c r="C559" s="13"/>
    </row>
    <row r="560" spans="1:3" ht="50.95" customHeight="1" x14ac:dyDescent="0.3">
      <c r="A560" s="13"/>
      <c r="B560" s="13"/>
      <c r="C560" s="13"/>
    </row>
    <row r="561" spans="1:3" ht="50.95" customHeight="1" x14ac:dyDescent="0.3">
      <c r="A561" s="13"/>
      <c r="B561" s="13"/>
      <c r="C561" s="13"/>
    </row>
    <row r="562" spans="1:3" ht="50.95" customHeight="1" x14ac:dyDescent="0.3">
      <c r="A562" s="13"/>
      <c r="B562" s="13"/>
      <c r="C562" s="13"/>
    </row>
    <row r="563" spans="1:3" ht="50.95" customHeight="1" x14ac:dyDescent="0.3">
      <c r="A563" s="13"/>
      <c r="B563" s="13"/>
      <c r="C563" s="13"/>
    </row>
    <row r="564" spans="1:3" ht="50.95" customHeight="1" x14ac:dyDescent="0.3">
      <c r="A564" s="13"/>
      <c r="B564" s="13"/>
      <c r="C564" s="13"/>
    </row>
    <row r="565" spans="1:3" ht="50.95" customHeight="1" x14ac:dyDescent="0.3">
      <c r="A565" s="13"/>
      <c r="B565" s="13"/>
      <c r="C565" s="13"/>
    </row>
    <row r="566" spans="1:3" ht="50.95" customHeight="1" x14ac:dyDescent="0.3">
      <c r="A566" s="13"/>
      <c r="B566" s="13"/>
      <c r="C566" s="13"/>
    </row>
    <row r="567" spans="1:3" ht="50.95" customHeight="1" x14ac:dyDescent="0.3">
      <c r="A567" s="13"/>
      <c r="B567" s="13"/>
      <c r="C567" s="13"/>
    </row>
    <row r="568" spans="1:3" ht="50.95" customHeight="1" x14ac:dyDescent="0.3">
      <c r="A568" s="13"/>
      <c r="B568" s="13"/>
      <c r="C568" s="13"/>
    </row>
    <row r="569" spans="1:3" ht="50.95" customHeight="1" x14ac:dyDescent="0.3">
      <c r="A569" s="13"/>
      <c r="B569" s="13"/>
      <c r="C569" s="13"/>
    </row>
    <row r="570" spans="1:3" ht="50.95" customHeight="1" x14ac:dyDescent="0.3">
      <c r="A570" s="13"/>
      <c r="B570" s="13"/>
      <c r="C570" s="13"/>
    </row>
    <row r="571" spans="1:3" ht="50.95" customHeight="1" x14ac:dyDescent="0.3">
      <c r="A571" s="13"/>
      <c r="B571" s="13"/>
      <c r="C571" s="13"/>
    </row>
    <row r="572" spans="1:3" ht="50.95" customHeight="1" x14ac:dyDescent="0.3">
      <c r="A572" s="13"/>
      <c r="B572" s="13"/>
      <c r="C572" s="13"/>
    </row>
    <row r="573" spans="1:3" ht="50.95" customHeight="1" x14ac:dyDescent="0.3">
      <c r="A573" s="13"/>
      <c r="B573" s="13"/>
      <c r="C573" s="13"/>
    </row>
    <row r="574" spans="1:3" ht="50.95" customHeight="1" x14ac:dyDescent="0.3">
      <c r="A574" s="13"/>
      <c r="B574" s="13"/>
      <c r="C574" s="13"/>
    </row>
    <row r="575" spans="1:3" ht="50.95" customHeight="1" x14ac:dyDescent="0.3">
      <c r="A575" s="13"/>
      <c r="B575" s="13"/>
      <c r="C575" s="13"/>
    </row>
    <row r="576" spans="1:3" ht="50.95" customHeight="1" x14ac:dyDescent="0.3">
      <c r="A576" s="13"/>
      <c r="B576" s="13"/>
      <c r="C576" s="13"/>
    </row>
    <row r="577" spans="1:3" ht="50.95" customHeight="1" x14ac:dyDescent="0.3">
      <c r="A577" s="13"/>
      <c r="B577" s="13"/>
      <c r="C577" s="13"/>
    </row>
    <row r="578" spans="1:3" ht="50.95" customHeight="1" x14ac:dyDescent="0.3">
      <c r="A578" s="13"/>
      <c r="B578" s="13"/>
      <c r="C578" s="13"/>
    </row>
    <row r="579" spans="1:3" ht="50.95" customHeight="1" x14ac:dyDescent="0.3">
      <c r="A579" s="13"/>
      <c r="B579" s="13"/>
      <c r="C579" s="13"/>
    </row>
    <row r="580" spans="1:3" ht="50.95" customHeight="1" x14ac:dyDescent="0.3">
      <c r="A580" s="13"/>
      <c r="B580" s="13"/>
      <c r="C580" s="13"/>
    </row>
    <row r="581" spans="1:3" ht="50.95" customHeight="1" x14ac:dyDescent="0.3">
      <c r="A581" s="13"/>
      <c r="B581" s="13"/>
      <c r="C581" s="13"/>
    </row>
    <row r="582" spans="1:3" ht="50.95" customHeight="1" x14ac:dyDescent="0.3">
      <c r="A582" s="13"/>
      <c r="B582" s="13"/>
      <c r="C582" s="13"/>
    </row>
    <row r="583" spans="1:3" ht="50.95" customHeight="1" x14ac:dyDescent="0.3">
      <c r="A583" s="13"/>
      <c r="B583" s="13"/>
      <c r="C583" s="13"/>
    </row>
    <row r="584" spans="1:3" ht="50.95" customHeight="1" x14ac:dyDescent="0.3">
      <c r="A584" s="13"/>
      <c r="B584" s="13"/>
      <c r="C584" s="13"/>
    </row>
    <row r="585" spans="1:3" ht="50.95" customHeight="1" x14ac:dyDescent="0.3">
      <c r="A585" s="13"/>
      <c r="B585" s="13"/>
      <c r="C585" s="13"/>
    </row>
    <row r="586" spans="1:3" ht="50.95" customHeight="1" x14ac:dyDescent="0.3">
      <c r="A586" s="13"/>
      <c r="B586" s="13"/>
      <c r="C586" s="13"/>
    </row>
    <row r="587" spans="1:3" ht="50.95" customHeight="1" x14ac:dyDescent="0.3">
      <c r="A587" s="13"/>
      <c r="B587" s="13"/>
      <c r="C587" s="13"/>
    </row>
    <row r="588" spans="1:3" ht="50.95" customHeight="1" x14ac:dyDescent="0.3">
      <c r="A588" s="13"/>
      <c r="B588" s="13"/>
      <c r="C588" s="13"/>
    </row>
    <row r="589" spans="1:3" ht="50.95" customHeight="1" x14ac:dyDescent="0.3">
      <c r="A589" s="13"/>
      <c r="B589" s="13"/>
      <c r="C589" s="13"/>
    </row>
    <row r="590" spans="1:3" ht="50.95" customHeight="1" x14ac:dyDescent="0.3">
      <c r="A590" s="13"/>
      <c r="B590" s="13"/>
      <c r="C590" s="13"/>
    </row>
    <row r="591" spans="1:3" ht="50.95" customHeight="1" x14ac:dyDescent="0.3">
      <c r="A591" s="13"/>
      <c r="B591" s="13"/>
      <c r="C591" s="13"/>
    </row>
    <row r="592" spans="1:3" ht="50.95" customHeight="1" x14ac:dyDescent="0.3">
      <c r="A592" s="13"/>
      <c r="B592" s="13"/>
      <c r="C592" s="13"/>
    </row>
    <row r="593" spans="1:3" ht="50.95" customHeight="1" x14ac:dyDescent="0.3">
      <c r="A593" s="13"/>
      <c r="B593" s="13"/>
      <c r="C593" s="13"/>
    </row>
    <row r="594" spans="1:3" ht="50.95" customHeight="1" x14ac:dyDescent="0.3">
      <c r="A594" s="13"/>
      <c r="B594" s="13"/>
      <c r="C594" s="13"/>
    </row>
    <row r="595" spans="1:3" ht="50.95" customHeight="1" x14ac:dyDescent="0.3">
      <c r="A595" s="13"/>
      <c r="B595" s="13"/>
      <c r="C595" s="13"/>
    </row>
    <row r="596" spans="1:3" ht="50.95" customHeight="1" x14ac:dyDescent="0.3">
      <c r="A596" s="13"/>
      <c r="B596" s="13"/>
      <c r="C596" s="13"/>
    </row>
    <row r="597" spans="1:3" ht="50.95" customHeight="1" x14ac:dyDescent="0.3">
      <c r="A597" s="13"/>
      <c r="B597" s="13"/>
      <c r="C597" s="13"/>
    </row>
    <row r="598" spans="1:3" ht="50.95" customHeight="1" x14ac:dyDescent="0.3">
      <c r="A598" s="13"/>
      <c r="B598" s="13"/>
      <c r="C598" s="13"/>
    </row>
    <row r="599" spans="1:3" ht="50.95" customHeight="1" x14ac:dyDescent="0.3">
      <c r="A599" s="13"/>
      <c r="B599" s="13"/>
      <c r="C599" s="13"/>
    </row>
    <row r="600" spans="1:3" ht="50.95" customHeight="1" x14ac:dyDescent="0.3">
      <c r="A600" s="13"/>
      <c r="B600" s="13"/>
      <c r="C600" s="13"/>
    </row>
    <row r="601" spans="1:3" ht="50.95" customHeight="1" x14ac:dyDescent="0.3">
      <c r="A601" s="13"/>
      <c r="B601" s="13"/>
      <c r="C601" s="13"/>
    </row>
    <row r="602" spans="1:3" ht="50.95" customHeight="1" x14ac:dyDescent="0.3">
      <c r="A602" s="13"/>
      <c r="B602" s="13"/>
      <c r="C602" s="13"/>
    </row>
    <row r="603" spans="1:3" ht="50.95" customHeight="1" x14ac:dyDescent="0.3">
      <c r="A603" s="13"/>
      <c r="B603" s="13"/>
      <c r="C603" s="13"/>
    </row>
    <row r="604" spans="1:3" ht="50.95" customHeight="1" x14ac:dyDescent="0.3">
      <c r="A604" s="13"/>
      <c r="B604" s="13"/>
      <c r="C604" s="13"/>
    </row>
    <row r="605" spans="1:3" ht="50.95" customHeight="1" x14ac:dyDescent="0.3">
      <c r="A605" s="13"/>
      <c r="B605" s="13"/>
      <c r="C605" s="13"/>
    </row>
    <row r="606" spans="1:3" ht="50.95" customHeight="1" x14ac:dyDescent="0.3">
      <c r="A606" s="13"/>
      <c r="B606" s="13"/>
      <c r="C606" s="13"/>
    </row>
    <row r="607" spans="1:3" ht="50.95" customHeight="1" x14ac:dyDescent="0.3">
      <c r="A607" s="13"/>
      <c r="B607" s="13"/>
      <c r="C607" s="13"/>
    </row>
    <row r="608" spans="1:3" ht="50.95" customHeight="1" x14ac:dyDescent="0.3">
      <c r="A608" s="13"/>
      <c r="B608" s="13"/>
      <c r="C608" s="13"/>
    </row>
    <row r="609" spans="1:3" ht="50.95" customHeight="1" x14ac:dyDescent="0.3">
      <c r="A609" s="13"/>
      <c r="B609" s="13"/>
      <c r="C609" s="13"/>
    </row>
    <row r="610" spans="1:3" ht="50.95" customHeight="1" x14ac:dyDescent="0.3">
      <c r="A610" s="13"/>
      <c r="B610" s="13"/>
      <c r="C610" s="13"/>
    </row>
    <row r="611" spans="1:3" ht="50.95" customHeight="1" x14ac:dyDescent="0.3">
      <c r="A611" s="13"/>
      <c r="B611" s="13"/>
      <c r="C611" s="13"/>
    </row>
    <row r="612" spans="1:3" ht="50.95" customHeight="1" x14ac:dyDescent="0.3">
      <c r="A612" s="13"/>
      <c r="B612" s="13"/>
      <c r="C612" s="13"/>
    </row>
    <row r="613" spans="1:3" ht="50.95" customHeight="1" x14ac:dyDescent="0.3">
      <c r="A613" s="13"/>
      <c r="B613" s="13"/>
      <c r="C613" s="13"/>
    </row>
    <row r="614" spans="1:3" ht="50.95" customHeight="1" x14ac:dyDescent="0.3">
      <c r="A614" s="13"/>
      <c r="B614" s="13"/>
      <c r="C614" s="13"/>
    </row>
    <row r="615" spans="1:3" ht="50.95" customHeight="1" x14ac:dyDescent="0.3">
      <c r="A615" s="13"/>
      <c r="B615" s="13"/>
      <c r="C615" s="13"/>
    </row>
    <row r="616" spans="1:3" ht="50.95" customHeight="1" x14ac:dyDescent="0.3">
      <c r="A616" s="13"/>
      <c r="B616" s="13"/>
      <c r="C616" s="13"/>
    </row>
    <row r="617" spans="1:3" ht="50.95" customHeight="1" x14ac:dyDescent="0.3">
      <c r="A617" s="13"/>
      <c r="B617" s="13"/>
      <c r="C617" s="13"/>
    </row>
    <row r="618" spans="1:3" ht="50.95" customHeight="1" x14ac:dyDescent="0.3">
      <c r="A618" s="13"/>
      <c r="B618" s="13"/>
      <c r="C618" s="13"/>
    </row>
    <row r="619" spans="1:3" ht="50.95" customHeight="1" x14ac:dyDescent="0.3">
      <c r="A619" s="13"/>
      <c r="B619" s="13"/>
      <c r="C619" s="13"/>
    </row>
    <row r="620" spans="1:3" ht="50.95" customHeight="1" x14ac:dyDescent="0.3">
      <c r="A620" s="13"/>
      <c r="B620" s="13"/>
      <c r="C620" s="13"/>
    </row>
    <row r="621" spans="1:3" ht="50.95" customHeight="1" x14ac:dyDescent="0.3">
      <c r="A621" s="13"/>
      <c r="B621" s="13"/>
      <c r="C621" s="13"/>
    </row>
    <row r="622" spans="1:3" ht="50.95" customHeight="1" x14ac:dyDescent="0.3">
      <c r="A622" s="13"/>
      <c r="B622" s="13"/>
      <c r="C622" s="13"/>
    </row>
    <row r="623" spans="1:3" ht="50.95" customHeight="1" x14ac:dyDescent="0.3">
      <c r="A623" s="13"/>
      <c r="B623" s="13"/>
      <c r="C623" s="13"/>
    </row>
    <row r="624" spans="1:3" ht="50.95" customHeight="1" x14ac:dyDescent="0.3">
      <c r="A624" s="13"/>
      <c r="B624" s="13"/>
      <c r="C624" s="13"/>
    </row>
    <row r="625" spans="1:3" ht="50.95" customHeight="1" x14ac:dyDescent="0.3">
      <c r="A625" s="13"/>
      <c r="B625" s="13"/>
      <c r="C625" s="13"/>
    </row>
    <row r="626" spans="1:3" ht="50.95" customHeight="1" x14ac:dyDescent="0.3">
      <c r="A626" s="13"/>
      <c r="B626" s="13"/>
      <c r="C626" s="13"/>
    </row>
    <row r="627" spans="1:3" ht="50.95" customHeight="1" x14ac:dyDescent="0.3">
      <c r="A627" s="13"/>
      <c r="B627" s="13"/>
      <c r="C627" s="13"/>
    </row>
    <row r="628" spans="1:3" ht="50.95" customHeight="1" x14ac:dyDescent="0.3">
      <c r="A628" s="13"/>
      <c r="B628" s="13"/>
      <c r="C628" s="13"/>
    </row>
    <row r="629" spans="1:3" ht="50.95" customHeight="1" x14ac:dyDescent="0.3">
      <c r="A629" s="13"/>
      <c r="B629" s="13"/>
      <c r="C629" s="13"/>
    </row>
    <row r="630" spans="1:3" ht="50.95" customHeight="1" x14ac:dyDescent="0.3">
      <c r="A630" s="13"/>
      <c r="B630" s="13"/>
      <c r="C630" s="13"/>
    </row>
    <row r="631" spans="1:3" ht="50.95" customHeight="1" x14ac:dyDescent="0.3">
      <c r="A631" s="13"/>
      <c r="B631" s="13"/>
      <c r="C631" s="13"/>
    </row>
    <row r="632" spans="1:3" ht="50.95" customHeight="1" x14ac:dyDescent="0.3">
      <c r="A632" s="13"/>
      <c r="B632" s="13"/>
      <c r="C632" s="13"/>
    </row>
    <row r="633" spans="1:3" ht="50.95" customHeight="1" x14ac:dyDescent="0.3">
      <c r="A633" s="13"/>
      <c r="B633" s="13"/>
      <c r="C633" s="13"/>
    </row>
    <row r="634" spans="1:3" ht="50.95" customHeight="1" x14ac:dyDescent="0.3">
      <c r="A634" s="13"/>
      <c r="B634" s="13"/>
      <c r="C634" s="13"/>
    </row>
    <row r="635" spans="1:3" ht="50.95" customHeight="1" x14ac:dyDescent="0.3">
      <c r="A635" s="13"/>
      <c r="B635" s="13"/>
      <c r="C635" s="13"/>
    </row>
    <row r="636" spans="1:3" ht="50.95" customHeight="1" x14ac:dyDescent="0.3">
      <c r="A636" s="13"/>
      <c r="B636" s="13"/>
      <c r="C636" s="13"/>
    </row>
    <row r="637" spans="1:3" ht="50.95" customHeight="1" x14ac:dyDescent="0.3">
      <c r="A637" s="13"/>
      <c r="B637" s="13"/>
      <c r="C637" s="13"/>
    </row>
    <row r="638" spans="1:3" ht="50.95" customHeight="1" x14ac:dyDescent="0.3">
      <c r="A638" s="13"/>
      <c r="B638" s="13"/>
      <c r="C638" s="13"/>
    </row>
    <row r="639" spans="1:3" ht="50.95" customHeight="1" x14ac:dyDescent="0.3">
      <c r="A639" s="13"/>
      <c r="B639" s="13"/>
      <c r="C639" s="13"/>
    </row>
    <row r="640" spans="1:3" ht="50.95" customHeight="1" x14ac:dyDescent="0.3">
      <c r="A640" s="13"/>
      <c r="B640" s="13"/>
      <c r="C640" s="13"/>
    </row>
    <row r="641" spans="1:3" ht="50.95" customHeight="1" x14ac:dyDescent="0.3">
      <c r="A641" s="13"/>
      <c r="B641" s="13"/>
      <c r="C641" s="13"/>
    </row>
    <row r="642" spans="1:3" ht="50.95" customHeight="1" x14ac:dyDescent="0.3">
      <c r="A642" s="13"/>
      <c r="B642" s="13"/>
      <c r="C642" s="13"/>
    </row>
    <row r="643" spans="1:3" ht="50.95" customHeight="1" x14ac:dyDescent="0.3">
      <c r="A643" s="13"/>
      <c r="B643" s="13"/>
      <c r="C643" s="13"/>
    </row>
    <row r="644" spans="1:3" ht="50.95" customHeight="1" x14ac:dyDescent="0.3">
      <c r="A644" s="13"/>
      <c r="B644" s="13"/>
      <c r="C644" s="13"/>
    </row>
    <row r="645" spans="1:3" ht="50.95" customHeight="1" x14ac:dyDescent="0.3">
      <c r="A645" s="13"/>
      <c r="B645" s="13"/>
      <c r="C645" s="13"/>
    </row>
    <row r="646" spans="1:3" ht="50.95" customHeight="1" x14ac:dyDescent="0.3">
      <c r="A646" s="13"/>
      <c r="B646" s="13"/>
      <c r="C646" s="13"/>
    </row>
    <row r="647" spans="1:3" ht="50.95" customHeight="1" x14ac:dyDescent="0.3">
      <c r="A647" s="13"/>
      <c r="B647" s="13"/>
      <c r="C647" s="13"/>
    </row>
    <row r="648" spans="1:3" ht="50.95" customHeight="1" x14ac:dyDescent="0.3">
      <c r="A648" s="13"/>
      <c r="B648" s="13"/>
      <c r="C648" s="13"/>
    </row>
    <row r="649" spans="1:3" ht="50.95" customHeight="1" x14ac:dyDescent="0.3">
      <c r="A649" s="13"/>
      <c r="B649" s="13"/>
      <c r="C649" s="13"/>
    </row>
    <row r="650" spans="1:3" ht="50.95" customHeight="1" x14ac:dyDescent="0.3">
      <c r="A650" s="13"/>
      <c r="B650" s="13"/>
      <c r="C650" s="13"/>
    </row>
    <row r="651" spans="1:3" ht="50.95" customHeight="1" x14ac:dyDescent="0.3">
      <c r="A651" s="13"/>
      <c r="B651" s="13"/>
      <c r="C651" s="13"/>
    </row>
    <row r="652" spans="1:3" ht="50.95" customHeight="1" x14ac:dyDescent="0.3">
      <c r="A652" s="13"/>
      <c r="B652" s="13"/>
      <c r="C652" s="13"/>
    </row>
    <row r="653" spans="1:3" ht="50.95" customHeight="1" x14ac:dyDescent="0.3">
      <c r="A653" s="13"/>
      <c r="B653" s="13"/>
      <c r="C653" s="13"/>
    </row>
    <row r="654" spans="1:3" ht="50.95" customHeight="1" x14ac:dyDescent="0.3">
      <c r="A654" s="13"/>
      <c r="B654" s="13"/>
      <c r="C654" s="13"/>
    </row>
    <row r="655" spans="1:3" ht="50.95" customHeight="1" x14ac:dyDescent="0.3">
      <c r="A655" s="13"/>
      <c r="B655" s="13"/>
      <c r="C655" s="13"/>
    </row>
    <row r="656" spans="1:3" ht="50.95" customHeight="1" x14ac:dyDescent="0.3">
      <c r="A656" s="13"/>
      <c r="B656" s="13"/>
      <c r="C656" s="13"/>
    </row>
    <row r="657" spans="1:3" ht="50.95" customHeight="1" x14ac:dyDescent="0.3">
      <c r="A657" s="13"/>
      <c r="B657" s="13"/>
      <c r="C657" s="13"/>
    </row>
    <row r="658" spans="1:3" ht="50.95" customHeight="1" x14ac:dyDescent="0.3">
      <c r="A658" s="13"/>
      <c r="B658" s="13"/>
      <c r="C658" s="13"/>
    </row>
    <row r="659" spans="1:3" ht="50.95" customHeight="1" x14ac:dyDescent="0.3">
      <c r="A659" s="13"/>
      <c r="B659" s="13"/>
      <c r="C659" s="13"/>
    </row>
    <row r="660" spans="1:3" ht="50.95" customHeight="1" x14ac:dyDescent="0.3">
      <c r="A660" s="13"/>
      <c r="B660" s="13"/>
      <c r="C660" s="13"/>
    </row>
    <row r="661" spans="1:3" ht="50.95" customHeight="1" x14ac:dyDescent="0.3">
      <c r="A661" s="13"/>
      <c r="B661" s="13"/>
      <c r="C661" s="13"/>
    </row>
    <row r="662" spans="1:3" ht="50.95" customHeight="1" x14ac:dyDescent="0.3">
      <c r="A662" s="13"/>
      <c r="B662" s="13"/>
      <c r="C662" s="13"/>
    </row>
    <row r="663" spans="1:3" ht="50.95" customHeight="1" x14ac:dyDescent="0.3">
      <c r="A663" s="13"/>
      <c r="B663" s="13"/>
      <c r="C663" s="13"/>
    </row>
    <row r="664" spans="1:3" ht="50.95" customHeight="1" x14ac:dyDescent="0.3">
      <c r="A664" s="13"/>
      <c r="B664" s="13"/>
      <c r="C664" s="13"/>
    </row>
    <row r="665" spans="1:3" ht="50.95" customHeight="1" x14ac:dyDescent="0.3">
      <c r="A665" s="13"/>
      <c r="B665" s="13"/>
      <c r="C665" s="13"/>
    </row>
    <row r="666" spans="1:3" ht="50.95" customHeight="1" x14ac:dyDescent="0.3">
      <c r="A666" s="13"/>
      <c r="B666" s="13"/>
      <c r="C666" s="13"/>
    </row>
    <row r="667" spans="1:3" ht="50.95" customHeight="1" x14ac:dyDescent="0.3">
      <c r="A667" s="13"/>
      <c r="B667" s="13"/>
      <c r="C667" s="13"/>
    </row>
    <row r="668" spans="1:3" ht="50.95" customHeight="1" x14ac:dyDescent="0.3">
      <c r="A668" s="13"/>
      <c r="B668" s="13"/>
      <c r="C668" s="13"/>
    </row>
    <row r="669" spans="1:3" ht="50.95" customHeight="1" x14ac:dyDescent="0.3">
      <c r="A669" s="13"/>
      <c r="B669" s="13"/>
      <c r="C669" s="13"/>
    </row>
    <row r="670" spans="1:3" ht="50.95" customHeight="1" x14ac:dyDescent="0.3">
      <c r="A670" s="13"/>
      <c r="B670" s="13"/>
      <c r="C670" s="13"/>
    </row>
    <row r="671" spans="1:3" ht="50.95" customHeight="1" x14ac:dyDescent="0.3">
      <c r="A671" s="13"/>
      <c r="B671" s="13"/>
      <c r="C671" s="13"/>
    </row>
    <row r="672" spans="1:3" ht="50.95" customHeight="1" x14ac:dyDescent="0.3">
      <c r="A672" s="13"/>
      <c r="B672" s="13"/>
      <c r="C672" s="13"/>
    </row>
    <row r="673" spans="1:3" ht="50.95" customHeight="1" x14ac:dyDescent="0.3">
      <c r="A673" s="13"/>
      <c r="B673" s="13"/>
      <c r="C673" s="13"/>
    </row>
    <row r="674" spans="1:3" ht="50.95" customHeight="1" x14ac:dyDescent="0.3">
      <c r="A674" s="13"/>
      <c r="B674" s="13"/>
      <c r="C674" s="13"/>
    </row>
    <row r="675" spans="1:3" ht="50.95" customHeight="1" x14ac:dyDescent="0.3">
      <c r="A675" s="13"/>
      <c r="B675" s="13"/>
      <c r="C675" s="13"/>
    </row>
    <row r="676" spans="1:3" ht="50.95" customHeight="1" x14ac:dyDescent="0.3">
      <c r="A676" s="13"/>
      <c r="B676" s="13"/>
      <c r="C676" s="13"/>
    </row>
    <row r="677" spans="1:3" ht="50.95" customHeight="1" x14ac:dyDescent="0.3">
      <c r="A677" s="13"/>
      <c r="B677" s="13"/>
      <c r="C677" s="13"/>
    </row>
    <row r="678" spans="1:3" ht="50.95" customHeight="1" x14ac:dyDescent="0.3">
      <c r="A678" s="13"/>
      <c r="B678" s="13"/>
      <c r="C678" s="13"/>
    </row>
    <row r="679" spans="1:3" ht="50.95" customHeight="1" x14ac:dyDescent="0.3">
      <c r="A679" s="13"/>
      <c r="B679" s="13"/>
      <c r="C679" s="13"/>
    </row>
    <row r="680" spans="1:3" ht="50.95" customHeight="1" x14ac:dyDescent="0.3">
      <c r="A680" s="13"/>
      <c r="B680" s="13"/>
      <c r="C680" s="13"/>
    </row>
    <row r="681" spans="1:3" ht="50.95" customHeight="1" x14ac:dyDescent="0.3">
      <c r="A681" s="13"/>
      <c r="B681" s="13"/>
      <c r="C681" s="13"/>
    </row>
    <row r="682" spans="1:3" ht="50.95" customHeight="1" x14ac:dyDescent="0.3">
      <c r="A682" s="13"/>
      <c r="B682" s="13"/>
      <c r="C682" s="13"/>
    </row>
    <row r="683" spans="1:3" ht="50.95" customHeight="1" x14ac:dyDescent="0.3">
      <c r="A683" s="13"/>
      <c r="B683" s="13"/>
      <c r="C683" s="13"/>
    </row>
    <row r="684" spans="1:3" ht="50.95" customHeight="1" x14ac:dyDescent="0.3">
      <c r="A684" s="13"/>
      <c r="B684" s="13"/>
      <c r="C684" s="13"/>
    </row>
    <row r="685" spans="1:3" ht="50.95" customHeight="1" x14ac:dyDescent="0.3">
      <c r="A685" s="13"/>
      <c r="B685" s="13"/>
      <c r="C685" s="13"/>
    </row>
    <row r="686" spans="1:3" ht="50.95" customHeight="1" x14ac:dyDescent="0.3">
      <c r="A686" s="13"/>
      <c r="B686" s="13"/>
      <c r="C686" s="13"/>
    </row>
    <row r="687" spans="1:3" ht="50.95" customHeight="1" x14ac:dyDescent="0.3">
      <c r="A687" s="13"/>
      <c r="B687" s="13"/>
      <c r="C687" s="13"/>
    </row>
    <row r="688" spans="1:3" ht="50.95" customHeight="1" x14ac:dyDescent="0.3">
      <c r="A688" s="13"/>
      <c r="B688" s="13"/>
      <c r="C688" s="13"/>
    </row>
    <row r="689" spans="1:3" ht="50.95" customHeight="1" x14ac:dyDescent="0.3">
      <c r="A689" s="13"/>
      <c r="B689" s="13"/>
      <c r="C689" s="13"/>
    </row>
    <row r="690" spans="1:3" ht="50.95" customHeight="1" x14ac:dyDescent="0.3">
      <c r="A690" s="13"/>
      <c r="B690" s="13"/>
      <c r="C690" s="13"/>
    </row>
    <row r="691" spans="1:3" ht="50.95" customHeight="1" x14ac:dyDescent="0.3">
      <c r="A691" s="13"/>
      <c r="B691" s="13"/>
      <c r="C691" s="13"/>
    </row>
    <row r="692" spans="1:3" ht="50.95" customHeight="1" x14ac:dyDescent="0.3">
      <c r="A692" s="13"/>
      <c r="B692" s="13"/>
      <c r="C692" s="13"/>
    </row>
    <row r="693" spans="1:3" ht="50.95" customHeight="1" x14ac:dyDescent="0.3">
      <c r="A693" s="13"/>
      <c r="B693" s="13"/>
      <c r="C693" s="13"/>
    </row>
    <row r="694" spans="1:3" ht="50.95" customHeight="1" x14ac:dyDescent="0.3">
      <c r="A694" s="13"/>
      <c r="B694" s="13"/>
      <c r="C694" s="13"/>
    </row>
    <row r="695" spans="1:3" ht="50.95" customHeight="1" x14ac:dyDescent="0.3">
      <c r="A695" s="13"/>
      <c r="B695" s="13"/>
      <c r="C695" s="13"/>
    </row>
    <row r="696" spans="1:3" ht="50.95" customHeight="1" x14ac:dyDescent="0.3">
      <c r="A696" s="13"/>
      <c r="B696" s="13"/>
      <c r="C696" s="13"/>
    </row>
    <row r="697" spans="1:3" ht="50.95" customHeight="1" x14ac:dyDescent="0.3">
      <c r="A697" s="13"/>
      <c r="B697" s="13"/>
      <c r="C697" s="13"/>
    </row>
    <row r="698" spans="1:3" ht="50.95" customHeight="1" x14ac:dyDescent="0.3">
      <c r="A698" s="13"/>
      <c r="B698" s="13"/>
      <c r="C698" s="13"/>
    </row>
    <row r="699" spans="1:3" ht="50.95" customHeight="1" x14ac:dyDescent="0.3">
      <c r="A699" s="13"/>
      <c r="B699" s="13"/>
      <c r="C699" s="13"/>
    </row>
    <row r="700" spans="1:3" ht="50.95" customHeight="1" x14ac:dyDescent="0.3">
      <c r="A700" s="13"/>
      <c r="B700" s="13"/>
      <c r="C700" s="13"/>
    </row>
    <row r="701" spans="1:3" ht="50.95" customHeight="1" x14ac:dyDescent="0.3">
      <c r="A701" s="13"/>
      <c r="B701" s="13"/>
      <c r="C701" s="13"/>
    </row>
    <row r="702" spans="1:3" ht="50.95" customHeight="1" x14ac:dyDescent="0.3">
      <c r="A702" s="13"/>
      <c r="B702" s="13"/>
      <c r="C702" s="13"/>
    </row>
    <row r="703" spans="1:3" ht="50.95" customHeight="1" x14ac:dyDescent="0.3">
      <c r="A703" s="13"/>
      <c r="B703" s="13"/>
      <c r="C703" s="13"/>
    </row>
    <row r="704" spans="1:3" ht="50.95" customHeight="1" x14ac:dyDescent="0.3">
      <c r="A704" s="13"/>
      <c r="B704" s="13"/>
      <c r="C704" s="13"/>
    </row>
    <row r="705" spans="1:3" ht="50.95" customHeight="1" x14ac:dyDescent="0.3">
      <c r="A705" s="13"/>
      <c r="B705" s="13"/>
      <c r="C705" s="13"/>
    </row>
    <row r="706" spans="1:3" ht="50.95" customHeight="1" x14ac:dyDescent="0.3">
      <c r="A706" s="13"/>
      <c r="B706" s="13"/>
      <c r="C706" s="13"/>
    </row>
    <row r="707" spans="1:3" ht="50.95" customHeight="1" x14ac:dyDescent="0.3">
      <c r="A707" s="13"/>
      <c r="B707" s="13"/>
      <c r="C707" s="13"/>
    </row>
    <row r="708" spans="1:3" ht="50.95" customHeight="1" x14ac:dyDescent="0.3">
      <c r="A708" s="13"/>
      <c r="B708" s="13"/>
      <c r="C708" s="13"/>
    </row>
    <row r="709" spans="1:3" ht="50.95" customHeight="1" x14ac:dyDescent="0.3">
      <c r="A709" s="13"/>
      <c r="B709" s="13"/>
      <c r="C709" s="13"/>
    </row>
    <row r="710" spans="1:3" ht="50.95" customHeight="1" x14ac:dyDescent="0.3">
      <c r="A710" s="13"/>
      <c r="B710" s="13"/>
      <c r="C710" s="13"/>
    </row>
    <row r="711" spans="1:3" ht="50.95" customHeight="1" x14ac:dyDescent="0.3">
      <c r="A711" s="13"/>
      <c r="B711" s="13"/>
      <c r="C711" s="13"/>
    </row>
    <row r="712" spans="1:3" ht="50.95" customHeight="1" x14ac:dyDescent="0.3">
      <c r="A712" s="13"/>
      <c r="B712" s="13"/>
      <c r="C712" s="13"/>
    </row>
    <row r="713" spans="1:3" ht="50.95" customHeight="1" x14ac:dyDescent="0.3">
      <c r="A713" s="13"/>
      <c r="B713" s="13"/>
      <c r="C713" s="13"/>
    </row>
    <row r="714" spans="1:3" ht="50.95" customHeight="1" x14ac:dyDescent="0.3">
      <c r="A714" s="13"/>
      <c r="B714" s="13"/>
      <c r="C714" s="13"/>
    </row>
    <row r="715" spans="1:3" ht="50.95" customHeight="1" x14ac:dyDescent="0.3">
      <c r="A715" s="13"/>
      <c r="B715" s="13"/>
      <c r="C715" s="13"/>
    </row>
    <row r="716" spans="1:3" ht="50.95" customHeight="1" x14ac:dyDescent="0.3">
      <c r="A716" s="13"/>
      <c r="B716" s="13"/>
      <c r="C716" s="13"/>
    </row>
    <row r="717" spans="1:3" ht="50.95" customHeight="1" x14ac:dyDescent="0.3">
      <c r="A717" s="13"/>
      <c r="B717" s="13"/>
      <c r="C717" s="13"/>
    </row>
    <row r="718" spans="1:3" ht="50.95" customHeight="1" x14ac:dyDescent="0.3">
      <c r="A718" s="13"/>
      <c r="B718" s="13"/>
      <c r="C718" s="13"/>
    </row>
    <row r="719" spans="1:3" ht="50.95" customHeight="1" x14ac:dyDescent="0.3">
      <c r="A719" s="13"/>
      <c r="B719" s="13"/>
      <c r="C719" s="13"/>
    </row>
    <row r="720" spans="1:3" ht="50.95" customHeight="1" x14ac:dyDescent="0.3">
      <c r="A720" s="13"/>
      <c r="B720" s="13"/>
      <c r="C720" s="13"/>
    </row>
    <row r="721" spans="1:3" ht="50.95" customHeight="1" x14ac:dyDescent="0.3">
      <c r="A721" s="13"/>
      <c r="B721" s="13"/>
      <c r="C721" s="13"/>
    </row>
    <row r="722" spans="1:3" ht="50.95" customHeight="1" x14ac:dyDescent="0.3">
      <c r="A722" s="13"/>
      <c r="B722" s="13"/>
      <c r="C722" s="13"/>
    </row>
    <row r="723" spans="1:3" ht="50.95" customHeight="1" x14ac:dyDescent="0.3">
      <c r="A723" s="13"/>
      <c r="B723" s="13"/>
      <c r="C723" s="13"/>
    </row>
    <row r="724" spans="1:3" ht="50.95" customHeight="1" x14ac:dyDescent="0.3">
      <c r="A724" s="13"/>
      <c r="B724" s="13"/>
      <c r="C724" s="13"/>
    </row>
    <row r="725" spans="1:3" ht="50.95" customHeight="1" x14ac:dyDescent="0.3">
      <c r="A725" s="13"/>
      <c r="B725" s="13"/>
      <c r="C725" s="13"/>
    </row>
    <row r="726" spans="1:3" ht="50.95" customHeight="1" x14ac:dyDescent="0.3">
      <c r="A726" s="13"/>
      <c r="B726" s="13"/>
      <c r="C726" s="13"/>
    </row>
    <row r="727" spans="1:3" ht="50.95" customHeight="1" x14ac:dyDescent="0.3">
      <c r="A727" s="13"/>
      <c r="B727" s="13"/>
      <c r="C727" s="13"/>
    </row>
    <row r="728" spans="1:3" ht="50.95" customHeight="1" x14ac:dyDescent="0.3">
      <c r="A728" s="13"/>
      <c r="B728" s="13"/>
      <c r="C728" s="13"/>
    </row>
    <row r="729" spans="1:3" ht="50.95" customHeight="1" x14ac:dyDescent="0.3">
      <c r="A729" s="13"/>
      <c r="B729" s="13"/>
      <c r="C729" s="13"/>
    </row>
    <row r="730" spans="1:3" ht="50.95" customHeight="1" x14ac:dyDescent="0.3">
      <c r="A730" s="13"/>
      <c r="B730" s="13"/>
      <c r="C730" s="13"/>
    </row>
    <row r="731" spans="1:3" ht="50.95" customHeight="1" x14ac:dyDescent="0.3">
      <c r="A731" s="13"/>
      <c r="B731" s="13"/>
      <c r="C731" s="13"/>
    </row>
    <row r="732" spans="1:3" ht="50.95" customHeight="1" x14ac:dyDescent="0.3">
      <c r="A732" s="13"/>
      <c r="B732" s="13"/>
      <c r="C732" s="13"/>
    </row>
    <row r="733" spans="1:3" ht="50.95" customHeight="1" x14ac:dyDescent="0.3">
      <c r="A733" s="13"/>
      <c r="B733" s="13"/>
      <c r="C733" s="13"/>
    </row>
    <row r="734" spans="1:3" ht="50.95" customHeight="1" x14ac:dyDescent="0.3">
      <c r="A734" s="13"/>
      <c r="B734" s="13"/>
      <c r="C734" s="13"/>
    </row>
    <row r="735" spans="1:3" ht="50.95" customHeight="1" x14ac:dyDescent="0.3">
      <c r="A735" s="13"/>
      <c r="B735" s="13"/>
      <c r="C735" s="13"/>
    </row>
    <row r="736" spans="1:3" ht="50.95" customHeight="1" x14ac:dyDescent="0.3">
      <c r="A736" s="13"/>
      <c r="B736" s="13"/>
      <c r="C736" s="13"/>
    </row>
    <row r="737" spans="1:3" ht="50.95" customHeight="1" x14ac:dyDescent="0.3">
      <c r="A737" s="13"/>
      <c r="B737" s="13"/>
      <c r="C737" s="13"/>
    </row>
    <row r="738" spans="1:3" ht="50.95" customHeight="1" x14ac:dyDescent="0.3">
      <c r="A738" s="13"/>
      <c r="B738" s="13"/>
      <c r="C738" s="13"/>
    </row>
    <row r="739" spans="1:3" ht="50.95" customHeight="1" x14ac:dyDescent="0.3">
      <c r="A739" s="13"/>
      <c r="B739" s="13"/>
      <c r="C739" s="13"/>
    </row>
    <row r="740" spans="1:3" ht="50.95" customHeight="1" x14ac:dyDescent="0.3">
      <c r="A740" s="13"/>
      <c r="B740" s="13"/>
      <c r="C740" s="13"/>
    </row>
    <row r="741" spans="1:3" ht="50.95" customHeight="1" x14ac:dyDescent="0.3">
      <c r="A741" s="13"/>
      <c r="B741" s="13"/>
      <c r="C741" s="13"/>
    </row>
    <row r="742" spans="1:3" ht="50.95" customHeight="1" x14ac:dyDescent="0.3">
      <c r="A742" s="13"/>
      <c r="B742" s="13"/>
      <c r="C742" s="13"/>
    </row>
    <row r="743" spans="1:3" ht="50.95" customHeight="1" x14ac:dyDescent="0.3">
      <c r="A743" s="13"/>
      <c r="B743" s="13"/>
      <c r="C743" s="13"/>
    </row>
    <row r="744" spans="1:3" ht="50.95" customHeight="1" x14ac:dyDescent="0.3">
      <c r="A744" s="13"/>
      <c r="B744" s="13"/>
      <c r="C744" s="13"/>
    </row>
    <row r="745" spans="1:3" ht="50.95" customHeight="1" x14ac:dyDescent="0.3">
      <c r="A745" s="13"/>
      <c r="B745" s="13"/>
      <c r="C745" s="13"/>
    </row>
    <row r="746" spans="1:3" ht="50.95" customHeight="1" x14ac:dyDescent="0.3">
      <c r="A746" s="13"/>
      <c r="B746" s="13"/>
      <c r="C746" s="13"/>
    </row>
    <row r="747" spans="1:3" ht="50.95" customHeight="1" x14ac:dyDescent="0.3">
      <c r="A747" s="13"/>
      <c r="B747" s="13"/>
      <c r="C747" s="13"/>
    </row>
    <row r="748" spans="1:3" ht="50.95" customHeight="1" x14ac:dyDescent="0.3">
      <c r="A748" s="13"/>
      <c r="B748" s="13"/>
      <c r="C748" s="13"/>
    </row>
    <row r="749" spans="1:3" ht="50.95" customHeight="1" x14ac:dyDescent="0.3">
      <c r="A749" s="13"/>
      <c r="B749" s="13"/>
      <c r="C749" s="13"/>
    </row>
    <row r="750" spans="1:3" ht="50.95" customHeight="1" x14ac:dyDescent="0.3">
      <c r="A750" s="13"/>
      <c r="B750" s="13"/>
      <c r="C750" s="13"/>
    </row>
    <row r="751" spans="1:3" ht="50.95" customHeight="1" x14ac:dyDescent="0.3">
      <c r="A751" s="13"/>
      <c r="B751" s="13"/>
      <c r="C751" s="13"/>
    </row>
    <row r="752" spans="1:3" ht="50.95" customHeight="1" x14ac:dyDescent="0.3">
      <c r="A752" s="13"/>
      <c r="B752" s="13"/>
      <c r="C752" s="13"/>
    </row>
    <row r="753" spans="1:3" ht="50.95" customHeight="1" x14ac:dyDescent="0.3">
      <c r="A753" s="13"/>
      <c r="B753" s="13"/>
      <c r="C753" s="13"/>
    </row>
    <row r="754" spans="1:3" ht="50.95" customHeight="1" x14ac:dyDescent="0.3">
      <c r="A754" s="13"/>
      <c r="B754" s="13"/>
      <c r="C754" s="13"/>
    </row>
    <row r="755" spans="1:3" ht="50.95" customHeight="1" x14ac:dyDescent="0.3">
      <c r="A755" s="13"/>
      <c r="B755" s="13"/>
      <c r="C755" s="13"/>
    </row>
    <row r="756" spans="1:3" ht="50.95" customHeight="1" x14ac:dyDescent="0.3">
      <c r="A756" s="13"/>
      <c r="B756" s="13"/>
      <c r="C756" s="13"/>
    </row>
    <row r="757" spans="1:3" ht="50.95" customHeight="1" x14ac:dyDescent="0.3">
      <c r="A757" s="13"/>
      <c r="B757" s="13"/>
      <c r="C757" s="13"/>
    </row>
    <row r="758" spans="1:3" ht="50.95" customHeight="1" x14ac:dyDescent="0.3">
      <c r="A758" s="13"/>
      <c r="B758" s="13"/>
      <c r="C758" s="13"/>
    </row>
    <row r="759" spans="1:3" ht="50.95" customHeight="1" x14ac:dyDescent="0.3">
      <c r="A759" s="13"/>
      <c r="B759" s="13"/>
      <c r="C759" s="13"/>
    </row>
    <row r="760" spans="1:3" ht="50.95" customHeight="1" x14ac:dyDescent="0.3">
      <c r="A760" s="13"/>
      <c r="B760" s="13"/>
      <c r="C760" s="13"/>
    </row>
    <row r="761" spans="1:3" ht="50.95" customHeight="1" x14ac:dyDescent="0.3">
      <c r="A761" s="13"/>
      <c r="B761" s="13"/>
      <c r="C761" s="13"/>
    </row>
    <row r="762" spans="1:3" ht="50.95" customHeight="1" x14ac:dyDescent="0.3">
      <c r="A762" s="13"/>
      <c r="B762" s="13"/>
      <c r="C762" s="13"/>
    </row>
    <row r="763" spans="1:3" ht="50.95" customHeight="1" x14ac:dyDescent="0.3">
      <c r="A763" s="13"/>
      <c r="B763" s="13"/>
      <c r="C763" s="13"/>
    </row>
    <row r="764" spans="1:3" ht="50.95" customHeight="1" x14ac:dyDescent="0.3">
      <c r="A764" s="13"/>
      <c r="B764" s="13"/>
      <c r="C764" s="13"/>
    </row>
    <row r="765" spans="1:3" ht="50.95" customHeight="1" x14ac:dyDescent="0.3">
      <c r="A765" s="13"/>
      <c r="B765" s="13"/>
      <c r="C765" s="13"/>
    </row>
    <row r="766" spans="1:3" ht="50.95" customHeight="1" x14ac:dyDescent="0.3">
      <c r="A766" s="13"/>
      <c r="B766" s="13"/>
      <c r="C766" s="13"/>
    </row>
    <row r="767" spans="1:3" ht="50.95" customHeight="1" x14ac:dyDescent="0.3">
      <c r="A767" s="13"/>
      <c r="B767" s="13"/>
      <c r="C767" s="13"/>
    </row>
    <row r="768" spans="1:3" ht="50.95" customHeight="1" x14ac:dyDescent="0.3">
      <c r="A768" s="13"/>
      <c r="B768" s="13"/>
      <c r="C768" s="13"/>
    </row>
    <row r="769" spans="1:3" ht="50.95" customHeight="1" x14ac:dyDescent="0.3">
      <c r="A769" s="13"/>
      <c r="B769" s="13"/>
      <c r="C769" s="13"/>
    </row>
    <row r="770" spans="1:3" ht="50.95" customHeight="1" x14ac:dyDescent="0.3">
      <c r="A770" s="13"/>
      <c r="B770" s="13"/>
      <c r="C770" s="13"/>
    </row>
    <row r="771" spans="1:3" ht="50.95" customHeight="1" x14ac:dyDescent="0.3">
      <c r="A771" s="13"/>
      <c r="B771" s="13"/>
      <c r="C771" s="13"/>
    </row>
    <row r="772" spans="1:3" ht="50.95" customHeight="1" x14ac:dyDescent="0.3">
      <c r="A772" s="13"/>
      <c r="B772" s="13"/>
      <c r="C772" s="13"/>
    </row>
    <row r="773" spans="1:3" ht="50.95" customHeight="1" x14ac:dyDescent="0.3">
      <c r="A773" s="13"/>
      <c r="B773" s="13"/>
      <c r="C773" s="13"/>
    </row>
    <row r="774" spans="1:3" ht="50.95" customHeight="1" x14ac:dyDescent="0.3">
      <c r="A774" s="13"/>
      <c r="B774" s="13"/>
      <c r="C774" s="13"/>
    </row>
    <row r="775" spans="1:3" ht="50.95" customHeight="1" x14ac:dyDescent="0.3">
      <c r="A775" s="13"/>
      <c r="B775" s="13"/>
      <c r="C775" s="13"/>
    </row>
    <row r="776" spans="1:3" ht="50.95" customHeight="1" x14ac:dyDescent="0.3">
      <c r="A776" s="13"/>
      <c r="B776" s="13"/>
      <c r="C776" s="13"/>
    </row>
    <row r="777" spans="1:3" ht="50.95" customHeight="1" x14ac:dyDescent="0.3">
      <c r="A777" s="13"/>
      <c r="B777" s="13"/>
      <c r="C777" s="13"/>
    </row>
    <row r="778" spans="1:3" ht="50.95" customHeight="1" x14ac:dyDescent="0.3">
      <c r="A778" s="13"/>
      <c r="B778" s="13"/>
      <c r="C778" s="13"/>
    </row>
    <row r="779" spans="1:3" ht="50.95" customHeight="1" x14ac:dyDescent="0.3">
      <c r="A779" s="13"/>
      <c r="B779" s="13"/>
      <c r="C779" s="13"/>
    </row>
    <row r="780" spans="1:3" ht="50.95" customHeight="1" x14ac:dyDescent="0.3">
      <c r="A780" s="13"/>
      <c r="B780" s="13"/>
      <c r="C780" s="13"/>
    </row>
    <row r="781" spans="1:3" ht="50.95" customHeight="1" x14ac:dyDescent="0.3">
      <c r="A781" s="13"/>
      <c r="B781" s="13"/>
      <c r="C781" s="13"/>
    </row>
    <row r="782" spans="1:3" ht="50.95" customHeight="1" x14ac:dyDescent="0.3">
      <c r="A782" s="13"/>
      <c r="B782" s="13"/>
      <c r="C782" s="13"/>
    </row>
    <row r="783" spans="1:3" ht="50.95" customHeight="1" x14ac:dyDescent="0.3">
      <c r="A783" s="13"/>
      <c r="B783" s="13"/>
      <c r="C783" s="13"/>
    </row>
    <row r="784" spans="1:3" ht="50.95" customHeight="1" x14ac:dyDescent="0.3">
      <c r="A784" s="13"/>
      <c r="B784" s="13"/>
      <c r="C784" s="13"/>
    </row>
    <row r="785" spans="1:3" ht="50.95" customHeight="1" x14ac:dyDescent="0.3">
      <c r="A785" s="13"/>
      <c r="B785" s="13"/>
      <c r="C785" s="13"/>
    </row>
    <row r="786" spans="1:3" ht="50.95" customHeight="1" x14ac:dyDescent="0.3">
      <c r="A786" s="13"/>
      <c r="B786" s="13"/>
      <c r="C786" s="13"/>
    </row>
    <row r="787" spans="1:3" ht="50.95" customHeight="1" x14ac:dyDescent="0.3">
      <c r="A787" s="13"/>
      <c r="B787" s="13"/>
      <c r="C787" s="13"/>
    </row>
    <row r="788" spans="1:3" ht="50.95" customHeight="1" x14ac:dyDescent="0.3">
      <c r="A788" s="13"/>
      <c r="B788" s="13"/>
      <c r="C788" s="13"/>
    </row>
    <row r="789" spans="1:3" ht="50.95" customHeight="1" x14ac:dyDescent="0.3">
      <c r="A789" s="13"/>
      <c r="B789" s="13"/>
      <c r="C789" s="13"/>
    </row>
    <row r="790" spans="1:3" ht="50.95" customHeight="1" x14ac:dyDescent="0.3">
      <c r="A790" s="13"/>
      <c r="B790" s="13"/>
      <c r="C790" s="13"/>
    </row>
    <row r="791" spans="1:3" ht="50.95" customHeight="1" x14ac:dyDescent="0.3">
      <c r="A791" s="13"/>
      <c r="B791" s="13"/>
      <c r="C791" s="13"/>
    </row>
    <row r="792" spans="1:3" ht="50.95" customHeight="1" x14ac:dyDescent="0.3">
      <c r="A792" s="13"/>
      <c r="B792" s="13"/>
      <c r="C792" s="13"/>
    </row>
    <row r="793" spans="1:3" ht="50.95" customHeight="1" x14ac:dyDescent="0.3">
      <c r="A793" s="13"/>
      <c r="B793" s="13"/>
      <c r="C793" s="13"/>
    </row>
    <row r="794" spans="1:3" ht="50.95" customHeight="1" x14ac:dyDescent="0.3">
      <c r="A794" s="13"/>
      <c r="B794" s="13"/>
      <c r="C794" s="13"/>
    </row>
    <row r="795" spans="1:3" ht="50.95" customHeight="1" x14ac:dyDescent="0.3">
      <c r="A795" s="13"/>
      <c r="B795" s="13"/>
      <c r="C795" s="13"/>
    </row>
    <row r="796" spans="1:3" ht="50.95" customHeight="1" x14ac:dyDescent="0.3">
      <c r="A796" s="13"/>
      <c r="B796" s="13"/>
      <c r="C796" s="13"/>
    </row>
    <row r="797" spans="1:3" ht="50.95" customHeight="1" x14ac:dyDescent="0.3">
      <c r="A797" s="13"/>
      <c r="B797" s="13"/>
      <c r="C797" s="13"/>
    </row>
    <row r="798" spans="1:3" ht="50.95" customHeight="1" x14ac:dyDescent="0.3">
      <c r="A798" s="13"/>
      <c r="B798" s="13"/>
      <c r="C798" s="13"/>
    </row>
    <row r="799" spans="1:3" ht="50.95" customHeight="1" x14ac:dyDescent="0.3">
      <c r="A799" s="13"/>
      <c r="B799" s="13"/>
      <c r="C799" s="13"/>
    </row>
    <row r="800" spans="1:3" ht="50.95" customHeight="1" x14ac:dyDescent="0.3">
      <c r="A800" s="13"/>
      <c r="B800" s="13"/>
      <c r="C800" s="13"/>
    </row>
    <row r="801" spans="1:3" ht="50.95" customHeight="1" x14ac:dyDescent="0.3">
      <c r="A801" s="13"/>
      <c r="B801" s="13"/>
      <c r="C801" s="13"/>
    </row>
    <row r="802" spans="1:3" ht="50.95" customHeight="1" x14ac:dyDescent="0.3">
      <c r="A802" s="13"/>
      <c r="B802" s="13"/>
      <c r="C802" s="13"/>
    </row>
    <row r="803" spans="1:3" ht="50.95" customHeight="1" x14ac:dyDescent="0.3">
      <c r="A803" s="13"/>
      <c r="B803" s="13"/>
      <c r="C803" s="13"/>
    </row>
    <row r="804" spans="1:3" ht="50.95" customHeight="1" x14ac:dyDescent="0.3">
      <c r="A804" s="13"/>
      <c r="B804" s="13"/>
      <c r="C804" s="13"/>
    </row>
    <row r="805" spans="1:3" ht="50.95" customHeight="1" x14ac:dyDescent="0.3">
      <c r="A805" s="13"/>
      <c r="B805" s="13"/>
      <c r="C805" s="13"/>
    </row>
    <row r="806" spans="1:3" ht="50.95" customHeight="1" x14ac:dyDescent="0.3">
      <c r="A806" s="13"/>
      <c r="B806" s="13"/>
      <c r="C806" s="13"/>
    </row>
    <row r="807" spans="1:3" ht="50.95" customHeight="1" x14ac:dyDescent="0.3">
      <c r="A807" s="13"/>
      <c r="B807" s="13"/>
      <c r="C807" s="13"/>
    </row>
    <row r="808" spans="1:3" ht="50.95" customHeight="1" x14ac:dyDescent="0.3">
      <c r="A808" s="13"/>
      <c r="B808" s="13"/>
      <c r="C808" s="13"/>
    </row>
    <row r="809" spans="1:3" ht="50.95" customHeight="1" x14ac:dyDescent="0.3">
      <c r="A809" s="13"/>
      <c r="B809" s="13"/>
      <c r="C809" s="13"/>
    </row>
    <row r="810" spans="1:3" ht="50.95" customHeight="1" x14ac:dyDescent="0.3">
      <c r="A810" s="13"/>
      <c r="B810" s="13"/>
      <c r="C810" s="13"/>
    </row>
    <row r="811" spans="1:3" ht="50.95" customHeight="1" x14ac:dyDescent="0.3">
      <c r="A811" s="13"/>
      <c r="B811" s="13"/>
      <c r="C811" s="13"/>
    </row>
    <row r="812" spans="1:3" ht="50.95" customHeight="1" x14ac:dyDescent="0.3">
      <c r="A812" s="13"/>
      <c r="B812" s="13"/>
      <c r="C812" s="13"/>
    </row>
    <row r="813" spans="1:3" ht="50.95" customHeight="1" x14ac:dyDescent="0.3">
      <c r="A813" s="13"/>
      <c r="B813" s="13"/>
      <c r="C813" s="13"/>
    </row>
    <row r="814" spans="1:3" ht="50.95" customHeight="1" x14ac:dyDescent="0.3">
      <c r="A814" s="13"/>
      <c r="B814" s="13"/>
      <c r="C814" s="13"/>
    </row>
    <row r="815" spans="1:3" ht="50.95" customHeight="1" x14ac:dyDescent="0.3">
      <c r="A815" s="13"/>
      <c r="B815" s="13"/>
      <c r="C815" s="13"/>
    </row>
    <row r="816" spans="1:3" ht="50.95" customHeight="1" x14ac:dyDescent="0.3">
      <c r="A816" s="13"/>
      <c r="B816" s="13"/>
      <c r="C816" s="13"/>
    </row>
    <row r="817" spans="1:3" ht="50.95" customHeight="1" x14ac:dyDescent="0.3">
      <c r="A817" s="13"/>
      <c r="B817" s="13"/>
      <c r="C817" s="13"/>
    </row>
    <row r="818" spans="1:3" ht="50.95" customHeight="1" x14ac:dyDescent="0.3">
      <c r="A818" s="13"/>
      <c r="B818" s="13"/>
      <c r="C818" s="13"/>
    </row>
    <row r="819" spans="1:3" ht="50.95" customHeight="1" x14ac:dyDescent="0.3">
      <c r="A819" s="13"/>
      <c r="B819" s="13"/>
      <c r="C819" s="13"/>
    </row>
    <row r="820" spans="1:3" ht="50.95" customHeight="1" x14ac:dyDescent="0.3">
      <c r="A820" s="13"/>
      <c r="B820" s="13"/>
      <c r="C820" s="13"/>
    </row>
    <row r="821" spans="1:3" ht="50.95" customHeight="1" x14ac:dyDescent="0.3">
      <c r="A821" s="13"/>
      <c r="B821" s="13"/>
      <c r="C821" s="13"/>
    </row>
    <row r="822" spans="1:3" ht="50.95" customHeight="1" x14ac:dyDescent="0.3">
      <c r="A822" s="13"/>
      <c r="B822" s="13"/>
      <c r="C822" s="13"/>
    </row>
    <row r="823" spans="1:3" ht="50.95" customHeight="1" x14ac:dyDescent="0.3">
      <c r="A823" s="13"/>
      <c r="B823" s="13"/>
      <c r="C823" s="13"/>
    </row>
    <row r="824" spans="1:3" ht="50.95" customHeight="1" x14ac:dyDescent="0.3">
      <c r="A824" s="13"/>
      <c r="B824" s="13"/>
      <c r="C824" s="13"/>
    </row>
    <row r="825" spans="1:3" ht="50.95" customHeight="1" x14ac:dyDescent="0.3">
      <c r="A825" s="13"/>
      <c r="B825" s="13"/>
      <c r="C825" s="13"/>
    </row>
    <row r="826" spans="1:3" ht="50.95" customHeight="1" x14ac:dyDescent="0.3">
      <c r="A826" s="13"/>
      <c r="B826" s="13"/>
      <c r="C826" s="13"/>
    </row>
    <row r="827" spans="1:3" ht="50.95" customHeight="1" x14ac:dyDescent="0.3">
      <c r="A827" s="13"/>
      <c r="B827" s="13"/>
      <c r="C827" s="13"/>
    </row>
    <row r="828" spans="1:3" ht="50.95" customHeight="1" x14ac:dyDescent="0.3">
      <c r="A828" s="13"/>
      <c r="B828" s="13"/>
      <c r="C828" s="13"/>
    </row>
    <row r="829" spans="1:3" ht="50.95" customHeight="1" x14ac:dyDescent="0.3">
      <c r="A829" s="13"/>
      <c r="B829" s="13"/>
      <c r="C829" s="13"/>
    </row>
    <row r="830" spans="1:3" ht="50.95" customHeight="1" x14ac:dyDescent="0.3">
      <c r="A830" s="13"/>
      <c r="B830" s="13"/>
      <c r="C830" s="13"/>
    </row>
    <row r="831" spans="1:3" ht="50.95" customHeight="1" x14ac:dyDescent="0.3">
      <c r="A831" s="13"/>
      <c r="B831" s="13"/>
      <c r="C831" s="13"/>
    </row>
    <row r="832" spans="1:3" ht="50.95" customHeight="1" x14ac:dyDescent="0.3">
      <c r="A832" s="13"/>
      <c r="B832" s="13"/>
      <c r="C832" s="13"/>
    </row>
    <row r="833" spans="1:3" ht="50.95" customHeight="1" x14ac:dyDescent="0.3">
      <c r="A833" s="13"/>
      <c r="B833" s="13"/>
      <c r="C833" s="13"/>
    </row>
    <row r="834" spans="1:3" ht="50.95" customHeight="1" x14ac:dyDescent="0.3">
      <c r="A834" s="13"/>
      <c r="B834" s="13"/>
      <c r="C834" s="13"/>
    </row>
    <row r="835" spans="1:3" ht="50.95" customHeight="1" x14ac:dyDescent="0.3">
      <c r="A835" s="13"/>
      <c r="B835" s="13"/>
      <c r="C835" s="13"/>
    </row>
    <row r="836" spans="1:3" ht="50.95" customHeight="1" x14ac:dyDescent="0.3">
      <c r="A836" s="13"/>
      <c r="B836" s="13"/>
      <c r="C836" s="13"/>
    </row>
    <row r="837" spans="1:3" ht="50.95" customHeight="1" x14ac:dyDescent="0.3">
      <c r="A837" s="13"/>
      <c r="B837" s="13"/>
      <c r="C837" s="13"/>
    </row>
    <row r="838" spans="1:3" ht="50.95" customHeight="1" x14ac:dyDescent="0.3">
      <c r="A838" s="13"/>
      <c r="B838" s="13"/>
      <c r="C838" s="13"/>
    </row>
    <row r="839" spans="1:3" ht="50.95" customHeight="1" x14ac:dyDescent="0.3">
      <c r="A839" s="13"/>
      <c r="B839" s="13"/>
      <c r="C839" s="13"/>
    </row>
    <row r="840" spans="1:3" ht="50.95" customHeight="1" x14ac:dyDescent="0.3">
      <c r="A840" s="13"/>
      <c r="B840" s="13"/>
      <c r="C840" s="13"/>
    </row>
    <row r="841" spans="1:3" ht="50.95" customHeight="1" x14ac:dyDescent="0.3">
      <c r="A841" s="13"/>
      <c r="B841" s="13"/>
      <c r="C841" s="13"/>
    </row>
    <row r="842" spans="1:3" ht="50.95" customHeight="1" x14ac:dyDescent="0.3">
      <c r="A842" s="13"/>
      <c r="B842" s="13"/>
      <c r="C842" s="13"/>
    </row>
    <row r="843" spans="1:3" ht="50.95" customHeight="1" x14ac:dyDescent="0.3">
      <c r="A843" s="13"/>
      <c r="B843" s="13"/>
      <c r="C843" s="13"/>
    </row>
    <row r="844" spans="1:3" ht="50.95" customHeight="1" x14ac:dyDescent="0.3">
      <c r="A844" s="13"/>
      <c r="B844" s="13"/>
      <c r="C844" s="13"/>
    </row>
    <row r="845" spans="1:3" ht="50.95" customHeight="1" x14ac:dyDescent="0.3">
      <c r="A845" s="13"/>
      <c r="B845" s="13"/>
      <c r="C845" s="13"/>
    </row>
    <row r="846" spans="1:3" ht="50.95" customHeight="1" x14ac:dyDescent="0.3">
      <c r="A846" s="13"/>
      <c r="B846" s="13"/>
      <c r="C846" s="13"/>
    </row>
    <row r="847" spans="1:3" ht="50.95" customHeight="1" x14ac:dyDescent="0.3">
      <c r="A847" s="13"/>
      <c r="B847" s="13"/>
      <c r="C847" s="13"/>
    </row>
    <row r="848" spans="1:3" ht="50.95" customHeight="1" x14ac:dyDescent="0.3">
      <c r="A848" s="13"/>
      <c r="B848" s="13"/>
      <c r="C848" s="13"/>
    </row>
    <row r="849" spans="1:3" ht="50.95" customHeight="1" x14ac:dyDescent="0.3">
      <c r="A849" s="13"/>
      <c r="B849" s="13"/>
      <c r="C849" s="13"/>
    </row>
    <row r="850" spans="1:3" ht="50.95" customHeight="1" x14ac:dyDescent="0.3">
      <c r="A850" s="13"/>
      <c r="B850" s="13"/>
      <c r="C850" s="13"/>
    </row>
    <row r="851" spans="1:3" ht="50.95" customHeight="1" x14ac:dyDescent="0.3">
      <c r="A851" s="13"/>
      <c r="B851" s="13"/>
      <c r="C851" s="13"/>
    </row>
    <row r="852" spans="1:3" ht="50.95" customHeight="1" x14ac:dyDescent="0.3">
      <c r="A852" s="13"/>
      <c r="B852" s="13"/>
      <c r="C852" s="13"/>
    </row>
    <row r="853" spans="1:3" ht="50.95" customHeight="1" x14ac:dyDescent="0.3">
      <c r="A853" s="13"/>
      <c r="B853" s="13"/>
      <c r="C853" s="13"/>
    </row>
    <row r="854" spans="1:3" ht="50.95" customHeight="1" x14ac:dyDescent="0.3">
      <c r="A854" s="13"/>
      <c r="B854" s="13"/>
      <c r="C854" s="13"/>
    </row>
    <row r="855" spans="1:3" ht="50.95" customHeight="1" x14ac:dyDescent="0.3">
      <c r="A855" s="13"/>
      <c r="B855" s="13"/>
      <c r="C855" s="13"/>
    </row>
    <row r="856" spans="1:3" ht="50.95" customHeight="1" x14ac:dyDescent="0.3">
      <c r="A856" s="13"/>
      <c r="B856" s="13"/>
      <c r="C856" s="13"/>
    </row>
    <row r="857" spans="1:3" ht="50.95" customHeight="1" x14ac:dyDescent="0.3">
      <c r="A857" s="13"/>
      <c r="B857" s="13"/>
      <c r="C857" s="13"/>
    </row>
    <row r="858" spans="1:3" ht="50.95" customHeight="1" x14ac:dyDescent="0.3">
      <c r="A858" s="13"/>
      <c r="B858" s="13"/>
      <c r="C858" s="13"/>
    </row>
    <row r="859" spans="1:3" ht="50.95" customHeight="1" x14ac:dyDescent="0.3">
      <c r="A859" s="13"/>
      <c r="B859" s="13"/>
      <c r="C859" s="13"/>
    </row>
    <row r="860" spans="1:3" ht="50.95" customHeight="1" x14ac:dyDescent="0.3">
      <c r="A860" s="13"/>
      <c r="B860" s="13"/>
      <c r="C860" s="13"/>
    </row>
    <row r="861" spans="1:3" ht="50.95" customHeight="1" x14ac:dyDescent="0.3">
      <c r="A861" s="13"/>
      <c r="B861" s="13"/>
      <c r="C861" s="13"/>
    </row>
    <row r="862" spans="1:3" ht="50.95" customHeight="1" x14ac:dyDescent="0.3">
      <c r="A862" s="13"/>
      <c r="B862" s="13"/>
      <c r="C862" s="13"/>
    </row>
    <row r="863" spans="1:3" ht="50.95" customHeight="1" x14ac:dyDescent="0.3">
      <c r="A863" s="13"/>
      <c r="B863" s="13"/>
      <c r="C863" s="13"/>
    </row>
    <row r="864" spans="1:3" ht="50.95" customHeight="1" x14ac:dyDescent="0.3">
      <c r="A864" s="13"/>
      <c r="B864" s="13"/>
      <c r="C864" s="13"/>
    </row>
    <row r="865" spans="1:3" ht="50.95" customHeight="1" x14ac:dyDescent="0.3">
      <c r="A865" s="13"/>
      <c r="B865" s="13"/>
      <c r="C865" s="13"/>
    </row>
    <row r="866" spans="1:3" ht="50.95" customHeight="1" x14ac:dyDescent="0.3">
      <c r="A866" s="13"/>
      <c r="B866" s="13"/>
      <c r="C866" s="13"/>
    </row>
    <row r="867" spans="1:3" ht="50.95" customHeight="1" x14ac:dyDescent="0.3">
      <c r="A867" s="13"/>
      <c r="B867" s="13"/>
      <c r="C867" s="13"/>
    </row>
    <row r="868" spans="1:3" ht="50.95" customHeight="1" x14ac:dyDescent="0.3">
      <c r="A868" s="13"/>
      <c r="B868" s="13"/>
      <c r="C868" s="13"/>
    </row>
    <row r="869" spans="1:3" ht="50.95" customHeight="1" x14ac:dyDescent="0.3">
      <c r="A869" s="13"/>
      <c r="B869" s="13"/>
      <c r="C869" s="13"/>
    </row>
    <row r="870" spans="1:3" ht="50.95" customHeight="1" x14ac:dyDescent="0.3">
      <c r="A870" s="13"/>
      <c r="B870" s="13"/>
      <c r="C870" s="13"/>
    </row>
    <row r="871" spans="1:3" ht="50.95" customHeight="1" x14ac:dyDescent="0.3">
      <c r="A871" s="13"/>
      <c r="B871" s="13"/>
      <c r="C871" s="13"/>
    </row>
    <row r="872" spans="1:3" ht="50.95" customHeight="1" x14ac:dyDescent="0.3">
      <c r="A872" s="13"/>
      <c r="B872" s="13"/>
      <c r="C872" s="13"/>
    </row>
    <row r="873" spans="1:3" ht="50.95" customHeight="1" x14ac:dyDescent="0.3">
      <c r="A873" s="13"/>
      <c r="B873" s="13"/>
      <c r="C873" s="13"/>
    </row>
    <row r="874" spans="1:3" ht="50.95" customHeight="1" x14ac:dyDescent="0.3">
      <c r="A874" s="13"/>
      <c r="B874" s="13"/>
      <c r="C874" s="13"/>
    </row>
    <row r="875" spans="1:3" ht="50.95" customHeight="1" x14ac:dyDescent="0.3">
      <c r="A875" s="13"/>
      <c r="B875" s="13"/>
      <c r="C875" s="13"/>
    </row>
    <row r="876" spans="1:3" ht="50.95" customHeight="1" x14ac:dyDescent="0.3">
      <c r="A876" s="13"/>
      <c r="B876" s="13"/>
      <c r="C876" s="13"/>
    </row>
    <row r="877" spans="1:3" ht="50.95" customHeight="1" x14ac:dyDescent="0.3">
      <c r="A877" s="13"/>
      <c r="B877" s="13"/>
      <c r="C877" s="13"/>
    </row>
    <row r="878" spans="1:3" ht="50.95" customHeight="1" x14ac:dyDescent="0.3">
      <c r="A878" s="13"/>
      <c r="B878" s="13"/>
      <c r="C878" s="13"/>
    </row>
    <row r="879" spans="1:3" ht="50.95" customHeight="1" x14ac:dyDescent="0.3">
      <c r="A879" s="13"/>
      <c r="B879" s="13"/>
      <c r="C879" s="13"/>
    </row>
    <row r="880" spans="1:3" ht="50.95" customHeight="1" x14ac:dyDescent="0.3">
      <c r="A880" s="13"/>
      <c r="B880" s="13"/>
      <c r="C880" s="13"/>
    </row>
    <row r="881" spans="1:3" ht="50.95" customHeight="1" x14ac:dyDescent="0.3">
      <c r="A881" s="13"/>
      <c r="B881" s="13"/>
      <c r="C881" s="13"/>
    </row>
    <row r="882" spans="1:3" ht="50.95" customHeight="1" x14ac:dyDescent="0.3">
      <c r="A882" s="13"/>
      <c r="B882" s="13"/>
      <c r="C882" s="13"/>
    </row>
    <row r="883" spans="1:3" ht="50.95" customHeight="1" x14ac:dyDescent="0.3">
      <c r="A883" s="13"/>
      <c r="B883" s="13"/>
      <c r="C883" s="13"/>
    </row>
    <row r="884" spans="1:3" ht="50.95" customHeight="1" x14ac:dyDescent="0.3">
      <c r="A884" s="13"/>
      <c r="B884" s="13"/>
      <c r="C884" s="13"/>
    </row>
    <row r="885" spans="1:3" ht="50.95" customHeight="1" x14ac:dyDescent="0.3">
      <c r="A885" s="13"/>
      <c r="B885" s="13"/>
      <c r="C885" s="13"/>
    </row>
    <row r="886" spans="1:3" ht="50.95" customHeight="1" x14ac:dyDescent="0.3">
      <c r="A886" s="13"/>
      <c r="B886" s="13"/>
      <c r="C886" s="13"/>
    </row>
    <row r="887" spans="1:3" ht="50.95" customHeight="1" x14ac:dyDescent="0.3">
      <c r="A887" s="13"/>
      <c r="B887" s="13"/>
      <c r="C887" s="13"/>
    </row>
    <row r="888" spans="1:3" ht="50.95" customHeight="1" x14ac:dyDescent="0.3">
      <c r="A888" s="13"/>
      <c r="B888" s="13"/>
      <c r="C888" s="13"/>
    </row>
    <row r="889" spans="1:3" ht="50.95" customHeight="1" x14ac:dyDescent="0.3">
      <c r="A889" s="13"/>
      <c r="B889" s="13"/>
      <c r="C889" s="13"/>
    </row>
    <row r="890" spans="1:3" ht="50.95" customHeight="1" x14ac:dyDescent="0.3">
      <c r="A890" s="13"/>
      <c r="B890" s="13"/>
      <c r="C890" s="13"/>
    </row>
    <row r="891" spans="1:3" ht="50.95" customHeight="1" x14ac:dyDescent="0.3">
      <c r="A891" s="13"/>
      <c r="B891" s="13"/>
      <c r="C891" s="13"/>
    </row>
    <row r="892" spans="1:3" ht="50.95" customHeight="1" x14ac:dyDescent="0.3">
      <c r="A892" s="13"/>
      <c r="B892" s="13"/>
      <c r="C892" s="13"/>
    </row>
    <row r="893" spans="1:3" ht="50.95" customHeight="1" x14ac:dyDescent="0.3">
      <c r="A893" s="13"/>
      <c r="B893" s="13"/>
      <c r="C893" s="13"/>
    </row>
    <row r="894" spans="1:3" ht="50.95" customHeight="1" x14ac:dyDescent="0.3">
      <c r="A894" s="13"/>
      <c r="B894" s="13"/>
      <c r="C894" s="13"/>
    </row>
    <row r="895" spans="1:3" ht="50.95" customHeight="1" x14ac:dyDescent="0.3">
      <c r="A895" s="13"/>
      <c r="B895" s="13"/>
      <c r="C895" s="13"/>
    </row>
    <row r="896" spans="1:3" ht="50.95" customHeight="1" x14ac:dyDescent="0.3">
      <c r="A896" s="13"/>
      <c r="B896" s="13"/>
      <c r="C896" s="13"/>
    </row>
    <row r="897" spans="1:3" ht="50.95" customHeight="1" x14ac:dyDescent="0.3">
      <c r="A897" s="13"/>
      <c r="B897" s="13"/>
      <c r="C897" s="13"/>
    </row>
    <row r="898" spans="1:3" ht="50.95" customHeight="1" x14ac:dyDescent="0.3">
      <c r="A898" s="13"/>
      <c r="B898" s="13"/>
      <c r="C898" s="13"/>
    </row>
    <row r="899" spans="1:3" ht="50.95" customHeight="1" x14ac:dyDescent="0.3">
      <c r="A899" s="13"/>
      <c r="B899" s="13"/>
      <c r="C899" s="13"/>
    </row>
    <row r="900" spans="1:3" ht="50.95" customHeight="1" x14ac:dyDescent="0.3">
      <c r="A900" s="13"/>
      <c r="B900" s="13"/>
      <c r="C900" s="13"/>
    </row>
    <row r="901" spans="1:3" ht="50.95" customHeight="1" x14ac:dyDescent="0.3">
      <c r="A901" s="13"/>
      <c r="B901" s="13"/>
      <c r="C901" s="13"/>
    </row>
    <row r="902" spans="1:3" ht="50.95" customHeight="1" x14ac:dyDescent="0.3">
      <c r="A902" s="13"/>
      <c r="B902" s="13"/>
      <c r="C902" s="13"/>
    </row>
    <row r="903" spans="1:3" ht="50.95" customHeight="1" x14ac:dyDescent="0.3">
      <c r="A903" s="13"/>
      <c r="B903" s="13"/>
      <c r="C903" s="13"/>
    </row>
    <row r="904" spans="1:3" ht="50.95" customHeight="1" x14ac:dyDescent="0.3">
      <c r="A904" s="13"/>
      <c r="B904" s="13"/>
      <c r="C904" s="13"/>
    </row>
    <row r="905" spans="1:3" ht="50.95" customHeight="1" x14ac:dyDescent="0.3">
      <c r="A905" s="13"/>
      <c r="B905" s="13"/>
      <c r="C905" s="13"/>
    </row>
    <row r="906" spans="1:3" ht="50.95" customHeight="1" x14ac:dyDescent="0.3">
      <c r="A906" s="13"/>
      <c r="B906" s="13"/>
      <c r="C906" s="13"/>
    </row>
  </sheetData>
  <mergeCells count="3">
    <mergeCell ref="A5:D5"/>
    <mergeCell ref="A6:D6"/>
    <mergeCell ref="A7:D7"/>
  </mergeCells>
  <pageMargins left="0.7" right="0.7" top="0.75" bottom="0.75" header="0.3" footer="0.3"/>
  <pageSetup paperSize="9" scale="78" orientation="portrait" r:id="rId1"/>
  <colBreaks count="1" manualBreakCount="1">
    <brk id="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815"/>
  <sheetViews>
    <sheetView topLeftCell="A28" zoomScaleNormal="100" zoomScaleSheetLayoutView="90" workbookViewId="0">
      <selection activeCell="G182" sqref="G182"/>
    </sheetView>
  </sheetViews>
  <sheetFormatPr defaultRowHeight="17" outlineLevelRow="7" x14ac:dyDescent="0.3"/>
  <cols>
    <col min="1" max="1" width="59.625" style="419" customWidth="1"/>
    <col min="2" max="2" width="6.375" style="420" customWidth="1"/>
    <col min="3" max="3" width="8" style="420" customWidth="1"/>
    <col min="4" max="4" width="15.875" style="500" customWidth="1"/>
    <col min="5" max="5" width="6.875" style="500" customWidth="1"/>
    <col min="6" max="6" width="19.75" style="500" hidden="1" customWidth="1"/>
    <col min="7" max="7" width="17" style="528" customWidth="1"/>
    <col min="8" max="8" width="18.75" style="482" hidden="1" customWidth="1"/>
    <col min="9" max="9" width="20" style="481" hidden="1" customWidth="1"/>
    <col min="10" max="10" width="17.75" style="528" customWidth="1"/>
    <col min="11" max="11" width="21.375" style="501" customWidth="1"/>
    <col min="12" max="12" width="16.375" style="391" customWidth="1"/>
    <col min="13" max="13" width="11.125" style="495" customWidth="1"/>
    <col min="14" max="239" width="9" style="391"/>
    <col min="240" max="240" width="75.875" style="391" customWidth="1"/>
    <col min="241" max="242" width="7.625" style="391" customWidth="1"/>
    <col min="243" max="243" width="9.625" style="391" customWidth="1"/>
    <col min="244" max="244" width="7.625" style="391" customWidth="1"/>
    <col min="245" max="248" width="0" style="391" hidden="1" customWidth="1"/>
    <col min="249" max="249" width="14.375" style="391" customWidth="1"/>
    <col min="250" max="255" width="0" style="391" hidden="1" customWidth="1"/>
    <col min="256" max="256" width="10.125" style="391" bestFit="1" customWidth="1"/>
    <col min="257" max="495" width="9" style="391"/>
    <col min="496" max="496" width="75.875" style="391" customWidth="1"/>
    <col min="497" max="498" width="7.625" style="391" customWidth="1"/>
    <col min="499" max="499" width="9.625" style="391" customWidth="1"/>
    <col min="500" max="500" width="7.625" style="391" customWidth="1"/>
    <col min="501" max="504" width="0" style="391" hidden="1" customWidth="1"/>
    <col min="505" max="505" width="14.375" style="391" customWidth="1"/>
    <col min="506" max="511" width="0" style="391" hidden="1" customWidth="1"/>
    <col min="512" max="512" width="10.125" style="391" bestFit="1" customWidth="1"/>
    <col min="513" max="751" width="9" style="391"/>
    <col min="752" max="752" width="75.875" style="391" customWidth="1"/>
    <col min="753" max="754" width="7.625" style="391" customWidth="1"/>
    <col min="755" max="755" width="9.625" style="391" customWidth="1"/>
    <col min="756" max="756" width="7.625" style="391" customWidth="1"/>
    <col min="757" max="760" width="0" style="391" hidden="1" customWidth="1"/>
    <col min="761" max="761" width="14.375" style="391" customWidth="1"/>
    <col min="762" max="767" width="0" style="391" hidden="1" customWidth="1"/>
    <col min="768" max="768" width="10.125" style="391" bestFit="1" customWidth="1"/>
    <col min="769" max="1007" width="9" style="391"/>
    <col min="1008" max="1008" width="75.875" style="391" customWidth="1"/>
    <col min="1009" max="1010" width="7.625" style="391" customWidth="1"/>
    <col min="1011" max="1011" width="9.625" style="391" customWidth="1"/>
    <col min="1012" max="1012" width="7.625" style="391" customWidth="1"/>
    <col min="1013" max="1016" width="0" style="391" hidden="1" customWidth="1"/>
    <col min="1017" max="1017" width="14.375" style="391" customWidth="1"/>
    <col min="1018" max="1023" width="0" style="391" hidden="1" customWidth="1"/>
    <col min="1024" max="1024" width="10.125" style="391" bestFit="1" customWidth="1"/>
    <col min="1025" max="1263" width="9" style="391"/>
    <col min="1264" max="1264" width="75.875" style="391" customWidth="1"/>
    <col min="1265" max="1266" width="7.625" style="391" customWidth="1"/>
    <col min="1267" max="1267" width="9.625" style="391" customWidth="1"/>
    <col min="1268" max="1268" width="7.625" style="391" customWidth="1"/>
    <col min="1269" max="1272" width="0" style="391" hidden="1" customWidth="1"/>
    <col min="1273" max="1273" width="14.375" style="391" customWidth="1"/>
    <col min="1274" max="1279" width="0" style="391" hidden="1" customWidth="1"/>
    <col min="1280" max="1280" width="10.125" style="391" bestFit="1" customWidth="1"/>
    <col min="1281" max="1519" width="9" style="391"/>
    <col min="1520" max="1520" width="75.875" style="391" customWidth="1"/>
    <col min="1521" max="1522" width="7.625" style="391" customWidth="1"/>
    <col min="1523" max="1523" width="9.625" style="391" customWidth="1"/>
    <col min="1524" max="1524" width="7.625" style="391" customWidth="1"/>
    <col min="1525" max="1528" width="0" style="391" hidden="1" customWidth="1"/>
    <col min="1529" max="1529" width="14.375" style="391" customWidth="1"/>
    <col min="1530" max="1535" width="0" style="391" hidden="1" customWidth="1"/>
    <col min="1536" max="1536" width="10.125" style="391" bestFit="1" customWidth="1"/>
    <col min="1537" max="1775" width="9" style="391"/>
    <col min="1776" max="1776" width="75.875" style="391" customWidth="1"/>
    <col min="1777" max="1778" width="7.625" style="391" customWidth="1"/>
    <col min="1779" max="1779" width="9.625" style="391" customWidth="1"/>
    <col min="1780" max="1780" width="7.625" style="391" customWidth="1"/>
    <col min="1781" max="1784" width="0" style="391" hidden="1" customWidth="1"/>
    <col min="1785" max="1785" width="14.375" style="391" customWidth="1"/>
    <col min="1786" max="1791" width="0" style="391" hidden="1" customWidth="1"/>
    <col min="1792" max="1792" width="10.125" style="391" bestFit="1" customWidth="1"/>
    <col min="1793" max="2031" width="9" style="391"/>
    <col min="2032" max="2032" width="75.875" style="391" customWidth="1"/>
    <col min="2033" max="2034" width="7.625" style="391" customWidth="1"/>
    <col min="2035" max="2035" width="9.625" style="391" customWidth="1"/>
    <col min="2036" max="2036" width="7.625" style="391" customWidth="1"/>
    <col min="2037" max="2040" width="0" style="391" hidden="1" customWidth="1"/>
    <col min="2041" max="2041" width="14.375" style="391" customWidth="1"/>
    <col min="2042" max="2047" width="0" style="391" hidden="1" customWidth="1"/>
    <col min="2048" max="2048" width="10.125" style="391" bestFit="1" customWidth="1"/>
    <col min="2049" max="2287" width="9" style="391"/>
    <col min="2288" max="2288" width="75.875" style="391" customWidth="1"/>
    <col min="2289" max="2290" width="7.625" style="391" customWidth="1"/>
    <col min="2291" max="2291" width="9.625" style="391" customWidth="1"/>
    <col min="2292" max="2292" width="7.625" style="391" customWidth="1"/>
    <col min="2293" max="2296" width="0" style="391" hidden="1" customWidth="1"/>
    <col min="2297" max="2297" width="14.375" style="391" customWidth="1"/>
    <col min="2298" max="2303" width="0" style="391" hidden="1" customWidth="1"/>
    <col min="2304" max="2304" width="10.125" style="391" bestFit="1" customWidth="1"/>
    <col min="2305" max="2543" width="9" style="391"/>
    <col min="2544" max="2544" width="75.875" style="391" customWidth="1"/>
    <col min="2545" max="2546" width="7.625" style="391" customWidth="1"/>
    <col min="2547" max="2547" width="9.625" style="391" customWidth="1"/>
    <col min="2548" max="2548" width="7.625" style="391" customWidth="1"/>
    <col min="2549" max="2552" width="0" style="391" hidden="1" customWidth="1"/>
    <col min="2553" max="2553" width="14.375" style="391" customWidth="1"/>
    <col min="2554" max="2559" width="0" style="391" hidden="1" customWidth="1"/>
    <col min="2560" max="2560" width="10.125" style="391" bestFit="1" customWidth="1"/>
    <col min="2561" max="2799" width="9" style="391"/>
    <col min="2800" max="2800" width="75.875" style="391" customWidth="1"/>
    <col min="2801" max="2802" width="7.625" style="391" customWidth="1"/>
    <col min="2803" max="2803" width="9.625" style="391" customWidth="1"/>
    <col min="2804" max="2804" width="7.625" style="391" customWidth="1"/>
    <col min="2805" max="2808" width="0" style="391" hidden="1" customWidth="1"/>
    <col min="2809" max="2809" width="14.375" style="391" customWidth="1"/>
    <col min="2810" max="2815" width="0" style="391" hidden="1" customWidth="1"/>
    <col min="2816" max="2816" width="10.125" style="391" bestFit="1" customWidth="1"/>
    <col min="2817" max="3055" width="9" style="391"/>
    <col min="3056" max="3056" width="75.875" style="391" customWidth="1"/>
    <col min="3057" max="3058" width="7.625" style="391" customWidth="1"/>
    <col min="3059" max="3059" width="9.625" style="391" customWidth="1"/>
    <col min="3060" max="3060" width="7.625" style="391" customWidth="1"/>
    <col min="3061" max="3064" width="0" style="391" hidden="1" customWidth="1"/>
    <col min="3065" max="3065" width="14.375" style="391" customWidth="1"/>
    <col min="3066" max="3071" width="0" style="391" hidden="1" customWidth="1"/>
    <col min="3072" max="3072" width="10.125" style="391" bestFit="1" customWidth="1"/>
    <col min="3073" max="3311" width="9" style="391"/>
    <col min="3312" max="3312" width="75.875" style="391" customWidth="1"/>
    <col min="3313" max="3314" width="7.625" style="391" customWidth="1"/>
    <col min="3315" max="3315" width="9.625" style="391" customWidth="1"/>
    <col min="3316" max="3316" width="7.625" style="391" customWidth="1"/>
    <col min="3317" max="3320" width="0" style="391" hidden="1" customWidth="1"/>
    <col min="3321" max="3321" width="14.375" style="391" customWidth="1"/>
    <col min="3322" max="3327" width="0" style="391" hidden="1" customWidth="1"/>
    <col min="3328" max="3328" width="10.125" style="391" bestFit="1" customWidth="1"/>
    <col min="3329" max="3567" width="9" style="391"/>
    <col min="3568" max="3568" width="75.875" style="391" customWidth="1"/>
    <col min="3569" max="3570" width="7.625" style="391" customWidth="1"/>
    <col min="3571" max="3571" width="9.625" style="391" customWidth="1"/>
    <col min="3572" max="3572" width="7.625" style="391" customWidth="1"/>
    <col min="3573" max="3576" width="0" style="391" hidden="1" customWidth="1"/>
    <col min="3577" max="3577" width="14.375" style="391" customWidth="1"/>
    <col min="3578" max="3583" width="0" style="391" hidden="1" customWidth="1"/>
    <col min="3584" max="3584" width="10.125" style="391" bestFit="1" customWidth="1"/>
    <col min="3585" max="3823" width="9" style="391"/>
    <col min="3824" max="3824" width="75.875" style="391" customWidth="1"/>
    <col min="3825" max="3826" width="7.625" style="391" customWidth="1"/>
    <col min="3827" max="3827" width="9.625" style="391" customWidth="1"/>
    <col min="3828" max="3828" width="7.625" style="391" customWidth="1"/>
    <col min="3829" max="3832" width="0" style="391" hidden="1" customWidth="1"/>
    <col min="3833" max="3833" width="14.375" style="391" customWidth="1"/>
    <col min="3834" max="3839" width="0" style="391" hidden="1" customWidth="1"/>
    <col min="3840" max="3840" width="10.125" style="391" bestFit="1" customWidth="1"/>
    <col min="3841" max="4079" width="9" style="391"/>
    <col min="4080" max="4080" width="75.875" style="391" customWidth="1"/>
    <col min="4081" max="4082" width="7.625" style="391" customWidth="1"/>
    <col min="4083" max="4083" width="9.625" style="391" customWidth="1"/>
    <col min="4084" max="4084" width="7.625" style="391" customWidth="1"/>
    <col min="4085" max="4088" width="0" style="391" hidden="1" customWidth="1"/>
    <col min="4089" max="4089" width="14.375" style="391" customWidth="1"/>
    <col min="4090" max="4095" width="0" style="391" hidden="1" customWidth="1"/>
    <col min="4096" max="4096" width="10.125" style="391" bestFit="1" customWidth="1"/>
    <col min="4097" max="4335" width="9" style="391"/>
    <col min="4336" max="4336" width="75.875" style="391" customWidth="1"/>
    <col min="4337" max="4338" width="7.625" style="391" customWidth="1"/>
    <col min="4339" max="4339" width="9.625" style="391" customWidth="1"/>
    <col min="4340" max="4340" width="7.625" style="391" customWidth="1"/>
    <col min="4341" max="4344" width="0" style="391" hidden="1" customWidth="1"/>
    <col min="4345" max="4345" width="14.375" style="391" customWidth="1"/>
    <col min="4346" max="4351" width="0" style="391" hidden="1" customWidth="1"/>
    <col min="4352" max="4352" width="10.125" style="391" bestFit="1" customWidth="1"/>
    <col min="4353" max="4591" width="9" style="391"/>
    <col min="4592" max="4592" width="75.875" style="391" customWidth="1"/>
    <col min="4593" max="4594" width="7.625" style="391" customWidth="1"/>
    <col min="4595" max="4595" width="9.625" style="391" customWidth="1"/>
    <col min="4596" max="4596" width="7.625" style="391" customWidth="1"/>
    <col min="4597" max="4600" width="0" style="391" hidden="1" customWidth="1"/>
    <col min="4601" max="4601" width="14.375" style="391" customWidth="1"/>
    <col min="4602" max="4607" width="0" style="391" hidden="1" customWidth="1"/>
    <col min="4608" max="4608" width="10.125" style="391" bestFit="1" customWidth="1"/>
    <col min="4609" max="4847" width="9" style="391"/>
    <col min="4848" max="4848" width="75.875" style="391" customWidth="1"/>
    <col min="4849" max="4850" width="7.625" style="391" customWidth="1"/>
    <col min="4851" max="4851" width="9.625" style="391" customWidth="1"/>
    <col min="4852" max="4852" width="7.625" style="391" customWidth="1"/>
    <col min="4853" max="4856" width="0" style="391" hidden="1" customWidth="1"/>
    <col min="4857" max="4857" width="14.375" style="391" customWidth="1"/>
    <col min="4858" max="4863" width="0" style="391" hidden="1" customWidth="1"/>
    <col min="4864" max="4864" width="10.125" style="391" bestFit="1" customWidth="1"/>
    <col min="4865" max="5103" width="9" style="391"/>
    <col min="5104" max="5104" width="75.875" style="391" customWidth="1"/>
    <col min="5105" max="5106" width="7.625" style="391" customWidth="1"/>
    <col min="5107" max="5107" width="9.625" style="391" customWidth="1"/>
    <col min="5108" max="5108" width="7.625" style="391" customWidth="1"/>
    <col min="5109" max="5112" width="0" style="391" hidden="1" customWidth="1"/>
    <col min="5113" max="5113" width="14.375" style="391" customWidth="1"/>
    <col min="5114" max="5119" width="0" style="391" hidden="1" customWidth="1"/>
    <col min="5120" max="5120" width="10.125" style="391" bestFit="1" customWidth="1"/>
    <col min="5121" max="5359" width="9" style="391"/>
    <col min="5360" max="5360" width="75.875" style="391" customWidth="1"/>
    <col min="5361" max="5362" width="7.625" style="391" customWidth="1"/>
    <col min="5363" max="5363" width="9.625" style="391" customWidth="1"/>
    <col min="5364" max="5364" width="7.625" style="391" customWidth="1"/>
    <col min="5365" max="5368" width="0" style="391" hidden="1" customWidth="1"/>
    <col min="5369" max="5369" width="14.375" style="391" customWidth="1"/>
    <col min="5370" max="5375" width="0" style="391" hidden="1" customWidth="1"/>
    <col min="5376" max="5376" width="10.125" style="391" bestFit="1" customWidth="1"/>
    <col min="5377" max="5615" width="9" style="391"/>
    <col min="5616" max="5616" width="75.875" style="391" customWidth="1"/>
    <col min="5617" max="5618" width="7.625" style="391" customWidth="1"/>
    <col min="5619" max="5619" width="9.625" style="391" customWidth="1"/>
    <col min="5620" max="5620" width="7.625" style="391" customWidth="1"/>
    <col min="5621" max="5624" width="0" style="391" hidden="1" customWidth="1"/>
    <col min="5625" max="5625" width="14.375" style="391" customWidth="1"/>
    <col min="5626" max="5631" width="0" style="391" hidden="1" customWidth="1"/>
    <col min="5632" max="5632" width="10.125" style="391" bestFit="1" customWidth="1"/>
    <col min="5633" max="5871" width="9" style="391"/>
    <col min="5872" max="5872" width="75.875" style="391" customWidth="1"/>
    <col min="5873" max="5874" width="7.625" style="391" customWidth="1"/>
    <col min="5875" max="5875" width="9.625" style="391" customWidth="1"/>
    <col min="5876" max="5876" width="7.625" style="391" customWidth="1"/>
    <col min="5877" max="5880" width="0" style="391" hidden="1" customWidth="1"/>
    <col min="5881" max="5881" width="14.375" style="391" customWidth="1"/>
    <col min="5882" max="5887" width="0" style="391" hidden="1" customWidth="1"/>
    <col min="5888" max="5888" width="10.125" style="391" bestFit="1" customWidth="1"/>
    <col min="5889" max="6127" width="9" style="391"/>
    <col min="6128" max="6128" width="75.875" style="391" customWidth="1"/>
    <col min="6129" max="6130" width="7.625" style="391" customWidth="1"/>
    <col min="6131" max="6131" width="9.625" style="391" customWidth="1"/>
    <col min="6132" max="6132" width="7.625" style="391" customWidth="1"/>
    <col min="6133" max="6136" width="0" style="391" hidden="1" customWidth="1"/>
    <col min="6137" max="6137" width="14.375" style="391" customWidth="1"/>
    <col min="6138" max="6143" width="0" style="391" hidden="1" customWidth="1"/>
    <col min="6144" max="6144" width="10.125" style="391" bestFit="1" customWidth="1"/>
    <col min="6145" max="6383" width="9" style="391"/>
    <col min="6384" max="6384" width="75.875" style="391" customWidth="1"/>
    <col min="6385" max="6386" width="7.625" style="391" customWidth="1"/>
    <col min="6387" max="6387" width="9.625" style="391" customWidth="1"/>
    <col min="6388" max="6388" width="7.625" style="391" customWidth="1"/>
    <col min="6389" max="6392" width="0" style="391" hidden="1" customWidth="1"/>
    <col min="6393" max="6393" width="14.375" style="391" customWidth="1"/>
    <col min="6394" max="6399" width="0" style="391" hidden="1" customWidth="1"/>
    <col min="6400" max="6400" width="10.125" style="391" bestFit="1" customWidth="1"/>
    <col min="6401" max="6639" width="9" style="391"/>
    <col min="6640" max="6640" width="75.875" style="391" customWidth="1"/>
    <col min="6641" max="6642" width="7.625" style="391" customWidth="1"/>
    <col min="6643" max="6643" width="9.625" style="391" customWidth="1"/>
    <col min="6644" max="6644" width="7.625" style="391" customWidth="1"/>
    <col min="6645" max="6648" width="0" style="391" hidden="1" customWidth="1"/>
    <col min="6649" max="6649" width="14.375" style="391" customWidth="1"/>
    <col min="6650" max="6655" width="0" style="391" hidden="1" customWidth="1"/>
    <col min="6656" max="6656" width="10.125" style="391" bestFit="1" customWidth="1"/>
    <col min="6657" max="6895" width="9" style="391"/>
    <col min="6896" max="6896" width="75.875" style="391" customWidth="1"/>
    <col min="6897" max="6898" width="7.625" style="391" customWidth="1"/>
    <col min="6899" max="6899" width="9.625" style="391" customWidth="1"/>
    <col min="6900" max="6900" width="7.625" style="391" customWidth="1"/>
    <col min="6901" max="6904" width="0" style="391" hidden="1" customWidth="1"/>
    <col min="6905" max="6905" width="14.375" style="391" customWidth="1"/>
    <col min="6906" max="6911" width="0" style="391" hidden="1" customWidth="1"/>
    <col min="6912" max="6912" width="10.125" style="391" bestFit="1" customWidth="1"/>
    <col min="6913" max="7151" width="9" style="391"/>
    <col min="7152" max="7152" width="75.875" style="391" customWidth="1"/>
    <col min="7153" max="7154" width="7.625" style="391" customWidth="1"/>
    <col min="7155" max="7155" width="9.625" style="391" customWidth="1"/>
    <col min="7156" max="7156" width="7.625" style="391" customWidth="1"/>
    <col min="7157" max="7160" width="0" style="391" hidden="1" customWidth="1"/>
    <col min="7161" max="7161" width="14.375" style="391" customWidth="1"/>
    <col min="7162" max="7167" width="0" style="391" hidden="1" customWidth="1"/>
    <col min="7168" max="7168" width="10.125" style="391" bestFit="1" customWidth="1"/>
    <col min="7169" max="7407" width="9" style="391"/>
    <col min="7408" max="7408" width="75.875" style="391" customWidth="1"/>
    <col min="7409" max="7410" width="7.625" style="391" customWidth="1"/>
    <col min="7411" max="7411" width="9.625" style="391" customWidth="1"/>
    <col min="7412" max="7412" width="7.625" style="391" customWidth="1"/>
    <col min="7413" max="7416" width="0" style="391" hidden="1" customWidth="1"/>
    <col min="7417" max="7417" width="14.375" style="391" customWidth="1"/>
    <col min="7418" max="7423" width="0" style="391" hidden="1" customWidth="1"/>
    <col min="7424" max="7424" width="10.125" style="391" bestFit="1" customWidth="1"/>
    <col min="7425" max="7663" width="9" style="391"/>
    <col min="7664" max="7664" width="75.875" style="391" customWidth="1"/>
    <col min="7665" max="7666" width="7.625" style="391" customWidth="1"/>
    <col min="7667" max="7667" width="9.625" style="391" customWidth="1"/>
    <col min="7668" max="7668" width="7.625" style="391" customWidth="1"/>
    <col min="7669" max="7672" width="0" style="391" hidden="1" customWidth="1"/>
    <col min="7673" max="7673" width="14.375" style="391" customWidth="1"/>
    <col min="7674" max="7679" width="0" style="391" hidden="1" customWidth="1"/>
    <col min="7680" max="7680" width="10.125" style="391" bestFit="1" customWidth="1"/>
    <col min="7681" max="7919" width="9" style="391"/>
    <col min="7920" max="7920" width="75.875" style="391" customWidth="1"/>
    <col min="7921" max="7922" width="7.625" style="391" customWidth="1"/>
    <col min="7923" max="7923" width="9.625" style="391" customWidth="1"/>
    <col min="7924" max="7924" width="7.625" style="391" customWidth="1"/>
    <col min="7925" max="7928" width="0" style="391" hidden="1" customWidth="1"/>
    <col min="7929" max="7929" width="14.375" style="391" customWidth="1"/>
    <col min="7930" max="7935" width="0" style="391" hidden="1" customWidth="1"/>
    <col min="7936" max="7936" width="10.125" style="391" bestFit="1" customWidth="1"/>
    <col min="7937" max="8175" width="9" style="391"/>
    <col min="8176" max="8176" width="75.875" style="391" customWidth="1"/>
    <col min="8177" max="8178" width="7.625" style="391" customWidth="1"/>
    <col min="8179" max="8179" width="9.625" style="391" customWidth="1"/>
    <col min="8180" max="8180" width="7.625" style="391" customWidth="1"/>
    <col min="8181" max="8184" width="0" style="391" hidden="1" customWidth="1"/>
    <col min="8185" max="8185" width="14.375" style="391" customWidth="1"/>
    <col min="8186" max="8191" width="0" style="391" hidden="1" customWidth="1"/>
    <col min="8192" max="8192" width="10.125" style="391" bestFit="1" customWidth="1"/>
    <col min="8193" max="8431" width="9" style="391"/>
    <col min="8432" max="8432" width="75.875" style="391" customWidth="1"/>
    <col min="8433" max="8434" width="7.625" style="391" customWidth="1"/>
    <col min="8435" max="8435" width="9.625" style="391" customWidth="1"/>
    <col min="8436" max="8436" width="7.625" style="391" customWidth="1"/>
    <col min="8437" max="8440" width="0" style="391" hidden="1" customWidth="1"/>
    <col min="8441" max="8441" width="14.375" style="391" customWidth="1"/>
    <col min="8442" max="8447" width="0" style="391" hidden="1" customWidth="1"/>
    <col min="8448" max="8448" width="10.125" style="391" bestFit="1" customWidth="1"/>
    <col min="8449" max="8687" width="9" style="391"/>
    <col min="8688" max="8688" width="75.875" style="391" customWidth="1"/>
    <col min="8689" max="8690" width="7.625" style="391" customWidth="1"/>
    <col min="8691" max="8691" width="9.625" style="391" customWidth="1"/>
    <col min="8692" max="8692" width="7.625" style="391" customWidth="1"/>
    <col min="8693" max="8696" width="0" style="391" hidden="1" customWidth="1"/>
    <col min="8697" max="8697" width="14.375" style="391" customWidth="1"/>
    <col min="8698" max="8703" width="0" style="391" hidden="1" customWidth="1"/>
    <col min="8704" max="8704" width="10.125" style="391" bestFit="1" customWidth="1"/>
    <col min="8705" max="8943" width="9" style="391"/>
    <col min="8944" max="8944" width="75.875" style="391" customWidth="1"/>
    <col min="8945" max="8946" width="7.625" style="391" customWidth="1"/>
    <col min="8947" max="8947" width="9.625" style="391" customWidth="1"/>
    <col min="8948" max="8948" width="7.625" style="391" customWidth="1"/>
    <col min="8949" max="8952" width="0" style="391" hidden="1" customWidth="1"/>
    <col min="8953" max="8953" width="14.375" style="391" customWidth="1"/>
    <col min="8954" max="8959" width="0" style="391" hidden="1" customWidth="1"/>
    <col min="8960" max="8960" width="10.125" style="391" bestFit="1" customWidth="1"/>
    <col min="8961" max="9199" width="9" style="391"/>
    <col min="9200" max="9200" width="75.875" style="391" customWidth="1"/>
    <col min="9201" max="9202" width="7.625" style="391" customWidth="1"/>
    <col min="9203" max="9203" width="9.625" style="391" customWidth="1"/>
    <col min="9204" max="9204" width="7.625" style="391" customWidth="1"/>
    <col min="9205" max="9208" width="0" style="391" hidden="1" customWidth="1"/>
    <col min="9209" max="9209" width="14.375" style="391" customWidth="1"/>
    <col min="9210" max="9215" width="0" style="391" hidden="1" customWidth="1"/>
    <col min="9216" max="9216" width="10.125" style="391" bestFit="1" customWidth="1"/>
    <col min="9217" max="9455" width="9" style="391"/>
    <col min="9456" max="9456" width="75.875" style="391" customWidth="1"/>
    <col min="9457" max="9458" width="7.625" style="391" customWidth="1"/>
    <col min="9459" max="9459" width="9.625" style="391" customWidth="1"/>
    <col min="9460" max="9460" width="7.625" style="391" customWidth="1"/>
    <col min="9461" max="9464" width="0" style="391" hidden="1" customWidth="1"/>
    <col min="9465" max="9465" width="14.375" style="391" customWidth="1"/>
    <col min="9466" max="9471" width="0" style="391" hidden="1" customWidth="1"/>
    <col min="9472" max="9472" width="10.125" style="391" bestFit="1" customWidth="1"/>
    <col min="9473" max="9711" width="9" style="391"/>
    <col min="9712" max="9712" width="75.875" style="391" customWidth="1"/>
    <col min="9713" max="9714" width="7.625" style="391" customWidth="1"/>
    <col min="9715" max="9715" width="9.625" style="391" customWidth="1"/>
    <col min="9716" max="9716" width="7.625" style="391" customWidth="1"/>
    <col min="9717" max="9720" width="0" style="391" hidden="1" customWidth="1"/>
    <col min="9721" max="9721" width="14.375" style="391" customWidth="1"/>
    <col min="9722" max="9727" width="0" style="391" hidden="1" customWidth="1"/>
    <col min="9728" max="9728" width="10.125" style="391" bestFit="1" customWidth="1"/>
    <col min="9729" max="9967" width="9" style="391"/>
    <col min="9968" max="9968" width="75.875" style="391" customWidth="1"/>
    <col min="9969" max="9970" width="7.625" style="391" customWidth="1"/>
    <col min="9971" max="9971" width="9.625" style="391" customWidth="1"/>
    <col min="9972" max="9972" width="7.625" style="391" customWidth="1"/>
    <col min="9973" max="9976" width="0" style="391" hidden="1" customWidth="1"/>
    <col min="9977" max="9977" width="14.375" style="391" customWidth="1"/>
    <col min="9978" max="9983" width="0" style="391" hidden="1" customWidth="1"/>
    <col min="9984" max="9984" width="10.125" style="391" bestFit="1" customWidth="1"/>
    <col min="9985" max="10223" width="9" style="391"/>
    <col min="10224" max="10224" width="75.875" style="391" customWidth="1"/>
    <col min="10225" max="10226" width="7.625" style="391" customWidth="1"/>
    <col min="10227" max="10227" width="9.625" style="391" customWidth="1"/>
    <col min="10228" max="10228" width="7.625" style="391" customWidth="1"/>
    <col min="10229" max="10232" width="0" style="391" hidden="1" customWidth="1"/>
    <col min="10233" max="10233" width="14.375" style="391" customWidth="1"/>
    <col min="10234" max="10239" width="0" style="391" hidden="1" customWidth="1"/>
    <col min="10240" max="10240" width="10.125" style="391" bestFit="1" customWidth="1"/>
    <col min="10241" max="10479" width="9" style="391"/>
    <col min="10480" max="10480" width="75.875" style="391" customWidth="1"/>
    <col min="10481" max="10482" width="7.625" style="391" customWidth="1"/>
    <col min="10483" max="10483" width="9.625" style="391" customWidth="1"/>
    <col min="10484" max="10484" width="7.625" style="391" customWidth="1"/>
    <col min="10485" max="10488" width="0" style="391" hidden="1" customWidth="1"/>
    <col min="10489" max="10489" width="14.375" style="391" customWidth="1"/>
    <col min="10490" max="10495" width="0" style="391" hidden="1" customWidth="1"/>
    <col min="10496" max="10496" width="10.125" style="391" bestFit="1" customWidth="1"/>
    <col min="10497" max="10735" width="9" style="391"/>
    <col min="10736" max="10736" width="75.875" style="391" customWidth="1"/>
    <col min="10737" max="10738" width="7.625" style="391" customWidth="1"/>
    <col min="10739" max="10739" width="9.625" style="391" customWidth="1"/>
    <col min="10740" max="10740" width="7.625" style="391" customWidth="1"/>
    <col min="10741" max="10744" width="0" style="391" hidden="1" customWidth="1"/>
    <col min="10745" max="10745" width="14.375" style="391" customWidth="1"/>
    <col min="10746" max="10751" width="0" style="391" hidden="1" customWidth="1"/>
    <col min="10752" max="10752" width="10.125" style="391" bestFit="1" customWidth="1"/>
    <col min="10753" max="10991" width="9" style="391"/>
    <col min="10992" max="10992" width="75.875" style="391" customWidth="1"/>
    <col min="10993" max="10994" width="7.625" style="391" customWidth="1"/>
    <col min="10995" max="10995" width="9.625" style="391" customWidth="1"/>
    <col min="10996" max="10996" width="7.625" style="391" customWidth="1"/>
    <col min="10997" max="11000" width="0" style="391" hidden="1" customWidth="1"/>
    <col min="11001" max="11001" width="14.375" style="391" customWidth="1"/>
    <col min="11002" max="11007" width="0" style="391" hidden="1" customWidth="1"/>
    <col min="11008" max="11008" width="10.125" style="391" bestFit="1" customWidth="1"/>
    <col min="11009" max="11247" width="9" style="391"/>
    <col min="11248" max="11248" width="75.875" style="391" customWidth="1"/>
    <col min="11249" max="11250" width="7.625" style="391" customWidth="1"/>
    <col min="11251" max="11251" width="9.625" style="391" customWidth="1"/>
    <col min="11252" max="11252" width="7.625" style="391" customWidth="1"/>
    <col min="11253" max="11256" width="0" style="391" hidden="1" customWidth="1"/>
    <col min="11257" max="11257" width="14.375" style="391" customWidth="1"/>
    <col min="11258" max="11263" width="0" style="391" hidden="1" customWidth="1"/>
    <col min="11264" max="11264" width="10.125" style="391" bestFit="1" customWidth="1"/>
    <col min="11265" max="11503" width="9" style="391"/>
    <col min="11504" max="11504" width="75.875" style="391" customWidth="1"/>
    <col min="11505" max="11506" width="7.625" style="391" customWidth="1"/>
    <col min="11507" max="11507" width="9.625" style="391" customWidth="1"/>
    <col min="11508" max="11508" width="7.625" style="391" customWidth="1"/>
    <col min="11509" max="11512" width="0" style="391" hidden="1" customWidth="1"/>
    <col min="11513" max="11513" width="14.375" style="391" customWidth="1"/>
    <col min="11514" max="11519" width="0" style="391" hidden="1" customWidth="1"/>
    <col min="11520" max="11520" width="10.125" style="391" bestFit="1" customWidth="1"/>
    <col min="11521" max="11759" width="9" style="391"/>
    <col min="11760" max="11760" width="75.875" style="391" customWidth="1"/>
    <col min="11761" max="11762" width="7.625" style="391" customWidth="1"/>
    <col min="11763" max="11763" width="9.625" style="391" customWidth="1"/>
    <col min="11764" max="11764" width="7.625" style="391" customWidth="1"/>
    <col min="11765" max="11768" width="0" style="391" hidden="1" customWidth="1"/>
    <col min="11769" max="11769" width="14.375" style="391" customWidth="1"/>
    <col min="11770" max="11775" width="0" style="391" hidden="1" customWidth="1"/>
    <col min="11776" max="11776" width="10.125" style="391" bestFit="1" customWidth="1"/>
    <col min="11777" max="12015" width="9" style="391"/>
    <col min="12016" max="12016" width="75.875" style="391" customWidth="1"/>
    <col min="12017" max="12018" width="7.625" style="391" customWidth="1"/>
    <col min="12019" max="12019" width="9.625" style="391" customWidth="1"/>
    <col min="12020" max="12020" width="7.625" style="391" customWidth="1"/>
    <col min="12021" max="12024" width="0" style="391" hidden="1" customWidth="1"/>
    <col min="12025" max="12025" width="14.375" style="391" customWidth="1"/>
    <col min="12026" max="12031" width="0" style="391" hidden="1" customWidth="1"/>
    <col min="12032" max="12032" width="10.125" style="391" bestFit="1" customWidth="1"/>
    <col min="12033" max="12271" width="9" style="391"/>
    <col min="12272" max="12272" width="75.875" style="391" customWidth="1"/>
    <col min="12273" max="12274" width="7.625" style="391" customWidth="1"/>
    <col min="12275" max="12275" width="9.625" style="391" customWidth="1"/>
    <col min="12276" max="12276" width="7.625" style="391" customWidth="1"/>
    <col min="12277" max="12280" width="0" style="391" hidden="1" customWidth="1"/>
    <col min="12281" max="12281" width="14.375" style="391" customWidth="1"/>
    <col min="12282" max="12287" width="0" style="391" hidden="1" customWidth="1"/>
    <col min="12288" max="12288" width="10.125" style="391" bestFit="1" customWidth="1"/>
    <col min="12289" max="12527" width="9" style="391"/>
    <col min="12528" max="12528" width="75.875" style="391" customWidth="1"/>
    <col min="12529" max="12530" width="7.625" style="391" customWidth="1"/>
    <col min="12531" max="12531" width="9.625" style="391" customWidth="1"/>
    <col min="12532" max="12532" width="7.625" style="391" customWidth="1"/>
    <col min="12533" max="12536" width="0" style="391" hidden="1" customWidth="1"/>
    <col min="12537" max="12537" width="14.375" style="391" customWidth="1"/>
    <col min="12538" max="12543" width="0" style="391" hidden="1" customWidth="1"/>
    <col min="12544" max="12544" width="10.125" style="391" bestFit="1" customWidth="1"/>
    <col min="12545" max="12783" width="9" style="391"/>
    <col min="12784" max="12784" width="75.875" style="391" customWidth="1"/>
    <col min="12785" max="12786" width="7.625" style="391" customWidth="1"/>
    <col min="12787" max="12787" width="9.625" style="391" customWidth="1"/>
    <col min="12788" max="12788" width="7.625" style="391" customWidth="1"/>
    <col min="12789" max="12792" width="0" style="391" hidden="1" customWidth="1"/>
    <col min="12793" max="12793" width="14.375" style="391" customWidth="1"/>
    <col min="12794" max="12799" width="0" style="391" hidden="1" customWidth="1"/>
    <col min="12800" max="12800" width="10.125" style="391" bestFit="1" customWidth="1"/>
    <col min="12801" max="13039" width="9" style="391"/>
    <col min="13040" max="13040" width="75.875" style="391" customWidth="1"/>
    <col min="13041" max="13042" width="7.625" style="391" customWidth="1"/>
    <col min="13043" max="13043" width="9.625" style="391" customWidth="1"/>
    <col min="13044" max="13044" width="7.625" style="391" customWidth="1"/>
    <col min="13045" max="13048" width="0" style="391" hidden="1" customWidth="1"/>
    <col min="13049" max="13049" width="14.375" style="391" customWidth="1"/>
    <col min="13050" max="13055" width="0" style="391" hidden="1" customWidth="1"/>
    <col min="13056" max="13056" width="10.125" style="391" bestFit="1" customWidth="1"/>
    <col min="13057" max="13295" width="9" style="391"/>
    <col min="13296" max="13296" width="75.875" style="391" customWidth="1"/>
    <col min="13297" max="13298" width="7.625" style="391" customWidth="1"/>
    <col min="13299" max="13299" width="9.625" style="391" customWidth="1"/>
    <col min="13300" max="13300" width="7.625" style="391" customWidth="1"/>
    <col min="13301" max="13304" width="0" style="391" hidden="1" customWidth="1"/>
    <col min="13305" max="13305" width="14.375" style="391" customWidth="1"/>
    <col min="13306" max="13311" width="0" style="391" hidden="1" customWidth="1"/>
    <col min="13312" max="13312" width="10.125" style="391" bestFit="1" customWidth="1"/>
    <col min="13313" max="13551" width="9" style="391"/>
    <col min="13552" max="13552" width="75.875" style="391" customWidth="1"/>
    <col min="13553" max="13554" width="7.625" style="391" customWidth="1"/>
    <col min="13555" max="13555" width="9.625" style="391" customWidth="1"/>
    <col min="13556" max="13556" width="7.625" style="391" customWidth="1"/>
    <col min="13557" max="13560" width="0" style="391" hidden="1" customWidth="1"/>
    <col min="13561" max="13561" width="14.375" style="391" customWidth="1"/>
    <col min="13562" max="13567" width="0" style="391" hidden="1" customWidth="1"/>
    <col min="13568" max="13568" width="10.125" style="391" bestFit="1" customWidth="1"/>
    <col min="13569" max="13807" width="9" style="391"/>
    <col min="13808" max="13808" width="75.875" style="391" customWidth="1"/>
    <col min="13809" max="13810" width="7.625" style="391" customWidth="1"/>
    <col min="13811" max="13811" width="9.625" style="391" customWidth="1"/>
    <col min="13812" max="13812" width="7.625" style="391" customWidth="1"/>
    <col min="13813" max="13816" width="0" style="391" hidden="1" customWidth="1"/>
    <col min="13817" max="13817" width="14.375" style="391" customWidth="1"/>
    <col min="13818" max="13823" width="0" style="391" hidden="1" customWidth="1"/>
    <col min="13824" max="13824" width="10.125" style="391" bestFit="1" customWidth="1"/>
    <col min="13825" max="14063" width="9" style="391"/>
    <col min="14064" max="14064" width="75.875" style="391" customWidth="1"/>
    <col min="14065" max="14066" width="7.625" style="391" customWidth="1"/>
    <col min="14067" max="14067" width="9.625" style="391" customWidth="1"/>
    <col min="14068" max="14068" width="7.625" style="391" customWidth="1"/>
    <col min="14069" max="14072" width="0" style="391" hidden="1" customWidth="1"/>
    <col min="14073" max="14073" width="14.375" style="391" customWidth="1"/>
    <col min="14074" max="14079" width="0" style="391" hidden="1" customWidth="1"/>
    <col min="14080" max="14080" width="10.125" style="391" bestFit="1" customWidth="1"/>
    <col min="14081" max="14319" width="9" style="391"/>
    <col min="14320" max="14320" width="75.875" style="391" customWidth="1"/>
    <col min="14321" max="14322" width="7.625" style="391" customWidth="1"/>
    <col min="14323" max="14323" width="9.625" style="391" customWidth="1"/>
    <col min="14324" max="14324" width="7.625" style="391" customWidth="1"/>
    <col min="14325" max="14328" width="0" style="391" hidden="1" customWidth="1"/>
    <col min="14329" max="14329" width="14.375" style="391" customWidth="1"/>
    <col min="14330" max="14335" width="0" style="391" hidden="1" customWidth="1"/>
    <col min="14336" max="14336" width="10.125" style="391" bestFit="1" customWidth="1"/>
    <col min="14337" max="14575" width="9" style="391"/>
    <col min="14576" max="14576" width="75.875" style="391" customWidth="1"/>
    <col min="14577" max="14578" width="7.625" style="391" customWidth="1"/>
    <col min="14579" max="14579" width="9.625" style="391" customWidth="1"/>
    <col min="14580" max="14580" width="7.625" style="391" customWidth="1"/>
    <col min="14581" max="14584" width="0" style="391" hidden="1" customWidth="1"/>
    <col min="14585" max="14585" width="14.375" style="391" customWidth="1"/>
    <col min="14586" max="14591" width="0" style="391" hidden="1" customWidth="1"/>
    <col min="14592" max="14592" width="10.125" style="391" bestFit="1" customWidth="1"/>
    <col min="14593" max="14831" width="9" style="391"/>
    <col min="14832" max="14832" width="75.875" style="391" customWidth="1"/>
    <col min="14833" max="14834" width="7.625" style="391" customWidth="1"/>
    <col min="14835" max="14835" width="9.625" style="391" customWidth="1"/>
    <col min="14836" max="14836" width="7.625" style="391" customWidth="1"/>
    <col min="14837" max="14840" width="0" style="391" hidden="1" customWidth="1"/>
    <col min="14841" max="14841" width="14.375" style="391" customWidth="1"/>
    <col min="14842" max="14847" width="0" style="391" hidden="1" customWidth="1"/>
    <col min="14848" max="14848" width="10.125" style="391" bestFit="1" customWidth="1"/>
    <col min="14849" max="15087" width="9" style="391"/>
    <col min="15088" max="15088" width="75.875" style="391" customWidth="1"/>
    <col min="15089" max="15090" width="7.625" style="391" customWidth="1"/>
    <col min="15091" max="15091" width="9.625" style="391" customWidth="1"/>
    <col min="15092" max="15092" width="7.625" style="391" customWidth="1"/>
    <col min="15093" max="15096" width="0" style="391" hidden="1" customWidth="1"/>
    <col min="15097" max="15097" width="14.375" style="391" customWidth="1"/>
    <col min="15098" max="15103" width="0" style="391" hidden="1" customWidth="1"/>
    <col min="15104" max="15104" width="10.125" style="391" bestFit="1" customWidth="1"/>
    <col min="15105" max="15343" width="9" style="391"/>
    <col min="15344" max="15344" width="75.875" style="391" customWidth="1"/>
    <col min="15345" max="15346" width="7.625" style="391" customWidth="1"/>
    <col min="15347" max="15347" width="9.625" style="391" customWidth="1"/>
    <col min="15348" max="15348" width="7.625" style="391" customWidth="1"/>
    <col min="15349" max="15352" width="0" style="391" hidden="1" customWidth="1"/>
    <col min="15353" max="15353" width="14.375" style="391" customWidth="1"/>
    <col min="15354" max="15359" width="0" style="391" hidden="1" customWidth="1"/>
    <col min="15360" max="15360" width="10.125" style="391" bestFit="1" customWidth="1"/>
    <col min="15361" max="15599" width="9" style="391"/>
    <col min="15600" max="15600" width="75.875" style="391" customWidth="1"/>
    <col min="15601" max="15602" width="7.625" style="391" customWidth="1"/>
    <col min="15603" max="15603" width="9.625" style="391" customWidth="1"/>
    <col min="15604" max="15604" width="7.625" style="391" customWidth="1"/>
    <col min="15605" max="15608" width="0" style="391" hidden="1" customWidth="1"/>
    <col min="15609" max="15609" width="14.375" style="391" customWidth="1"/>
    <col min="15610" max="15615" width="0" style="391" hidden="1" customWidth="1"/>
    <col min="15616" max="15616" width="10.125" style="391" bestFit="1" customWidth="1"/>
    <col min="15617" max="15855" width="9" style="391"/>
    <col min="15856" max="15856" width="75.875" style="391" customWidth="1"/>
    <col min="15857" max="15858" width="7.625" style="391" customWidth="1"/>
    <col min="15859" max="15859" width="9.625" style="391" customWidth="1"/>
    <col min="15860" max="15860" width="7.625" style="391" customWidth="1"/>
    <col min="15861" max="15864" width="0" style="391" hidden="1" customWidth="1"/>
    <col min="15865" max="15865" width="14.375" style="391" customWidth="1"/>
    <col min="15866" max="15871" width="0" style="391" hidden="1" customWidth="1"/>
    <col min="15872" max="15872" width="10.125" style="391" bestFit="1" customWidth="1"/>
    <col min="15873" max="16111" width="9" style="391"/>
    <col min="16112" max="16112" width="75.875" style="391" customWidth="1"/>
    <col min="16113" max="16114" width="7.625" style="391" customWidth="1"/>
    <col min="16115" max="16115" width="9.625" style="391" customWidth="1"/>
    <col min="16116" max="16116" width="7.625" style="391" customWidth="1"/>
    <col min="16117" max="16120" width="0" style="391" hidden="1" customWidth="1"/>
    <col min="16121" max="16121" width="14.375" style="391" customWidth="1"/>
    <col min="16122" max="16127" width="0" style="391" hidden="1" customWidth="1"/>
    <col min="16128" max="16128" width="10.125" style="391" bestFit="1" customWidth="1"/>
    <col min="16129" max="16384" width="9" style="391"/>
  </cols>
  <sheetData>
    <row r="1" spans="1:13" x14ac:dyDescent="0.3">
      <c r="G1" s="500"/>
      <c r="H1" s="419"/>
      <c r="I1" s="420"/>
      <c r="J1" s="500"/>
      <c r="L1" s="421"/>
    </row>
    <row r="2" spans="1:13" s="425" customFormat="1" x14ac:dyDescent="0.3">
      <c r="A2" s="691" t="s">
        <v>240</v>
      </c>
      <c r="B2" s="691"/>
      <c r="C2" s="691"/>
      <c r="D2" s="691"/>
      <c r="E2" s="691"/>
      <c r="F2" s="691"/>
      <c r="G2" s="691"/>
      <c r="H2" s="422"/>
      <c r="I2" s="423"/>
      <c r="J2" s="502"/>
      <c r="K2" s="503"/>
      <c r="M2" s="496"/>
    </row>
    <row r="3" spans="1:13" s="425" customFormat="1" x14ac:dyDescent="0.3">
      <c r="A3" s="692" t="s">
        <v>965</v>
      </c>
      <c r="B3" s="692"/>
      <c r="C3" s="692"/>
      <c r="D3" s="692"/>
      <c r="E3" s="692"/>
      <c r="F3" s="692"/>
      <c r="G3" s="692"/>
      <c r="H3" s="426"/>
      <c r="I3" s="427"/>
      <c r="J3" s="502"/>
      <c r="K3" s="503"/>
      <c r="M3" s="496"/>
    </row>
    <row r="4" spans="1:13" s="425" customFormat="1" x14ac:dyDescent="0.3">
      <c r="A4" s="692" t="s">
        <v>472</v>
      </c>
      <c r="B4" s="692"/>
      <c r="C4" s="692"/>
      <c r="D4" s="692"/>
      <c r="E4" s="692"/>
      <c r="F4" s="692"/>
      <c r="G4" s="692"/>
      <c r="H4" s="426"/>
      <c r="I4" s="427"/>
      <c r="J4" s="502"/>
      <c r="K4" s="503"/>
      <c r="M4" s="496"/>
    </row>
    <row r="5" spans="1:13" s="425" customFormat="1" x14ac:dyDescent="0.3">
      <c r="A5" s="427"/>
      <c r="B5" s="427"/>
      <c r="C5" s="427"/>
      <c r="D5" s="494"/>
      <c r="E5" s="494"/>
      <c r="F5" s="494"/>
      <c r="G5" s="502" t="s">
        <v>408</v>
      </c>
      <c r="H5" s="428"/>
      <c r="I5" s="424"/>
      <c r="J5" s="502"/>
      <c r="K5" s="503"/>
      <c r="M5" s="496"/>
    </row>
    <row r="6" spans="1:13" ht="50.95" x14ac:dyDescent="0.3">
      <c r="A6" s="429" t="s">
        <v>0</v>
      </c>
      <c r="B6" s="429" t="s">
        <v>1</v>
      </c>
      <c r="C6" s="429" t="s">
        <v>2</v>
      </c>
      <c r="D6" s="535" t="s">
        <v>3</v>
      </c>
      <c r="E6" s="535" t="s">
        <v>4</v>
      </c>
      <c r="F6" s="535" t="s">
        <v>975</v>
      </c>
      <c r="G6" s="536" t="s">
        <v>966</v>
      </c>
      <c r="H6" s="431" t="s">
        <v>979</v>
      </c>
      <c r="I6" s="430" t="s">
        <v>967</v>
      </c>
      <c r="J6" s="504" t="s">
        <v>962</v>
      </c>
      <c r="K6" s="505" t="s">
        <v>963</v>
      </c>
      <c r="L6" s="432"/>
      <c r="M6" s="499"/>
    </row>
    <row r="7" spans="1:13" s="437" customFormat="1" ht="50.95" x14ac:dyDescent="0.3">
      <c r="A7" s="433" t="s">
        <v>493</v>
      </c>
      <c r="B7" s="434" t="s">
        <v>499</v>
      </c>
      <c r="C7" s="434" t="s">
        <v>5</v>
      </c>
      <c r="D7" s="537" t="s">
        <v>126</v>
      </c>
      <c r="E7" s="537" t="s">
        <v>6</v>
      </c>
      <c r="F7" s="538">
        <v>7431987.3099999996</v>
      </c>
      <c r="G7" s="506">
        <f>G8</f>
        <v>7668127.0300000003</v>
      </c>
      <c r="H7" s="368">
        <v>5396024.0800000001</v>
      </c>
      <c r="I7" s="435">
        <f>I8</f>
        <v>8050477.2300000004</v>
      </c>
      <c r="J7" s="506">
        <f>J8</f>
        <v>8898998</v>
      </c>
      <c r="K7" s="506">
        <f>K8</f>
        <v>8252491</v>
      </c>
      <c r="L7" s="436">
        <f>K7-J7</f>
        <v>-646507</v>
      </c>
      <c r="M7" s="498">
        <f>J7/G7%</f>
        <v>116.05178116095971</v>
      </c>
    </row>
    <row r="8" spans="1:13" outlineLevel="1" x14ac:dyDescent="0.3">
      <c r="A8" s="438" t="s">
        <v>7</v>
      </c>
      <c r="B8" s="439" t="s">
        <v>499</v>
      </c>
      <c r="C8" s="439" t="s">
        <v>8</v>
      </c>
      <c r="D8" s="539" t="s">
        <v>126</v>
      </c>
      <c r="E8" s="539" t="s">
        <v>6</v>
      </c>
      <c r="F8" s="540">
        <v>7431987.3099999996</v>
      </c>
      <c r="G8" s="465">
        <f>G9+G18</f>
        <v>7668127.0300000003</v>
      </c>
      <c r="H8" s="367">
        <v>5396024.0800000001</v>
      </c>
      <c r="I8" s="440">
        <f>I9+I18</f>
        <v>8050477.2300000004</v>
      </c>
      <c r="J8" s="465">
        <f>J9+J18</f>
        <v>8898998</v>
      </c>
      <c r="K8" s="465">
        <f>K9+K18</f>
        <v>8252491</v>
      </c>
      <c r="L8" s="436">
        <f t="shared" ref="L8:L71" si="0">K8-J8</f>
        <v>-646507</v>
      </c>
      <c r="M8" s="498">
        <f t="shared" ref="M8:M71" si="1">J8/G8%</f>
        <v>116.05178116095971</v>
      </c>
    </row>
    <row r="9" spans="1:13" ht="39.25" customHeight="1" outlineLevel="2" x14ac:dyDescent="0.3">
      <c r="A9" s="438" t="s">
        <v>9</v>
      </c>
      <c r="B9" s="439" t="s">
        <v>499</v>
      </c>
      <c r="C9" s="439" t="s">
        <v>10</v>
      </c>
      <c r="D9" s="539" t="s">
        <v>126</v>
      </c>
      <c r="E9" s="539" t="s">
        <v>6</v>
      </c>
      <c r="F9" s="540">
        <v>6921278.3099999996</v>
      </c>
      <c r="G9" s="465">
        <f t="shared" ref="G9:K10" si="2">G10</f>
        <v>7132671.0300000003</v>
      </c>
      <c r="H9" s="367">
        <v>5352630.08</v>
      </c>
      <c r="I9" s="440">
        <f t="shared" si="2"/>
        <v>7515021.2300000004</v>
      </c>
      <c r="J9" s="465">
        <f t="shared" si="2"/>
        <v>7741211</v>
      </c>
      <c r="K9" s="465">
        <f t="shared" si="2"/>
        <v>7594704</v>
      </c>
      <c r="L9" s="436">
        <f t="shared" si="0"/>
        <v>-146507</v>
      </c>
      <c r="M9" s="498">
        <f t="shared" si="1"/>
        <v>108.53172629777094</v>
      </c>
    </row>
    <row r="10" spans="1:13" ht="34" outlineLevel="4" x14ac:dyDescent="0.3">
      <c r="A10" s="438" t="s">
        <v>132</v>
      </c>
      <c r="B10" s="439" t="s">
        <v>499</v>
      </c>
      <c r="C10" s="439" t="s">
        <v>10</v>
      </c>
      <c r="D10" s="539" t="s">
        <v>127</v>
      </c>
      <c r="E10" s="539" t="s">
        <v>6</v>
      </c>
      <c r="F10" s="540">
        <v>6921278.3099999996</v>
      </c>
      <c r="G10" s="465">
        <f t="shared" si="2"/>
        <v>7132671.0300000003</v>
      </c>
      <c r="H10" s="441">
        <f t="shared" si="2"/>
        <v>5352630.08</v>
      </c>
      <c r="I10" s="440">
        <f t="shared" si="2"/>
        <v>7515021.2300000004</v>
      </c>
      <c r="J10" s="465">
        <f t="shared" si="2"/>
        <v>7741211</v>
      </c>
      <c r="K10" s="465">
        <f t="shared" si="2"/>
        <v>7594704</v>
      </c>
      <c r="L10" s="436">
        <f t="shared" si="0"/>
        <v>-146507</v>
      </c>
      <c r="M10" s="498">
        <f t="shared" si="1"/>
        <v>108.53172629777094</v>
      </c>
    </row>
    <row r="11" spans="1:13" ht="40.75" customHeight="1" outlineLevel="5" x14ac:dyDescent="0.3">
      <c r="A11" s="438" t="s">
        <v>494</v>
      </c>
      <c r="B11" s="439" t="s">
        <v>499</v>
      </c>
      <c r="C11" s="439" t="s">
        <v>10</v>
      </c>
      <c r="D11" s="539" t="s">
        <v>495</v>
      </c>
      <c r="E11" s="539" t="s">
        <v>6</v>
      </c>
      <c r="F11" s="540">
        <v>6921278.3099999996</v>
      </c>
      <c r="G11" s="465">
        <f>G12+G14+G16</f>
        <v>7132671.0300000003</v>
      </c>
      <c r="H11" s="441">
        <f>H12+H14+H16</f>
        <v>5352630.08</v>
      </c>
      <c r="I11" s="440">
        <f>I12+I14+I16</f>
        <v>7515021.2300000004</v>
      </c>
      <c r="J11" s="465">
        <f>J12+J14+J16</f>
        <v>7741211</v>
      </c>
      <c r="K11" s="465">
        <f>K12+K14+K16</f>
        <v>7594704</v>
      </c>
      <c r="L11" s="436">
        <f t="shared" si="0"/>
        <v>-146507</v>
      </c>
      <c r="M11" s="498">
        <f t="shared" si="1"/>
        <v>108.53172629777094</v>
      </c>
    </row>
    <row r="12" spans="1:13" ht="76.75" customHeight="1" outlineLevel="6" x14ac:dyDescent="0.3">
      <c r="A12" s="438" t="s">
        <v>11</v>
      </c>
      <c r="B12" s="439" t="s">
        <v>499</v>
      </c>
      <c r="C12" s="439" t="s">
        <v>10</v>
      </c>
      <c r="D12" s="539" t="s">
        <v>495</v>
      </c>
      <c r="E12" s="539" t="s">
        <v>12</v>
      </c>
      <c r="F12" s="540">
        <v>6756822.3099999996</v>
      </c>
      <c r="G12" s="465">
        <f>G13</f>
        <v>6786101.0300000003</v>
      </c>
      <c r="H12" s="367">
        <v>5151988.76</v>
      </c>
      <c r="I12" s="440">
        <f>I13</f>
        <v>7264821.2300000004</v>
      </c>
      <c r="J12" s="466">
        <f>J13</f>
        <v>7457647</v>
      </c>
      <c r="K12" s="466">
        <f>K13</f>
        <v>7311140</v>
      </c>
      <c r="L12" s="436">
        <f t="shared" si="0"/>
        <v>-146507</v>
      </c>
      <c r="M12" s="498">
        <f t="shared" si="1"/>
        <v>109.89590292026641</v>
      </c>
    </row>
    <row r="13" spans="1:13" ht="34" outlineLevel="7" x14ac:dyDescent="0.3">
      <c r="A13" s="438" t="s">
        <v>13</v>
      </c>
      <c r="B13" s="439" t="s">
        <v>499</v>
      </c>
      <c r="C13" s="439" t="s">
        <v>10</v>
      </c>
      <c r="D13" s="539" t="s">
        <v>495</v>
      </c>
      <c r="E13" s="539" t="s">
        <v>14</v>
      </c>
      <c r="F13" s="540">
        <v>6756822.3099999996</v>
      </c>
      <c r="G13" s="466">
        <f>[2]потребность!I20-199304</f>
        <v>6786101.0300000003</v>
      </c>
      <c r="H13" s="367">
        <v>5151988.76</v>
      </c>
      <c r="I13" s="442">
        <f>'[2]прил 12'!F20</f>
        <v>7264821.2300000004</v>
      </c>
      <c r="J13" s="466">
        <v>7457647</v>
      </c>
      <c r="K13" s="466">
        <f>7457647-146507</f>
        <v>7311140</v>
      </c>
      <c r="L13" s="436">
        <f t="shared" si="0"/>
        <v>-146507</v>
      </c>
      <c r="M13" s="498">
        <f t="shared" si="1"/>
        <v>109.89590292026641</v>
      </c>
    </row>
    <row r="14" spans="1:13" ht="34" outlineLevel="6" x14ac:dyDescent="0.3">
      <c r="A14" s="438" t="s">
        <v>15</v>
      </c>
      <c r="B14" s="439" t="s">
        <v>499</v>
      </c>
      <c r="C14" s="439" t="s">
        <v>10</v>
      </c>
      <c r="D14" s="539" t="s">
        <v>495</v>
      </c>
      <c r="E14" s="539" t="s">
        <v>16</v>
      </c>
      <c r="F14" s="540">
        <v>164456</v>
      </c>
      <c r="G14" s="465">
        <f>G15</f>
        <v>346570</v>
      </c>
      <c r="H14" s="367">
        <v>200641.32</v>
      </c>
      <c r="I14" s="440">
        <f>I15</f>
        <v>250200</v>
      </c>
      <c r="J14" s="466">
        <f>J15</f>
        <v>282564</v>
      </c>
      <c r="K14" s="466">
        <f>K15</f>
        <v>282564</v>
      </c>
      <c r="L14" s="436">
        <f t="shared" si="0"/>
        <v>0</v>
      </c>
      <c r="M14" s="498">
        <f t="shared" si="1"/>
        <v>81.531580921603137</v>
      </c>
    </row>
    <row r="15" spans="1:13" ht="22.75" customHeight="1" outlineLevel="7" x14ac:dyDescent="0.3">
      <c r="A15" s="438" t="s">
        <v>17</v>
      </c>
      <c r="B15" s="439" t="s">
        <v>499</v>
      </c>
      <c r="C15" s="439" t="s">
        <v>10</v>
      </c>
      <c r="D15" s="539" t="s">
        <v>495</v>
      </c>
      <c r="E15" s="539" t="s">
        <v>18</v>
      </c>
      <c r="F15" s="540">
        <v>164456</v>
      </c>
      <c r="G15" s="466">
        <f>250200+53570+42800</f>
        <v>346570</v>
      </c>
      <c r="H15" s="367">
        <v>200641.32</v>
      </c>
      <c r="I15" s="442">
        <f>'[2]прил 12'!F22</f>
        <v>250200</v>
      </c>
      <c r="J15" s="466">
        <v>282564</v>
      </c>
      <c r="K15" s="466">
        <v>282564</v>
      </c>
      <c r="L15" s="436">
        <f t="shared" si="0"/>
        <v>0</v>
      </c>
      <c r="M15" s="498">
        <f t="shared" si="1"/>
        <v>81.531580921603137</v>
      </c>
    </row>
    <row r="16" spans="1:13" outlineLevel="6" x14ac:dyDescent="0.3">
      <c r="A16" s="438" t="s">
        <v>19</v>
      </c>
      <c r="B16" s="439" t="s">
        <v>499</v>
      </c>
      <c r="C16" s="439" t="s">
        <v>10</v>
      </c>
      <c r="D16" s="539" t="s">
        <v>495</v>
      </c>
      <c r="E16" s="539" t="s">
        <v>20</v>
      </c>
      <c r="F16" s="539" t="s">
        <v>976</v>
      </c>
      <c r="G16" s="465">
        <f>G17</f>
        <v>0</v>
      </c>
      <c r="H16" s="441">
        <f>H17</f>
        <v>0</v>
      </c>
      <c r="I16" s="440">
        <v>0</v>
      </c>
      <c r="J16" s="466">
        <f>J17</f>
        <v>1000</v>
      </c>
      <c r="K16" s="466">
        <f>K17</f>
        <v>1000</v>
      </c>
      <c r="L16" s="436">
        <f t="shared" si="0"/>
        <v>0</v>
      </c>
      <c r="M16" s="498"/>
    </row>
    <row r="17" spans="1:13" outlineLevel="7" x14ac:dyDescent="0.3">
      <c r="A17" s="438" t="s">
        <v>21</v>
      </c>
      <c r="B17" s="439" t="s">
        <v>499</v>
      </c>
      <c r="C17" s="439" t="s">
        <v>10</v>
      </c>
      <c r="D17" s="539" t="s">
        <v>495</v>
      </c>
      <c r="E17" s="539" t="s">
        <v>22</v>
      </c>
      <c r="F17" s="539" t="s">
        <v>976</v>
      </c>
      <c r="G17" s="466">
        <v>0</v>
      </c>
      <c r="H17" s="443">
        <v>0</v>
      </c>
      <c r="I17" s="442">
        <v>0</v>
      </c>
      <c r="J17" s="466">
        <v>1000</v>
      </c>
      <c r="K17" s="466">
        <v>1000</v>
      </c>
      <c r="L17" s="436">
        <f t="shared" si="0"/>
        <v>0</v>
      </c>
      <c r="M17" s="498"/>
    </row>
    <row r="18" spans="1:13" outlineLevel="2" x14ac:dyDescent="0.3">
      <c r="A18" s="438" t="s">
        <v>23</v>
      </c>
      <c r="B18" s="439" t="s">
        <v>499</v>
      </c>
      <c r="C18" s="439" t="s">
        <v>24</v>
      </c>
      <c r="D18" s="539" t="s">
        <v>126</v>
      </c>
      <c r="E18" s="539" t="s">
        <v>6</v>
      </c>
      <c r="F18" s="540">
        <v>510709</v>
      </c>
      <c r="G18" s="465">
        <f>G19+G24</f>
        <v>535456</v>
      </c>
      <c r="H18" s="367">
        <v>43394</v>
      </c>
      <c r="I18" s="440">
        <f>I19+I24</f>
        <v>535456</v>
      </c>
      <c r="J18" s="465">
        <f>J19+J24</f>
        <v>1157787</v>
      </c>
      <c r="K18" s="465">
        <f>K19+K24</f>
        <v>657787</v>
      </c>
      <c r="L18" s="436">
        <f t="shared" si="0"/>
        <v>-500000</v>
      </c>
      <c r="M18" s="498">
        <f t="shared" si="1"/>
        <v>216.22448903364608</v>
      </c>
    </row>
    <row r="19" spans="1:13" s="449" customFormat="1" ht="39.75" customHeight="1" outlineLevel="3" x14ac:dyDescent="0.3">
      <c r="A19" s="444" t="s">
        <v>830</v>
      </c>
      <c r="B19" s="445" t="s">
        <v>499</v>
      </c>
      <c r="C19" s="445" t="s">
        <v>24</v>
      </c>
      <c r="D19" s="541" t="s">
        <v>128</v>
      </c>
      <c r="E19" s="541" t="s">
        <v>6</v>
      </c>
      <c r="F19" s="542">
        <v>37620</v>
      </c>
      <c r="G19" s="508">
        <f t="shared" ref="G19:I22" si="3">G20</f>
        <v>58240</v>
      </c>
      <c r="H19" s="447">
        <f t="shared" si="3"/>
        <v>850</v>
      </c>
      <c r="I19" s="446">
        <f t="shared" si="3"/>
        <v>58240</v>
      </c>
      <c r="J19" s="507">
        <f t="shared" ref="J19:K22" si="4">J20</f>
        <v>60571</v>
      </c>
      <c r="K19" s="507">
        <f t="shared" si="4"/>
        <v>60571</v>
      </c>
      <c r="L19" s="436">
        <f t="shared" si="0"/>
        <v>0</v>
      </c>
      <c r="M19" s="498">
        <f t="shared" si="1"/>
        <v>104.00240384615385</v>
      </c>
    </row>
    <row r="20" spans="1:13" ht="39.25" customHeight="1" outlineLevel="4" x14ac:dyDescent="0.3">
      <c r="A20" s="438" t="s">
        <v>854</v>
      </c>
      <c r="B20" s="439" t="s">
        <v>499</v>
      </c>
      <c r="C20" s="439" t="s">
        <v>24</v>
      </c>
      <c r="D20" s="539" t="s">
        <v>315</v>
      </c>
      <c r="E20" s="539" t="s">
        <v>6</v>
      </c>
      <c r="F20" s="540">
        <v>37620</v>
      </c>
      <c r="G20" s="465">
        <f t="shared" si="3"/>
        <v>58240</v>
      </c>
      <c r="H20" s="441">
        <f t="shared" si="3"/>
        <v>850</v>
      </c>
      <c r="I20" s="440">
        <f t="shared" si="3"/>
        <v>58240</v>
      </c>
      <c r="J20" s="466">
        <f t="shared" si="4"/>
        <v>60571</v>
      </c>
      <c r="K20" s="466">
        <f t="shared" si="4"/>
        <v>60571</v>
      </c>
      <c r="L20" s="436">
        <f t="shared" si="0"/>
        <v>0</v>
      </c>
      <c r="M20" s="498">
        <f t="shared" si="1"/>
        <v>104.00240384615385</v>
      </c>
    </row>
    <row r="21" spans="1:13" outlineLevel="5" x14ac:dyDescent="0.3">
      <c r="A21" s="450" t="s">
        <v>321</v>
      </c>
      <c r="B21" s="439" t="s">
        <v>499</v>
      </c>
      <c r="C21" s="439" t="s">
        <v>24</v>
      </c>
      <c r="D21" s="539" t="s">
        <v>316</v>
      </c>
      <c r="E21" s="539" t="s">
        <v>6</v>
      </c>
      <c r="F21" s="540">
        <v>37620</v>
      </c>
      <c r="G21" s="465">
        <f t="shared" si="3"/>
        <v>58240</v>
      </c>
      <c r="H21" s="441">
        <f t="shared" si="3"/>
        <v>850</v>
      </c>
      <c r="I21" s="440">
        <f t="shared" si="3"/>
        <v>58240</v>
      </c>
      <c r="J21" s="466">
        <f t="shared" si="4"/>
        <v>60571</v>
      </c>
      <c r="K21" s="466">
        <f t="shared" si="4"/>
        <v>60571</v>
      </c>
      <c r="L21" s="436">
        <f t="shared" si="0"/>
        <v>0</v>
      </c>
      <c r="M21" s="498">
        <f t="shared" si="1"/>
        <v>104.00240384615385</v>
      </c>
    </row>
    <row r="22" spans="1:13" ht="34" outlineLevel="6" x14ac:dyDescent="0.3">
      <c r="A22" s="438" t="s">
        <v>15</v>
      </c>
      <c r="B22" s="439" t="s">
        <v>499</v>
      </c>
      <c r="C22" s="439" t="s">
        <v>24</v>
      </c>
      <c r="D22" s="539" t="s">
        <v>316</v>
      </c>
      <c r="E22" s="539" t="s">
        <v>16</v>
      </c>
      <c r="F22" s="540">
        <v>37620</v>
      </c>
      <c r="G22" s="465">
        <f t="shared" si="3"/>
        <v>58240</v>
      </c>
      <c r="H22" s="441">
        <f t="shared" si="3"/>
        <v>850</v>
      </c>
      <c r="I22" s="440">
        <f t="shared" si="3"/>
        <v>58240</v>
      </c>
      <c r="J22" s="466">
        <f t="shared" si="4"/>
        <v>60571</v>
      </c>
      <c r="K22" s="466">
        <f t="shared" si="4"/>
        <v>60571</v>
      </c>
      <c r="L22" s="436">
        <f t="shared" si="0"/>
        <v>0</v>
      </c>
      <c r="M22" s="498">
        <f t="shared" si="1"/>
        <v>104.00240384615385</v>
      </c>
    </row>
    <row r="23" spans="1:13" ht="19.55" customHeight="1" outlineLevel="7" x14ac:dyDescent="0.3">
      <c r="A23" s="438" t="s">
        <v>17</v>
      </c>
      <c r="B23" s="439" t="s">
        <v>499</v>
      </c>
      <c r="C23" s="439" t="s">
        <v>24</v>
      </c>
      <c r="D23" s="539" t="s">
        <v>316</v>
      </c>
      <c r="E23" s="539" t="s">
        <v>18</v>
      </c>
      <c r="F23" s="540">
        <v>37620</v>
      </c>
      <c r="G23" s="466">
        <v>58240</v>
      </c>
      <c r="H23" s="367">
        <v>850</v>
      </c>
      <c r="I23" s="442">
        <f>'[2]прил 12'!F30</f>
        <v>58240</v>
      </c>
      <c r="J23" s="466">
        <v>60571</v>
      </c>
      <c r="K23" s="466">
        <v>60571</v>
      </c>
      <c r="L23" s="436">
        <f t="shared" si="0"/>
        <v>0</v>
      </c>
      <c r="M23" s="498">
        <f t="shared" si="1"/>
        <v>104.00240384615385</v>
      </c>
    </row>
    <row r="24" spans="1:13" s="449" customFormat="1" ht="36.700000000000003" customHeight="1" outlineLevel="7" x14ac:dyDescent="0.3">
      <c r="A24" s="451" t="s">
        <v>829</v>
      </c>
      <c r="B24" s="445" t="s">
        <v>499</v>
      </c>
      <c r="C24" s="439" t="s">
        <v>24</v>
      </c>
      <c r="D24" s="541" t="s">
        <v>317</v>
      </c>
      <c r="E24" s="541" t="s">
        <v>6</v>
      </c>
      <c r="F24" s="542">
        <v>473089</v>
      </c>
      <c r="G24" s="507">
        <f t="shared" ref="G24:I27" si="5">G25</f>
        <v>477216</v>
      </c>
      <c r="H24" s="452">
        <f t="shared" si="5"/>
        <v>42544</v>
      </c>
      <c r="I24" s="448">
        <f t="shared" si="5"/>
        <v>477216</v>
      </c>
      <c r="J24" s="507">
        <f t="shared" ref="J24:K27" si="6">J25</f>
        <v>1097216</v>
      </c>
      <c r="K24" s="507">
        <f t="shared" si="6"/>
        <v>597216</v>
      </c>
      <c r="L24" s="436">
        <f t="shared" si="0"/>
        <v>-500000</v>
      </c>
      <c r="M24" s="498">
        <f t="shared" si="1"/>
        <v>229.92020384899081</v>
      </c>
    </row>
    <row r="25" spans="1:13" ht="34" outlineLevel="7" x14ac:dyDescent="0.3">
      <c r="A25" s="450" t="s">
        <v>249</v>
      </c>
      <c r="B25" s="439" t="s">
        <v>499</v>
      </c>
      <c r="C25" s="439" t="s">
        <v>24</v>
      </c>
      <c r="D25" s="539" t="s">
        <v>318</v>
      </c>
      <c r="E25" s="539" t="s">
        <v>6</v>
      </c>
      <c r="F25" s="540">
        <v>473089</v>
      </c>
      <c r="G25" s="466">
        <f t="shared" si="5"/>
        <v>477216</v>
      </c>
      <c r="H25" s="443">
        <f t="shared" si="5"/>
        <v>42544</v>
      </c>
      <c r="I25" s="442">
        <f t="shared" si="5"/>
        <v>477216</v>
      </c>
      <c r="J25" s="466">
        <f t="shared" si="6"/>
        <v>1097216</v>
      </c>
      <c r="K25" s="466">
        <f t="shared" si="6"/>
        <v>597216</v>
      </c>
      <c r="L25" s="436">
        <f t="shared" si="0"/>
        <v>-500000</v>
      </c>
      <c r="M25" s="498">
        <f t="shared" si="1"/>
        <v>229.92020384899081</v>
      </c>
    </row>
    <row r="26" spans="1:13" ht="39.75" customHeight="1" outlineLevel="5" x14ac:dyDescent="0.3">
      <c r="A26" s="438" t="s">
        <v>25</v>
      </c>
      <c r="B26" s="439" t="s">
        <v>499</v>
      </c>
      <c r="C26" s="439" t="s">
        <v>24</v>
      </c>
      <c r="D26" s="539" t="s">
        <v>329</v>
      </c>
      <c r="E26" s="539" t="s">
        <v>6</v>
      </c>
      <c r="F26" s="540">
        <v>473089</v>
      </c>
      <c r="G26" s="465">
        <f t="shared" si="5"/>
        <v>477216</v>
      </c>
      <c r="H26" s="441">
        <f t="shared" si="5"/>
        <v>42544</v>
      </c>
      <c r="I26" s="440">
        <f t="shared" si="5"/>
        <v>477216</v>
      </c>
      <c r="J26" s="466">
        <f t="shared" si="6"/>
        <v>1097216</v>
      </c>
      <c r="K26" s="466">
        <f t="shared" si="6"/>
        <v>597216</v>
      </c>
      <c r="L26" s="436">
        <f t="shared" si="0"/>
        <v>-500000</v>
      </c>
      <c r="M26" s="498">
        <f t="shared" si="1"/>
        <v>229.92020384899081</v>
      </c>
    </row>
    <row r="27" spans="1:13" ht="34" outlineLevel="6" x14ac:dyDescent="0.3">
      <c r="A27" s="438" t="s">
        <v>15</v>
      </c>
      <c r="B27" s="439" t="s">
        <v>499</v>
      </c>
      <c r="C27" s="439" t="s">
        <v>24</v>
      </c>
      <c r="D27" s="539" t="s">
        <v>329</v>
      </c>
      <c r="E27" s="539" t="s">
        <v>16</v>
      </c>
      <c r="F27" s="540">
        <v>473089</v>
      </c>
      <c r="G27" s="465">
        <f t="shared" si="5"/>
        <v>477216</v>
      </c>
      <c r="H27" s="441">
        <f t="shared" si="5"/>
        <v>42544</v>
      </c>
      <c r="I27" s="440">
        <f t="shared" si="5"/>
        <v>477216</v>
      </c>
      <c r="J27" s="466">
        <f t="shared" si="6"/>
        <v>1097216</v>
      </c>
      <c r="K27" s="466">
        <f t="shared" si="6"/>
        <v>597216</v>
      </c>
      <c r="L27" s="436">
        <f t="shared" si="0"/>
        <v>-500000</v>
      </c>
      <c r="M27" s="498">
        <f t="shared" si="1"/>
        <v>229.92020384899081</v>
      </c>
    </row>
    <row r="28" spans="1:13" ht="21.25" customHeight="1" outlineLevel="7" x14ac:dyDescent="0.3">
      <c r="A28" s="438" t="s">
        <v>17</v>
      </c>
      <c r="B28" s="439" t="s">
        <v>499</v>
      </c>
      <c r="C28" s="439" t="s">
        <v>24</v>
      </c>
      <c r="D28" s="539" t="s">
        <v>329</v>
      </c>
      <c r="E28" s="539" t="s">
        <v>18</v>
      </c>
      <c r="F28" s="540">
        <v>473089</v>
      </c>
      <c r="G28" s="465">
        <v>477216</v>
      </c>
      <c r="H28" s="367">
        <v>42544</v>
      </c>
      <c r="I28" s="440">
        <f>'[2]прил 12'!F35</f>
        <v>477216</v>
      </c>
      <c r="J28" s="466">
        <v>1097216</v>
      </c>
      <c r="K28" s="466">
        <f>1097216-500000</f>
        <v>597216</v>
      </c>
      <c r="L28" s="436">
        <f t="shared" si="0"/>
        <v>-500000</v>
      </c>
      <c r="M28" s="498">
        <f t="shared" si="1"/>
        <v>229.92020384899081</v>
      </c>
    </row>
    <row r="29" spans="1:13" s="437" customFormat="1" ht="34" x14ac:dyDescent="0.3">
      <c r="A29" s="433" t="s">
        <v>27</v>
      </c>
      <c r="B29" s="434" t="s">
        <v>500</v>
      </c>
      <c r="C29" s="434" t="s">
        <v>5</v>
      </c>
      <c r="D29" s="537" t="s">
        <v>126</v>
      </c>
      <c r="E29" s="537" t="s">
        <v>6</v>
      </c>
      <c r="F29" s="538">
        <v>434475577.67000002</v>
      </c>
      <c r="G29" s="506">
        <f>G30+G162+G172+G228+G333+G349+G370+G421+G505+G457+G183</f>
        <v>397671497.94999999</v>
      </c>
      <c r="H29" s="368">
        <v>262532003.14999998</v>
      </c>
      <c r="I29" s="435">
        <f>I30+I162+I172+I228+I333+I349+I370+I421+I505+I457+I183</f>
        <v>297512184.63</v>
      </c>
      <c r="J29" s="506">
        <f>J30+J162+J172+J228+J333+J349+J370+J421+J505+J457+J183</f>
        <v>380444262.12000006</v>
      </c>
      <c r="K29" s="506">
        <f>K30+K162+K172+K228+K333+K349+K370+K421+K505+K457+K183</f>
        <v>362911375.03999996</v>
      </c>
      <c r="L29" s="436">
        <f t="shared" si="0"/>
        <v>-17532887.080000103</v>
      </c>
      <c r="M29" s="498">
        <f t="shared" si="1"/>
        <v>95.667973209343273</v>
      </c>
    </row>
    <row r="30" spans="1:13" s="449" customFormat="1" outlineLevel="1" x14ac:dyDescent="0.3">
      <c r="A30" s="444" t="s">
        <v>7</v>
      </c>
      <c r="B30" s="445" t="s">
        <v>500</v>
      </c>
      <c r="C30" s="445" t="s">
        <v>8</v>
      </c>
      <c r="D30" s="541" t="s">
        <v>126</v>
      </c>
      <c r="E30" s="541" t="s">
        <v>6</v>
      </c>
      <c r="F30" s="540">
        <v>94220120.439999998</v>
      </c>
      <c r="G30" s="508">
        <f>G31+G36+G43+G49+G59+G54</f>
        <v>108875809.69</v>
      </c>
      <c r="H30" s="367">
        <v>77521805.720000014</v>
      </c>
      <c r="I30" s="446">
        <f>I31+I36+I43+I49+I59+I54</f>
        <v>98730538.969999999</v>
      </c>
      <c r="J30" s="508">
        <f>J31+J36+J43+J49+J59+J54</f>
        <v>129866078</v>
      </c>
      <c r="K30" s="508">
        <f>K31+K36+K43+K49+K59+K54</f>
        <v>114164289</v>
      </c>
      <c r="L30" s="436">
        <f t="shared" si="0"/>
        <v>-15701789</v>
      </c>
      <c r="M30" s="498">
        <f t="shared" si="1"/>
        <v>119.27909272938147</v>
      </c>
    </row>
    <row r="31" spans="1:13" ht="50.95" outlineLevel="2" x14ac:dyDescent="0.3">
      <c r="A31" s="438" t="s">
        <v>28</v>
      </c>
      <c r="B31" s="439" t="s">
        <v>500</v>
      </c>
      <c r="C31" s="439" t="s">
        <v>29</v>
      </c>
      <c r="D31" s="539" t="s">
        <v>126</v>
      </c>
      <c r="E31" s="539" t="s">
        <v>6</v>
      </c>
      <c r="F31" s="540">
        <v>2580816.7200000002</v>
      </c>
      <c r="G31" s="465">
        <f t="shared" ref="G31:K34" si="7">G32</f>
        <v>2681000</v>
      </c>
      <c r="H31" s="367">
        <v>2133514.06</v>
      </c>
      <c r="I31" s="440">
        <f t="shared" si="7"/>
        <v>2846266</v>
      </c>
      <c r="J31" s="465">
        <f t="shared" si="7"/>
        <v>3046120</v>
      </c>
      <c r="K31" s="465">
        <f t="shared" si="7"/>
        <v>3046120</v>
      </c>
      <c r="L31" s="436">
        <f t="shared" si="0"/>
        <v>0</v>
      </c>
      <c r="M31" s="498">
        <f t="shared" si="1"/>
        <v>113.61879895561357</v>
      </c>
    </row>
    <row r="32" spans="1:13" ht="34" outlineLevel="3" x14ac:dyDescent="0.3">
      <c r="A32" s="438" t="s">
        <v>132</v>
      </c>
      <c r="B32" s="439" t="s">
        <v>500</v>
      </c>
      <c r="C32" s="439" t="s">
        <v>29</v>
      </c>
      <c r="D32" s="539" t="s">
        <v>127</v>
      </c>
      <c r="E32" s="539" t="s">
        <v>6</v>
      </c>
      <c r="F32" s="540">
        <v>2580816.7200000002</v>
      </c>
      <c r="G32" s="465">
        <f t="shared" si="7"/>
        <v>2681000</v>
      </c>
      <c r="H32" s="441">
        <f t="shared" si="7"/>
        <v>2133514.06</v>
      </c>
      <c r="I32" s="440">
        <f t="shared" si="7"/>
        <v>2846266</v>
      </c>
      <c r="J32" s="465">
        <f t="shared" si="7"/>
        <v>3046120</v>
      </c>
      <c r="K32" s="465">
        <f t="shared" si="7"/>
        <v>3046120</v>
      </c>
      <c r="L32" s="436">
        <f t="shared" si="0"/>
        <v>0</v>
      </c>
      <c r="M32" s="498">
        <f t="shared" si="1"/>
        <v>113.61879895561357</v>
      </c>
    </row>
    <row r="33" spans="1:13" outlineLevel="5" x14ac:dyDescent="0.3">
      <c r="A33" s="438" t="s">
        <v>496</v>
      </c>
      <c r="B33" s="439" t="s">
        <v>500</v>
      </c>
      <c r="C33" s="439" t="s">
        <v>29</v>
      </c>
      <c r="D33" s="539" t="s">
        <v>497</v>
      </c>
      <c r="E33" s="539" t="s">
        <v>6</v>
      </c>
      <c r="F33" s="540">
        <v>2580816.7200000002</v>
      </c>
      <c r="G33" s="465">
        <f t="shared" si="7"/>
        <v>2681000</v>
      </c>
      <c r="H33" s="441">
        <f t="shared" si="7"/>
        <v>2133514.06</v>
      </c>
      <c r="I33" s="440">
        <f t="shared" si="7"/>
        <v>2846266</v>
      </c>
      <c r="J33" s="465">
        <f t="shared" si="7"/>
        <v>3046120</v>
      </c>
      <c r="K33" s="465">
        <f t="shared" si="7"/>
        <v>3046120</v>
      </c>
      <c r="L33" s="436">
        <f t="shared" si="0"/>
        <v>0</v>
      </c>
      <c r="M33" s="498">
        <f t="shared" si="1"/>
        <v>113.61879895561357</v>
      </c>
    </row>
    <row r="34" spans="1:13" ht="84.9" outlineLevel="6" x14ac:dyDescent="0.3">
      <c r="A34" s="438" t="s">
        <v>11</v>
      </c>
      <c r="B34" s="439" t="s">
        <v>500</v>
      </c>
      <c r="C34" s="439" t="s">
        <v>29</v>
      </c>
      <c r="D34" s="539" t="s">
        <v>497</v>
      </c>
      <c r="E34" s="539" t="s">
        <v>12</v>
      </c>
      <c r="F34" s="540">
        <v>2580816.7200000002</v>
      </c>
      <c r="G34" s="465">
        <f t="shared" si="7"/>
        <v>2681000</v>
      </c>
      <c r="H34" s="367">
        <v>2133514.06</v>
      </c>
      <c r="I34" s="440">
        <f t="shared" si="7"/>
        <v>2846266</v>
      </c>
      <c r="J34" s="465">
        <f t="shared" si="7"/>
        <v>3046120</v>
      </c>
      <c r="K34" s="465">
        <f t="shared" si="7"/>
        <v>3046120</v>
      </c>
      <c r="L34" s="436">
        <f t="shared" si="0"/>
        <v>0</v>
      </c>
      <c r="M34" s="498">
        <f t="shared" si="1"/>
        <v>113.61879895561357</v>
      </c>
    </row>
    <row r="35" spans="1:13" ht="34" outlineLevel="7" x14ac:dyDescent="0.3">
      <c r="A35" s="438" t="s">
        <v>13</v>
      </c>
      <c r="B35" s="439" t="s">
        <v>500</v>
      </c>
      <c r="C35" s="439" t="s">
        <v>29</v>
      </c>
      <c r="D35" s="539" t="s">
        <v>497</v>
      </c>
      <c r="E35" s="539" t="s">
        <v>14</v>
      </c>
      <c r="F35" s="540">
        <v>2580816.7200000002</v>
      </c>
      <c r="G35" s="465">
        <f>2846266-165266</f>
        <v>2681000</v>
      </c>
      <c r="H35" s="367">
        <v>2133514.06</v>
      </c>
      <c r="I35" s="440">
        <f>'[2]прил 12'!F42</f>
        <v>2846266</v>
      </c>
      <c r="J35" s="466">
        <v>3046120</v>
      </c>
      <c r="K35" s="466">
        <v>3046120</v>
      </c>
      <c r="L35" s="436">
        <f t="shared" si="0"/>
        <v>0</v>
      </c>
      <c r="M35" s="498">
        <f t="shared" si="1"/>
        <v>113.61879895561357</v>
      </c>
    </row>
    <row r="36" spans="1:13" ht="57.75" customHeight="1" outlineLevel="2" x14ac:dyDescent="0.3">
      <c r="A36" s="438" t="s">
        <v>30</v>
      </c>
      <c r="B36" s="439" t="s">
        <v>500</v>
      </c>
      <c r="C36" s="439" t="s">
        <v>31</v>
      </c>
      <c r="D36" s="539" t="s">
        <v>126</v>
      </c>
      <c r="E36" s="539" t="s">
        <v>6</v>
      </c>
      <c r="F36" s="540">
        <v>20028152.170000002</v>
      </c>
      <c r="G36" s="465">
        <f t="shared" ref="G36:K37" si="8">G37</f>
        <v>21208806</v>
      </c>
      <c r="H36" s="367">
        <v>14506752.189999999</v>
      </c>
      <c r="I36" s="440">
        <f t="shared" si="8"/>
        <v>22524109.440000001</v>
      </c>
      <c r="J36" s="465">
        <f t="shared" si="8"/>
        <v>23978496</v>
      </c>
      <c r="K36" s="465">
        <f t="shared" si="8"/>
        <v>23294985</v>
      </c>
      <c r="L36" s="436">
        <f t="shared" si="0"/>
        <v>-683511</v>
      </c>
      <c r="M36" s="498">
        <f t="shared" si="1"/>
        <v>113.05915099605325</v>
      </c>
    </row>
    <row r="37" spans="1:13" ht="34" outlineLevel="3" x14ac:dyDescent="0.3">
      <c r="A37" s="438" t="s">
        <v>132</v>
      </c>
      <c r="B37" s="439" t="s">
        <v>500</v>
      </c>
      <c r="C37" s="439" t="s">
        <v>31</v>
      </c>
      <c r="D37" s="539" t="s">
        <v>127</v>
      </c>
      <c r="E37" s="539" t="s">
        <v>6</v>
      </c>
      <c r="F37" s="540">
        <v>20028152.170000002</v>
      </c>
      <c r="G37" s="465">
        <f t="shared" si="8"/>
        <v>21208806</v>
      </c>
      <c r="H37" s="367">
        <v>14506752.189999999</v>
      </c>
      <c r="I37" s="440">
        <f t="shared" si="8"/>
        <v>22524109.440000001</v>
      </c>
      <c r="J37" s="465">
        <f t="shared" si="8"/>
        <v>23978496</v>
      </c>
      <c r="K37" s="465">
        <f t="shared" si="8"/>
        <v>23294985</v>
      </c>
      <c r="L37" s="436">
        <f t="shared" si="0"/>
        <v>-683511</v>
      </c>
      <c r="M37" s="498">
        <f t="shared" si="1"/>
        <v>113.05915099605325</v>
      </c>
    </row>
    <row r="38" spans="1:13" ht="57.25" customHeight="1" outlineLevel="5" x14ac:dyDescent="0.3">
      <c r="A38" s="438" t="s">
        <v>494</v>
      </c>
      <c r="B38" s="439" t="s">
        <v>500</v>
      </c>
      <c r="C38" s="439" t="s">
        <v>31</v>
      </c>
      <c r="D38" s="539" t="s">
        <v>495</v>
      </c>
      <c r="E38" s="539" t="s">
        <v>6</v>
      </c>
      <c r="F38" s="540">
        <v>20028152.170000002</v>
      </c>
      <c r="G38" s="465">
        <f>G39+G41</f>
        <v>21208806</v>
      </c>
      <c r="H38" s="367">
        <v>14506752.189999999</v>
      </c>
      <c r="I38" s="440">
        <f>I39+I41</f>
        <v>22524109.440000001</v>
      </c>
      <c r="J38" s="465">
        <f>J39+J41</f>
        <v>23978496</v>
      </c>
      <c r="K38" s="465">
        <f>K39+K41</f>
        <v>23294985</v>
      </c>
      <c r="L38" s="436">
        <f t="shared" si="0"/>
        <v>-683511</v>
      </c>
      <c r="M38" s="498">
        <f t="shared" si="1"/>
        <v>113.05915099605325</v>
      </c>
    </row>
    <row r="39" spans="1:13" ht="84.9" outlineLevel="6" x14ac:dyDescent="0.3">
      <c r="A39" s="438" t="s">
        <v>11</v>
      </c>
      <c r="B39" s="439" t="s">
        <v>500</v>
      </c>
      <c r="C39" s="439" t="s">
        <v>31</v>
      </c>
      <c r="D39" s="539" t="s">
        <v>495</v>
      </c>
      <c r="E39" s="539" t="s">
        <v>12</v>
      </c>
      <c r="F39" s="540">
        <v>19944570.670000002</v>
      </c>
      <c r="G39" s="465">
        <f>G40</f>
        <v>21116806</v>
      </c>
      <c r="H39" s="367">
        <v>14437454.199999999</v>
      </c>
      <c r="I39" s="440">
        <f>I40</f>
        <v>22432109.440000001</v>
      </c>
      <c r="J39" s="465">
        <f>J40</f>
        <v>23876496</v>
      </c>
      <c r="K39" s="465">
        <f>K40</f>
        <v>23192985</v>
      </c>
      <c r="L39" s="436">
        <f t="shared" si="0"/>
        <v>-683511</v>
      </c>
      <c r="M39" s="498">
        <f t="shared" si="1"/>
        <v>113.0686904070625</v>
      </c>
    </row>
    <row r="40" spans="1:13" ht="34" outlineLevel="7" x14ac:dyDescent="0.3">
      <c r="A40" s="438" t="s">
        <v>13</v>
      </c>
      <c r="B40" s="439" t="s">
        <v>500</v>
      </c>
      <c r="C40" s="439" t="s">
        <v>31</v>
      </c>
      <c r="D40" s="539" t="s">
        <v>495</v>
      </c>
      <c r="E40" s="539" t="s">
        <v>14</v>
      </c>
      <c r="F40" s="540">
        <v>19944570.670000002</v>
      </c>
      <c r="G40" s="466">
        <f>[2]потребность!I47+165266-617796</f>
        <v>21116806</v>
      </c>
      <c r="H40" s="367">
        <v>14437454.199999999</v>
      </c>
      <c r="I40" s="442">
        <f>'[2]прил 12'!F47</f>
        <v>22432109.440000001</v>
      </c>
      <c r="J40" s="466">
        <f>23192985+683511</f>
        <v>23876496</v>
      </c>
      <c r="K40" s="466">
        <f>23192985+683511-683511</f>
        <v>23192985</v>
      </c>
      <c r="L40" s="436">
        <f t="shared" si="0"/>
        <v>-683511</v>
      </c>
      <c r="M40" s="498">
        <f t="shared" si="1"/>
        <v>113.0686904070625</v>
      </c>
    </row>
    <row r="41" spans="1:13" ht="34" outlineLevel="6" x14ac:dyDescent="0.3">
      <c r="A41" s="438" t="s">
        <v>15</v>
      </c>
      <c r="B41" s="439" t="s">
        <v>500</v>
      </c>
      <c r="C41" s="439" t="s">
        <v>31</v>
      </c>
      <c r="D41" s="539" t="s">
        <v>495</v>
      </c>
      <c r="E41" s="539" t="s">
        <v>16</v>
      </c>
      <c r="F41" s="540">
        <v>83581.5</v>
      </c>
      <c r="G41" s="465">
        <f>G42</f>
        <v>92000</v>
      </c>
      <c r="H41" s="367">
        <v>69297.990000000005</v>
      </c>
      <c r="I41" s="440">
        <f>I42</f>
        <v>92000</v>
      </c>
      <c r="J41" s="465">
        <f>J42</f>
        <v>102000</v>
      </c>
      <c r="K41" s="465">
        <f>K42</f>
        <v>102000</v>
      </c>
      <c r="L41" s="436">
        <f t="shared" si="0"/>
        <v>0</v>
      </c>
      <c r="M41" s="498">
        <f t="shared" si="1"/>
        <v>110.8695652173913</v>
      </c>
    </row>
    <row r="42" spans="1:13" ht="21.25" customHeight="1" outlineLevel="7" x14ac:dyDescent="0.3">
      <c r="A42" s="438" t="s">
        <v>17</v>
      </c>
      <c r="B42" s="439" t="s">
        <v>500</v>
      </c>
      <c r="C42" s="439" t="s">
        <v>31</v>
      </c>
      <c r="D42" s="539" t="s">
        <v>495</v>
      </c>
      <c r="E42" s="539" t="s">
        <v>18</v>
      </c>
      <c r="F42" s="540">
        <v>83581.5</v>
      </c>
      <c r="G42" s="466">
        <v>92000</v>
      </c>
      <c r="H42" s="367">
        <v>69297.990000000005</v>
      </c>
      <c r="I42" s="442">
        <f>'[2]прил 12'!F49</f>
        <v>92000</v>
      </c>
      <c r="J42" s="466">
        <v>102000</v>
      </c>
      <c r="K42" s="466">
        <v>102000</v>
      </c>
      <c r="L42" s="436">
        <f t="shared" si="0"/>
        <v>0</v>
      </c>
      <c r="M42" s="498">
        <f t="shared" si="1"/>
        <v>110.8695652173913</v>
      </c>
    </row>
    <row r="43" spans="1:13" outlineLevel="7" x14ac:dyDescent="0.3">
      <c r="A43" s="438" t="s">
        <v>260</v>
      </c>
      <c r="B43" s="439" t="s">
        <v>500</v>
      </c>
      <c r="C43" s="439" t="s">
        <v>261</v>
      </c>
      <c r="D43" s="539" t="s">
        <v>126</v>
      </c>
      <c r="E43" s="539" t="s">
        <v>6</v>
      </c>
      <c r="F43" s="540">
        <v>5100</v>
      </c>
      <c r="G43" s="466">
        <f>G44</f>
        <v>219244</v>
      </c>
      <c r="H43" s="367">
        <v>183414</v>
      </c>
      <c r="I43" s="442">
        <f>I44</f>
        <v>13010</v>
      </c>
      <c r="J43" s="466">
        <f>J44</f>
        <v>12402</v>
      </c>
      <c r="K43" s="466">
        <f>K44</f>
        <v>12402</v>
      </c>
      <c r="L43" s="436">
        <f t="shared" si="0"/>
        <v>0</v>
      </c>
      <c r="M43" s="498">
        <f t="shared" si="1"/>
        <v>5.6567112440933389</v>
      </c>
    </row>
    <row r="44" spans="1:13" ht="34" outlineLevel="7" x14ac:dyDescent="0.3">
      <c r="A44" s="438" t="s">
        <v>132</v>
      </c>
      <c r="B44" s="439" t="s">
        <v>500</v>
      </c>
      <c r="C44" s="439" t="s">
        <v>261</v>
      </c>
      <c r="D44" s="539" t="s">
        <v>127</v>
      </c>
      <c r="E44" s="539" t="s">
        <v>6</v>
      </c>
      <c r="F44" s="540">
        <v>5100</v>
      </c>
      <c r="G44" s="466">
        <f>G46</f>
        <v>219244</v>
      </c>
      <c r="H44" s="367">
        <v>183414</v>
      </c>
      <c r="I44" s="442">
        <f t="shared" ref="I44:K47" si="9">I45</f>
        <v>13010</v>
      </c>
      <c r="J44" s="466">
        <f t="shared" si="9"/>
        <v>12402</v>
      </c>
      <c r="K44" s="466">
        <f t="shared" si="9"/>
        <v>12402</v>
      </c>
      <c r="L44" s="436">
        <f t="shared" si="0"/>
        <v>0</v>
      </c>
      <c r="M44" s="498">
        <f t="shared" si="1"/>
        <v>5.6567112440933389</v>
      </c>
    </row>
    <row r="45" spans="1:13" outlineLevel="7" x14ac:dyDescent="0.3">
      <c r="A45" s="438" t="s">
        <v>277</v>
      </c>
      <c r="B45" s="439" t="s">
        <v>500</v>
      </c>
      <c r="C45" s="439" t="s">
        <v>261</v>
      </c>
      <c r="D45" s="539" t="s">
        <v>276</v>
      </c>
      <c r="E45" s="539" t="s">
        <v>6</v>
      </c>
      <c r="F45" s="540">
        <v>5100</v>
      </c>
      <c r="G45" s="466">
        <f>G46</f>
        <v>219244</v>
      </c>
      <c r="H45" s="367">
        <v>183414</v>
      </c>
      <c r="I45" s="442">
        <f t="shared" si="9"/>
        <v>13010</v>
      </c>
      <c r="J45" s="466">
        <f t="shared" si="9"/>
        <v>12402</v>
      </c>
      <c r="K45" s="466">
        <f t="shared" si="9"/>
        <v>12402</v>
      </c>
      <c r="L45" s="436">
        <f t="shared" si="0"/>
        <v>0</v>
      </c>
      <c r="M45" s="498">
        <f t="shared" si="1"/>
        <v>5.6567112440933389</v>
      </c>
    </row>
    <row r="46" spans="1:13" ht="95.3" customHeight="1" outlineLevel="7" x14ac:dyDescent="0.3">
      <c r="A46" s="453" t="s">
        <v>410</v>
      </c>
      <c r="B46" s="439" t="s">
        <v>500</v>
      </c>
      <c r="C46" s="439" t="s">
        <v>261</v>
      </c>
      <c r="D46" s="539" t="s">
        <v>285</v>
      </c>
      <c r="E46" s="539" t="s">
        <v>6</v>
      </c>
      <c r="F46" s="540">
        <v>5100</v>
      </c>
      <c r="G46" s="466">
        <f>G47</f>
        <v>219244</v>
      </c>
      <c r="H46" s="367">
        <v>183414</v>
      </c>
      <c r="I46" s="442">
        <f t="shared" si="9"/>
        <v>13010</v>
      </c>
      <c r="J46" s="509">
        <f t="shared" si="9"/>
        <v>12402</v>
      </c>
      <c r="K46" s="509">
        <f t="shared" si="9"/>
        <v>12402</v>
      </c>
      <c r="L46" s="436">
        <f t="shared" si="0"/>
        <v>0</v>
      </c>
      <c r="M46" s="498">
        <f t="shared" si="1"/>
        <v>5.6567112440933389</v>
      </c>
    </row>
    <row r="47" spans="1:13" ht="34" outlineLevel="7" x14ac:dyDescent="0.3">
      <c r="A47" s="438" t="s">
        <v>15</v>
      </c>
      <c r="B47" s="439" t="s">
        <v>500</v>
      </c>
      <c r="C47" s="439" t="s">
        <v>261</v>
      </c>
      <c r="D47" s="539" t="s">
        <v>285</v>
      </c>
      <c r="E47" s="539" t="s">
        <v>16</v>
      </c>
      <c r="F47" s="540">
        <v>5100</v>
      </c>
      <c r="G47" s="466">
        <f>G48</f>
        <v>219244</v>
      </c>
      <c r="H47" s="367">
        <v>183414</v>
      </c>
      <c r="I47" s="442">
        <f t="shared" si="9"/>
        <v>13010</v>
      </c>
      <c r="J47" s="466">
        <f t="shared" si="9"/>
        <v>12402</v>
      </c>
      <c r="K47" s="466">
        <f t="shared" si="9"/>
        <v>12402</v>
      </c>
      <c r="L47" s="436">
        <f t="shared" si="0"/>
        <v>0</v>
      </c>
      <c r="M47" s="498">
        <f t="shared" si="1"/>
        <v>5.6567112440933389</v>
      </c>
    </row>
    <row r="48" spans="1:13" ht="19.55" customHeight="1" outlineLevel="7" x14ac:dyDescent="0.3">
      <c r="A48" s="438" t="s">
        <v>17</v>
      </c>
      <c r="B48" s="439" t="s">
        <v>500</v>
      </c>
      <c r="C48" s="439" t="s">
        <v>261</v>
      </c>
      <c r="D48" s="539" t="s">
        <v>285</v>
      </c>
      <c r="E48" s="539" t="s">
        <v>18</v>
      </c>
      <c r="F48" s="540">
        <v>5100</v>
      </c>
      <c r="G48" s="465">
        <v>219244</v>
      </c>
      <c r="H48" s="367">
        <v>183414</v>
      </c>
      <c r="I48" s="440">
        <v>13010</v>
      </c>
      <c r="J48" s="510">
        <v>12402</v>
      </c>
      <c r="K48" s="510">
        <v>12402</v>
      </c>
      <c r="L48" s="436">
        <f t="shared" si="0"/>
        <v>0</v>
      </c>
      <c r="M48" s="498">
        <f t="shared" si="1"/>
        <v>5.6567112440933389</v>
      </c>
    </row>
    <row r="49" spans="1:13" ht="36.700000000000003" customHeight="1" outlineLevel="2" x14ac:dyDescent="0.3">
      <c r="A49" s="438" t="s">
        <v>9</v>
      </c>
      <c r="B49" s="439" t="s">
        <v>500</v>
      </c>
      <c r="C49" s="439" t="s">
        <v>10</v>
      </c>
      <c r="D49" s="539" t="s">
        <v>126</v>
      </c>
      <c r="E49" s="539" t="s">
        <v>6</v>
      </c>
      <c r="F49" s="540">
        <v>703771.03</v>
      </c>
      <c r="G49" s="465">
        <f t="shared" ref="G49:K52" si="10">G50</f>
        <v>799829</v>
      </c>
      <c r="H49" s="367">
        <v>493755.27</v>
      </c>
      <c r="I49" s="440">
        <f t="shared" si="10"/>
        <v>825175</v>
      </c>
      <c r="J49" s="465">
        <f t="shared" si="10"/>
        <v>845370</v>
      </c>
      <c r="K49" s="465">
        <f t="shared" si="10"/>
        <v>845370</v>
      </c>
      <c r="L49" s="436">
        <f t="shared" si="0"/>
        <v>0</v>
      </c>
      <c r="M49" s="498">
        <f t="shared" si="1"/>
        <v>105.69384205874006</v>
      </c>
    </row>
    <row r="50" spans="1:13" ht="34" outlineLevel="4" x14ac:dyDescent="0.3">
      <c r="A50" s="438" t="s">
        <v>132</v>
      </c>
      <c r="B50" s="439" t="s">
        <v>500</v>
      </c>
      <c r="C50" s="439" t="s">
        <v>10</v>
      </c>
      <c r="D50" s="539" t="s">
        <v>127</v>
      </c>
      <c r="E50" s="539" t="s">
        <v>6</v>
      </c>
      <c r="F50" s="540">
        <v>703771.03</v>
      </c>
      <c r="G50" s="465">
        <f t="shared" si="10"/>
        <v>799829</v>
      </c>
      <c r="H50" s="367">
        <v>493755.27</v>
      </c>
      <c r="I50" s="440">
        <f t="shared" si="10"/>
        <v>825175</v>
      </c>
      <c r="J50" s="465">
        <f t="shared" si="10"/>
        <v>845370</v>
      </c>
      <c r="K50" s="465">
        <f t="shared" si="10"/>
        <v>845370</v>
      </c>
      <c r="L50" s="436">
        <f t="shared" si="0"/>
        <v>0</v>
      </c>
      <c r="M50" s="498">
        <f t="shared" si="1"/>
        <v>105.69384205874006</v>
      </c>
    </row>
    <row r="51" spans="1:13" ht="34" outlineLevel="5" x14ac:dyDescent="0.3">
      <c r="A51" s="438" t="s">
        <v>498</v>
      </c>
      <c r="B51" s="439" t="s">
        <v>500</v>
      </c>
      <c r="C51" s="439" t="s">
        <v>10</v>
      </c>
      <c r="D51" s="539" t="s">
        <v>537</v>
      </c>
      <c r="E51" s="539" t="s">
        <v>6</v>
      </c>
      <c r="F51" s="540">
        <v>703771.03</v>
      </c>
      <c r="G51" s="465">
        <f t="shared" si="10"/>
        <v>799829</v>
      </c>
      <c r="H51" s="367">
        <v>493755.27</v>
      </c>
      <c r="I51" s="440">
        <f t="shared" si="10"/>
        <v>825175</v>
      </c>
      <c r="J51" s="465">
        <f t="shared" si="10"/>
        <v>845370</v>
      </c>
      <c r="K51" s="465">
        <f t="shared" si="10"/>
        <v>845370</v>
      </c>
      <c r="L51" s="436">
        <f t="shared" si="0"/>
        <v>0</v>
      </c>
      <c r="M51" s="498">
        <f t="shared" si="1"/>
        <v>105.69384205874006</v>
      </c>
    </row>
    <row r="52" spans="1:13" ht="84.9" outlineLevel="6" x14ac:dyDescent="0.3">
      <c r="A52" s="438" t="s">
        <v>11</v>
      </c>
      <c r="B52" s="439" t="s">
        <v>500</v>
      </c>
      <c r="C52" s="439" t="s">
        <v>10</v>
      </c>
      <c r="D52" s="539" t="s">
        <v>537</v>
      </c>
      <c r="E52" s="539" t="s">
        <v>12</v>
      </c>
      <c r="F52" s="540">
        <v>703771.03</v>
      </c>
      <c r="G52" s="465">
        <f t="shared" si="10"/>
        <v>799829</v>
      </c>
      <c r="H52" s="367">
        <v>493755.27</v>
      </c>
      <c r="I52" s="440">
        <f t="shared" si="10"/>
        <v>825175</v>
      </c>
      <c r="J52" s="465">
        <f t="shared" si="10"/>
        <v>845370</v>
      </c>
      <c r="K52" s="465">
        <f t="shared" si="10"/>
        <v>845370</v>
      </c>
      <c r="L52" s="436">
        <f t="shared" si="0"/>
        <v>0</v>
      </c>
      <c r="M52" s="498">
        <f t="shared" si="1"/>
        <v>105.69384205874006</v>
      </c>
    </row>
    <row r="53" spans="1:13" ht="34" outlineLevel="7" x14ac:dyDescent="0.3">
      <c r="A53" s="438" t="s">
        <v>13</v>
      </c>
      <c r="B53" s="439" t="s">
        <v>500</v>
      </c>
      <c r="C53" s="439" t="s">
        <v>10</v>
      </c>
      <c r="D53" s="539" t="s">
        <v>537</v>
      </c>
      <c r="E53" s="539" t="s">
        <v>14</v>
      </c>
      <c r="F53" s="540">
        <v>703771.03</v>
      </c>
      <c r="G53" s="465">
        <f>825175-25346</f>
        <v>799829</v>
      </c>
      <c r="H53" s="367">
        <v>493755.27</v>
      </c>
      <c r="I53" s="440">
        <f>'[2]прил 12'!F60</f>
        <v>825175</v>
      </c>
      <c r="J53" s="466">
        <v>845370</v>
      </c>
      <c r="K53" s="466">
        <v>845370</v>
      </c>
      <c r="L53" s="436">
        <f t="shared" si="0"/>
        <v>0</v>
      </c>
      <c r="M53" s="498">
        <f t="shared" si="1"/>
        <v>105.69384205874006</v>
      </c>
    </row>
    <row r="54" spans="1:13" outlineLevel="7" x14ac:dyDescent="0.3">
      <c r="A54" s="438" t="s">
        <v>698</v>
      </c>
      <c r="B54" s="439" t="s">
        <v>500</v>
      </c>
      <c r="C54" s="439" t="s">
        <v>695</v>
      </c>
      <c r="D54" s="539" t="s">
        <v>126</v>
      </c>
      <c r="E54" s="539" t="s">
        <v>6</v>
      </c>
      <c r="F54" s="540">
        <v>0</v>
      </c>
      <c r="G54" s="465">
        <f t="shared" ref="G54:K57" si="11">G55</f>
        <v>1644227.3600000031</v>
      </c>
      <c r="H54" s="367"/>
      <c r="I54" s="440">
        <f t="shared" si="11"/>
        <v>0</v>
      </c>
      <c r="J54" s="465">
        <f t="shared" si="11"/>
        <v>12000000</v>
      </c>
      <c r="K54" s="465">
        <f t="shared" si="11"/>
        <v>12000000</v>
      </c>
      <c r="L54" s="436">
        <f t="shared" si="0"/>
        <v>0</v>
      </c>
      <c r="M54" s="498">
        <f t="shared" si="1"/>
        <v>729.82607466159538</v>
      </c>
    </row>
    <row r="55" spans="1:13" ht="34" outlineLevel="7" x14ac:dyDescent="0.3">
      <c r="A55" s="438" t="s">
        <v>132</v>
      </c>
      <c r="B55" s="439" t="s">
        <v>500</v>
      </c>
      <c r="C55" s="439" t="s">
        <v>695</v>
      </c>
      <c r="D55" s="539" t="s">
        <v>127</v>
      </c>
      <c r="E55" s="539" t="s">
        <v>6</v>
      </c>
      <c r="F55" s="540">
        <v>0</v>
      </c>
      <c r="G55" s="465">
        <f t="shared" si="11"/>
        <v>1644227.3600000031</v>
      </c>
      <c r="H55" s="441"/>
      <c r="I55" s="440">
        <f t="shared" si="11"/>
        <v>0</v>
      </c>
      <c r="J55" s="465">
        <f t="shared" si="11"/>
        <v>12000000</v>
      </c>
      <c r="K55" s="465">
        <f t="shared" si="11"/>
        <v>12000000</v>
      </c>
      <c r="L55" s="436">
        <f t="shared" si="0"/>
        <v>0</v>
      </c>
      <c r="M55" s="498">
        <f t="shared" si="1"/>
        <v>729.82607466159538</v>
      </c>
    </row>
    <row r="56" spans="1:13" ht="34" outlineLevel="7" x14ac:dyDescent="0.3">
      <c r="A56" s="438" t="s">
        <v>526</v>
      </c>
      <c r="B56" s="439" t="s">
        <v>500</v>
      </c>
      <c r="C56" s="439" t="s">
        <v>695</v>
      </c>
      <c r="D56" s="539" t="s">
        <v>539</v>
      </c>
      <c r="E56" s="539" t="s">
        <v>6</v>
      </c>
      <c r="F56" s="540">
        <v>0</v>
      </c>
      <c r="G56" s="465">
        <f t="shared" si="11"/>
        <v>1644227.3600000031</v>
      </c>
      <c r="H56" s="441"/>
      <c r="I56" s="440">
        <f t="shared" si="11"/>
        <v>0</v>
      </c>
      <c r="J56" s="465">
        <f t="shared" si="11"/>
        <v>12000000</v>
      </c>
      <c r="K56" s="465">
        <f t="shared" si="11"/>
        <v>12000000</v>
      </c>
      <c r="L56" s="436">
        <f t="shared" si="0"/>
        <v>0</v>
      </c>
      <c r="M56" s="498">
        <f t="shared" si="1"/>
        <v>729.82607466159538</v>
      </c>
    </row>
    <row r="57" spans="1:13" outlineLevel="7" x14ac:dyDescent="0.3">
      <c r="A57" s="438" t="s">
        <v>19</v>
      </c>
      <c r="B57" s="439" t="s">
        <v>500</v>
      </c>
      <c r="C57" s="439" t="s">
        <v>695</v>
      </c>
      <c r="D57" s="539" t="s">
        <v>539</v>
      </c>
      <c r="E57" s="539" t="s">
        <v>20</v>
      </c>
      <c r="F57" s="540">
        <v>0</v>
      </c>
      <c r="G57" s="465">
        <f t="shared" si="11"/>
        <v>1644227.3600000031</v>
      </c>
      <c r="H57" s="441"/>
      <c r="I57" s="440">
        <f t="shared" si="11"/>
        <v>0</v>
      </c>
      <c r="J57" s="465">
        <f t="shared" si="11"/>
        <v>12000000</v>
      </c>
      <c r="K57" s="465">
        <f t="shared" si="11"/>
        <v>12000000</v>
      </c>
      <c r="L57" s="436">
        <f t="shared" si="0"/>
        <v>0</v>
      </c>
      <c r="M57" s="498">
        <f t="shared" si="1"/>
        <v>729.82607466159538</v>
      </c>
    </row>
    <row r="58" spans="1:13" outlineLevel="7" x14ac:dyDescent="0.3">
      <c r="A58" s="438" t="s">
        <v>696</v>
      </c>
      <c r="B58" s="439" t="s">
        <v>500</v>
      </c>
      <c r="C58" s="439" t="s">
        <v>695</v>
      </c>
      <c r="D58" s="539" t="s">
        <v>539</v>
      </c>
      <c r="E58" s="539" t="s">
        <v>694</v>
      </c>
      <c r="F58" s="540">
        <v>0</v>
      </c>
      <c r="G58" s="465">
        <f>[2]потребность!L65-247000-26399.58-22900478.19+1393.94-72913.58-143709.27+5012765.36+3173352.2-8884417.62+502896.1-2456240-183872</f>
        <v>1644227.3600000031</v>
      </c>
      <c r="H58" s="441"/>
      <c r="I58" s="440">
        <v>0</v>
      </c>
      <c r="J58" s="465">
        <v>12000000</v>
      </c>
      <c r="K58" s="465">
        <v>12000000</v>
      </c>
      <c r="L58" s="436">
        <f t="shared" si="0"/>
        <v>0</v>
      </c>
      <c r="M58" s="498">
        <f t="shared" si="1"/>
        <v>729.82607466159538</v>
      </c>
    </row>
    <row r="59" spans="1:13" outlineLevel="2" x14ac:dyDescent="0.3">
      <c r="A59" s="438" t="s">
        <v>23</v>
      </c>
      <c r="B59" s="439" t="s">
        <v>500</v>
      </c>
      <c r="C59" s="439" t="s">
        <v>24</v>
      </c>
      <c r="D59" s="539" t="s">
        <v>126</v>
      </c>
      <c r="E59" s="539" t="s">
        <v>6</v>
      </c>
      <c r="F59" s="540">
        <v>70902280.519999996</v>
      </c>
      <c r="G59" s="465">
        <f>G60+G85+G98+G90+G110+G105</f>
        <v>82322703.329999998</v>
      </c>
      <c r="H59" s="369">
        <v>60204370.20000001</v>
      </c>
      <c r="I59" s="440">
        <f>I60+I85+I98+I90+I110+I105</f>
        <v>72521978.530000001</v>
      </c>
      <c r="J59" s="465">
        <f>J60+J85+J98+J90+J110+J105</f>
        <v>89983690</v>
      </c>
      <c r="K59" s="465">
        <f>K60+K85+K98+K90+K110+K105</f>
        <v>74965412</v>
      </c>
      <c r="L59" s="436">
        <f t="shared" si="0"/>
        <v>-15018278</v>
      </c>
      <c r="M59" s="498">
        <f t="shared" si="1"/>
        <v>109.30604360657358</v>
      </c>
    </row>
    <row r="60" spans="1:13" s="449" customFormat="1" ht="37.549999999999997" customHeight="1" outlineLevel="3" x14ac:dyDescent="0.3">
      <c r="A60" s="444" t="s">
        <v>853</v>
      </c>
      <c r="B60" s="445" t="s">
        <v>500</v>
      </c>
      <c r="C60" s="445" t="s">
        <v>24</v>
      </c>
      <c r="D60" s="541" t="s">
        <v>128</v>
      </c>
      <c r="E60" s="541" t="s">
        <v>6</v>
      </c>
      <c r="F60" s="542">
        <v>22886854.309999999</v>
      </c>
      <c r="G60" s="508">
        <f>G61+G68+G76</f>
        <v>23474335</v>
      </c>
      <c r="H60" s="447">
        <f>H61+H68+H76</f>
        <v>14784021.529999999</v>
      </c>
      <c r="I60" s="446">
        <f>I61+I68+I76</f>
        <v>25030881.030000001</v>
      </c>
      <c r="J60" s="508">
        <f>J61+J68+J76</f>
        <v>26583813</v>
      </c>
      <c r="K60" s="508">
        <f>K61+K68+K76</f>
        <v>25102813</v>
      </c>
      <c r="L60" s="436">
        <f t="shared" si="0"/>
        <v>-1481000</v>
      </c>
      <c r="M60" s="498">
        <f t="shared" si="1"/>
        <v>113.24628791401332</v>
      </c>
    </row>
    <row r="61" spans="1:13" ht="39.25" customHeight="1" outlineLevel="7" x14ac:dyDescent="0.3">
      <c r="A61" s="438" t="s">
        <v>835</v>
      </c>
      <c r="B61" s="439" t="s">
        <v>500</v>
      </c>
      <c r="C61" s="439" t="s">
        <v>24</v>
      </c>
      <c r="D61" s="539" t="s">
        <v>315</v>
      </c>
      <c r="E61" s="539" t="s">
        <v>6</v>
      </c>
      <c r="F61" s="540">
        <v>796387</v>
      </c>
      <c r="G61" s="466">
        <f>G62+G65</f>
        <v>845385</v>
      </c>
      <c r="H61" s="442">
        <f>H62+H65</f>
        <v>20900</v>
      </c>
      <c r="I61" s="442">
        <f>I62+I65</f>
        <v>795385</v>
      </c>
      <c r="J61" s="466">
        <f>J62+J65</f>
        <v>845385</v>
      </c>
      <c r="K61" s="466">
        <f>K62+K65</f>
        <v>845385</v>
      </c>
      <c r="L61" s="436">
        <f t="shared" si="0"/>
        <v>0</v>
      </c>
      <c r="M61" s="498">
        <f t="shared" si="1"/>
        <v>100</v>
      </c>
    </row>
    <row r="62" spans="1:13" outlineLevel="7" x14ac:dyDescent="0.3">
      <c r="A62" s="438" t="s">
        <v>321</v>
      </c>
      <c r="B62" s="439" t="s">
        <v>500</v>
      </c>
      <c r="C62" s="439" t="s">
        <v>24</v>
      </c>
      <c r="D62" s="539" t="s">
        <v>316</v>
      </c>
      <c r="E62" s="539" t="s">
        <v>6</v>
      </c>
      <c r="F62" s="540">
        <v>628897</v>
      </c>
      <c r="G62" s="466">
        <f t="shared" ref="G62:K63" si="12">G63</f>
        <v>745385</v>
      </c>
      <c r="H62" s="442">
        <v>5100</v>
      </c>
      <c r="I62" s="442">
        <f t="shared" si="12"/>
        <v>745385</v>
      </c>
      <c r="J62" s="466">
        <f t="shared" si="12"/>
        <v>745385</v>
      </c>
      <c r="K62" s="466">
        <f t="shared" si="12"/>
        <v>745385</v>
      </c>
      <c r="L62" s="436">
        <f t="shared" si="0"/>
        <v>0</v>
      </c>
      <c r="M62" s="498">
        <f t="shared" si="1"/>
        <v>100</v>
      </c>
    </row>
    <row r="63" spans="1:13" ht="34" outlineLevel="7" x14ac:dyDescent="0.3">
      <c r="A63" s="438" t="s">
        <v>15</v>
      </c>
      <c r="B63" s="439" t="s">
        <v>500</v>
      </c>
      <c r="C63" s="439" t="s">
        <v>24</v>
      </c>
      <c r="D63" s="539" t="s">
        <v>316</v>
      </c>
      <c r="E63" s="539" t="s">
        <v>16</v>
      </c>
      <c r="F63" s="540">
        <v>628897</v>
      </c>
      <c r="G63" s="465">
        <f t="shared" si="12"/>
        <v>745385</v>
      </c>
      <c r="H63" s="370">
        <v>5100</v>
      </c>
      <c r="I63" s="440">
        <f t="shared" si="12"/>
        <v>745385</v>
      </c>
      <c r="J63" s="465">
        <f t="shared" si="12"/>
        <v>745385</v>
      </c>
      <c r="K63" s="465">
        <f t="shared" si="12"/>
        <v>745385</v>
      </c>
      <c r="L63" s="436">
        <f t="shared" si="0"/>
        <v>0</v>
      </c>
      <c r="M63" s="498">
        <f t="shared" si="1"/>
        <v>100</v>
      </c>
    </row>
    <row r="64" spans="1:13" ht="21.25" customHeight="1" outlineLevel="7" x14ac:dyDescent="0.3">
      <c r="A64" s="438" t="s">
        <v>17</v>
      </c>
      <c r="B64" s="439" t="s">
        <v>500</v>
      </c>
      <c r="C64" s="439" t="s">
        <v>24</v>
      </c>
      <c r="D64" s="539" t="s">
        <v>316</v>
      </c>
      <c r="E64" s="539" t="s">
        <v>18</v>
      </c>
      <c r="F64" s="540">
        <v>628897</v>
      </c>
      <c r="G64" s="466">
        <v>745385</v>
      </c>
      <c r="H64" s="370">
        <v>5100</v>
      </c>
      <c r="I64" s="442">
        <f>'[2]прил 12'!F71</f>
        <v>745385</v>
      </c>
      <c r="J64" s="466">
        <v>745385</v>
      </c>
      <c r="K64" s="466">
        <v>745385</v>
      </c>
      <c r="L64" s="436">
        <f t="shared" si="0"/>
        <v>0</v>
      </c>
      <c r="M64" s="498">
        <f t="shared" si="1"/>
        <v>100</v>
      </c>
    </row>
    <row r="65" spans="1:13" outlineLevel="7" x14ac:dyDescent="0.3">
      <c r="A65" s="438" t="s">
        <v>322</v>
      </c>
      <c r="B65" s="439" t="s">
        <v>500</v>
      </c>
      <c r="C65" s="439" t="s">
        <v>24</v>
      </c>
      <c r="D65" s="539" t="s">
        <v>323</v>
      </c>
      <c r="E65" s="539" t="s">
        <v>6</v>
      </c>
      <c r="F65" s="540">
        <v>167490</v>
      </c>
      <c r="G65" s="466">
        <f t="shared" ref="G65:K66" si="13">G66</f>
        <v>100000</v>
      </c>
      <c r="H65" s="370">
        <v>15800</v>
      </c>
      <c r="I65" s="442">
        <f t="shared" si="13"/>
        <v>50000</v>
      </c>
      <c r="J65" s="466">
        <f t="shared" si="13"/>
        <v>100000</v>
      </c>
      <c r="K65" s="466">
        <f t="shared" si="13"/>
        <v>100000</v>
      </c>
      <c r="L65" s="436">
        <f t="shared" si="0"/>
        <v>0</v>
      </c>
      <c r="M65" s="498">
        <f t="shared" si="1"/>
        <v>100</v>
      </c>
    </row>
    <row r="66" spans="1:13" ht="34" outlineLevel="7" x14ac:dyDescent="0.3">
      <c r="A66" s="438" t="s">
        <v>15</v>
      </c>
      <c r="B66" s="439" t="s">
        <v>500</v>
      </c>
      <c r="C66" s="439" t="s">
        <v>24</v>
      </c>
      <c r="D66" s="539" t="s">
        <v>323</v>
      </c>
      <c r="E66" s="539" t="s">
        <v>16</v>
      </c>
      <c r="F66" s="540">
        <v>167490</v>
      </c>
      <c r="G66" s="465">
        <f t="shared" si="13"/>
        <v>100000</v>
      </c>
      <c r="H66" s="370">
        <v>15800</v>
      </c>
      <c r="I66" s="440">
        <f t="shared" si="13"/>
        <v>50000</v>
      </c>
      <c r="J66" s="465">
        <f t="shared" si="13"/>
        <v>100000</v>
      </c>
      <c r="K66" s="465">
        <f t="shared" si="13"/>
        <v>100000</v>
      </c>
      <c r="L66" s="436">
        <f t="shared" si="0"/>
        <v>0</v>
      </c>
      <c r="M66" s="498">
        <f t="shared" si="1"/>
        <v>100</v>
      </c>
    </row>
    <row r="67" spans="1:13" ht="19.55" customHeight="1" outlineLevel="7" x14ac:dyDescent="0.3">
      <c r="A67" s="438" t="s">
        <v>17</v>
      </c>
      <c r="B67" s="439" t="s">
        <v>500</v>
      </c>
      <c r="C67" s="439" t="s">
        <v>24</v>
      </c>
      <c r="D67" s="539" t="s">
        <v>323</v>
      </c>
      <c r="E67" s="539" t="s">
        <v>18</v>
      </c>
      <c r="F67" s="540">
        <v>167490</v>
      </c>
      <c r="G67" s="465">
        <f>50000+50000</f>
        <v>100000</v>
      </c>
      <c r="H67" s="440">
        <v>15800</v>
      </c>
      <c r="I67" s="440">
        <f>'[2]прил 12'!F74</f>
        <v>50000</v>
      </c>
      <c r="J67" s="465">
        <f>50000+50000</f>
        <v>100000</v>
      </c>
      <c r="K67" s="465">
        <f>50000+50000</f>
        <v>100000</v>
      </c>
      <c r="L67" s="436">
        <f t="shared" si="0"/>
        <v>0</v>
      </c>
      <c r="M67" s="498">
        <f t="shared" si="1"/>
        <v>100</v>
      </c>
    </row>
    <row r="68" spans="1:13" ht="42.45" customHeight="1" outlineLevel="7" x14ac:dyDescent="0.3">
      <c r="A68" s="438" t="s">
        <v>216</v>
      </c>
      <c r="B68" s="439" t="s">
        <v>500</v>
      </c>
      <c r="C68" s="439" t="s">
        <v>24</v>
      </c>
      <c r="D68" s="539" t="s">
        <v>231</v>
      </c>
      <c r="E68" s="539" t="s">
        <v>6</v>
      </c>
      <c r="F68" s="540">
        <v>19431974.879999999</v>
      </c>
      <c r="G68" s="466">
        <f>G69</f>
        <v>21177850</v>
      </c>
      <c r="H68" s="443">
        <f>H69</f>
        <v>13917675.359999999</v>
      </c>
      <c r="I68" s="442">
        <f>I69</f>
        <v>22135496.030000001</v>
      </c>
      <c r="J68" s="466">
        <f>J69</f>
        <v>24287328</v>
      </c>
      <c r="K68" s="466">
        <f>K69</f>
        <v>22806328</v>
      </c>
      <c r="L68" s="436">
        <f t="shared" si="0"/>
        <v>-1481000</v>
      </c>
      <c r="M68" s="498">
        <f t="shared" si="1"/>
        <v>114.68268969701835</v>
      </c>
    </row>
    <row r="69" spans="1:13" ht="34" outlineLevel="5" x14ac:dyDescent="0.3">
      <c r="A69" s="438" t="s">
        <v>33</v>
      </c>
      <c r="B69" s="439" t="s">
        <v>500</v>
      </c>
      <c r="C69" s="439" t="s">
        <v>24</v>
      </c>
      <c r="D69" s="539" t="s">
        <v>130</v>
      </c>
      <c r="E69" s="539" t="s">
        <v>6</v>
      </c>
      <c r="F69" s="540">
        <v>19431974.879999999</v>
      </c>
      <c r="G69" s="465">
        <f>G70+G72+G74</f>
        <v>21177850</v>
      </c>
      <c r="H69" s="441">
        <f>H70+H72+H74</f>
        <v>13917675.359999999</v>
      </c>
      <c r="I69" s="440">
        <f>I70+I72+I74</f>
        <v>22135496.030000001</v>
      </c>
      <c r="J69" s="465">
        <f>J70+J72+J74</f>
        <v>24287328</v>
      </c>
      <c r="K69" s="465">
        <f>K70+K72+K74</f>
        <v>22806328</v>
      </c>
      <c r="L69" s="436">
        <f t="shared" si="0"/>
        <v>-1481000</v>
      </c>
      <c r="M69" s="498">
        <f t="shared" si="1"/>
        <v>114.68268969701835</v>
      </c>
    </row>
    <row r="70" spans="1:13" ht="84.9" outlineLevel="6" x14ac:dyDescent="0.3">
      <c r="A70" s="438" t="s">
        <v>11</v>
      </c>
      <c r="B70" s="439" t="s">
        <v>500</v>
      </c>
      <c r="C70" s="439" t="s">
        <v>24</v>
      </c>
      <c r="D70" s="539" t="s">
        <v>130</v>
      </c>
      <c r="E70" s="539" t="s">
        <v>12</v>
      </c>
      <c r="F70" s="540">
        <v>9763033.2200000007</v>
      </c>
      <c r="G70" s="465">
        <f>G71</f>
        <v>11340000</v>
      </c>
      <c r="H70" s="370">
        <v>8110814.9500000002</v>
      </c>
      <c r="I70" s="440">
        <f>I71</f>
        <v>11334046.030000001</v>
      </c>
      <c r="J70" s="465">
        <f>J71</f>
        <v>11899000</v>
      </c>
      <c r="K70" s="465">
        <f>K71</f>
        <v>11899000</v>
      </c>
      <c r="L70" s="436">
        <f t="shared" si="0"/>
        <v>0</v>
      </c>
      <c r="M70" s="498">
        <f t="shared" si="1"/>
        <v>104.92945326278659</v>
      </c>
    </row>
    <row r="71" spans="1:13" outlineLevel="7" x14ac:dyDescent="0.3">
      <c r="A71" s="438" t="s">
        <v>34</v>
      </c>
      <c r="B71" s="439" t="s">
        <v>500</v>
      </c>
      <c r="C71" s="439" t="s">
        <v>24</v>
      </c>
      <c r="D71" s="539" t="s">
        <v>130</v>
      </c>
      <c r="E71" s="539" t="s">
        <v>35</v>
      </c>
      <c r="F71" s="540">
        <v>9763033.2200000007</v>
      </c>
      <c r="G71" s="466">
        <f>[2]потребность!I78+340000</f>
        <v>11340000</v>
      </c>
      <c r="H71" s="370">
        <v>8110814.9500000002</v>
      </c>
      <c r="I71" s="442">
        <f>'[2]прил 12'!F78</f>
        <v>11334046.030000001</v>
      </c>
      <c r="J71" s="466">
        <v>11899000</v>
      </c>
      <c r="K71" s="466">
        <v>11899000</v>
      </c>
      <c r="L71" s="436">
        <f t="shared" si="0"/>
        <v>0</v>
      </c>
      <c r="M71" s="498">
        <f t="shared" si="1"/>
        <v>104.92945326278659</v>
      </c>
    </row>
    <row r="72" spans="1:13" ht="34" outlineLevel="6" x14ac:dyDescent="0.3">
      <c r="A72" s="438" t="s">
        <v>15</v>
      </c>
      <c r="B72" s="439" t="s">
        <v>500</v>
      </c>
      <c r="C72" s="439" t="s">
        <v>24</v>
      </c>
      <c r="D72" s="539" t="s">
        <v>130</v>
      </c>
      <c r="E72" s="539" t="s">
        <v>16</v>
      </c>
      <c r="F72" s="540">
        <v>8912074.9000000004</v>
      </c>
      <c r="G72" s="465">
        <f>G73</f>
        <v>9036400</v>
      </c>
      <c r="H72" s="370">
        <v>5501055.75</v>
      </c>
      <c r="I72" s="440">
        <f>I73</f>
        <v>10000000</v>
      </c>
      <c r="J72" s="465">
        <f>J73</f>
        <v>11619820</v>
      </c>
      <c r="K72" s="465">
        <f>K73</f>
        <v>10138820</v>
      </c>
      <c r="L72" s="436">
        <f t="shared" ref="L72:L135" si="14">K72-J72</f>
        <v>-1481000</v>
      </c>
      <c r="M72" s="498">
        <f t="shared" ref="M72:M135" si="15">J72/G72%</f>
        <v>128.58903988313929</v>
      </c>
    </row>
    <row r="73" spans="1:13" ht="21.25" customHeight="1" outlineLevel="7" x14ac:dyDescent="0.3">
      <c r="A73" s="438" t="s">
        <v>17</v>
      </c>
      <c r="B73" s="439" t="s">
        <v>500</v>
      </c>
      <c r="C73" s="439" t="s">
        <v>24</v>
      </c>
      <c r="D73" s="539" t="s">
        <v>130</v>
      </c>
      <c r="E73" s="539" t="s">
        <v>18</v>
      </c>
      <c r="F73" s="540">
        <v>8912074.9000000004</v>
      </c>
      <c r="G73" s="466">
        <f>[2]потребность!I80+36400</f>
        <v>9036400</v>
      </c>
      <c r="H73" s="370">
        <v>5501055.75</v>
      </c>
      <c r="I73" s="442">
        <f>'[2]прил 12'!F80</f>
        <v>10000000</v>
      </c>
      <c r="J73" s="465">
        <v>11619820</v>
      </c>
      <c r="K73" s="511">
        <f>J73-1481000</f>
        <v>10138820</v>
      </c>
      <c r="L73" s="436">
        <f t="shared" si="14"/>
        <v>-1481000</v>
      </c>
      <c r="M73" s="498">
        <f t="shared" si="15"/>
        <v>128.58903988313929</v>
      </c>
    </row>
    <row r="74" spans="1:13" outlineLevel="6" x14ac:dyDescent="0.3">
      <c r="A74" s="438" t="s">
        <v>19</v>
      </c>
      <c r="B74" s="439" t="s">
        <v>500</v>
      </c>
      <c r="C74" s="439" t="s">
        <v>24</v>
      </c>
      <c r="D74" s="539" t="s">
        <v>130</v>
      </c>
      <c r="E74" s="539" t="s">
        <v>20</v>
      </c>
      <c r="F74" s="540">
        <v>756866.76</v>
      </c>
      <c r="G74" s="465">
        <f>G75</f>
        <v>801450</v>
      </c>
      <c r="H74" s="370">
        <v>305804.65999999997</v>
      </c>
      <c r="I74" s="440">
        <f>I75</f>
        <v>801450</v>
      </c>
      <c r="J74" s="466">
        <v>768508</v>
      </c>
      <c r="K74" s="466">
        <v>768508</v>
      </c>
      <c r="L74" s="436">
        <f t="shared" si="14"/>
        <v>0</v>
      </c>
      <c r="M74" s="498">
        <f t="shared" si="15"/>
        <v>95.889699918896994</v>
      </c>
    </row>
    <row r="75" spans="1:13" outlineLevel="7" x14ac:dyDescent="0.3">
      <c r="A75" s="438" t="s">
        <v>21</v>
      </c>
      <c r="B75" s="439" t="s">
        <v>500</v>
      </c>
      <c r="C75" s="439" t="s">
        <v>24</v>
      </c>
      <c r="D75" s="539" t="s">
        <v>130</v>
      </c>
      <c r="E75" s="539" t="s">
        <v>22</v>
      </c>
      <c r="F75" s="543">
        <v>756866.76</v>
      </c>
      <c r="G75" s="466">
        <v>801450</v>
      </c>
      <c r="H75" s="370">
        <v>305804.65999999997</v>
      </c>
      <c r="I75" s="442">
        <f>'[2]прил 12'!F82</f>
        <v>801450</v>
      </c>
      <c r="J75" s="466">
        <v>768508</v>
      </c>
      <c r="K75" s="466">
        <v>768508</v>
      </c>
      <c r="L75" s="436">
        <f t="shared" si="14"/>
        <v>0</v>
      </c>
      <c r="M75" s="498">
        <f t="shared" si="15"/>
        <v>95.889699918896994</v>
      </c>
    </row>
    <row r="76" spans="1:13" ht="17.5" customHeight="1" outlineLevel="7" x14ac:dyDescent="0.3">
      <c r="A76" s="438" t="s">
        <v>748</v>
      </c>
      <c r="B76" s="439" t="s">
        <v>500</v>
      </c>
      <c r="C76" s="439" t="s">
        <v>24</v>
      </c>
      <c r="D76" s="539" t="s">
        <v>692</v>
      </c>
      <c r="E76" s="539" t="s">
        <v>6</v>
      </c>
      <c r="F76" s="540">
        <v>2692560</v>
      </c>
      <c r="G76" s="465">
        <f>G77+G80</f>
        <v>1451100</v>
      </c>
      <c r="H76" s="441">
        <f>H77+H80</f>
        <v>845446.17</v>
      </c>
      <c r="I76" s="440">
        <f>I77+I80</f>
        <v>2100000</v>
      </c>
      <c r="J76" s="465">
        <f>J77+J80</f>
        <v>1451100</v>
      </c>
      <c r="K76" s="465">
        <f>K77+K80</f>
        <v>1451100</v>
      </c>
      <c r="L76" s="436">
        <f t="shared" si="14"/>
        <v>0</v>
      </c>
      <c r="M76" s="498">
        <f t="shared" si="15"/>
        <v>100</v>
      </c>
    </row>
    <row r="77" spans="1:13" ht="34" hidden="1" outlineLevel="7" x14ac:dyDescent="0.3">
      <c r="A77" s="397" t="s">
        <v>717</v>
      </c>
      <c r="B77" s="439" t="s">
        <v>500</v>
      </c>
      <c r="C77" s="439" t="s">
        <v>24</v>
      </c>
      <c r="D77" s="539" t="s">
        <v>691</v>
      </c>
      <c r="E77" s="539" t="s">
        <v>6</v>
      </c>
      <c r="F77" s="540">
        <v>1601460</v>
      </c>
      <c r="G77" s="465">
        <f t="shared" ref="G77:K78" si="16">G78</f>
        <v>0</v>
      </c>
      <c r="H77" s="441">
        <f t="shared" si="16"/>
        <v>0</v>
      </c>
      <c r="I77" s="440">
        <f t="shared" si="16"/>
        <v>500000</v>
      </c>
      <c r="J77" s="465">
        <f t="shared" si="16"/>
        <v>0</v>
      </c>
      <c r="K77" s="465">
        <f t="shared" si="16"/>
        <v>0</v>
      </c>
      <c r="L77" s="436">
        <f t="shared" si="14"/>
        <v>0</v>
      </c>
      <c r="M77" s="498"/>
    </row>
    <row r="78" spans="1:13" ht="34" hidden="1" outlineLevel="7" x14ac:dyDescent="0.3">
      <c r="A78" s="438" t="s">
        <v>15</v>
      </c>
      <c r="B78" s="439" t="s">
        <v>500</v>
      </c>
      <c r="C78" s="439" t="s">
        <v>24</v>
      </c>
      <c r="D78" s="539" t="s">
        <v>691</v>
      </c>
      <c r="E78" s="539" t="s">
        <v>16</v>
      </c>
      <c r="F78" s="540">
        <v>1601460</v>
      </c>
      <c r="G78" s="465">
        <f t="shared" si="16"/>
        <v>0</v>
      </c>
      <c r="H78" s="441">
        <f t="shared" si="16"/>
        <v>0</v>
      </c>
      <c r="I78" s="440">
        <f t="shared" si="16"/>
        <v>500000</v>
      </c>
      <c r="J78" s="465">
        <f t="shared" si="16"/>
        <v>0</v>
      </c>
      <c r="K78" s="465">
        <f t="shared" si="16"/>
        <v>0</v>
      </c>
      <c r="L78" s="436">
        <f t="shared" si="14"/>
        <v>0</v>
      </c>
      <c r="M78" s="498"/>
    </row>
    <row r="79" spans="1:13" ht="34" hidden="1" outlineLevel="7" x14ac:dyDescent="0.3">
      <c r="A79" s="438" t="s">
        <v>17</v>
      </c>
      <c r="B79" s="439" t="s">
        <v>500</v>
      </c>
      <c r="C79" s="439" t="s">
        <v>24</v>
      </c>
      <c r="D79" s="539" t="s">
        <v>691</v>
      </c>
      <c r="E79" s="539" t="s">
        <v>18</v>
      </c>
      <c r="F79" s="540">
        <v>1601460</v>
      </c>
      <c r="G79" s="466">
        <v>0</v>
      </c>
      <c r="H79" s="443">
        <v>0</v>
      </c>
      <c r="I79" s="442">
        <f>'[2]прил 12'!F86</f>
        <v>500000</v>
      </c>
      <c r="J79" s="466">
        <v>0</v>
      </c>
      <c r="K79" s="466">
        <v>0</v>
      </c>
      <c r="L79" s="436">
        <f t="shared" si="14"/>
        <v>0</v>
      </c>
      <c r="M79" s="498"/>
    </row>
    <row r="80" spans="1:13" ht="34" outlineLevel="7" x14ac:dyDescent="0.3">
      <c r="A80" s="438" t="s">
        <v>690</v>
      </c>
      <c r="B80" s="439" t="s">
        <v>500</v>
      </c>
      <c r="C80" s="439" t="s">
        <v>24</v>
      </c>
      <c r="D80" s="539" t="s">
        <v>689</v>
      </c>
      <c r="E80" s="539" t="s">
        <v>6</v>
      </c>
      <c r="F80" s="540">
        <v>1091100</v>
      </c>
      <c r="G80" s="465">
        <f>G83+G81</f>
        <v>1451100</v>
      </c>
      <c r="H80" s="441">
        <f>H83+H81</f>
        <v>845446.17</v>
      </c>
      <c r="I80" s="440">
        <f>I83+I81</f>
        <v>1600000</v>
      </c>
      <c r="J80" s="465">
        <f>J83+J81</f>
        <v>1451100</v>
      </c>
      <c r="K80" s="465">
        <f>K83+K81</f>
        <v>1451100</v>
      </c>
      <c r="L80" s="436">
        <f t="shared" si="14"/>
        <v>0</v>
      </c>
      <c r="M80" s="498">
        <f t="shared" si="15"/>
        <v>100</v>
      </c>
    </row>
    <row r="81" spans="1:13" ht="84.9" outlineLevel="7" x14ac:dyDescent="0.3">
      <c r="A81" s="438" t="s">
        <v>11</v>
      </c>
      <c r="B81" s="439" t="s">
        <v>500</v>
      </c>
      <c r="C81" s="439" t="s">
        <v>24</v>
      </c>
      <c r="D81" s="539" t="s">
        <v>689</v>
      </c>
      <c r="E81" s="539" t="s">
        <v>12</v>
      </c>
      <c r="F81" s="540">
        <v>29000</v>
      </c>
      <c r="G81" s="465">
        <f>G82</f>
        <v>116000</v>
      </c>
      <c r="H81" s="370">
        <v>58000</v>
      </c>
      <c r="I81" s="440">
        <v>0</v>
      </c>
      <c r="J81" s="465">
        <f>J82</f>
        <v>116000</v>
      </c>
      <c r="K81" s="465">
        <f>K82</f>
        <v>116000</v>
      </c>
      <c r="L81" s="436">
        <f t="shared" si="14"/>
        <v>0</v>
      </c>
      <c r="M81" s="498">
        <f t="shared" si="15"/>
        <v>100</v>
      </c>
    </row>
    <row r="82" spans="1:13" ht="34" outlineLevel="7" x14ac:dyDescent="0.3">
      <c r="A82" s="438" t="s">
        <v>13</v>
      </c>
      <c r="B82" s="439" t="s">
        <v>500</v>
      </c>
      <c r="C82" s="439" t="s">
        <v>24</v>
      </c>
      <c r="D82" s="539" t="s">
        <v>689</v>
      </c>
      <c r="E82" s="539" t="s">
        <v>14</v>
      </c>
      <c r="F82" s="540">
        <v>29000</v>
      </c>
      <c r="G82" s="465">
        <v>116000</v>
      </c>
      <c r="H82" s="370">
        <v>58000</v>
      </c>
      <c r="I82" s="440">
        <v>0</v>
      </c>
      <c r="J82" s="465">
        <v>116000</v>
      </c>
      <c r="K82" s="465">
        <v>116000</v>
      </c>
      <c r="L82" s="436">
        <f t="shared" si="14"/>
        <v>0</v>
      </c>
      <c r="M82" s="498">
        <f t="shared" si="15"/>
        <v>100</v>
      </c>
    </row>
    <row r="83" spans="1:13" ht="34" outlineLevel="7" x14ac:dyDescent="0.3">
      <c r="A83" s="438" t="s">
        <v>15</v>
      </c>
      <c r="B83" s="439" t="s">
        <v>500</v>
      </c>
      <c r="C83" s="439" t="s">
        <v>24</v>
      </c>
      <c r="D83" s="539" t="s">
        <v>689</v>
      </c>
      <c r="E83" s="539" t="s">
        <v>16</v>
      </c>
      <c r="F83" s="540">
        <v>1062100</v>
      </c>
      <c r="G83" s="465">
        <f>G84</f>
        <v>1335100</v>
      </c>
      <c r="H83" s="370">
        <v>787446.17</v>
      </c>
      <c r="I83" s="440">
        <f>I84</f>
        <v>1600000</v>
      </c>
      <c r="J83" s="465">
        <f>J84</f>
        <v>1335100</v>
      </c>
      <c r="K83" s="465">
        <f>K84</f>
        <v>1335100</v>
      </c>
      <c r="L83" s="436">
        <f t="shared" si="14"/>
        <v>0</v>
      </c>
      <c r="M83" s="498">
        <f t="shared" si="15"/>
        <v>100</v>
      </c>
    </row>
    <row r="84" spans="1:13" ht="34" outlineLevel="7" x14ac:dyDescent="0.3">
      <c r="A84" s="438" t="s">
        <v>17</v>
      </c>
      <c r="B84" s="439" t="s">
        <v>500</v>
      </c>
      <c r="C84" s="439" t="s">
        <v>24</v>
      </c>
      <c r="D84" s="539" t="s">
        <v>689</v>
      </c>
      <c r="E84" s="539" t="s">
        <v>18</v>
      </c>
      <c r="F84" s="540">
        <v>1062100</v>
      </c>
      <c r="G84" s="466">
        <f>1451100-116000</f>
        <v>1335100</v>
      </c>
      <c r="H84" s="370">
        <v>787446.17</v>
      </c>
      <c r="I84" s="442">
        <f>'[2]прил 12'!F89</f>
        <v>1600000</v>
      </c>
      <c r="J84" s="466">
        <v>1335100</v>
      </c>
      <c r="K84" s="466">
        <v>1335100</v>
      </c>
      <c r="L84" s="436">
        <f t="shared" si="14"/>
        <v>0</v>
      </c>
      <c r="M84" s="498">
        <f t="shared" si="15"/>
        <v>100</v>
      </c>
    </row>
    <row r="85" spans="1:13" s="449" customFormat="1" ht="34" outlineLevel="7" x14ac:dyDescent="0.3">
      <c r="A85" s="444" t="s">
        <v>852</v>
      </c>
      <c r="B85" s="445" t="s">
        <v>500</v>
      </c>
      <c r="C85" s="445" t="s">
        <v>24</v>
      </c>
      <c r="D85" s="541" t="s">
        <v>131</v>
      </c>
      <c r="E85" s="541" t="s">
        <v>6</v>
      </c>
      <c r="F85" s="542">
        <v>64753.57</v>
      </c>
      <c r="G85" s="508">
        <f t="shared" ref="G85:K88" si="17">G86</f>
        <v>50000</v>
      </c>
      <c r="H85" s="446">
        <f t="shared" si="17"/>
        <v>49993.440000000002</v>
      </c>
      <c r="I85" s="446">
        <f t="shared" si="17"/>
        <v>50000</v>
      </c>
      <c r="J85" s="508">
        <f t="shared" si="17"/>
        <v>50000</v>
      </c>
      <c r="K85" s="508">
        <f t="shared" si="17"/>
        <v>50000</v>
      </c>
      <c r="L85" s="436">
        <f t="shared" si="14"/>
        <v>0</v>
      </c>
      <c r="M85" s="498">
        <f t="shared" si="15"/>
        <v>100</v>
      </c>
    </row>
    <row r="86" spans="1:13" outlineLevel="7" x14ac:dyDescent="0.3">
      <c r="A86" s="438" t="s">
        <v>324</v>
      </c>
      <c r="B86" s="439" t="s">
        <v>500</v>
      </c>
      <c r="C86" s="439" t="s">
        <v>24</v>
      </c>
      <c r="D86" s="539" t="s">
        <v>233</v>
      </c>
      <c r="E86" s="539" t="s">
        <v>6</v>
      </c>
      <c r="F86" s="540">
        <v>64753.57</v>
      </c>
      <c r="G86" s="465">
        <f t="shared" si="17"/>
        <v>50000</v>
      </c>
      <c r="H86" s="440">
        <f t="shared" si="17"/>
        <v>49993.440000000002</v>
      </c>
      <c r="I86" s="440">
        <f t="shared" si="17"/>
        <v>50000</v>
      </c>
      <c r="J86" s="465">
        <f t="shared" si="17"/>
        <v>50000</v>
      </c>
      <c r="K86" s="465">
        <f t="shared" si="17"/>
        <v>50000</v>
      </c>
      <c r="L86" s="436">
        <f t="shared" si="14"/>
        <v>0</v>
      </c>
      <c r="M86" s="498">
        <f t="shared" si="15"/>
        <v>100</v>
      </c>
    </row>
    <row r="87" spans="1:13" ht="34" outlineLevel="7" x14ac:dyDescent="0.3">
      <c r="A87" s="438" t="s">
        <v>325</v>
      </c>
      <c r="B87" s="439" t="s">
        <v>500</v>
      </c>
      <c r="C87" s="439" t="s">
        <v>24</v>
      </c>
      <c r="D87" s="539" t="s">
        <v>326</v>
      </c>
      <c r="E87" s="539" t="s">
        <v>6</v>
      </c>
      <c r="F87" s="540">
        <v>64753.57</v>
      </c>
      <c r="G87" s="465">
        <f t="shared" si="17"/>
        <v>50000</v>
      </c>
      <c r="H87" s="440">
        <f t="shared" si="17"/>
        <v>49993.440000000002</v>
      </c>
      <c r="I87" s="440">
        <f t="shared" si="17"/>
        <v>50000</v>
      </c>
      <c r="J87" s="465">
        <f t="shared" si="17"/>
        <v>50000</v>
      </c>
      <c r="K87" s="465">
        <f t="shared" si="17"/>
        <v>50000</v>
      </c>
      <c r="L87" s="436">
        <f t="shared" si="14"/>
        <v>0</v>
      </c>
      <c r="M87" s="498">
        <f t="shared" si="15"/>
        <v>100</v>
      </c>
    </row>
    <row r="88" spans="1:13" ht="34" outlineLevel="7" x14ac:dyDescent="0.3">
      <c r="A88" s="438" t="s">
        <v>15</v>
      </c>
      <c r="B88" s="439" t="s">
        <v>500</v>
      </c>
      <c r="C88" s="439" t="s">
        <v>24</v>
      </c>
      <c r="D88" s="539" t="s">
        <v>326</v>
      </c>
      <c r="E88" s="539" t="s">
        <v>16</v>
      </c>
      <c r="F88" s="540">
        <v>64753.57</v>
      </c>
      <c r="G88" s="465">
        <f t="shared" si="17"/>
        <v>50000</v>
      </c>
      <c r="H88" s="370">
        <v>49993.440000000002</v>
      </c>
      <c r="I88" s="440">
        <f t="shared" si="17"/>
        <v>50000</v>
      </c>
      <c r="J88" s="465">
        <f t="shared" si="17"/>
        <v>50000</v>
      </c>
      <c r="K88" s="465">
        <f t="shared" si="17"/>
        <v>50000</v>
      </c>
      <c r="L88" s="436">
        <f t="shared" si="14"/>
        <v>0</v>
      </c>
      <c r="M88" s="498">
        <f t="shared" si="15"/>
        <v>100</v>
      </c>
    </row>
    <row r="89" spans="1:13" ht="21.25" customHeight="1" outlineLevel="7" x14ac:dyDescent="0.3">
      <c r="A89" s="438" t="s">
        <v>17</v>
      </c>
      <c r="B89" s="439" t="s">
        <v>500</v>
      </c>
      <c r="C89" s="439" t="s">
        <v>24</v>
      </c>
      <c r="D89" s="539" t="s">
        <v>326</v>
      </c>
      <c r="E89" s="539" t="s">
        <v>18</v>
      </c>
      <c r="F89" s="540">
        <v>64753.57</v>
      </c>
      <c r="G89" s="466">
        <v>50000</v>
      </c>
      <c r="H89" s="370">
        <v>49993.440000000002</v>
      </c>
      <c r="I89" s="442">
        <f>'[2]прил 12'!F94</f>
        <v>50000</v>
      </c>
      <c r="J89" s="466">
        <f>'[2]прил 12'!G94</f>
        <v>50000</v>
      </c>
      <c r="K89" s="466">
        <v>50000</v>
      </c>
      <c r="L89" s="436">
        <f t="shared" si="14"/>
        <v>0</v>
      </c>
      <c r="M89" s="498">
        <f t="shared" si="15"/>
        <v>100</v>
      </c>
    </row>
    <row r="90" spans="1:13" s="449" customFormat="1" ht="38.25" customHeight="1" outlineLevel="7" x14ac:dyDescent="0.3">
      <c r="A90" s="444" t="s">
        <v>829</v>
      </c>
      <c r="B90" s="445" t="s">
        <v>500</v>
      </c>
      <c r="C90" s="445" t="s">
        <v>24</v>
      </c>
      <c r="D90" s="541" t="s">
        <v>317</v>
      </c>
      <c r="E90" s="541" t="s">
        <v>6</v>
      </c>
      <c r="F90" s="542">
        <v>1741444.5</v>
      </c>
      <c r="G90" s="508">
        <f>G91</f>
        <v>2144838</v>
      </c>
      <c r="H90" s="447">
        <f>H91</f>
        <v>1516751.94</v>
      </c>
      <c r="I90" s="446">
        <f>I91</f>
        <v>1544157.5</v>
      </c>
      <c r="J90" s="508">
        <f>J91</f>
        <v>6596010</v>
      </c>
      <c r="K90" s="508">
        <f>K91</f>
        <v>1291402</v>
      </c>
      <c r="L90" s="436">
        <f t="shared" si="14"/>
        <v>-5304608</v>
      </c>
      <c r="M90" s="498">
        <f t="shared" si="15"/>
        <v>307.52951971197825</v>
      </c>
    </row>
    <row r="91" spans="1:13" ht="21.25" customHeight="1" outlineLevel="7" x14ac:dyDescent="0.3">
      <c r="A91" s="450" t="s">
        <v>327</v>
      </c>
      <c r="B91" s="439" t="s">
        <v>500</v>
      </c>
      <c r="C91" s="439" t="s">
        <v>24</v>
      </c>
      <c r="D91" s="539" t="s">
        <v>318</v>
      </c>
      <c r="E91" s="539" t="s">
        <v>6</v>
      </c>
      <c r="F91" s="540">
        <v>1741444.5</v>
      </c>
      <c r="G91" s="465">
        <f>G92+G95</f>
        <v>2144838</v>
      </c>
      <c r="H91" s="441">
        <f>H92+H95</f>
        <v>1516751.94</v>
      </c>
      <c r="I91" s="440">
        <f>I92+I95</f>
        <v>1544157.5</v>
      </c>
      <c r="J91" s="465">
        <f>J92+J95</f>
        <v>6596010</v>
      </c>
      <c r="K91" s="465">
        <f>K92+K95</f>
        <v>1291402</v>
      </c>
      <c r="L91" s="436">
        <f t="shared" si="14"/>
        <v>-5304608</v>
      </c>
      <c r="M91" s="498">
        <f t="shared" si="15"/>
        <v>307.52951971197825</v>
      </c>
    </row>
    <row r="92" spans="1:13" ht="37.549999999999997" customHeight="1" outlineLevel="7" x14ac:dyDescent="0.3">
      <c r="A92" s="450" t="s">
        <v>328</v>
      </c>
      <c r="B92" s="439" t="s">
        <v>500</v>
      </c>
      <c r="C92" s="439" t="s">
        <v>24</v>
      </c>
      <c r="D92" s="539" t="s">
        <v>329</v>
      </c>
      <c r="E92" s="539" t="s">
        <v>6</v>
      </c>
      <c r="F92" s="540">
        <v>1700874.5</v>
      </c>
      <c r="G92" s="465">
        <f t="shared" ref="G92:K93" si="18">G93</f>
        <v>2100680.5</v>
      </c>
      <c r="H92" s="441">
        <f t="shared" si="18"/>
        <v>1496951.94</v>
      </c>
      <c r="I92" s="440">
        <f t="shared" si="18"/>
        <v>1500000</v>
      </c>
      <c r="J92" s="465">
        <f t="shared" si="18"/>
        <v>6550080</v>
      </c>
      <c r="K92" s="465">
        <f t="shared" si="18"/>
        <v>1245472</v>
      </c>
      <c r="L92" s="436">
        <f t="shared" si="14"/>
        <v>-5304608</v>
      </c>
      <c r="M92" s="498">
        <f t="shared" si="15"/>
        <v>311.80753094056899</v>
      </c>
    </row>
    <row r="93" spans="1:13" ht="34" outlineLevel="7" x14ac:dyDescent="0.3">
      <c r="A93" s="438" t="s">
        <v>15</v>
      </c>
      <c r="B93" s="439" t="s">
        <v>500</v>
      </c>
      <c r="C93" s="439" t="s">
        <v>24</v>
      </c>
      <c r="D93" s="539" t="s">
        <v>329</v>
      </c>
      <c r="E93" s="539" t="s">
        <v>16</v>
      </c>
      <c r="F93" s="540">
        <v>1700874.5</v>
      </c>
      <c r="G93" s="465">
        <f t="shared" si="18"/>
        <v>2100680.5</v>
      </c>
      <c r="H93" s="370">
        <v>1496951.94</v>
      </c>
      <c r="I93" s="440">
        <f t="shared" si="18"/>
        <v>1500000</v>
      </c>
      <c r="J93" s="465">
        <f t="shared" si="18"/>
        <v>6550080</v>
      </c>
      <c r="K93" s="465">
        <f t="shared" si="18"/>
        <v>1245472</v>
      </c>
      <c r="L93" s="436">
        <f t="shared" si="14"/>
        <v>-5304608</v>
      </c>
      <c r="M93" s="498">
        <f t="shared" si="15"/>
        <v>311.80753094056899</v>
      </c>
    </row>
    <row r="94" spans="1:13" ht="18.7" customHeight="1" outlineLevel="7" x14ac:dyDescent="0.3">
      <c r="A94" s="438" t="s">
        <v>17</v>
      </c>
      <c r="B94" s="439" t="s">
        <v>500</v>
      </c>
      <c r="C94" s="439" t="s">
        <v>24</v>
      </c>
      <c r="D94" s="539" t="s">
        <v>329</v>
      </c>
      <c r="E94" s="539" t="s">
        <v>18</v>
      </c>
      <c r="F94" s="540">
        <v>1700874.5</v>
      </c>
      <c r="G94" s="466">
        <f>[2]потребность!I99+659300+149040</f>
        <v>2100680.5</v>
      </c>
      <c r="H94" s="370">
        <v>1496951.94</v>
      </c>
      <c r="I94" s="442">
        <f>'[2]прил 12'!F99</f>
        <v>1500000</v>
      </c>
      <c r="J94" s="466">
        <v>6550080</v>
      </c>
      <c r="K94" s="512">
        <f>J94-5304608</f>
        <v>1245472</v>
      </c>
      <c r="L94" s="436">
        <f t="shared" si="14"/>
        <v>-5304608</v>
      </c>
      <c r="M94" s="498">
        <f t="shared" si="15"/>
        <v>311.80753094056899</v>
      </c>
    </row>
    <row r="95" spans="1:13" ht="34" outlineLevel="7" x14ac:dyDescent="0.3">
      <c r="A95" s="450" t="s">
        <v>330</v>
      </c>
      <c r="B95" s="439" t="s">
        <v>500</v>
      </c>
      <c r="C95" s="439" t="s">
        <v>24</v>
      </c>
      <c r="D95" s="539" t="s">
        <v>319</v>
      </c>
      <c r="E95" s="539" t="s">
        <v>6</v>
      </c>
      <c r="F95" s="540">
        <v>40570</v>
      </c>
      <c r="G95" s="465">
        <f t="shared" ref="G95:K96" si="19">G96</f>
        <v>44157.5</v>
      </c>
      <c r="H95" s="440">
        <f t="shared" si="19"/>
        <v>19800</v>
      </c>
      <c r="I95" s="440">
        <f t="shared" si="19"/>
        <v>44157.5</v>
      </c>
      <c r="J95" s="465">
        <f t="shared" si="19"/>
        <v>45930</v>
      </c>
      <c r="K95" s="465">
        <f t="shared" si="19"/>
        <v>45930</v>
      </c>
      <c r="L95" s="436">
        <f t="shared" si="14"/>
        <v>0</v>
      </c>
      <c r="M95" s="498">
        <f t="shared" si="15"/>
        <v>104.01404064994622</v>
      </c>
    </row>
    <row r="96" spans="1:13" ht="34" outlineLevel="7" x14ac:dyDescent="0.3">
      <c r="A96" s="438" t="s">
        <v>15</v>
      </c>
      <c r="B96" s="439" t="s">
        <v>500</v>
      </c>
      <c r="C96" s="439" t="s">
        <v>24</v>
      </c>
      <c r="D96" s="539" t="s">
        <v>319</v>
      </c>
      <c r="E96" s="539" t="s">
        <v>16</v>
      </c>
      <c r="F96" s="540">
        <v>40570</v>
      </c>
      <c r="G96" s="465">
        <f t="shared" si="19"/>
        <v>44157.5</v>
      </c>
      <c r="H96" s="370">
        <v>19800</v>
      </c>
      <c r="I96" s="440">
        <f t="shared" si="19"/>
        <v>44157.5</v>
      </c>
      <c r="J96" s="465">
        <f t="shared" si="19"/>
        <v>45930</v>
      </c>
      <c r="K96" s="465">
        <f t="shared" si="19"/>
        <v>45930</v>
      </c>
      <c r="L96" s="436">
        <f t="shared" si="14"/>
        <v>0</v>
      </c>
      <c r="M96" s="498">
        <f t="shared" si="15"/>
        <v>104.01404064994622</v>
      </c>
    </row>
    <row r="97" spans="1:13" ht="19.55" customHeight="1" outlineLevel="7" x14ac:dyDescent="0.3">
      <c r="A97" s="438" t="s">
        <v>17</v>
      </c>
      <c r="B97" s="439" t="s">
        <v>500</v>
      </c>
      <c r="C97" s="439" t="s">
        <v>24</v>
      </c>
      <c r="D97" s="539" t="s">
        <v>319</v>
      </c>
      <c r="E97" s="539" t="s">
        <v>18</v>
      </c>
      <c r="F97" s="540">
        <v>40570</v>
      </c>
      <c r="G97" s="465">
        <v>44157.5</v>
      </c>
      <c r="H97" s="370">
        <v>19800</v>
      </c>
      <c r="I97" s="440">
        <f>'[2]прил 12'!F102</f>
        <v>44157.5</v>
      </c>
      <c r="J97" s="466">
        <v>45930</v>
      </c>
      <c r="K97" s="466">
        <v>45930</v>
      </c>
      <c r="L97" s="436">
        <f t="shared" si="14"/>
        <v>0</v>
      </c>
      <c r="M97" s="498">
        <f t="shared" si="15"/>
        <v>104.01404064994622</v>
      </c>
    </row>
    <row r="98" spans="1:13" s="449" customFormat="1" ht="50.95" outlineLevel="7" x14ac:dyDescent="0.3">
      <c r="A98" s="444" t="s">
        <v>851</v>
      </c>
      <c r="B98" s="445" t="s">
        <v>500</v>
      </c>
      <c r="C98" s="445" t="s">
        <v>24</v>
      </c>
      <c r="D98" s="541" t="s">
        <v>331</v>
      </c>
      <c r="E98" s="541" t="s">
        <v>6</v>
      </c>
      <c r="F98" s="542">
        <v>4246490.3</v>
      </c>
      <c r="G98" s="508">
        <f t="shared" ref="G98:K99" si="20">G99</f>
        <v>3440000</v>
      </c>
      <c r="H98" s="447">
        <f t="shared" si="20"/>
        <v>2212084.09</v>
      </c>
      <c r="I98" s="446">
        <f t="shared" si="20"/>
        <v>1600000</v>
      </c>
      <c r="J98" s="508">
        <f t="shared" si="20"/>
        <v>3717000</v>
      </c>
      <c r="K98" s="508">
        <f t="shared" si="20"/>
        <v>3185000</v>
      </c>
      <c r="L98" s="436">
        <f t="shared" si="14"/>
        <v>-532000</v>
      </c>
      <c r="M98" s="498">
        <f t="shared" si="15"/>
        <v>108.05232558139535</v>
      </c>
    </row>
    <row r="99" spans="1:13" ht="34" outlineLevel="7" x14ac:dyDescent="0.3">
      <c r="A99" s="438" t="s">
        <v>215</v>
      </c>
      <c r="B99" s="439" t="s">
        <v>500</v>
      </c>
      <c r="C99" s="439" t="s">
        <v>24</v>
      </c>
      <c r="D99" s="539" t="s">
        <v>332</v>
      </c>
      <c r="E99" s="539" t="s">
        <v>6</v>
      </c>
      <c r="F99" s="540">
        <v>4246490.3</v>
      </c>
      <c r="G99" s="465">
        <f t="shared" si="20"/>
        <v>3440000</v>
      </c>
      <c r="H99" s="441">
        <f t="shared" si="20"/>
        <v>2212084.09</v>
      </c>
      <c r="I99" s="440">
        <f t="shared" si="20"/>
        <v>1600000</v>
      </c>
      <c r="J99" s="465">
        <f t="shared" si="20"/>
        <v>3717000</v>
      </c>
      <c r="K99" s="465">
        <f t="shared" si="20"/>
        <v>3185000</v>
      </c>
      <c r="L99" s="436">
        <f t="shared" si="14"/>
        <v>-532000</v>
      </c>
      <c r="M99" s="498">
        <f t="shared" si="15"/>
        <v>108.05232558139535</v>
      </c>
    </row>
    <row r="100" spans="1:13" ht="50.95" outlineLevel="5" x14ac:dyDescent="0.3">
      <c r="A100" s="438" t="s">
        <v>32</v>
      </c>
      <c r="B100" s="439" t="s">
        <v>500</v>
      </c>
      <c r="C100" s="439" t="s">
        <v>24</v>
      </c>
      <c r="D100" s="539" t="s">
        <v>333</v>
      </c>
      <c r="E100" s="539" t="s">
        <v>6</v>
      </c>
      <c r="F100" s="540">
        <v>4246490.3</v>
      </c>
      <c r="G100" s="465">
        <f>G101+G103</f>
        <v>3440000</v>
      </c>
      <c r="H100" s="441">
        <f>H101+H103</f>
        <v>2212084.09</v>
      </c>
      <c r="I100" s="440">
        <f>I101+I103</f>
        <v>1600000</v>
      </c>
      <c r="J100" s="465">
        <f>J101+J103</f>
        <v>3717000</v>
      </c>
      <c r="K100" s="465">
        <f>K101+K103</f>
        <v>3185000</v>
      </c>
      <c r="L100" s="436">
        <f t="shared" si="14"/>
        <v>-532000</v>
      </c>
      <c r="M100" s="498">
        <f t="shared" si="15"/>
        <v>108.05232558139535</v>
      </c>
    </row>
    <row r="101" spans="1:13" ht="34" outlineLevel="6" x14ac:dyDescent="0.3">
      <c r="A101" s="438" t="s">
        <v>15</v>
      </c>
      <c r="B101" s="439" t="s">
        <v>500</v>
      </c>
      <c r="C101" s="439" t="s">
        <v>24</v>
      </c>
      <c r="D101" s="539" t="s">
        <v>333</v>
      </c>
      <c r="E101" s="539" t="s">
        <v>16</v>
      </c>
      <c r="F101" s="540">
        <v>4146490.3</v>
      </c>
      <c r="G101" s="465">
        <f>G102</f>
        <v>3300000</v>
      </c>
      <c r="H101" s="367">
        <v>2212084.09</v>
      </c>
      <c r="I101" s="440">
        <f>I102</f>
        <v>1460000</v>
      </c>
      <c r="J101" s="465">
        <f>J102</f>
        <v>3577000</v>
      </c>
      <c r="K101" s="465">
        <f>K102</f>
        <v>3045000</v>
      </c>
      <c r="L101" s="436">
        <f t="shared" si="14"/>
        <v>-532000</v>
      </c>
      <c r="M101" s="498">
        <f t="shared" si="15"/>
        <v>108.39393939393939</v>
      </c>
    </row>
    <row r="102" spans="1:13" ht="20.25" customHeight="1" outlineLevel="7" x14ac:dyDescent="0.3">
      <c r="A102" s="438" t="s">
        <v>17</v>
      </c>
      <c r="B102" s="439" t="s">
        <v>500</v>
      </c>
      <c r="C102" s="439" t="s">
        <v>24</v>
      </c>
      <c r="D102" s="539" t="s">
        <v>333</v>
      </c>
      <c r="E102" s="539" t="s">
        <v>18</v>
      </c>
      <c r="F102" s="540">
        <v>4146490.3</v>
      </c>
      <c r="G102" s="465">
        <f>2460000+315000+220000+305000</f>
        <v>3300000</v>
      </c>
      <c r="H102" s="367">
        <v>2212084.09</v>
      </c>
      <c r="I102" s="440">
        <f>'[2]прил 12'!F107</f>
        <v>1460000</v>
      </c>
      <c r="J102" s="466">
        <v>3577000</v>
      </c>
      <c r="K102" s="466">
        <f>3577000-532000</f>
        <v>3045000</v>
      </c>
      <c r="L102" s="436">
        <f t="shared" si="14"/>
        <v>-532000</v>
      </c>
      <c r="M102" s="498">
        <f t="shared" si="15"/>
        <v>108.39393939393939</v>
      </c>
    </row>
    <row r="103" spans="1:13" outlineLevel="6" x14ac:dyDescent="0.3">
      <c r="A103" s="438" t="s">
        <v>19</v>
      </c>
      <c r="B103" s="439" t="s">
        <v>500</v>
      </c>
      <c r="C103" s="439" t="s">
        <v>24</v>
      </c>
      <c r="D103" s="539" t="s">
        <v>333</v>
      </c>
      <c r="E103" s="539" t="s">
        <v>20</v>
      </c>
      <c r="F103" s="540">
        <v>100000</v>
      </c>
      <c r="G103" s="465">
        <f>G104</f>
        <v>140000</v>
      </c>
      <c r="H103" s="441">
        <v>0</v>
      </c>
      <c r="I103" s="440">
        <f>I104</f>
        <v>140000</v>
      </c>
      <c r="J103" s="465">
        <f>J104</f>
        <v>140000</v>
      </c>
      <c r="K103" s="465">
        <f>K104</f>
        <v>140000</v>
      </c>
      <c r="L103" s="436">
        <f t="shared" si="14"/>
        <v>0</v>
      </c>
      <c r="M103" s="498">
        <f t="shared" si="15"/>
        <v>100</v>
      </c>
    </row>
    <row r="104" spans="1:13" outlineLevel="7" x14ac:dyDescent="0.3">
      <c r="A104" s="438" t="s">
        <v>21</v>
      </c>
      <c r="B104" s="439" t="s">
        <v>500</v>
      </c>
      <c r="C104" s="439" t="s">
        <v>24</v>
      </c>
      <c r="D104" s="539" t="s">
        <v>333</v>
      </c>
      <c r="E104" s="539" t="s">
        <v>22</v>
      </c>
      <c r="F104" s="540">
        <v>100000</v>
      </c>
      <c r="G104" s="466">
        <v>140000</v>
      </c>
      <c r="H104" s="443">
        <v>0</v>
      </c>
      <c r="I104" s="442">
        <f>'[2]прил 12'!F109</f>
        <v>140000</v>
      </c>
      <c r="J104" s="466">
        <f>'[2]прил 12'!G109</f>
        <v>140000</v>
      </c>
      <c r="K104" s="466">
        <v>140000</v>
      </c>
      <c r="L104" s="436">
        <f t="shared" si="14"/>
        <v>0</v>
      </c>
      <c r="M104" s="498">
        <f t="shared" si="15"/>
        <v>100</v>
      </c>
    </row>
    <row r="105" spans="1:13" ht="50.95" outlineLevel="7" x14ac:dyDescent="0.3">
      <c r="A105" s="444" t="s">
        <v>950</v>
      </c>
      <c r="B105" s="445" t="s">
        <v>500</v>
      </c>
      <c r="C105" s="445" t="s">
        <v>24</v>
      </c>
      <c r="D105" s="541" t="s">
        <v>952</v>
      </c>
      <c r="E105" s="541" t="s">
        <v>6</v>
      </c>
      <c r="F105" s="541" t="s">
        <v>976</v>
      </c>
      <c r="G105" s="466">
        <f t="shared" ref="G105:K108" si="21">G106</f>
        <v>50000</v>
      </c>
      <c r="H105" s="443"/>
      <c r="I105" s="442">
        <f t="shared" si="21"/>
        <v>0</v>
      </c>
      <c r="J105" s="466">
        <f t="shared" si="21"/>
        <v>100000</v>
      </c>
      <c r="K105" s="466">
        <f t="shared" si="21"/>
        <v>100000</v>
      </c>
      <c r="L105" s="436">
        <f t="shared" si="14"/>
        <v>0</v>
      </c>
      <c r="M105" s="498">
        <f t="shared" si="15"/>
        <v>200</v>
      </c>
    </row>
    <row r="106" spans="1:13" ht="34" outlineLevel="7" x14ac:dyDescent="0.3">
      <c r="A106" s="438" t="s">
        <v>951</v>
      </c>
      <c r="B106" s="439" t="s">
        <v>500</v>
      </c>
      <c r="C106" s="439" t="s">
        <v>24</v>
      </c>
      <c r="D106" s="539" t="s">
        <v>953</v>
      </c>
      <c r="E106" s="539" t="s">
        <v>6</v>
      </c>
      <c r="F106" s="539" t="s">
        <v>976</v>
      </c>
      <c r="G106" s="466">
        <f t="shared" si="21"/>
        <v>50000</v>
      </c>
      <c r="H106" s="443"/>
      <c r="I106" s="442">
        <f t="shared" si="21"/>
        <v>0</v>
      </c>
      <c r="J106" s="466">
        <f t="shared" si="21"/>
        <v>100000</v>
      </c>
      <c r="K106" s="466">
        <f t="shared" si="21"/>
        <v>100000</v>
      </c>
      <c r="L106" s="436">
        <f t="shared" si="14"/>
        <v>0</v>
      </c>
      <c r="M106" s="498">
        <f t="shared" si="15"/>
        <v>200</v>
      </c>
    </row>
    <row r="107" spans="1:13" outlineLevel="7" x14ac:dyDescent="0.3">
      <c r="A107" s="438" t="s">
        <v>322</v>
      </c>
      <c r="B107" s="439" t="s">
        <v>500</v>
      </c>
      <c r="C107" s="439" t="s">
        <v>24</v>
      </c>
      <c r="D107" s="539" t="s">
        <v>954</v>
      </c>
      <c r="E107" s="539" t="s">
        <v>6</v>
      </c>
      <c r="F107" s="539" t="s">
        <v>976</v>
      </c>
      <c r="G107" s="466">
        <f t="shared" si="21"/>
        <v>50000</v>
      </c>
      <c r="H107" s="443"/>
      <c r="I107" s="442">
        <f t="shared" si="21"/>
        <v>0</v>
      </c>
      <c r="J107" s="466">
        <v>100000</v>
      </c>
      <c r="K107" s="466">
        <v>100000</v>
      </c>
      <c r="L107" s="436">
        <f t="shared" si="14"/>
        <v>0</v>
      </c>
      <c r="M107" s="498">
        <f t="shared" si="15"/>
        <v>200</v>
      </c>
    </row>
    <row r="108" spans="1:13" ht="34" outlineLevel="7" x14ac:dyDescent="0.3">
      <c r="A108" s="438" t="s">
        <v>15</v>
      </c>
      <c r="B108" s="439" t="s">
        <v>500</v>
      </c>
      <c r="C108" s="439" t="s">
        <v>24</v>
      </c>
      <c r="D108" s="539" t="s">
        <v>954</v>
      </c>
      <c r="E108" s="539" t="s">
        <v>16</v>
      </c>
      <c r="F108" s="539" t="s">
        <v>976</v>
      </c>
      <c r="G108" s="466">
        <f t="shared" si="21"/>
        <v>50000</v>
      </c>
      <c r="H108" s="443"/>
      <c r="I108" s="442">
        <f t="shared" si="21"/>
        <v>0</v>
      </c>
      <c r="J108" s="466">
        <f t="shared" si="21"/>
        <v>0</v>
      </c>
      <c r="K108" s="466">
        <f t="shared" si="21"/>
        <v>0</v>
      </c>
      <c r="L108" s="436">
        <f t="shared" si="14"/>
        <v>0</v>
      </c>
      <c r="M108" s="498">
        <f t="shared" si="15"/>
        <v>0</v>
      </c>
    </row>
    <row r="109" spans="1:13" ht="34" outlineLevel="7" x14ac:dyDescent="0.3">
      <c r="A109" s="438" t="s">
        <v>17</v>
      </c>
      <c r="B109" s="439" t="s">
        <v>500</v>
      </c>
      <c r="C109" s="439" t="s">
        <v>24</v>
      </c>
      <c r="D109" s="539" t="s">
        <v>954</v>
      </c>
      <c r="E109" s="539" t="s">
        <v>18</v>
      </c>
      <c r="F109" s="539" t="s">
        <v>976</v>
      </c>
      <c r="G109" s="466">
        <v>50000</v>
      </c>
      <c r="H109" s="443"/>
      <c r="I109" s="442">
        <v>0</v>
      </c>
      <c r="J109" s="466">
        <v>0</v>
      </c>
      <c r="K109" s="466">
        <v>0</v>
      </c>
      <c r="L109" s="436">
        <f t="shared" si="14"/>
        <v>0</v>
      </c>
      <c r="M109" s="498">
        <f t="shared" si="15"/>
        <v>0</v>
      </c>
    </row>
    <row r="110" spans="1:13" ht="34" outlineLevel="3" x14ac:dyDescent="0.3">
      <c r="A110" s="438" t="s">
        <v>132</v>
      </c>
      <c r="B110" s="439" t="s">
        <v>500</v>
      </c>
      <c r="C110" s="439" t="s">
        <v>24</v>
      </c>
      <c r="D110" s="539" t="s">
        <v>127</v>
      </c>
      <c r="E110" s="539" t="s">
        <v>6</v>
      </c>
      <c r="F110" s="540">
        <v>41962737.840000004</v>
      </c>
      <c r="G110" s="465">
        <f>G133+G114+G130+G119+G112</f>
        <v>53163530.329999998</v>
      </c>
      <c r="H110" s="441">
        <f>H133+H114+H130+H119+H112</f>
        <v>41641519.200000003</v>
      </c>
      <c r="I110" s="440">
        <f>I133+I114+I130+I119+I112</f>
        <v>44296940</v>
      </c>
      <c r="J110" s="465">
        <f>J133+J114+J130+J119+J112</f>
        <v>52936867</v>
      </c>
      <c r="K110" s="465">
        <f>K133+K114+K130+K119+K112</f>
        <v>45236197</v>
      </c>
      <c r="L110" s="436">
        <f t="shared" si="14"/>
        <v>-7700670</v>
      </c>
      <c r="M110" s="498">
        <f t="shared" si="15"/>
        <v>99.573648836725013</v>
      </c>
    </row>
    <row r="111" spans="1:13" ht="91.2" customHeight="1" outlineLevel="3" x14ac:dyDescent="0.3">
      <c r="A111" s="454" t="s">
        <v>941</v>
      </c>
      <c r="B111" s="439" t="s">
        <v>500</v>
      </c>
      <c r="C111" s="439" t="s">
        <v>24</v>
      </c>
      <c r="D111" s="539" t="s">
        <v>942</v>
      </c>
      <c r="E111" s="539" t="s">
        <v>6</v>
      </c>
      <c r="F111" s="539" t="s">
        <v>976</v>
      </c>
      <c r="G111" s="465">
        <f>G112</f>
        <v>570000</v>
      </c>
      <c r="H111" s="440">
        <f>H112</f>
        <v>298793.59999999998</v>
      </c>
      <c r="I111" s="440">
        <v>0</v>
      </c>
      <c r="J111" s="465">
        <v>6500000</v>
      </c>
      <c r="K111" s="465">
        <f>K112</f>
        <v>0</v>
      </c>
      <c r="L111" s="436">
        <f t="shared" si="14"/>
        <v>-6500000</v>
      </c>
      <c r="M111" s="498">
        <f t="shared" si="15"/>
        <v>1140.3508771929824</v>
      </c>
    </row>
    <row r="112" spans="1:13" ht="45.7" customHeight="1" outlineLevel="3" x14ac:dyDescent="0.3">
      <c r="A112" s="438" t="s">
        <v>15</v>
      </c>
      <c r="B112" s="439" t="s">
        <v>500</v>
      </c>
      <c r="C112" s="439" t="s">
        <v>24</v>
      </c>
      <c r="D112" s="539" t="s">
        <v>942</v>
      </c>
      <c r="E112" s="539" t="s">
        <v>16</v>
      </c>
      <c r="F112" s="539" t="s">
        <v>976</v>
      </c>
      <c r="G112" s="465">
        <f>G113</f>
        <v>570000</v>
      </c>
      <c r="H112" s="370">
        <v>298793.59999999998</v>
      </c>
      <c r="I112" s="440">
        <v>0</v>
      </c>
      <c r="J112" s="465">
        <v>6500000</v>
      </c>
      <c r="K112" s="465">
        <f>K113</f>
        <v>0</v>
      </c>
      <c r="L112" s="436">
        <f t="shared" si="14"/>
        <v>-6500000</v>
      </c>
      <c r="M112" s="498">
        <f t="shared" si="15"/>
        <v>1140.3508771929824</v>
      </c>
    </row>
    <row r="113" spans="1:13" ht="45.7" customHeight="1" outlineLevel="3" x14ac:dyDescent="0.3">
      <c r="A113" s="438" t="s">
        <v>17</v>
      </c>
      <c r="B113" s="439" t="s">
        <v>500</v>
      </c>
      <c r="C113" s="439" t="s">
        <v>24</v>
      </c>
      <c r="D113" s="539" t="s">
        <v>942</v>
      </c>
      <c r="E113" s="539" t="s">
        <v>18</v>
      </c>
      <c r="F113" s="539" t="s">
        <v>976</v>
      </c>
      <c r="G113" s="465">
        <v>570000</v>
      </c>
      <c r="H113" s="370">
        <v>298793.59999999998</v>
      </c>
      <c r="I113" s="440">
        <v>0</v>
      </c>
      <c r="J113" s="465">
        <v>6500000</v>
      </c>
      <c r="K113" s="465">
        <v>0</v>
      </c>
      <c r="L113" s="436">
        <f t="shared" si="14"/>
        <v>-6500000</v>
      </c>
      <c r="M113" s="498">
        <f t="shared" si="15"/>
        <v>1140.3508771929824</v>
      </c>
    </row>
    <row r="114" spans="1:13" ht="58.75" customHeight="1" outlineLevel="5" x14ac:dyDescent="0.3">
      <c r="A114" s="438" t="s">
        <v>494</v>
      </c>
      <c r="B114" s="439" t="s">
        <v>500</v>
      </c>
      <c r="C114" s="439" t="s">
        <v>24</v>
      </c>
      <c r="D114" s="539" t="s">
        <v>495</v>
      </c>
      <c r="E114" s="539" t="s">
        <v>6</v>
      </c>
      <c r="F114" s="540">
        <v>33020267.399999999</v>
      </c>
      <c r="G114" s="465">
        <f>G115+G117</f>
        <v>33848058.490000002</v>
      </c>
      <c r="H114" s="441">
        <f>H115+H117</f>
        <v>25868402.309999999</v>
      </c>
      <c r="I114" s="440">
        <f>I115+I117</f>
        <v>36378471</v>
      </c>
      <c r="J114" s="465">
        <f>J115+J117</f>
        <v>38426450</v>
      </c>
      <c r="K114" s="465">
        <f>K115+K117</f>
        <v>37225780</v>
      </c>
      <c r="L114" s="436">
        <f t="shared" si="14"/>
        <v>-1200670</v>
      </c>
      <c r="M114" s="498">
        <f t="shared" si="15"/>
        <v>113.52630465157294</v>
      </c>
    </row>
    <row r="115" spans="1:13" ht="53.15" customHeight="1" outlineLevel="6" x14ac:dyDescent="0.3">
      <c r="A115" s="438" t="s">
        <v>11</v>
      </c>
      <c r="B115" s="439" t="s">
        <v>500</v>
      </c>
      <c r="C115" s="439" t="s">
        <v>24</v>
      </c>
      <c r="D115" s="539" t="s">
        <v>495</v>
      </c>
      <c r="E115" s="539" t="s">
        <v>12</v>
      </c>
      <c r="F115" s="540">
        <v>33020267.399999999</v>
      </c>
      <c r="G115" s="465">
        <f>G116</f>
        <v>33828058.490000002</v>
      </c>
      <c r="H115" s="367">
        <v>25860302.309999999</v>
      </c>
      <c r="I115" s="440">
        <f>I116</f>
        <v>36358471</v>
      </c>
      <c r="J115" s="465">
        <f>J116</f>
        <v>38406450</v>
      </c>
      <c r="K115" s="465">
        <f>K116</f>
        <v>37205780</v>
      </c>
      <c r="L115" s="436">
        <f t="shared" si="14"/>
        <v>-1200670</v>
      </c>
      <c r="M115" s="498">
        <f t="shared" si="15"/>
        <v>113.53430174348738</v>
      </c>
    </row>
    <row r="116" spans="1:13" ht="39.4" customHeight="1" outlineLevel="7" x14ac:dyDescent="0.3">
      <c r="A116" s="438" t="s">
        <v>13</v>
      </c>
      <c r="B116" s="439" t="s">
        <v>500</v>
      </c>
      <c r="C116" s="439" t="s">
        <v>24</v>
      </c>
      <c r="D116" s="539" t="s">
        <v>495</v>
      </c>
      <c r="E116" s="539" t="s">
        <v>14</v>
      </c>
      <c r="F116" s="540">
        <v>33020267.399999999</v>
      </c>
      <c r="G116" s="465">
        <f>[2]потребность!I113-1157082</f>
        <v>33828058.490000002</v>
      </c>
      <c r="H116" s="370">
        <v>25860302.309999999</v>
      </c>
      <c r="I116" s="440">
        <f>'[2]прил 12'!F113</f>
        <v>36358471</v>
      </c>
      <c r="J116" s="466">
        <f>37205780+1200670</f>
        <v>38406450</v>
      </c>
      <c r="K116" s="466">
        <f>37205780+1200670-1200670</f>
        <v>37205780</v>
      </c>
      <c r="L116" s="436">
        <f t="shared" si="14"/>
        <v>-1200670</v>
      </c>
      <c r="M116" s="498">
        <f t="shared" si="15"/>
        <v>113.53430174348738</v>
      </c>
    </row>
    <row r="117" spans="1:13" ht="42.8" customHeight="1" outlineLevel="7" x14ac:dyDescent="0.3">
      <c r="A117" s="438" t="s">
        <v>15</v>
      </c>
      <c r="B117" s="439" t="s">
        <v>500</v>
      </c>
      <c r="C117" s="439" t="s">
        <v>24</v>
      </c>
      <c r="D117" s="539" t="s">
        <v>495</v>
      </c>
      <c r="E117" s="539" t="s">
        <v>16</v>
      </c>
      <c r="F117" s="540">
        <v>0</v>
      </c>
      <c r="G117" s="466">
        <f>G118</f>
        <v>20000</v>
      </c>
      <c r="H117" s="370">
        <v>8100</v>
      </c>
      <c r="I117" s="442">
        <f>I118</f>
        <v>20000</v>
      </c>
      <c r="J117" s="466">
        <f>J118</f>
        <v>20000</v>
      </c>
      <c r="K117" s="466">
        <f>K118</f>
        <v>20000</v>
      </c>
      <c r="L117" s="436">
        <f t="shared" si="14"/>
        <v>0</v>
      </c>
      <c r="M117" s="498">
        <f t="shared" si="15"/>
        <v>100</v>
      </c>
    </row>
    <row r="118" spans="1:13" ht="53.15" customHeight="1" outlineLevel="7" x14ac:dyDescent="0.3">
      <c r="A118" s="438" t="s">
        <v>17</v>
      </c>
      <c r="B118" s="439" t="s">
        <v>500</v>
      </c>
      <c r="C118" s="439" t="s">
        <v>24</v>
      </c>
      <c r="D118" s="539" t="s">
        <v>495</v>
      </c>
      <c r="E118" s="539" t="s">
        <v>18</v>
      </c>
      <c r="F118" s="540">
        <v>0</v>
      </c>
      <c r="G118" s="465">
        <v>20000</v>
      </c>
      <c r="H118" s="370">
        <v>8100</v>
      </c>
      <c r="I118" s="440">
        <f>'[2]прил 12'!F115</f>
        <v>20000</v>
      </c>
      <c r="J118" s="465">
        <f>'[2]прил 12'!G115</f>
        <v>20000</v>
      </c>
      <c r="K118" s="465">
        <v>20000</v>
      </c>
      <c r="L118" s="436">
        <f t="shared" si="14"/>
        <v>0</v>
      </c>
      <c r="M118" s="498">
        <f t="shared" si="15"/>
        <v>100</v>
      </c>
    </row>
    <row r="119" spans="1:13" ht="33.450000000000003" customHeight="1" outlineLevel="7" x14ac:dyDescent="0.3">
      <c r="A119" s="438" t="s">
        <v>688</v>
      </c>
      <c r="B119" s="439" t="s">
        <v>500</v>
      </c>
      <c r="C119" s="439" t="s">
        <v>24</v>
      </c>
      <c r="D119" s="539" t="s">
        <v>686</v>
      </c>
      <c r="E119" s="539" t="s">
        <v>6</v>
      </c>
      <c r="F119" s="540">
        <v>454002.59</v>
      </c>
      <c r="G119" s="465">
        <f>G122+G120</f>
        <v>9824855.6199999992</v>
      </c>
      <c r="H119" s="440">
        <f>H122+H120</f>
        <v>9442891.7400000002</v>
      </c>
      <c r="I119" s="440">
        <f>I120+I122</f>
        <v>150000</v>
      </c>
      <c r="J119" s="465">
        <f>J120+J122</f>
        <v>0</v>
      </c>
      <c r="K119" s="465">
        <f>K120+K122</f>
        <v>0</v>
      </c>
      <c r="L119" s="436">
        <f t="shared" si="14"/>
        <v>0</v>
      </c>
      <c r="M119" s="498">
        <f t="shared" si="15"/>
        <v>0</v>
      </c>
    </row>
    <row r="120" spans="1:13" ht="55.7" customHeight="1" outlineLevel="7" x14ac:dyDescent="0.3">
      <c r="A120" s="438" t="s">
        <v>15</v>
      </c>
      <c r="B120" s="439" t="s">
        <v>500</v>
      </c>
      <c r="C120" s="439" t="s">
        <v>24</v>
      </c>
      <c r="D120" s="539" t="s">
        <v>686</v>
      </c>
      <c r="E120" s="539" t="s">
        <v>16</v>
      </c>
      <c r="F120" s="539" t="s">
        <v>976</v>
      </c>
      <c r="G120" s="465">
        <f>G121</f>
        <v>7162347.4199999999</v>
      </c>
      <c r="H120" s="370">
        <v>6805031.04</v>
      </c>
      <c r="I120" s="440">
        <f>I121</f>
        <v>0</v>
      </c>
      <c r="J120" s="465">
        <f>J121</f>
        <v>0</v>
      </c>
      <c r="K120" s="465">
        <f>K121</f>
        <v>0</v>
      </c>
      <c r="L120" s="436">
        <f t="shared" si="14"/>
        <v>0</v>
      </c>
      <c r="M120" s="498">
        <f t="shared" si="15"/>
        <v>0</v>
      </c>
    </row>
    <row r="121" spans="1:13" ht="44.85" customHeight="1" outlineLevel="7" x14ac:dyDescent="0.3">
      <c r="A121" s="438" t="s">
        <v>17</v>
      </c>
      <c r="B121" s="439" t="s">
        <v>500</v>
      </c>
      <c r="C121" s="439" t="s">
        <v>24</v>
      </c>
      <c r="D121" s="539" t="s">
        <v>686</v>
      </c>
      <c r="E121" s="539" t="s">
        <v>18</v>
      </c>
      <c r="F121" s="539" t="s">
        <v>976</v>
      </c>
      <c r="G121" s="465">
        <f>6135390+465000+392879.31+169078.11</f>
        <v>7162347.4199999999</v>
      </c>
      <c r="H121" s="370">
        <v>6805031.04</v>
      </c>
      <c r="I121" s="440">
        <v>0</v>
      </c>
      <c r="J121" s="465">
        <v>0</v>
      </c>
      <c r="K121" s="465">
        <v>0</v>
      </c>
      <c r="L121" s="436">
        <f t="shared" si="14"/>
        <v>0</v>
      </c>
      <c r="M121" s="498">
        <f t="shared" si="15"/>
        <v>0</v>
      </c>
    </row>
    <row r="122" spans="1:13" ht="47.9" customHeight="1" outlineLevel="7" x14ac:dyDescent="0.3">
      <c r="A122" s="438" t="s">
        <v>19</v>
      </c>
      <c r="B122" s="439" t="s">
        <v>500</v>
      </c>
      <c r="C122" s="439" t="s">
        <v>24</v>
      </c>
      <c r="D122" s="539" t="s">
        <v>686</v>
      </c>
      <c r="E122" s="539" t="s">
        <v>20</v>
      </c>
      <c r="F122" s="540">
        <v>454002.59</v>
      </c>
      <c r="G122" s="465">
        <f>G123+G124</f>
        <v>2662508.1999999997</v>
      </c>
      <c r="H122" s="370">
        <v>2637860.7000000002</v>
      </c>
      <c r="I122" s="440">
        <f>I123+I124</f>
        <v>150000</v>
      </c>
      <c r="J122" s="465">
        <f>J123+J124</f>
        <v>0</v>
      </c>
      <c r="K122" s="465">
        <f>K123+K124</f>
        <v>0</v>
      </c>
      <c r="L122" s="436">
        <f t="shared" si="14"/>
        <v>0</v>
      </c>
      <c r="M122" s="498">
        <f t="shared" si="15"/>
        <v>0</v>
      </c>
    </row>
    <row r="123" spans="1:13" ht="52.3" customHeight="1" outlineLevel="7" x14ac:dyDescent="0.3">
      <c r="A123" s="438" t="s">
        <v>715</v>
      </c>
      <c r="B123" s="439" t="s">
        <v>500</v>
      </c>
      <c r="C123" s="439" t="s">
        <v>24</v>
      </c>
      <c r="D123" s="539" t="s">
        <v>686</v>
      </c>
      <c r="E123" s="544" t="s">
        <v>716</v>
      </c>
      <c r="F123" s="540">
        <v>61000</v>
      </c>
      <c r="G123" s="465">
        <f>2463068.53+60000+61951.78+77487.89</f>
        <v>2662508.1999999997</v>
      </c>
      <c r="H123" s="370">
        <v>2637860.7000000002</v>
      </c>
      <c r="I123" s="440">
        <f>'[2]прил 12'!F118</f>
        <v>0</v>
      </c>
      <c r="J123" s="465">
        <f>'[2]прил 12'!G118</f>
        <v>0</v>
      </c>
      <c r="K123" s="465">
        <f>'[2]прил 12'!H118</f>
        <v>0</v>
      </c>
      <c r="L123" s="436">
        <f t="shared" si="14"/>
        <v>0</v>
      </c>
      <c r="M123" s="498">
        <f t="shared" si="15"/>
        <v>0</v>
      </c>
    </row>
    <row r="124" spans="1:13" ht="57.75" hidden="1" customHeight="1" outlineLevel="7" x14ac:dyDescent="0.3">
      <c r="A124" s="438" t="s">
        <v>687</v>
      </c>
      <c r="B124" s="439" t="s">
        <v>500</v>
      </c>
      <c r="C124" s="439" t="s">
        <v>24</v>
      </c>
      <c r="D124" s="539" t="s">
        <v>686</v>
      </c>
      <c r="E124" s="539" t="s">
        <v>22</v>
      </c>
      <c r="F124" s="540">
        <v>393002.59</v>
      </c>
      <c r="G124" s="465">
        <f>795959.09-525000-270959.09</f>
        <v>0</v>
      </c>
      <c r="H124" s="440">
        <v>0</v>
      </c>
      <c r="I124" s="440">
        <f>'[2]прил 12'!F119</f>
        <v>150000</v>
      </c>
      <c r="J124" s="466">
        <v>0</v>
      </c>
      <c r="K124" s="466">
        <v>0</v>
      </c>
      <c r="L124" s="436">
        <f t="shared" si="14"/>
        <v>0</v>
      </c>
      <c r="M124" s="498"/>
    </row>
    <row r="125" spans="1:13" ht="36" hidden="1" customHeight="1" outlineLevel="7" x14ac:dyDescent="0.3">
      <c r="A125" s="397" t="s">
        <v>600</v>
      </c>
      <c r="B125" s="439" t="s">
        <v>500</v>
      </c>
      <c r="C125" s="439" t="s">
        <v>24</v>
      </c>
      <c r="D125" s="539" t="s">
        <v>601</v>
      </c>
      <c r="E125" s="539" t="s">
        <v>6</v>
      </c>
      <c r="F125" s="540">
        <v>1317671.32</v>
      </c>
      <c r="G125" s="465">
        <f>G126</f>
        <v>0</v>
      </c>
      <c r="H125" s="440">
        <f>H126</f>
        <v>0</v>
      </c>
      <c r="I125" s="440">
        <v>0</v>
      </c>
      <c r="J125" s="465">
        <v>0</v>
      </c>
      <c r="K125" s="465">
        <v>0</v>
      </c>
      <c r="L125" s="436">
        <f t="shared" si="14"/>
        <v>0</v>
      </c>
      <c r="M125" s="498"/>
    </row>
    <row r="126" spans="1:13" ht="18.7" hidden="1" customHeight="1" outlineLevel="7" x14ac:dyDescent="0.3">
      <c r="A126" s="438" t="s">
        <v>15</v>
      </c>
      <c r="B126" s="439" t="s">
        <v>500</v>
      </c>
      <c r="C126" s="439" t="s">
        <v>24</v>
      </c>
      <c r="D126" s="539" t="s">
        <v>601</v>
      </c>
      <c r="E126" s="539" t="s">
        <v>16</v>
      </c>
      <c r="F126" s="540">
        <v>134942.99</v>
      </c>
      <c r="G126" s="465">
        <f>G127</f>
        <v>0</v>
      </c>
      <c r="H126" s="440">
        <f>H127</f>
        <v>0</v>
      </c>
      <c r="I126" s="440">
        <v>0</v>
      </c>
      <c r="J126" s="465">
        <v>0</v>
      </c>
      <c r="K126" s="465">
        <v>0</v>
      </c>
      <c r="L126" s="436">
        <f t="shared" si="14"/>
        <v>0</v>
      </c>
      <c r="M126" s="498"/>
    </row>
    <row r="127" spans="1:13" ht="18.7" hidden="1" customHeight="1" outlineLevel="7" x14ac:dyDescent="0.3">
      <c r="A127" s="438" t="s">
        <v>17</v>
      </c>
      <c r="B127" s="439" t="s">
        <v>500</v>
      </c>
      <c r="C127" s="439" t="s">
        <v>24</v>
      </c>
      <c r="D127" s="539" t="s">
        <v>601</v>
      </c>
      <c r="E127" s="539" t="s">
        <v>18</v>
      </c>
      <c r="F127" s="540">
        <v>134942.99</v>
      </c>
      <c r="G127" s="465">
        <v>0</v>
      </c>
      <c r="H127" s="440">
        <v>0</v>
      </c>
      <c r="I127" s="440">
        <v>0</v>
      </c>
      <c r="J127" s="465">
        <v>0</v>
      </c>
      <c r="K127" s="465">
        <v>0</v>
      </c>
      <c r="L127" s="436">
        <f t="shared" si="14"/>
        <v>0</v>
      </c>
      <c r="M127" s="498"/>
    </row>
    <row r="128" spans="1:13" ht="18.7" hidden="1" customHeight="1" outlineLevel="7" x14ac:dyDescent="0.3">
      <c r="A128" s="438" t="s">
        <v>90</v>
      </c>
      <c r="B128" s="439" t="s">
        <v>500</v>
      </c>
      <c r="C128" s="439" t="s">
        <v>24</v>
      </c>
      <c r="D128" s="539" t="s">
        <v>601</v>
      </c>
      <c r="E128" s="539" t="s">
        <v>91</v>
      </c>
      <c r="F128" s="540">
        <v>1182728.33</v>
      </c>
      <c r="G128" s="465">
        <f>G129</f>
        <v>0</v>
      </c>
      <c r="H128" s="440">
        <f>H129</f>
        <v>0</v>
      </c>
      <c r="I128" s="440">
        <v>0</v>
      </c>
      <c r="J128" s="465">
        <v>0</v>
      </c>
      <c r="K128" s="465">
        <v>0</v>
      </c>
      <c r="L128" s="436">
        <f t="shared" si="14"/>
        <v>0</v>
      </c>
      <c r="M128" s="498"/>
    </row>
    <row r="129" spans="1:13" ht="20.25" hidden="1" customHeight="1" outlineLevel="7" x14ac:dyDescent="0.3">
      <c r="A129" s="438" t="s">
        <v>97</v>
      </c>
      <c r="B129" s="439" t="s">
        <v>500</v>
      </c>
      <c r="C129" s="439" t="s">
        <v>24</v>
      </c>
      <c r="D129" s="539" t="s">
        <v>601</v>
      </c>
      <c r="E129" s="539" t="s">
        <v>98</v>
      </c>
      <c r="F129" s="540">
        <v>1182728.33</v>
      </c>
      <c r="G129" s="465">
        <v>0</v>
      </c>
      <c r="H129" s="440">
        <v>0</v>
      </c>
      <c r="I129" s="440">
        <v>0</v>
      </c>
      <c r="J129" s="465">
        <v>0</v>
      </c>
      <c r="K129" s="465">
        <v>0</v>
      </c>
      <c r="L129" s="436">
        <f t="shared" si="14"/>
        <v>0</v>
      </c>
      <c r="M129" s="498"/>
    </row>
    <row r="130" spans="1:13" ht="19.55" customHeight="1" outlineLevel="7" x14ac:dyDescent="0.3">
      <c r="A130" s="438" t="s">
        <v>503</v>
      </c>
      <c r="B130" s="439" t="s">
        <v>500</v>
      </c>
      <c r="C130" s="439" t="s">
        <v>24</v>
      </c>
      <c r="D130" s="539" t="s">
        <v>502</v>
      </c>
      <c r="E130" s="539" t="s">
        <v>6</v>
      </c>
      <c r="F130" s="540">
        <v>86999</v>
      </c>
      <c r="G130" s="466">
        <f t="shared" ref="G130:K131" si="22">G131</f>
        <v>200000</v>
      </c>
      <c r="H130" s="442">
        <f t="shared" si="22"/>
        <v>138434.92000000001</v>
      </c>
      <c r="I130" s="442">
        <f t="shared" si="22"/>
        <v>200000</v>
      </c>
      <c r="J130" s="466">
        <f t="shared" si="22"/>
        <v>200000</v>
      </c>
      <c r="K130" s="466">
        <f t="shared" si="22"/>
        <v>200000</v>
      </c>
      <c r="L130" s="436">
        <f t="shared" si="14"/>
        <v>0</v>
      </c>
      <c r="M130" s="498">
        <f t="shared" si="15"/>
        <v>100</v>
      </c>
    </row>
    <row r="131" spans="1:13" ht="34" outlineLevel="7" x14ac:dyDescent="0.3">
      <c r="A131" s="438" t="s">
        <v>15</v>
      </c>
      <c r="B131" s="439" t="s">
        <v>500</v>
      </c>
      <c r="C131" s="439" t="s">
        <v>24</v>
      </c>
      <c r="D131" s="539" t="s">
        <v>502</v>
      </c>
      <c r="E131" s="539" t="s">
        <v>16</v>
      </c>
      <c r="F131" s="540">
        <v>86999</v>
      </c>
      <c r="G131" s="466">
        <f t="shared" si="22"/>
        <v>200000</v>
      </c>
      <c r="H131" s="370">
        <v>138434.92000000001</v>
      </c>
      <c r="I131" s="442">
        <f t="shared" si="22"/>
        <v>200000</v>
      </c>
      <c r="J131" s="466">
        <f t="shared" si="22"/>
        <v>200000</v>
      </c>
      <c r="K131" s="466">
        <f t="shared" si="22"/>
        <v>200000</v>
      </c>
      <c r="L131" s="436">
        <f t="shared" si="14"/>
        <v>0</v>
      </c>
      <c r="M131" s="498">
        <f t="shared" si="15"/>
        <v>100</v>
      </c>
    </row>
    <row r="132" spans="1:13" ht="20.25" customHeight="1" outlineLevel="7" x14ac:dyDescent="0.3">
      <c r="A132" s="438" t="s">
        <v>17</v>
      </c>
      <c r="B132" s="439" t="s">
        <v>500</v>
      </c>
      <c r="C132" s="439" t="s">
        <v>24</v>
      </c>
      <c r="D132" s="539" t="s">
        <v>502</v>
      </c>
      <c r="E132" s="539" t="s">
        <v>18</v>
      </c>
      <c r="F132" s="540">
        <v>86999</v>
      </c>
      <c r="G132" s="465">
        <v>200000</v>
      </c>
      <c r="H132" s="370">
        <v>138434.92000000001</v>
      </c>
      <c r="I132" s="440">
        <f>'[2]прил 12'!G127</f>
        <v>200000</v>
      </c>
      <c r="J132" s="465">
        <v>200000</v>
      </c>
      <c r="K132" s="465">
        <v>200000</v>
      </c>
      <c r="L132" s="436">
        <f t="shared" si="14"/>
        <v>0</v>
      </c>
      <c r="M132" s="498">
        <f t="shared" si="15"/>
        <v>100</v>
      </c>
    </row>
    <row r="133" spans="1:13" outlineLevel="3" x14ac:dyDescent="0.3">
      <c r="A133" s="438" t="s">
        <v>277</v>
      </c>
      <c r="B133" s="439" t="s">
        <v>500</v>
      </c>
      <c r="C133" s="439" t="s">
        <v>24</v>
      </c>
      <c r="D133" s="539" t="s">
        <v>276</v>
      </c>
      <c r="E133" s="539" t="s">
        <v>6</v>
      </c>
      <c r="F133" s="540">
        <v>7083797.5300000003</v>
      </c>
      <c r="G133" s="465">
        <f>G157+G134+G142+G147+G152+G139</f>
        <v>8720616.2199999988</v>
      </c>
      <c r="H133" s="440">
        <f>H157+H134+H142+H147+H152+H139</f>
        <v>5892996.6299999999</v>
      </c>
      <c r="I133" s="440">
        <f>I157+I134+I142+I147+I152+I139</f>
        <v>7568469</v>
      </c>
      <c r="J133" s="465">
        <f>J157+J134+J142+J147+J152+J139</f>
        <v>7810417</v>
      </c>
      <c r="K133" s="465">
        <f>K157+K134+K142+K147+K152+K139</f>
        <v>7810417</v>
      </c>
      <c r="L133" s="436">
        <f t="shared" si="14"/>
        <v>0</v>
      </c>
      <c r="M133" s="498">
        <f t="shared" si="15"/>
        <v>89.562673129537174</v>
      </c>
    </row>
    <row r="134" spans="1:13" ht="77.45" customHeight="1" outlineLevel="3" x14ac:dyDescent="0.3">
      <c r="A134" s="393" t="s">
        <v>438</v>
      </c>
      <c r="B134" s="439" t="s">
        <v>500</v>
      </c>
      <c r="C134" s="439" t="s">
        <v>24</v>
      </c>
      <c r="D134" s="539" t="s">
        <v>278</v>
      </c>
      <c r="E134" s="539" t="s">
        <v>6</v>
      </c>
      <c r="F134" s="540">
        <v>1395192</v>
      </c>
      <c r="G134" s="465">
        <f>G135+G137</f>
        <v>1503968</v>
      </c>
      <c r="H134" s="440">
        <f>H135+H137</f>
        <v>1197590.32</v>
      </c>
      <c r="I134" s="440">
        <f>I135+I137</f>
        <v>1442603</v>
      </c>
      <c r="J134" s="513">
        <f>J135+J137</f>
        <v>1490622</v>
      </c>
      <c r="K134" s="513">
        <f>K135+K137</f>
        <v>1490622</v>
      </c>
      <c r="L134" s="436">
        <f t="shared" si="14"/>
        <v>0</v>
      </c>
      <c r="M134" s="498">
        <f t="shared" si="15"/>
        <v>99.112614098172301</v>
      </c>
    </row>
    <row r="135" spans="1:13" ht="84.9" outlineLevel="3" x14ac:dyDescent="0.3">
      <c r="A135" s="438" t="s">
        <v>11</v>
      </c>
      <c r="B135" s="439" t="s">
        <v>500</v>
      </c>
      <c r="C135" s="439" t="s">
        <v>24</v>
      </c>
      <c r="D135" s="539" t="s">
        <v>278</v>
      </c>
      <c r="E135" s="539" t="s">
        <v>12</v>
      </c>
      <c r="F135" s="540">
        <v>1380328.42</v>
      </c>
      <c r="G135" s="465">
        <f>G136</f>
        <v>1487018</v>
      </c>
      <c r="H135" s="370">
        <v>1187789.1000000001</v>
      </c>
      <c r="I135" s="440">
        <f>I136</f>
        <v>1427603</v>
      </c>
      <c r="J135" s="465">
        <f>J136</f>
        <v>1475622</v>
      </c>
      <c r="K135" s="465">
        <f>K136</f>
        <v>1475622</v>
      </c>
      <c r="L135" s="436">
        <f t="shared" si="14"/>
        <v>0</v>
      </c>
      <c r="M135" s="498">
        <f t="shared" si="15"/>
        <v>99.233634024604939</v>
      </c>
    </row>
    <row r="136" spans="1:13" ht="34" outlineLevel="3" x14ac:dyDescent="0.3">
      <c r="A136" s="438" t="s">
        <v>13</v>
      </c>
      <c r="B136" s="439" t="s">
        <v>500</v>
      </c>
      <c r="C136" s="439" t="s">
        <v>24</v>
      </c>
      <c r="D136" s="539" t="s">
        <v>278</v>
      </c>
      <c r="E136" s="539" t="s">
        <v>14</v>
      </c>
      <c r="F136" s="540">
        <v>1380328.42</v>
      </c>
      <c r="G136" s="465">
        <f>1399316+28287-1950+61365</f>
        <v>1487018</v>
      </c>
      <c r="H136" s="370">
        <v>1187789.1000000001</v>
      </c>
      <c r="I136" s="440">
        <f>'[2]прил 12'!F131</f>
        <v>1427603</v>
      </c>
      <c r="J136" s="510">
        <f>1490622-15000</f>
        <v>1475622</v>
      </c>
      <c r="K136" s="510">
        <f>1490622-15000</f>
        <v>1475622</v>
      </c>
      <c r="L136" s="436">
        <f t="shared" ref="L136:L199" si="23">K136-J136</f>
        <v>0</v>
      </c>
      <c r="M136" s="498">
        <f t="shared" ref="M136:M199" si="24">J136/G136%</f>
        <v>99.233634024604939</v>
      </c>
    </row>
    <row r="137" spans="1:13" ht="41.3" customHeight="1" outlineLevel="7" x14ac:dyDescent="0.3">
      <c r="A137" s="438" t="s">
        <v>15</v>
      </c>
      <c r="B137" s="439" t="s">
        <v>500</v>
      </c>
      <c r="C137" s="439" t="s">
        <v>24</v>
      </c>
      <c r="D137" s="539" t="s">
        <v>278</v>
      </c>
      <c r="E137" s="539" t="s">
        <v>16</v>
      </c>
      <c r="F137" s="540">
        <v>14863.58</v>
      </c>
      <c r="G137" s="465">
        <f>G138</f>
        <v>16950</v>
      </c>
      <c r="H137" s="370">
        <v>9801.2199999999993</v>
      </c>
      <c r="I137" s="440">
        <f>I138</f>
        <v>15000</v>
      </c>
      <c r="J137" s="465">
        <f>J138</f>
        <v>15000</v>
      </c>
      <c r="K137" s="465">
        <f>K138</f>
        <v>15000</v>
      </c>
      <c r="L137" s="436">
        <f t="shared" si="23"/>
        <v>0</v>
      </c>
      <c r="M137" s="498">
        <f t="shared" si="24"/>
        <v>88.495575221238937</v>
      </c>
    </row>
    <row r="138" spans="1:13" ht="34" outlineLevel="7" x14ac:dyDescent="0.3">
      <c r="A138" s="438" t="s">
        <v>17</v>
      </c>
      <c r="B138" s="439" t="s">
        <v>500</v>
      </c>
      <c r="C138" s="439" t="s">
        <v>24</v>
      </c>
      <c r="D138" s="539" t="s">
        <v>278</v>
      </c>
      <c r="E138" s="539" t="s">
        <v>18</v>
      </c>
      <c r="F138" s="540">
        <v>14863.58</v>
      </c>
      <c r="G138" s="465">
        <f>15000+1950</f>
        <v>16950</v>
      </c>
      <c r="H138" s="370">
        <v>9801.2199999999993</v>
      </c>
      <c r="I138" s="440">
        <f>'[2]прил 12'!F133</f>
        <v>15000</v>
      </c>
      <c r="J138" s="510">
        <v>15000</v>
      </c>
      <c r="K138" s="510">
        <v>15000</v>
      </c>
      <c r="L138" s="436">
        <f t="shared" si="23"/>
        <v>0</v>
      </c>
      <c r="M138" s="498">
        <f t="shared" si="24"/>
        <v>88.495575221238937</v>
      </c>
    </row>
    <row r="139" spans="1:13" ht="84.9" outlineLevel="7" x14ac:dyDescent="0.3">
      <c r="A139" s="438" t="s">
        <v>722</v>
      </c>
      <c r="B139" s="439" t="s">
        <v>500</v>
      </c>
      <c r="C139" s="439" t="s">
        <v>24</v>
      </c>
      <c r="D139" s="539" t="s">
        <v>721</v>
      </c>
      <c r="E139" s="539" t="s">
        <v>6</v>
      </c>
      <c r="F139" s="540">
        <v>272232</v>
      </c>
      <c r="G139" s="465">
        <f t="shared" ref="G139:K140" si="25">G140</f>
        <v>353579</v>
      </c>
      <c r="H139" s="440">
        <f t="shared" si="25"/>
        <v>143160.51</v>
      </c>
      <c r="I139" s="440">
        <f t="shared" si="25"/>
        <v>353579</v>
      </c>
      <c r="J139" s="513">
        <f t="shared" si="25"/>
        <v>353579</v>
      </c>
      <c r="K139" s="513">
        <f t="shared" si="25"/>
        <v>353579</v>
      </c>
      <c r="L139" s="436">
        <f t="shared" si="23"/>
        <v>0</v>
      </c>
      <c r="M139" s="498">
        <f t="shared" si="24"/>
        <v>100</v>
      </c>
    </row>
    <row r="140" spans="1:13" ht="34" outlineLevel="7" x14ac:dyDescent="0.3">
      <c r="A140" s="438" t="s">
        <v>13</v>
      </c>
      <c r="B140" s="439" t="s">
        <v>500</v>
      </c>
      <c r="C140" s="439" t="s">
        <v>24</v>
      </c>
      <c r="D140" s="539" t="s">
        <v>721</v>
      </c>
      <c r="E140" s="539" t="s">
        <v>12</v>
      </c>
      <c r="F140" s="540">
        <v>272232</v>
      </c>
      <c r="G140" s="465">
        <f t="shared" si="25"/>
        <v>353579</v>
      </c>
      <c r="H140" s="370">
        <v>143160.51</v>
      </c>
      <c r="I140" s="440">
        <f t="shared" si="25"/>
        <v>353579</v>
      </c>
      <c r="J140" s="465">
        <f t="shared" si="25"/>
        <v>353579</v>
      </c>
      <c r="K140" s="465">
        <f t="shared" si="25"/>
        <v>353579</v>
      </c>
      <c r="L140" s="436">
        <f t="shared" si="23"/>
        <v>0</v>
      </c>
      <c r="M140" s="498">
        <f t="shared" si="24"/>
        <v>100</v>
      </c>
    </row>
    <row r="141" spans="1:13" ht="41.45" customHeight="1" outlineLevel="7" x14ac:dyDescent="0.3">
      <c r="A141" s="438" t="s">
        <v>13</v>
      </c>
      <c r="B141" s="439" t="s">
        <v>500</v>
      </c>
      <c r="C141" s="439" t="s">
        <v>24</v>
      </c>
      <c r="D141" s="539" t="s">
        <v>721</v>
      </c>
      <c r="E141" s="539" t="s">
        <v>14</v>
      </c>
      <c r="F141" s="540">
        <v>272232</v>
      </c>
      <c r="G141" s="465">
        <v>353579</v>
      </c>
      <c r="H141" s="370">
        <v>143160.51</v>
      </c>
      <c r="I141" s="440">
        <f>'[2]прил 12'!F136</f>
        <v>353579</v>
      </c>
      <c r="J141" s="510">
        <v>353579</v>
      </c>
      <c r="K141" s="510">
        <v>353579</v>
      </c>
      <c r="L141" s="436">
        <f t="shared" si="23"/>
        <v>0</v>
      </c>
      <c r="M141" s="498">
        <f t="shared" si="24"/>
        <v>100</v>
      </c>
    </row>
    <row r="142" spans="1:13" ht="24.8" customHeight="1" outlineLevel="7" x14ac:dyDescent="0.3">
      <c r="A142" s="393" t="s">
        <v>573</v>
      </c>
      <c r="B142" s="439" t="s">
        <v>500</v>
      </c>
      <c r="C142" s="439" t="s">
        <v>24</v>
      </c>
      <c r="D142" s="539" t="s">
        <v>580</v>
      </c>
      <c r="E142" s="539" t="s">
        <v>6</v>
      </c>
      <c r="F142" s="540">
        <v>2016764</v>
      </c>
      <c r="G142" s="465">
        <f>G143+G145</f>
        <v>2096028</v>
      </c>
      <c r="H142" s="440">
        <f>H143+H145</f>
        <v>1490075.2</v>
      </c>
      <c r="I142" s="440">
        <f>I143+I145</f>
        <v>2174817</v>
      </c>
      <c r="J142" s="513">
        <f>J143+J145</f>
        <v>2276349</v>
      </c>
      <c r="K142" s="513">
        <f>K143+K145</f>
        <v>2276349</v>
      </c>
      <c r="L142" s="436">
        <f t="shared" si="23"/>
        <v>0</v>
      </c>
      <c r="M142" s="498">
        <f t="shared" si="24"/>
        <v>108.60298621964975</v>
      </c>
    </row>
    <row r="143" spans="1:13" ht="39.75" customHeight="1" outlineLevel="7" x14ac:dyDescent="0.3">
      <c r="A143" s="438" t="s">
        <v>11</v>
      </c>
      <c r="B143" s="439" t="s">
        <v>500</v>
      </c>
      <c r="C143" s="439" t="s">
        <v>24</v>
      </c>
      <c r="D143" s="539" t="s">
        <v>580</v>
      </c>
      <c r="E143" s="539" t="s">
        <v>12</v>
      </c>
      <c r="F143" s="540">
        <v>2008305.5</v>
      </c>
      <c r="G143" s="465">
        <f>G144</f>
        <v>2081028</v>
      </c>
      <c r="H143" s="370">
        <v>1485262.04</v>
      </c>
      <c r="I143" s="440">
        <f>I144</f>
        <v>2159817</v>
      </c>
      <c r="J143" s="465">
        <f>J144</f>
        <v>0</v>
      </c>
      <c r="K143" s="465">
        <f>K144</f>
        <v>0</v>
      </c>
      <c r="L143" s="436">
        <f t="shared" si="23"/>
        <v>0</v>
      </c>
      <c r="M143" s="498">
        <f t="shared" si="24"/>
        <v>0</v>
      </c>
    </row>
    <row r="144" spans="1:13" ht="39.75" customHeight="1" outlineLevel="7" x14ac:dyDescent="0.3">
      <c r="A144" s="438" t="s">
        <v>13</v>
      </c>
      <c r="B144" s="439" t="s">
        <v>500</v>
      </c>
      <c r="C144" s="439" t="s">
        <v>24</v>
      </c>
      <c r="D144" s="539" t="s">
        <v>580</v>
      </c>
      <c r="E144" s="539" t="s">
        <v>14</v>
      </c>
      <c r="F144" s="540">
        <v>2008305.5</v>
      </c>
      <c r="G144" s="465">
        <v>2081028</v>
      </c>
      <c r="H144" s="370">
        <v>1485262.04</v>
      </c>
      <c r="I144" s="440">
        <f>'[2]прил 12'!F139</f>
        <v>2159817</v>
      </c>
      <c r="J144" s="510"/>
      <c r="K144" s="510"/>
      <c r="L144" s="436">
        <f t="shared" si="23"/>
        <v>0</v>
      </c>
      <c r="M144" s="498">
        <f t="shared" si="24"/>
        <v>0</v>
      </c>
    </row>
    <row r="145" spans="1:13" ht="34" outlineLevel="7" x14ac:dyDescent="0.3">
      <c r="A145" s="438" t="s">
        <v>15</v>
      </c>
      <c r="B145" s="439" t="s">
        <v>500</v>
      </c>
      <c r="C145" s="439" t="s">
        <v>24</v>
      </c>
      <c r="D145" s="539" t="s">
        <v>580</v>
      </c>
      <c r="E145" s="539" t="s">
        <v>16</v>
      </c>
      <c r="F145" s="540">
        <v>8458.5</v>
      </c>
      <c r="G145" s="465">
        <f>G146</f>
        <v>15000</v>
      </c>
      <c r="H145" s="370">
        <v>4813.16</v>
      </c>
      <c r="I145" s="440">
        <f>I146</f>
        <v>15000</v>
      </c>
      <c r="J145" s="465">
        <f>J146</f>
        <v>2276349</v>
      </c>
      <c r="K145" s="465">
        <f>K146</f>
        <v>2276349</v>
      </c>
      <c r="L145" s="436">
        <f t="shared" si="23"/>
        <v>0</v>
      </c>
      <c r="M145" s="498">
        <f t="shared" si="24"/>
        <v>15175.66</v>
      </c>
    </row>
    <row r="146" spans="1:13" ht="34" outlineLevel="7" x14ac:dyDescent="0.3">
      <c r="A146" s="438" t="s">
        <v>17</v>
      </c>
      <c r="B146" s="439" t="s">
        <v>500</v>
      </c>
      <c r="C146" s="439" t="s">
        <v>24</v>
      </c>
      <c r="D146" s="539" t="s">
        <v>580</v>
      </c>
      <c r="E146" s="539" t="s">
        <v>18</v>
      </c>
      <c r="F146" s="540">
        <v>8458.5</v>
      </c>
      <c r="G146" s="465">
        <v>15000</v>
      </c>
      <c r="H146" s="370">
        <v>4813.16</v>
      </c>
      <c r="I146" s="440">
        <f>'[2]прил 12'!F141</f>
        <v>15000</v>
      </c>
      <c r="J146" s="510">
        <v>2276349</v>
      </c>
      <c r="K146" s="510">
        <v>2276349</v>
      </c>
      <c r="L146" s="436">
        <f t="shared" si="23"/>
        <v>0</v>
      </c>
      <c r="M146" s="498">
        <f t="shared" si="24"/>
        <v>15175.66</v>
      </c>
    </row>
    <row r="147" spans="1:13" ht="74.05" customHeight="1" outlineLevel="7" x14ac:dyDescent="0.3">
      <c r="A147" s="393" t="s">
        <v>382</v>
      </c>
      <c r="B147" s="439" t="s">
        <v>500</v>
      </c>
      <c r="C147" s="439" t="s">
        <v>24</v>
      </c>
      <c r="D147" s="539" t="s">
        <v>279</v>
      </c>
      <c r="E147" s="539" t="s">
        <v>6</v>
      </c>
      <c r="F147" s="540">
        <v>764724.52</v>
      </c>
      <c r="G147" s="465">
        <f>G148+G150</f>
        <v>830909</v>
      </c>
      <c r="H147" s="440">
        <f>H148+H150</f>
        <v>587231.11</v>
      </c>
      <c r="I147" s="440">
        <f>I148+I150</f>
        <v>861546</v>
      </c>
      <c r="J147" s="513">
        <f>J148+J150</f>
        <v>946950</v>
      </c>
      <c r="K147" s="513">
        <f>K148+K150</f>
        <v>946950</v>
      </c>
      <c r="L147" s="436">
        <f t="shared" si="23"/>
        <v>0</v>
      </c>
      <c r="M147" s="498">
        <f t="shared" si="24"/>
        <v>113.96554857391122</v>
      </c>
    </row>
    <row r="148" spans="1:13" ht="84.9" outlineLevel="7" x14ac:dyDescent="0.3">
      <c r="A148" s="438" t="s">
        <v>11</v>
      </c>
      <c r="B148" s="439" t="s">
        <v>500</v>
      </c>
      <c r="C148" s="439" t="s">
        <v>24</v>
      </c>
      <c r="D148" s="539" t="s">
        <v>279</v>
      </c>
      <c r="E148" s="539" t="s">
        <v>12</v>
      </c>
      <c r="F148" s="540">
        <v>751053.37</v>
      </c>
      <c r="G148" s="465">
        <f>G149</f>
        <v>785909</v>
      </c>
      <c r="H148" s="370">
        <v>560781.04</v>
      </c>
      <c r="I148" s="440">
        <f>I149</f>
        <v>816546</v>
      </c>
      <c r="J148" s="465">
        <f>J149</f>
        <v>901950</v>
      </c>
      <c r="K148" s="465">
        <f>K149</f>
        <v>901950</v>
      </c>
      <c r="L148" s="436">
        <f t="shared" si="23"/>
        <v>0</v>
      </c>
      <c r="M148" s="498">
        <f t="shared" si="24"/>
        <v>114.76519546156106</v>
      </c>
    </row>
    <row r="149" spans="1:13" ht="32.6" customHeight="1" outlineLevel="7" x14ac:dyDescent="0.3">
      <c r="A149" s="438" t="s">
        <v>13</v>
      </c>
      <c r="B149" s="439" t="s">
        <v>500</v>
      </c>
      <c r="C149" s="439" t="s">
        <v>24</v>
      </c>
      <c r="D149" s="539" t="s">
        <v>279</v>
      </c>
      <c r="E149" s="539" t="s">
        <v>14</v>
      </c>
      <c r="F149" s="540">
        <v>751053.37</v>
      </c>
      <c r="G149" s="466">
        <v>785909</v>
      </c>
      <c r="H149" s="370">
        <v>560781.04</v>
      </c>
      <c r="I149" s="442">
        <f>'[2]прил 12'!F144</f>
        <v>816546</v>
      </c>
      <c r="J149" s="510">
        <f>946950-45000</f>
        <v>901950</v>
      </c>
      <c r="K149" s="510">
        <f>946950-45000</f>
        <v>901950</v>
      </c>
      <c r="L149" s="436">
        <f t="shared" si="23"/>
        <v>0</v>
      </c>
      <c r="M149" s="498">
        <f t="shared" si="24"/>
        <v>114.76519546156106</v>
      </c>
    </row>
    <row r="150" spans="1:13" ht="45" customHeight="1" outlineLevel="7" x14ac:dyDescent="0.3">
      <c r="A150" s="438" t="s">
        <v>15</v>
      </c>
      <c r="B150" s="439" t="s">
        <v>500</v>
      </c>
      <c r="C150" s="439" t="s">
        <v>24</v>
      </c>
      <c r="D150" s="539" t="s">
        <v>279</v>
      </c>
      <c r="E150" s="539" t="s">
        <v>16</v>
      </c>
      <c r="F150" s="540">
        <v>13671.15</v>
      </c>
      <c r="G150" s="465">
        <f>G151</f>
        <v>45000</v>
      </c>
      <c r="H150" s="370">
        <v>26450.07</v>
      </c>
      <c r="I150" s="440">
        <f>I151</f>
        <v>45000</v>
      </c>
      <c r="J150" s="465">
        <f>J151</f>
        <v>45000</v>
      </c>
      <c r="K150" s="465">
        <f>K151</f>
        <v>45000</v>
      </c>
      <c r="L150" s="436">
        <f t="shared" si="23"/>
        <v>0</v>
      </c>
      <c r="M150" s="498">
        <f t="shared" si="24"/>
        <v>100</v>
      </c>
    </row>
    <row r="151" spans="1:13" ht="34" outlineLevel="7" x14ac:dyDescent="0.3">
      <c r="A151" s="438" t="s">
        <v>17</v>
      </c>
      <c r="B151" s="439" t="s">
        <v>500</v>
      </c>
      <c r="C151" s="439" t="s">
        <v>24</v>
      </c>
      <c r="D151" s="539" t="s">
        <v>279</v>
      </c>
      <c r="E151" s="539" t="s">
        <v>18</v>
      </c>
      <c r="F151" s="540">
        <v>13671.15</v>
      </c>
      <c r="G151" s="465">
        <v>45000</v>
      </c>
      <c r="H151" s="370">
        <v>26450.07</v>
      </c>
      <c r="I151" s="440">
        <f>'[2]прил 12'!F146</f>
        <v>45000</v>
      </c>
      <c r="J151" s="510">
        <v>45000</v>
      </c>
      <c r="K151" s="510">
        <v>45000</v>
      </c>
      <c r="L151" s="436">
        <f t="shared" si="23"/>
        <v>0</v>
      </c>
      <c r="M151" s="498">
        <f t="shared" si="24"/>
        <v>100</v>
      </c>
    </row>
    <row r="152" spans="1:13" ht="57.25" customHeight="1" outlineLevel="7" x14ac:dyDescent="0.3">
      <c r="A152" s="438" t="s">
        <v>406</v>
      </c>
      <c r="B152" s="439" t="s">
        <v>500</v>
      </c>
      <c r="C152" s="439" t="s">
        <v>24</v>
      </c>
      <c r="D152" s="539" t="s">
        <v>407</v>
      </c>
      <c r="E152" s="539" t="s">
        <v>6</v>
      </c>
      <c r="F152" s="540">
        <v>1791402.17</v>
      </c>
      <c r="G152" s="465">
        <f>G153+G155</f>
        <v>1950219</v>
      </c>
      <c r="H152" s="440">
        <f>H153+H155</f>
        <v>1271500</v>
      </c>
      <c r="I152" s="440">
        <f>I153+I155</f>
        <v>2021924</v>
      </c>
      <c r="J152" s="513">
        <f>J153+J155</f>
        <v>2028917</v>
      </c>
      <c r="K152" s="513">
        <f>K153+K155</f>
        <v>2028917</v>
      </c>
      <c r="L152" s="436">
        <f t="shared" si="23"/>
        <v>0</v>
      </c>
      <c r="M152" s="498">
        <f t="shared" si="24"/>
        <v>104.03534167188404</v>
      </c>
    </row>
    <row r="153" spans="1:13" ht="84.9" outlineLevel="7" x14ac:dyDescent="0.3">
      <c r="A153" s="438" t="s">
        <v>11</v>
      </c>
      <c r="B153" s="439" t="s">
        <v>500</v>
      </c>
      <c r="C153" s="439" t="s">
        <v>24</v>
      </c>
      <c r="D153" s="539" t="s">
        <v>407</v>
      </c>
      <c r="E153" s="539" t="s">
        <v>12</v>
      </c>
      <c r="F153" s="540">
        <v>1659215.56</v>
      </c>
      <c r="G153" s="465">
        <f>G154</f>
        <v>1792619</v>
      </c>
      <c r="H153" s="370">
        <v>1243138.07</v>
      </c>
      <c r="I153" s="440">
        <f>I154</f>
        <v>1864324</v>
      </c>
      <c r="J153" s="465">
        <f>J154</f>
        <v>1871917</v>
      </c>
      <c r="K153" s="465">
        <f>K154</f>
        <v>1871917</v>
      </c>
      <c r="L153" s="436">
        <f t="shared" si="23"/>
        <v>0</v>
      </c>
      <c r="M153" s="498">
        <f t="shared" si="24"/>
        <v>104.42358359472928</v>
      </c>
    </row>
    <row r="154" spans="1:13" ht="21.25" customHeight="1" outlineLevel="7" x14ac:dyDescent="0.3">
      <c r="A154" s="438" t="s">
        <v>13</v>
      </c>
      <c r="B154" s="439" t="s">
        <v>500</v>
      </c>
      <c r="C154" s="439" t="s">
        <v>24</v>
      </c>
      <c r="D154" s="539" t="s">
        <v>407</v>
      </c>
      <c r="E154" s="539" t="s">
        <v>14</v>
      </c>
      <c r="F154" s="540">
        <v>1659215.56</v>
      </c>
      <c r="G154" s="465">
        <v>1792619</v>
      </c>
      <c r="H154" s="370">
        <v>1243138.07</v>
      </c>
      <c r="I154" s="440">
        <f>'[2]прил 12'!F149</f>
        <v>1864324</v>
      </c>
      <c r="J154" s="510">
        <v>1871917</v>
      </c>
      <c r="K154" s="510">
        <v>1871917</v>
      </c>
      <c r="L154" s="436">
        <f t="shared" si="23"/>
        <v>0</v>
      </c>
      <c r="M154" s="498">
        <f t="shared" si="24"/>
        <v>104.42358359472928</v>
      </c>
    </row>
    <row r="155" spans="1:13" ht="38.25" customHeight="1" outlineLevel="7" x14ac:dyDescent="0.3">
      <c r="A155" s="438" t="s">
        <v>15</v>
      </c>
      <c r="B155" s="439" t="s">
        <v>500</v>
      </c>
      <c r="C155" s="439" t="s">
        <v>24</v>
      </c>
      <c r="D155" s="539" t="s">
        <v>407</v>
      </c>
      <c r="E155" s="539" t="s">
        <v>16</v>
      </c>
      <c r="F155" s="540">
        <v>132186.60999999999</v>
      </c>
      <c r="G155" s="465">
        <f>G156</f>
        <v>157600</v>
      </c>
      <c r="H155" s="370">
        <v>28361.93</v>
      </c>
      <c r="I155" s="440">
        <f>I156</f>
        <v>157600</v>
      </c>
      <c r="J155" s="465">
        <f>J156</f>
        <v>157000</v>
      </c>
      <c r="K155" s="465">
        <f>K156</f>
        <v>157000</v>
      </c>
      <c r="L155" s="436">
        <f t="shared" si="23"/>
        <v>0</v>
      </c>
      <c r="M155" s="498">
        <f t="shared" si="24"/>
        <v>99.619289340101517</v>
      </c>
    </row>
    <row r="156" spans="1:13" ht="34" outlineLevel="7" x14ac:dyDescent="0.3">
      <c r="A156" s="438" t="s">
        <v>17</v>
      </c>
      <c r="B156" s="439" t="s">
        <v>500</v>
      </c>
      <c r="C156" s="439" t="s">
        <v>24</v>
      </c>
      <c r="D156" s="539" t="s">
        <v>407</v>
      </c>
      <c r="E156" s="539" t="s">
        <v>18</v>
      </c>
      <c r="F156" s="540">
        <v>132186.60999999999</v>
      </c>
      <c r="G156" s="465">
        <v>157600</v>
      </c>
      <c r="H156" s="370">
        <v>28361.93</v>
      </c>
      <c r="I156" s="440">
        <f>'[2]прил 12'!F151</f>
        <v>157600</v>
      </c>
      <c r="J156" s="510">
        <v>157000</v>
      </c>
      <c r="K156" s="510">
        <v>157000</v>
      </c>
      <c r="L156" s="436">
        <f t="shared" si="23"/>
        <v>0</v>
      </c>
      <c r="M156" s="498">
        <f t="shared" si="24"/>
        <v>99.619289340101517</v>
      </c>
    </row>
    <row r="157" spans="1:13" ht="101.25" customHeight="1" outlineLevel="7" x14ac:dyDescent="0.3">
      <c r="A157" s="393" t="s">
        <v>656</v>
      </c>
      <c r="B157" s="439" t="s">
        <v>500</v>
      </c>
      <c r="C157" s="439" t="s">
        <v>24</v>
      </c>
      <c r="D157" s="539" t="s">
        <v>295</v>
      </c>
      <c r="E157" s="539" t="s">
        <v>6</v>
      </c>
      <c r="F157" s="540">
        <v>688357.04</v>
      </c>
      <c r="G157" s="465">
        <f>G158+G160</f>
        <v>1985913.22</v>
      </c>
      <c r="H157" s="440">
        <f>H158+H160</f>
        <v>1203439.49</v>
      </c>
      <c r="I157" s="440">
        <f>I158+I160</f>
        <v>714000</v>
      </c>
      <c r="J157" s="513">
        <f>J158+J160</f>
        <v>714000</v>
      </c>
      <c r="K157" s="513">
        <f>K158+K160</f>
        <v>714000</v>
      </c>
      <c r="L157" s="436">
        <f t="shared" si="23"/>
        <v>0</v>
      </c>
      <c r="M157" s="498">
        <f t="shared" si="24"/>
        <v>35.953232639238891</v>
      </c>
    </row>
    <row r="158" spans="1:13" ht="84.9" outlineLevel="7" x14ac:dyDescent="0.3">
      <c r="A158" s="438" t="s">
        <v>11</v>
      </c>
      <c r="B158" s="439" t="s">
        <v>500</v>
      </c>
      <c r="C158" s="439" t="s">
        <v>24</v>
      </c>
      <c r="D158" s="539" t="s">
        <v>295</v>
      </c>
      <c r="E158" s="539" t="s">
        <v>12</v>
      </c>
      <c r="F158" s="540">
        <v>687395.61</v>
      </c>
      <c r="G158" s="465">
        <f>G159</f>
        <v>760000</v>
      </c>
      <c r="H158" s="370">
        <v>429870.59</v>
      </c>
      <c r="I158" s="440">
        <f>I159</f>
        <v>654000</v>
      </c>
      <c r="J158" s="465">
        <f>J159</f>
        <v>654000</v>
      </c>
      <c r="K158" s="465">
        <f>K159</f>
        <v>654000</v>
      </c>
      <c r="L158" s="436">
        <f t="shared" si="23"/>
        <v>0</v>
      </c>
      <c r="M158" s="498">
        <f t="shared" si="24"/>
        <v>86.05263157894737</v>
      </c>
    </row>
    <row r="159" spans="1:13" ht="19.55" customHeight="1" outlineLevel="7" x14ac:dyDescent="0.3">
      <c r="A159" s="438" t="s">
        <v>13</v>
      </c>
      <c r="B159" s="439" t="s">
        <v>500</v>
      </c>
      <c r="C159" s="439" t="s">
        <v>24</v>
      </c>
      <c r="D159" s="539" t="s">
        <v>295</v>
      </c>
      <c r="E159" s="539" t="s">
        <v>14</v>
      </c>
      <c r="F159" s="540">
        <v>687395.61</v>
      </c>
      <c r="G159" s="465">
        <f>644151.93+115848.07</f>
        <v>760000</v>
      </c>
      <c r="H159" s="370">
        <v>429870.59</v>
      </c>
      <c r="I159" s="440">
        <f>'[2]прил 12'!F154</f>
        <v>654000</v>
      </c>
      <c r="J159" s="510">
        <v>654000</v>
      </c>
      <c r="K159" s="510">
        <v>654000</v>
      </c>
      <c r="L159" s="436">
        <f t="shared" si="23"/>
        <v>0</v>
      </c>
      <c r="M159" s="498">
        <f t="shared" si="24"/>
        <v>86.05263157894737</v>
      </c>
    </row>
    <row r="160" spans="1:13" ht="46.55" customHeight="1" outlineLevel="3" x14ac:dyDescent="0.3">
      <c r="A160" s="438" t="s">
        <v>15</v>
      </c>
      <c r="B160" s="439" t="s">
        <v>500</v>
      </c>
      <c r="C160" s="439" t="s">
        <v>24</v>
      </c>
      <c r="D160" s="539" t="s">
        <v>295</v>
      </c>
      <c r="E160" s="539" t="s">
        <v>16</v>
      </c>
      <c r="F160" s="540">
        <v>961.43</v>
      </c>
      <c r="G160" s="465">
        <f>G161</f>
        <v>1225913.22</v>
      </c>
      <c r="H160" s="370">
        <v>773568.9</v>
      </c>
      <c r="I160" s="440">
        <f>I161</f>
        <v>60000</v>
      </c>
      <c r="J160" s="465">
        <f>J161</f>
        <v>60000</v>
      </c>
      <c r="K160" s="465">
        <f>K161</f>
        <v>60000</v>
      </c>
      <c r="L160" s="436">
        <f t="shared" si="23"/>
        <v>0</v>
      </c>
      <c r="M160" s="498">
        <f t="shared" si="24"/>
        <v>4.8943105450808337</v>
      </c>
    </row>
    <row r="161" spans="1:13" ht="34" outlineLevel="3" x14ac:dyDescent="0.3">
      <c r="A161" s="438" t="s">
        <v>17</v>
      </c>
      <c r="B161" s="439" t="s">
        <v>500</v>
      </c>
      <c r="C161" s="439" t="s">
        <v>24</v>
      </c>
      <c r="D161" s="539" t="s">
        <v>295</v>
      </c>
      <c r="E161" s="539" t="s">
        <v>18</v>
      </c>
      <c r="F161" s="540">
        <v>961.43</v>
      </c>
      <c r="G161" s="465">
        <f>60000+353071.62+812841.6</f>
        <v>1225913.22</v>
      </c>
      <c r="H161" s="370">
        <v>773568.9</v>
      </c>
      <c r="I161" s="440">
        <f>'[2]прил 12'!F156</f>
        <v>60000</v>
      </c>
      <c r="J161" s="510">
        <v>60000</v>
      </c>
      <c r="K161" s="510">
        <v>60000</v>
      </c>
      <c r="L161" s="436">
        <f t="shared" si="23"/>
        <v>0</v>
      </c>
      <c r="M161" s="498">
        <f t="shared" si="24"/>
        <v>4.8943105450808337</v>
      </c>
    </row>
    <row r="162" spans="1:13" ht="23.3" customHeight="1" outlineLevel="3" x14ac:dyDescent="0.3">
      <c r="A162" s="444" t="s">
        <v>581</v>
      </c>
      <c r="B162" s="445" t="s">
        <v>500</v>
      </c>
      <c r="C162" s="445" t="s">
        <v>26</v>
      </c>
      <c r="D162" s="541" t="s">
        <v>126</v>
      </c>
      <c r="E162" s="541" t="s">
        <v>6</v>
      </c>
      <c r="F162" s="540">
        <v>1465098.76</v>
      </c>
      <c r="G162" s="465">
        <f t="shared" ref="G162:K167" si="26">G163</f>
        <v>1626656</v>
      </c>
      <c r="H162" s="440">
        <f t="shared" si="26"/>
        <v>1189929.46</v>
      </c>
      <c r="I162" s="440">
        <f t="shared" si="26"/>
        <v>1700240</v>
      </c>
      <c r="J162" s="465">
        <f t="shared" si="26"/>
        <v>1951380</v>
      </c>
      <c r="K162" s="465">
        <f t="shared" si="26"/>
        <v>1951380</v>
      </c>
      <c r="L162" s="436">
        <f t="shared" si="23"/>
        <v>0</v>
      </c>
      <c r="M162" s="498">
        <f t="shared" si="24"/>
        <v>119.96267188637303</v>
      </c>
    </row>
    <row r="163" spans="1:13" ht="23.95" customHeight="1" outlineLevel="3" x14ac:dyDescent="0.3">
      <c r="A163" s="438" t="s">
        <v>582</v>
      </c>
      <c r="B163" s="439" t="s">
        <v>500</v>
      </c>
      <c r="C163" s="439" t="s">
        <v>583</v>
      </c>
      <c r="D163" s="539" t="s">
        <v>126</v>
      </c>
      <c r="E163" s="539" t="s">
        <v>6</v>
      </c>
      <c r="F163" s="540">
        <v>1465098.76</v>
      </c>
      <c r="G163" s="465">
        <f t="shared" si="26"/>
        <v>1626656</v>
      </c>
      <c r="H163" s="440">
        <f t="shared" si="26"/>
        <v>1189929.46</v>
      </c>
      <c r="I163" s="440">
        <f t="shared" si="26"/>
        <v>1700240</v>
      </c>
      <c r="J163" s="465">
        <f t="shared" si="26"/>
        <v>1951380</v>
      </c>
      <c r="K163" s="465">
        <f t="shared" si="26"/>
        <v>1951380</v>
      </c>
      <c r="L163" s="436">
        <f t="shared" si="23"/>
        <v>0</v>
      </c>
      <c r="M163" s="498">
        <f t="shared" si="24"/>
        <v>119.96267188637303</v>
      </c>
    </row>
    <row r="164" spans="1:13" ht="34" outlineLevel="3" x14ac:dyDescent="0.3">
      <c r="A164" s="438" t="s">
        <v>132</v>
      </c>
      <c r="B164" s="439" t="s">
        <v>500</v>
      </c>
      <c r="C164" s="439" t="s">
        <v>583</v>
      </c>
      <c r="D164" s="539" t="s">
        <v>127</v>
      </c>
      <c r="E164" s="539" t="s">
        <v>6</v>
      </c>
      <c r="F164" s="540">
        <v>1465098.76</v>
      </c>
      <c r="G164" s="465">
        <f>G165+G169</f>
        <v>1626656</v>
      </c>
      <c r="H164" s="440">
        <f>H165+H169</f>
        <v>1189929.46</v>
      </c>
      <c r="I164" s="440">
        <f>I165+I169</f>
        <v>1700240</v>
      </c>
      <c r="J164" s="465">
        <f>J165+J169</f>
        <v>1951380</v>
      </c>
      <c r="K164" s="465">
        <f>K165+K169</f>
        <v>1951380</v>
      </c>
      <c r="L164" s="436">
        <f t="shared" si="23"/>
        <v>0</v>
      </c>
      <c r="M164" s="498">
        <f t="shared" si="24"/>
        <v>119.96267188637303</v>
      </c>
    </row>
    <row r="165" spans="1:13" ht="19.55" customHeight="1" outlineLevel="3" x14ac:dyDescent="0.3">
      <c r="A165" s="438" t="s">
        <v>277</v>
      </c>
      <c r="B165" s="439" t="s">
        <v>500</v>
      </c>
      <c r="C165" s="439" t="s">
        <v>583</v>
      </c>
      <c r="D165" s="539" t="s">
        <v>276</v>
      </c>
      <c r="E165" s="539" t="s">
        <v>6</v>
      </c>
      <c r="F165" s="540">
        <v>1334332</v>
      </c>
      <c r="G165" s="465">
        <f t="shared" si="26"/>
        <v>1383656</v>
      </c>
      <c r="H165" s="440">
        <f t="shared" si="26"/>
        <v>968820.64</v>
      </c>
      <c r="I165" s="440">
        <f t="shared" si="26"/>
        <v>1430240</v>
      </c>
      <c r="J165" s="465">
        <f t="shared" si="26"/>
        <v>1681380</v>
      </c>
      <c r="K165" s="465">
        <f t="shared" si="26"/>
        <v>1681380</v>
      </c>
      <c r="L165" s="436">
        <f t="shared" si="23"/>
        <v>0</v>
      </c>
      <c r="M165" s="498">
        <f t="shared" si="24"/>
        <v>121.51719791624508</v>
      </c>
    </row>
    <row r="166" spans="1:13" ht="19.55" customHeight="1" outlineLevel="3" x14ac:dyDescent="0.3">
      <c r="A166" s="450" t="s">
        <v>584</v>
      </c>
      <c r="B166" s="439" t="s">
        <v>500</v>
      </c>
      <c r="C166" s="439" t="s">
        <v>583</v>
      </c>
      <c r="D166" s="539" t="s">
        <v>585</v>
      </c>
      <c r="E166" s="539" t="s">
        <v>6</v>
      </c>
      <c r="F166" s="540">
        <v>1334332</v>
      </c>
      <c r="G166" s="465">
        <f t="shared" si="26"/>
        <v>1383656</v>
      </c>
      <c r="H166" s="440">
        <f t="shared" si="26"/>
        <v>968820.64</v>
      </c>
      <c r="I166" s="440">
        <f t="shared" si="26"/>
        <v>1430240</v>
      </c>
      <c r="J166" s="513">
        <f t="shared" si="26"/>
        <v>1681380</v>
      </c>
      <c r="K166" s="513">
        <f t="shared" si="26"/>
        <v>1681380</v>
      </c>
      <c r="L166" s="436">
        <f t="shared" si="23"/>
        <v>0</v>
      </c>
      <c r="M166" s="498">
        <f t="shared" si="24"/>
        <v>121.51719791624508</v>
      </c>
    </row>
    <row r="167" spans="1:13" ht="84.9" outlineLevel="3" x14ac:dyDescent="0.3">
      <c r="A167" s="438" t="s">
        <v>11</v>
      </c>
      <c r="B167" s="439" t="s">
        <v>500</v>
      </c>
      <c r="C167" s="439" t="s">
        <v>583</v>
      </c>
      <c r="D167" s="539" t="s">
        <v>585</v>
      </c>
      <c r="E167" s="539" t="s">
        <v>12</v>
      </c>
      <c r="F167" s="540">
        <v>1334332</v>
      </c>
      <c r="G167" s="465">
        <f t="shared" si="26"/>
        <v>1383656</v>
      </c>
      <c r="H167" s="370">
        <v>968820.64</v>
      </c>
      <c r="I167" s="440">
        <f>I168</f>
        <v>1430240</v>
      </c>
      <c r="J167" s="465">
        <f>J168</f>
        <v>1681380</v>
      </c>
      <c r="K167" s="465">
        <f>K168</f>
        <v>1681380</v>
      </c>
      <c r="L167" s="436">
        <f t="shared" si="23"/>
        <v>0</v>
      </c>
      <c r="M167" s="498">
        <f t="shared" si="24"/>
        <v>121.51719791624508</v>
      </c>
    </row>
    <row r="168" spans="1:13" ht="34" outlineLevel="3" x14ac:dyDescent="0.3">
      <c r="A168" s="438" t="s">
        <v>13</v>
      </c>
      <c r="B168" s="439" t="s">
        <v>500</v>
      </c>
      <c r="C168" s="439" t="s">
        <v>583</v>
      </c>
      <c r="D168" s="539" t="s">
        <v>585</v>
      </c>
      <c r="E168" s="539" t="s">
        <v>14</v>
      </c>
      <c r="F168" s="540">
        <v>1334332</v>
      </c>
      <c r="G168" s="465">
        <v>1383656</v>
      </c>
      <c r="H168" s="370">
        <v>968820.64</v>
      </c>
      <c r="I168" s="440">
        <f>'[2]прил 12'!F163</f>
        <v>1430240</v>
      </c>
      <c r="J168" s="510">
        <v>1681380</v>
      </c>
      <c r="K168" s="510">
        <v>1681380</v>
      </c>
      <c r="L168" s="436">
        <f t="shared" si="23"/>
        <v>0</v>
      </c>
      <c r="M168" s="498">
        <f t="shared" si="24"/>
        <v>121.51719791624508</v>
      </c>
    </row>
    <row r="169" spans="1:13" ht="50.95" outlineLevel="3" x14ac:dyDescent="0.3">
      <c r="A169" s="450" t="s">
        <v>723</v>
      </c>
      <c r="B169" s="439" t="s">
        <v>500</v>
      </c>
      <c r="C169" s="439" t="s">
        <v>583</v>
      </c>
      <c r="D169" s="539" t="s">
        <v>728</v>
      </c>
      <c r="E169" s="539" t="s">
        <v>6</v>
      </c>
      <c r="F169" s="540">
        <v>130766.76</v>
      </c>
      <c r="G169" s="465">
        <f t="shared" ref="G169:K170" si="27">G170</f>
        <v>243000</v>
      </c>
      <c r="H169" s="440">
        <f t="shared" si="27"/>
        <v>221108.82</v>
      </c>
      <c r="I169" s="440">
        <f t="shared" si="27"/>
        <v>270000</v>
      </c>
      <c r="J169" s="465">
        <f t="shared" si="27"/>
        <v>270000</v>
      </c>
      <c r="K169" s="465">
        <f t="shared" si="27"/>
        <v>270000</v>
      </c>
      <c r="L169" s="436">
        <f t="shared" si="23"/>
        <v>0</v>
      </c>
      <c r="M169" s="498">
        <f t="shared" si="24"/>
        <v>111.11111111111111</v>
      </c>
    </row>
    <row r="170" spans="1:13" ht="84.9" outlineLevel="3" x14ac:dyDescent="0.3">
      <c r="A170" s="438" t="s">
        <v>11</v>
      </c>
      <c r="B170" s="439" t="s">
        <v>500</v>
      </c>
      <c r="C170" s="439" t="s">
        <v>583</v>
      </c>
      <c r="D170" s="539" t="s">
        <v>728</v>
      </c>
      <c r="E170" s="539" t="s">
        <v>12</v>
      </c>
      <c r="F170" s="540">
        <v>130766.76</v>
      </c>
      <c r="G170" s="465">
        <f t="shared" si="27"/>
        <v>243000</v>
      </c>
      <c r="H170" s="370">
        <v>221108.82</v>
      </c>
      <c r="I170" s="440">
        <f t="shared" si="27"/>
        <v>270000</v>
      </c>
      <c r="J170" s="465">
        <f t="shared" si="27"/>
        <v>270000</v>
      </c>
      <c r="K170" s="465">
        <f t="shared" si="27"/>
        <v>270000</v>
      </c>
      <c r="L170" s="436">
        <f t="shared" si="23"/>
        <v>0</v>
      </c>
      <c r="M170" s="498">
        <f t="shared" si="24"/>
        <v>111.11111111111111</v>
      </c>
    </row>
    <row r="171" spans="1:13" ht="34" outlineLevel="3" x14ac:dyDescent="0.3">
      <c r="A171" s="438" t="s">
        <v>13</v>
      </c>
      <c r="B171" s="439" t="s">
        <v>500</v>
      </c>
      <c r="C171" s="439" t="s">
        <v>583</v>
      </c>
      <c r="D171" s="539" t="s">
        <v>728</v>
      </c>
      <c r="E171" s="539" t="s">
        <v>14</v>
      </c>
      <c r="F171" s="540">
        <v>130766.76</v>
      </c>
      <c r="G171" s="465">
        <f>[2]потребность!I166</f>
        <v>243000</v>
      </c>
      <c r="H171" s="370">
        <v>221108.82</v>
      </c>
      <c r="I171" s="440">
        <f>'[2]прил 12'!F166</f>
        <v>270000</v>
      </c>
      <c r="J171" s="466">
        <v>270000</v>
      </c>
      <c r="K171" s="466">
        <v>270000</v>
      </c>
      <c r="L171" s="436">
        <f t="shared" si="23"/>
        <v>0</v>
      </c>
      <c r="M171" s="498">
        <f t="shared" si="24"/>
        <v>111.11111111111111</v>
      </c>
    </row>
    <row r="172" spans="1:13" ht="34" outlineLevel="3" x14ac:dyDescent="0.3">
      <c r="A172" s="444" t="s">
        <v>41</v>
      </c>
      <c r="B172" s="445" t="s">
        <v>500</v>
      </c>
      <c r="C172" s="445" t="s">
        <v>42</v>
      </c>
      <c r="D172" s="541" t="s">
        <v>126</v>
      </c>
      <c r="E172" s="541" t="s">
        <v>6</v>
      </c>
      <c r="F172" s="540">
        <v>11670348.939999999</v>
      </c>
      <c r="G172" s="508">
        <f>G173+G178</f>
        <v>991747.04</v>
      </c>
      <c r="H172" s="446">
        <f>H173+H178</f>
        <v>380730.4</v>
      </c>
      <c r="I172" s="446">
        <f>I173+I178</f>
        <v>400000</v>
      </c>
      <c r="J172" s="508">
        <f>J173+J178</f>
        <v>1805000</v>
      </c>
      <c r="K172" s="508">
        <f>K173+K178</f>
        <v>805000</v>
      </c>
      <c r="L172" s="436">
        <f t="shared" si="23"/>
        <v>-1000000</v>
      </c>
      <c r="M172" s="498">
        <f t="shared" si="24"/>
        <v>182.00205568549012</v>
      </c>
    </row>
    <row r="173" spans="1:13" ht="50.95" outlineLevel="3" x14ac:dyDescent="0.3">
      <c r="A173" s="438" t="s">
        <v>43</v>
      </c>
      <c r="B173" s="439" t="s">
        <v>500</v>
      </c>
      <c r="C173" s="439" t="s">
        <v>44</v>
      </c>
      <c r="D173" s="539" t="s">
        <v>126</v>
      </c>
      <c r="E173" s="539" t="s">
        <v>6</v>
      </c>
      <c r="F173" s="540">
        <v>11433943.199999999</v>
      </c>
      <c r="G173" s="465">
        <f t="shared" ref="G173:K176" si="28">G174</f>
        <v>406747.04000000004</v>
      </c>
      <c r="H173" s="440">
        <f t="shared" si="28"/>
        <v>0</v>
      </c>
      <c r="I173" s="440">
        <f t="shared" si="28"/>
        <v>200000</v>
      </c>
      <c r="J173" s="465">
        <f t="shared" si="28"/>
        <v>200000</v>
      </c>
      <c r="K173" s="465">
        <f t="shared" si="28"/>
        <v>200000</v>
      </c>
      <c r="L173" s="436">
        <f t="shared" si="23"/>
        <v>0</v>
      </c>
      <c r="M173" s="498">
        <f t="shared" si="24"/>
        <v>49.170609821770306</v>
      </c>
    </row>
    <row r="174" spans="1:13" ht="34" outlineLevel="3" x14ac:dyDescent="0.3">
      <c r="A174" s="438" t="s">
        <v>132</v>
      </c>
      <c r="B174" s="439" t="s">
        <v>500</v>
      </c>
      <c r="C174" s="439" t="s">
        <v>44</v>
      </c>
      <c r="D174" s="539" t="s">
        <v>127</v>
      </c>
      <c r="E174" s="539" t="s">
        <v>6</v>
      </c>
      <c r="F174" s="540">
        <v>11433943.199999999</v>
      </c>
      <c r="G174" s="465">
        <f t="shared" si="28"/>
        <v>406747.04000000004</v>
      </c>
      <c r="H174" s="440">
        <f t="shared" si="28"/>
        <v>0</v>
      </c>
      <c r="I174" s="440">
        <f t="shared" si="28"/>
        <v>200000</v>
      </c>
      <c r="J174" s="465">
        <f t="shared" si="28"/>
        <v>200000</v>
      </c>
      <c r="K174" s="465">
        <f t="shared" si="28"/>
        <v>200000</v>
      </c>
      <c r="L174" s="436">
        <f t="shared" si="23"/>
        <v>0</v>
      </c>
      <c r="M174" s="498">
        <f t="shared" si="24"/>
        <v>49.170609821770306</v>
      </c>
    </row>
    <row r="175" spans="1:13" s="449" customFormat="1" ht="34" outlineLevel="1" x14ac:dyDescent="0.3">
      <c r="A175" s="438" t="s">
        <v>45</v>
      </c>
      <c r="B175" s="439" t="s">
        <v>500</v>
      </c>
      <c r="C175" s="439" t="s">
        <v>44</v>
      </c>
      <c r="D175" s="539" t="s">
        <v>133</v>
      </c>
      <c r="E175" s="539" t="s">
        <v>6</v>
      </c>
      <c r="F175" s="540">
        <v>11433943.199999999</v>
      </c>
      <c r="G175" s="465">
        <f t="shared" si="28"/>
        <v>406747.04000000004</v>
      </c>
      <c r="H175" s="440">
        <f t="shared" si="28"/>
        <v>0</v>
      </c>
      <c r="I175" s="440">
        <f t="shared" si="28"/>
        <v>200000</v>
      </c>
      <c r="J175" s="465">
        <f t="shared" si="28"/>
        <v>200000</v>
      </c>
      <c r="K175" s="465">
        <f t="shared" si="28"/>
        <v>200000</v>
      </c>
      <c r="L175" s="436">
        <f t="shared" si="23"/>
        <v>0</v>
      </c>
      <c r="M175" s="498">
        <f t="shared" si="24"/>
        <v>49.170609821770306</v>
      </c>
    </row>
    <row r="176" spans="1:13" ht="34" outlineLevel="2" x14ac:dyDescent="0.3">
      <c r="A176" s="438" t="s">
        <v>15</v>
      </c>
      <c r="B176" s="439" t="s">
        <v>500</v>
      </c>
      <c r="C176" s="439" t="s">
        <v>44</v>
      </c>
      <c r="D176" s="539" t="s">
        <v>133</v>
      </c>
      <c r="E176" s="539" t="s">
        <v>16</v>
      </c>
      <c r="F176" s="540">
        <v>11433943.199999999</v>
      </c>
      <c r="G176" s="465">
        <f t="shared" si="28"/>
        <v>406747.04000000004</v>
      </c>
      <c r="H176" s="440">
        <v>0</v>
      </c>
      <c r="I176" s="440">
        <f t="shared" si="28"/>
        <v>200000</v>
      </c>
      <c r="J176" s="465">
        <f t="shared" si="28"/>
        <v>200000</v>
      </c>
      <c r="K176" s="465">
        <f t="shared" si="28"/>
        <v>200000</v>
      </c>
      <c r="L176" s="436">
        <f t="shared" si="23"/>
        <v>0</v>
      </c>
      <c r="M176" s="498">
        <f t="shared" si="24"/>
        <v>49.170609821770306</v>
      </c>
    </row>
    <row r="177" spans="1:13" ht="34" outlineLevel="4" x14ac:dyDescent="0.3">
      <c r="A177" s="438" t="s">
        <v>17</v>
      </c>
      <c r="B177" s="439" t="s">
        <v>500</v>
      </c>
      <c r="C177" s="439" t="s">
        <v>44</v>
      </c>
      <c r="D177" s="539" t="s">
        <v>133</v>
      </c>
      <c r="E177" s="539" t="s">
        <v>18</v>
      </c>
      <c r="F177" s="540">
        <v>11433943.199999999</v>
      </c>
      <c r="G177" s="465">
        <f>[2]потребность!I172</f>
        <v>406747.04000000004</v>
      </c>
      <c r="H177" s="440">
        <v>0</v>
      </c>
      <c r="I177" s="440">
        <f>'[2]прил 12'!F172</f>
        <v>200000</v>
      </c>
      <c r="J177" s="466">
        <v>200000</v>
      </c>
      <c r="K177" s="466">
        <v>200000</v>
      </c>
      <c r="L177" s="436">
        <f t="shared" si="23"/>
        <v>0</v>
      </c>
      <c r="M177" s="498">
        <f t="shared" si="24"/>
        <v>49.170609821770306</v>
      </c>
    </row>
    <row r="178" spans="1:13" outlineLevel="5" x14ac:dyDescent="0.3">
      <c r="A178" s="438" t="s">
        <v>504</v>
      </c>
      <c r="B178" s="439" t="s">
        <v>500</v>
      </c>
      <c r="C178" s="439" t="s">
        <v>505</v>
      </c>
      <c r="D178" s="539" t="s">
        <v>126</v>
      </c>
      <c r="E178" s="539" t="s">
        <v>6</v>
      </c>
      <c r="F178" s="540">
        <v>236405.74</v>
      </c>
      <c r="G178" s="465">
        <f t="shared" ref="G178:K181" si="29">G179</f>
        <v>585000</v>
      </c>
      <c r="H178" s="440">
        <f t="shared" si="29"/>
        <v>380730.4</v>
      </c>
      <c r="I178" s="440">
        <f t="shared" si="29"/>
        <v>200000</v>
      </c>
      <c r="J178" s="465">
        <f t="shared" si="29"/>
        <v>1605000</v>
      </c>
      <c r="K178" s="465">
        <f t="shared" si="29"/>
        <v>605000</v>
      </c>
      <c r="L178" s="436">
        <f t="shared" si="23"/>
        <v>-1000000</v>
      </c>
      <c r="M178" s="498">
        <f t="shared" si="24"/>
        <v>274.35897435897436</v>
      </c>
    </row>
    <row r="179" spans="1:13" ht="34" outlineLevel="6" x14ac:dyDescent="0.3">
      <c r="A179" s="438" t="s">
        <v>132</v>
      </c>
      <c r="B179" s="439" t="s">
        <v>500</v>
      </c>
      <c r="C179" s="439" t="s">
        <v>505</v>
      </c>
      <c r="D179" s="539" t="s">
        <v>127</v>
      </c>
      <c r="E179" s="539" t="s">
        <v>6</v>
      </c>
      <c r="F179" s="540">
        <v>236405.74</v>
      </c>
      <c r="G179" s="465">
        <f t="shared" si="29"/>
        <v>585000</v>
      </c>
      <c r="H179" s="440">
        <f t="shared" si="29"/>
        <v>380730.4</v>
      </c>
      <c r="I179" s="440">
        <f t="shared" si="29"/>
        <v>200000</v>
      </c>
      <c r="J179" s="465">
        <f t="shared" si="29"/>
        <v>1605000</v>
      </c>
      <c r="K179" s="465">
        <f t="shared" si="29"/>
        <v>605000</v>
      </c>
      <c r="L179" s="436">
        <f t="shared" si="23"/>
        <v>-1000000</v>
      </c>
      <c r="M179" s="498">
        <f t="shared" si="24"/>
        <v>274.35897435897436</v>
      </c>
    </row>
    <row r="180" spans="1:13" ht="36" customHeight="1" outlineLevel="7" x14ac:dyDescent="0.3">
      <c r="A180" s="438" t="s">
        <v>506</v>
      </c>
      <c r="B180" s="439" t="s">
        <v>500</v>
      </c>
      <c r="C180" s="439" t="s">
        <v>505</v>
      </c>
      <c r="D180" s="539" t="s">
        <v>685</v>
      </c>
      <c r="E180" s="539" t="s">
        <v>6</v>
      </c>
      <c r="F180" s="540">
        <v>236405.74</v>
      </c>
      <c r="G180" s="465">
        <f t="shared" si="29"/>
        <v>585000</v>
      </c>
      <c r="H180" s="440">
        <f t="shared" si="29"/>
        <v>380730.4</v>
      </c>
      <c r="I180" s="440">
        <f t="shared" si="29"/>
        <v>200000</v>
      </c>
      <c r="J180" s="465">
        <f t="shared" si="29"/>
        <v>1605000</v>
      </c>
      <c r="K180" s="465">
        <f t="shared" si="29"/>
        <v>605000</v>
      </c>
      <c r="L180" s="436">
        <f t="shared" si="23"/>
        <v>-1000000</v>
      </c>
      <c r="M180" s="498">
        <f t="shared" si="24"/>
        <v>274.35897435897436</v>
      </c>
    </row>
    <row r="181" spans="1:13" ht="20.25" customHeight="1" outlineLevel="7" x14ac:dyDescent="0.3">
      <c r="A181" s="438" t="s">
        <v>15</v>
      </c>
      <c r="B181" s="439" t="s">
        <v>500</v>
      </c>
      <c r="C181" s="439" t="s">
        <v>505</v>
      </c>
      <c r="D181" s="539" t="s">
        <v>685</v>
      </c>
      <c r="E181" s="539" t="s">
        <v>16</v>
      </c>
      <c r="F181" s="540">
        <v>236405.74</v>
      </c>
      <c r="G181" s="465">
        <f t="shared" si="29"/>
        <v>585000</v>
      </c>
      <c r="H181" s="370">
        <v>380730.4</v>
      </c>
      <c r="I181" s="440">
        <f t="shared" si="29"/>
        <v>200000</v>
      </c>
      <c r="J181" s="465">
        <f t="shared" si="29"/>
        <v>1605000</v>
      </c>
      <c r="K181" s="465">
        <f t="shared" si="29"/>
        <v>605000</v>
      </c>
      <c r="L181" s="436">
        <f t="shared" si="23"/>
        <v>-1000000</v>
      </c>
      <c r="M181" s="498">
        <f t="shared" si="24"/>
        <v>274.35897435897436</v>
      </c>
    </row>
    <row r="182" spans="1:13" ht="34" outlineLevel="7" x14ac:dyDescent="0.3">
      <c r="A182" s="438" t="s">
        <v>17</v>
      </c>
      <c r="B182" s="439" t="s">
        <v>500</v>
      </c>
      <c r="C182" s="439" t="s">
        <v>505</v>
      </c>
      <c r="D182" s="539" t="s">
        <v>685</v>
      </c>
      <c r="E182" s="539" t="s">
        <v>18</v>
      </c>
      <c r="F182" s="540">
        <v>236405.74</v>
      </c>
      <c r="G182" s="465">
        <v>585000</v>
      </c>
      <c r="H182" s="370">
        <v>380730.4</v>
      </c>
      <c r="I182" s="440">
        <f>'[2]прил 12'!F177</f>
        <v>200000</v>
      </c>
      <c r="J182" s="466">
        <v>1605000</v>
      </c>
      <c r="K182" s="512">
        <f>J182-1000000</f>
        <v>605000</v>
      </c>
      <c r="L182" s="436">
        <f t="shared" si="23"/>
        <v>-1000000</v>
      </c>
      <c r="M182" s="498">
        <f t="shared" si="24"/>
        <v>274.35897435897436</v>
      </c>
    </row>
    <row r="183" spans="1:13" ht="20.25" customHeight="1" outlineLevel="7" x14ac:dyDescent="0.3">
      <c r="A183" s="444" t="s">
        <v>119</v>
      </c>
      <c r="B183" s="445" t="s">
        <v>500</v>
      </c>
      <c r="C183" s="445" t="s">
        <v>46</v>
      </c>
      <c r="D183" s="541" t="s">
        <v>126</v>
      </c>
      <c r="E183" s="541" t="s">
        <v>6</v>
      </c>
      <c r="F183" s="540">
        <v>46732107.039999999</v>
      </c>
      <c r="G183" s="508">
        <f>G201+G190+G213+G184</f>
        <v>29220883.93</v>
      </c>
      <c r="H183" s="446">
        <f>H201+H190+H213+H184</f>
        <v>12362901.439999999</v>
      </c>
      <c r="I183" s="446">
        <f>I201+I190+I213+I184</f>
        <v>14114514.17</v>
      </c>
      <c r="J183" s="508">
        <f>J201+J190+J213+J184</f>
        <v>16168133.93</v>
      </c>
      <c r="K183" s="508">
        <f>K201+K190+K213+K184</f>
        <v>16168133.93</v>
      </c>
      <c r="L183" s="436">
        <f t="shared" si="23"/>
        <v>0</v>
      </c>
      <c r="M183" s="498">
        <f t="shared" si="24"/>
        <v>55.330748955888964</v>
      </c>
    </row>
    <row r="184" spans="1:13" outlineLevel="7" x14ac:dyDescent="0.3">
      <c r="A184" s="438" t="s">
        <v>121</v>
      </c>
      <c r="B184" s="439" t="s">
        <v>500</v>
      </c>
      <c r="C184" s="439" t="s">
        <v>122</v>
      </c>
      <c r="D184" s="539" t="s">
        <v>126</v>
      </c>
      <c r="E184" s="539" t="s">
        <v>6</v>
      </c>
      <c r="F184" s="539" t="s">
        <v>976</v>
      </c>
      <c r="G184" s="465">
        <f>G185</f>
        <v>1122746.8500000001</v>
      </c>
      <c r="H184" s="440">
        <f>H185</f>
        <v>217322.94</v>
      </c>
      <c r="I184" s="440">
        <f>I185</f>
        <v>324127.09000000003</v>
      </c>
      <c r="J184" s="465">
        <f>J185</f>
        <v>1122746.8500000001</v>
      </c>
      <c r="K184" s="465">
        <f>K185</f>
        <v>1122746.8500000001</v>
      </c>
      <c r="L184" s="436">
        <f t="shared" si="23"/>
        <v>0</v>
      </c>
      <c r="M184" s="498">
        <f t="shared" si="24"/>
        <v>100</v>
      </c>
    </row>
    <row r="185" spans="1:13" ht="34" outlineLevel="7" x14ac:dyDescent="0.3">
      <c r="A185" s="444" t="s">
        <v>132</v>
      </c>
      <c r="B185" s="439" t="s">
        <v>500</v>
      </c>
      <c r="C185" s="445" t="s">
        <v>122</v>
      </c>
      <c r="D185" s="541" t="s">
        <v>127</v>
      </c>
      <c r="E185" s="541" t="s">
        <v>6</v>
      </c>
      <c r="F185" s="541" t="s">
        <v>976</v>
      </c>
      <c r="G185" s="508">
        <f>G187</f>
        <v>1122746.8500000001</v>
      </c>
      <c r="H185" s="446">
        <f>H187</f>
        <v>217322.94</v>
      </c>
      <c r="I185" s="446">
        <f>I187</f>
        <v>324127.09000000003</v>
      </c>
      <c r="J185" s="508">
        <f>J187</f>
        <v>1122746.8500000001</v>
      </c>
      <c r="K185" s="508">
        <f>K187</f>
        <v>1122746.8500000001</v>
      </c>
      <c r="L185" s="436">
        <f t="shared" si="23"/>
        <v>0</v>
      </c>
      <c r="M185" s="498">
        <f t="shared" si="24"/>
        <v>100</v>
      </c>
    </row>
    <row r="186" spans="1:13" s="449" customFormat="1" outlineLevel="7" x14ac:dyDescent="0.3">
      <c r="A186" s="438" t="s">
        <v>277</v>
      </c>
      <c r="B186" s="439" t="s">
        <v>500</v>
      </c>
      <c r="C186" s="439" t="s">
        <v>122</v>
      </c>
      <c r="D186" s="539" t="s">
        <v>276</v>
      </c>
      <c r="E186" s="539" t="s">
        <v>6</v>
      </c>
      <c r="F186" s="539" t="s">
        <v>976</v>
      </c>
      <c r="G186" s="465">
        <f t="shared" ref="G186:K188" si="30">G187</f>
        <v>1122746.8500000001</v>
      </c>
      <c r="H186" s="440">
        <f t="shared" si="30"/>
        <v>217322.94</v>
      </c>
      <c r="I186" s="440">
        <f t="shared" si="30"/>
        <v>324127.09000000003</v>
      </c>
      <c r="J186" s="465">
        <f t="shared" si="30"/>
        <v>1122746.8500000001</v>
      </c>
      <c r="K186" s="465">
        <f t="shared" si="30"/>
        <v>1122746.8500000001</v>
      </c>
      <c r="L186" s="436">
        <f t="shared" si="23"/>
        <v>0</v>
      </c>
      <c r="M186" s="498">
        <f t="shared" si="24"/>
        <v>100</v>
      </c>
    </row>
    <row r="187" spans="1:13" ht="84.75" customHeight="1" outlineLevel="7" x14ac:dyDescent="0.3">
      <c r="A187" s="450" t="s">
        <v>383</v>
      </c>
      <c r="B187" s="439" t="s">
        <v>500</v>
      </c>
      <c r="C187" s="439" t="s">
        <v>122</v>
      </c>
      <c r="D187" s="539" t="s">
        <v>286</v>
      </c>
      <c r="E187" s="539" t="s">
        <v>6</v>
      </c>
      <c r="F187" s="539" t="s">
        <v>976</v>
      </c>
      <c r="G187" s="465">
        <f t="shared" si="30"/>
        <v>1122746.8500000001</v>
      </c>
      <c r="H187" s="440">
        <f t="shared" si="30"/>
        <v>217322.94</v>
      </c>
      <c r="I187" s="440">
        <f t="shared" si="30"/>
        <v>324127.09000000003</v>
      </c>
      <c r="J187" s="513">
        <f t="shared" si="30"/>
        <v>1122746.8500000001</v>
      </c>
      <c r="K187" s="513">
        <f t="shared" si="30"/>
        <v>1122746.8500000001</v>
      </c>
      <c r="L187" s="436">
        <f t="shared" si="23"/>
        <v>0</v>
      </c>
      <c r="M187" s="498">
        <f t="shared" si="24"/>
        <v>100</v>
      </c>
    </row>
    <row r="188" spans="1:13" ht="34" outlineLevel="7" x14ac:dyDescent="0.3">
      <c r="A188" s="438" t="s">
        <v>15</v>
      </c>
      <c r="B188" s="439" t="s">
        <v>500</v>
      </c>
      <c r="C188" s="439" t="s">
        <v>122</v>
      </c>
      <c r="D188" s="539" t="s">
        <v>286</v>
      </c>
      <c r="E188" s="539" t="s">
        <v>16</v>
      </c>
      <c r="F188" s="539" t="s">
        <v>976</v>
      </c>
      <c r="G188" s="465">
        <f t="shared" si="30"/>
        <v>1122746.8500000001</v>
      </c>
      <c r="H188" s="371">
        <v>217322.94</v>
      </c>
      <c r="I188" s="440">
        <f t="shared" si="30"/>
        <v>324127.09000000003</v>
      </c>
      <c r="J188" s="465">
        <f t="shared" si="30"/>
        <v>1122746.8500000001</v>
      </c>
      <c r="K188" s="465">
        <f t="shared" si="30"/>
        <v>1122746.8500000001</v>
      </c>
      <c r="L188" s="436">
        <f t="shared" si="23"/>
        <v>0</v>
      </c>
      <c r="M188" s="498">
        <f t="shared" si="24"/>
        <v>100</v>
      </c>
    </row>
    <row r="189" spans="1:13" ht="34" outlineLevel="7" x14ac:dyDescent="0.3">
      <c r="A189" s="438" t="s">
        <v>17</v>
      </c>
      <c r="B189" s="439" t="s">
        <v>500</v>
      </c>
      <c r="C189" s="439" t="s">
        <v>122</v>
      </c>
      <c r="D189" s="539" t="s">
        <v>286</v>
      </c>
      <c r="E189" s="539" t="s">
        <v>18</v>
      </c>
      <c r="F189" s="539" t="s">
        <v>976</v>
      </c>
      <c r="G189" s="465">
        <f>324127.09+798619.76</f>
        <v>1122746.8500000001</v>
      </c>
      <c r="H189" s="371">
        <v>217322.94</v>
      </c>
      <c r="I189" s="440">
        <f>'[2]прил 12'!F184</f>
        <v>324127.09000000003</v>
      </c>
      <c r="J189" s="510">
        <v>1122746.8500000001</v>
      </c>
      <c r="K189" s="510">
        <v>1122746.8500000001</v>
      </c>
      <c r="L189" s="436">
        <f t="shared" si="23"/>
        <v>0</v>
      </c>
      <c r="M189" s="498">
        <f t="shared" si="24"/>
        <v>100</v>
      </c>
    </row>
    <row r="190" spans="1:13" outlineLevel="7" x14ac:dyDescent="0.3">
      <c r="A190" s="438" t="s">
        <v>290</v>
      </c>
      <c r="B190" s="439" t="s">
        <v>500</v>
      </c>
      <c r="C190" s="439" t="s">
        <v>291</v>
      </c>
      <c r="D190" s="539" t="s">
        <v>126</v>
      </c>
      <c r="E190" s="539" t="s">
        <v>6</v>
      </c>
      <c r="F190" s="539"/>
      <c r="G190" s="465">
        <f>G191+G198</f>
        <v>103387.08</v>
      </c>
      <c r="H190" s="440">
        <f>H191+H198</f>
        <v>0</v>
      </c>
      <c r="I190" s="440">
        <f>I191+I198</f>
        <v>103387.08</v>
      </c>
      <c r="J190" s="465">
        <f>J191+J198</f>
        <v>103387.08</v>
      </c>
      <c r="K190" s="465">
        <f>K191+K198</f>
        <v>103387.08</v>
      </c>
      <c r="L190" s="436">
        <f t="shared" si="23"/>
        <v>0</v>
      </c>
      <c r="M190" s="498">
        <f t="shared" si="24"/>
        <v>100.00000000000001</v>
      </c>
    </row>
    <row r="191" spans="1:13" ht="34" outlineLevel="7" x14ac:dyDescent="0.3">
      <c r="A191" s="438" t="s">
        <v>132</v>
      </c>
      <c r="B191" s="439" t="s">
        <v>500</v>
      </c>
      <c r="C191" s="439" t="s">
        <v>291</v>
      </c>
      <c r="D191" s="539" t="s">
        <v>127</v>
      </c>
      <c r="E191" s="539" t="s">
        <v>6</v>
      </c>
      <c r="F191" s="539"/>
      <c r="G191" s="465">
        <f>G193</f>
        <v>3387.08</v>
      </c>
      <c r="H191" s="440">
        <f>H193</f>
        <v>0</v>
      </c>
      <c r="I191" s="440">
        <f t="shared" ref="I191:K194" si="31">I192</f>
        <v>3387.08</v>
      </c>
      <c r="J191" s="465">
        <f t="shared" si="31"/>
        <v>3387.08</v>
      </c>
      <c r="K191" s="465">
        <f t="shared" si="31"/>
        <v>3387.08</v>
      </c>
      <c r="L191" s="436">
        <f t="shared" si="23"/>
        <v>0</v>
      </c>
      <c r="M191" s="498">
        <f t="shared" si="24"/>
        <v>99.999999999999986</v>
      </c>
    </row>
    <row r="192" spans="1:13" ht="20.25" customHeight="1" outlineLevel="7" x14ac:dyDescent="0.3">
      <c r="A192" s="438" t="s">
        <v>277</v>
      </c>
      <c r="B192" s="439" t="s">
        <v>500</v>
      </c>
      <c r="C192" s="439" t="s">
        <v>291</v>
      </c>
      <c r="D192" s="539" t="s">
        <v>276</v>
      </c>
      <c r="E192" s="539" t="s">
        <v>6</v>
      </c>
      <c r="F192" s="539"/>
      <c r="G192" s="465">
        <f>G193</f>
        <v>3387.08</v>
      </c>
      <c r="H192" s="440">
        <f>H193</f>
        <v>0</v>
      </c>
      <c r="I192" s="440">
        <f t="shared" si="31"/>
        <v>3387.08</v>
      </c>
      <c r="J192" s="465">
        <f t="shared" si="31"/>
        <v>3387.08</v>
      </c>
      <c r="K192" s="465">
        <f t="shared" si="31"/>
        <v>3387.08</v>
      </c>
      <c r="L192" s="436">
        <f t="shared" si="23"/>
        <v>0</v>
      </c>
      <c r="M192" s="498">
        <f t="shared" si="24"/>
        <v>99.999999999999986</v>
      </c>
    </row>
    <row r="193" spans="1:13" ht="118.9" outlineLevel="7" x14ac:dyDescent="0.3">
      <c r="A193" s="393" t="s">
        <v>385</v>
      </c>
      <c r="B193" s="439" t="s">
        <v>500</v>
      </c>
      <c r="C193" s="439" t="s">
        <v>291</v>
      </c>
      <c r="D193" s="539" t="s">
        <v>384</v>
      </c>
      <c r="E193" s="539" t="s">
        <v>6</v>
      </c>
      <c r="F193" s="539"/>
      <c r="G193" s="465">
        <f>G194</f>
        <v>3387.08</v>
      </c>
      <c r="H193" s="440">
        <f>H194</f>
        <v>0</v>
      </c>
      <c r="I193" s="440">
        <f t="shared" si="31"/>
        <v>3387.08</v>
      </c>
      <c r="J193" s="513">
        <f t="shared" si="31"/>
        <v>3387.08</v>
      </c>
      <c r="K193" s="513">
        <f t="shared" si="31"/>
        <v>3387.08</v>
      </c>
      <c r="L193" s="436">
        <f t="shared" si="23"/>
        <v>0</v>
      </c>
      <c r="M193" s="498">
        <f t="shared" si="24"/>
        <v>99.999999999999986</v>
      </c>
    </row>
    <row r="194" spans="1:13" ht="34" outlineLevel="7" x14ac:dyDescent="0.3">
      <c r="A194" s="438" t="s">
        <v>15</v>
      </c>
      <c r="B194" s="439" t="s">
        <v>500</v>
      </c>
      <c r="C194" s="439" t="s">
        <v>291</v>
      </c>
      <c r="D194" s="539" t="s">
        <v>384</v>
      </c>
      <c r="E194" s="539" t="s">
        <v>16</v>
      </c>
      <c r="F194" s="539"/>
      <c r="G194" s="465">
        <f>G195</f>
        <v>3387.08</v>
      </c>
      <c r="H194" s="440">
        <v>0</v>
      </c>
      <c r="I194" s="440">
        <f t="shared" si="31"/>
        <v>3387.08</v>
      </c>
      <c r="J194" s="465">
        <f t="shared" si="31"/>
        <v>3387.08</v>
      </c>
      <c r="K194" s="465">
        <f t="shared" si="31"/>
        <v>3387.08</v>
      </c>
      <c r="L194" s="436">
        <f t="shared" si="23"/>
        <v>0</v>
      </c>
      <c r="M194" s="498">
        <f t="shared" si="24"/>
        <v>99.999999999999986</v>
      </c>
    </row>
    <row r="195" spans="1:13" s="449" customFormat="1" ht="34" outlineLevel="7" x14ac:dyDescent="0.3">
      <c r="A195" s="438" t="s">
        <v>17</v>
      </c>
      <c r="B195" s="439" t="s">
        <v>500</v>
      </c>
      <c r="C195" s="439" t="s">
        <v>291</v>
      </c>
      <c r="D195" s="539" t="s">
        <v>384</v>
      </c>
      <c r="E195" s="539" t="s">
        <v>18</v>
      </c>
      <c r="F195" s="539"/>
      <c r="G195" s="466">
        <v>3387.08</v>
      </c>
      <c r="H195" s="442">
        <v>0</v>
      </c>
      <c r="I195" s="442">
        <f>'[2]прил 12'!F190</f>
        <v>3387.08</v>
      </c>
      <c r="J195" s="514">
        <v>3387.08</v>
      </c>
      <c r="K195" s="514">
        <v>3387.08</v>
      </c>
      <c r="L195" s="436">
        <f t="shared" si="23"/>
        <v>0</v>
      </c>
      <c r="M195" s="498">
        <f t="shared" si="24"/>
        <v>99.999999999999986</v>
      </c>
    </row>
    <row r="196" spans="1:13" s="449" customFormat="1" ht="67.95" outlineLevel="7" x14ac:dyDescent="0.3">
      <c r="A196" s="451" t="s">
        <v>821</v>
      </c>
      <c r="B196" s="439" t="s">
        <v>500</v>
      </c>
      <c r="C196" s="439" t="s">
        <v>291</v>
      </c>
      <c r="D196" s="539" t="s">
        <v>320</v>
      </c>
      <c r="E196" s="539" t="s">
        <v>6</v>
      </c>
      <c r="F196" s="539"/>
      <c r="G196" s="466">
        <f t="shared" ref="G196:K199" si="32">G197</f>
        <v>100000</v>
      </c>
      <c r="H196" s="442">
        <f t="shared" si="32"/>
        <v>0</v>
      </c>
      <c r="I196" s="442">
        <f t="shared" si="32"/>
        <v>100000</v>
      </c>
      <c r="J196" s="466">
        <f t="shared" si="32"/>
        <v>100000</v>
      </c>
      <c r="K196" s="466">
        <f t="shared" si="32"/>
        <v>100000</v>
      </c>
      <c r="L196" s="436">
        <f t="shared" si="23"/>
        <v>0</v>
      </c>
      <c r="M196" s="498">
        <f t="shared" si="24"/>
        <v>100</v>
      </c>
    </row>
    <row r="197" spans="1:13" s="449" customFormat="1" ht="34" outlineLevel="7" x14ac:dyDescent="0.3">
      <c r="A197" s="455" t="s">
        <v>808</v>
      </c>
      <c r="B197" s="439" t="s">
        <v>500</v>
      </c>
      <c r="C197" s="439" t="s">
        <v>291</v>
      </c>
      <c r="D197" s="539" t="s">
        <v>809</v>
      </c>
      <c r="E197" s="539" t="s">
        <v>6</v>
      </c>
      <c r="F197" s="539"/>
      <c r="G197" s="466">
        <f t="shared" si="32"/>
        <v>100000</v>
      </c>
      <c r="H197" s="442">
        <f t="shared" si="32"/>
        <v>0</v>
      </c>
      <c r="I197" s="442">
        <f t="shared" si="32"/>
        <v>100000</v>
      </c>
      <c r="J197" s="466">
        <f t="shared" si="32"/>
        <v>100000</v>
      </c>
      <c r="K197" s="466">
        <f t="shared" si="32"/>
        <v>100000</v>
      </c>
      <c r="L197" s="436">
        <f t="shared" si="23"/>
        <v>0</v>
      </c>
      <c r="M197" s="498">
        <f t="shared" si="24"/>
        <v>100</v>
      </c>
    </row>
    <row r="198" spans="1:13" s="449" customFormat="1" ht="101.9" outlineLevel="7" x14ac:dyDescent="0.3">
      <c r="A198" s="450" t="s">
        <v>811</v>
      </c>
      <c r="B198" s="439" t="s">
        <v>500</v>
      </c>
      <c r="C198" s="439" t="s">
        <v>291</v>
      </c>
      <c r="D198" s="539" t="s">
        <v>810</v>
      </c>
      <c r="E198" s="539" t="s">
        <v>6</v>
      </c>
      <c r="F198" s="539"/>
      <c r="G198" s="466">
        <f t="shared" si="32"/>
        <v>100000</v>
      </c>
      <c r="H198" s="442">
        <f t="shared" si="32"/>
        <v>0</v>
      </c>
      <c r="I198" s="442">
        <f t="shared" si="32"/>
        <v>100000</v>
      </c>
      <c r="J198" s="466">
        <f t="shared" si="32"/>
        <v>100000</v>
      </c>
      <c r="K198" s="466">
        <f t="shared" si="32"/>
        <v>100000</v>
      </c>
      <c r="L198" s="436">
        <f t="shared" si="23"/>
        <v>0</v>
      </c>
      <c r="M198" s="498">
        <f t="shared" si="24"/>
        <v>100</v>
      </c>
    </row>
    <row r="199" spans="1:13" s="449" customFormat="1" ht="34" outlineLevel="7" x14ac:dyDescent="0.3">
      <c r="A199" s="455" t="s">
        <v>772</v>
      </c>
      <c r="B199" s="439" t="s">
        <v>500</v>
      </c>
      <c r="C199" s="439" t="s">
        <v>291</v>
      </c>
      <c r="D199" s="539" t="s">
        <v>810</v>
      </c>
      <c r="E199" s="539" t="s">
        <v>20</v>
      </c>
      <c r="F199" s="539"/>
      <c r="G199" s="466">
        <f t="shared" si="32"/>
        <v>100000</v>
      </c>
      <c r="H199" s="442">
        <v>0</v>
      </c>
      <c r="I199" s="442">
        <f t="shared" si="32"/>
        <v>100000</v>
      </c>
      <c r="J199" s="466">
        <f t="shared" si="32"/>
        <v>100000</v>
      </c>
      <c r="K199" s="466">
        <f t="shared" si="32"/>
        <v>100000</v>
      </c>
      <c r="L199" s="436">
        <f t="shared" si="23"/>
        <v>0</v>
      </c>
      <c r="M199" s="498">
        <f t="shared" si="24"/>
        <v>100</v>
      </c>
    </row>
    <row r="200" spans="1:13" s="449" customFormat="1" ht="50.95" outlineLevel="7" x14ac:dyDescent="0.3">
      <c r="A200" s="438" t="s">
        <v>47</v>
      </c>
      <c r="B200" s="439" t="s">
        <v>500</v>
      </c>
      <c r="C200" s="439" t="s">
        <v>291</v>
      </c>
      <c r="D200" s="539" t="s">
        <v>810</v>
      </c>
      <c r="E200" s="539" t="s">
        <v>48</v>
      </c>
      <c r="F200" s="539"/>
      <c r="G200" s="466">
        <v>100000</v>
      </c>
      <c r="H200" s="442">
        <v>0</v>
      </c>
      <c r="I200" s="442">
        <f>'[2]прил 12'!F195</f>
        <v>100000</v>
      </c>
      <c r="J200" s="507">
        <v>100000</v>
      </c>
      <c r="K200" s="507">
        <v>100000</v>
      </c>
      <c r="L200" s="436">
        <f t="shared" ref="L200:L263" si="33">K200-J200</f>
        <v>0</v>
      </c>
      <c r="M200" s="498">
        <f t="shared" ref="M200:M261" si="34">J200/G200%</f>
        <v>100</v>
      </c>
    </row>
    <row r="201" spans="1:13" ht="27.7" customHeight="1" outlineLevel="7" x14ac:dyDescent="0.3">
      <c r="A201" s="438" t="s">
        <v>49</v>
      </c>
      <c r="B201" s="439" t="s">
        <v>500</v>
      </c>
      <c r="C201" s="439" t="s">
        <v>50</v>
      </c>
      <c r="D201" s="539" t="s">
        <v>126</v>
      </c>
      <c r="E201" s="539" t="s">
        <v>6</v>
      </c>
      <c r="F201" s="540">
        <v>45977806.32</v>
      </c>
      <c r="G201" s="465">
        <f t="shared" ref="G201:K202" si="35">G202</f>
        <v>24051150</v>
      </c>
      <c r="H201" s="440">
        <f t="shared" si="35"/>
        <v>11934897.220000001</v>
      </c>
      <c r="I201" s="440">
        <f t="shared" si="35"/>
        <v>13157000</v>
      </c>
      <c r="J201" s="465">
        <f t="shared" si="35"/>
        <v>13057000</v>
      </c>
      <c r="K201" s="465">
        <f t="shared" si="35"/>
        <v>13057000</v>
      </c>
      <c r="L201" s="436">
        <f t="shared" si="33"/>
        <v>0</v>
      </c>
      <c r="M201" s="498">
        <f t="shared" si="34"/>
        <v>54.288464376963262</v>
      </c>
    </row>
    <row r="202" spans="1:13" ht="67.95" outlineLevel="7" x14ac:dyDescent="0.3">
      <c r="A202" s="444" t="s">
        <v>850</v>
      </c>
      <c r="B202" s="445" t="s">
        <v>500</v>
      </c>
      <c r="C202" s="445" t="s">
        <v>50</v>
      </c>
      <c r="D202" s="541" t="s">
        <v>335</v>
      </c>
      <c r="E202" s="541" t="s">
        <v>6</v>
      </c>
      <c r="F202" s="542">
        <v>45977806.32</v>
      </c>
      <c r="G202" s="508">
        <f t="shared" si="35"/>
        <v>24051150</v>
      </c>
      <c r="H202" s="446">
        <f t="shared" si="35"/>
        <v>11934897.220000001</v>
      </c>
      <c r="I202" s="446">
        <f t="shared" si="35"/>
        <v>13157000</v>
      </c>
      <c r="J202" s="508">
        <f t="shared" si="35"/>
        <v>13057000</v>
      </c>
      <c r="K202" s="508">
        <f t="shared" si="35"/>
        <v>13057000</v>
      </c>
      <c r="L202" s="436">
        <f t="shared" si="33"/>
        <v>0</v>
      </c>
      <c r="M202" s="498">
        <f t="shared" si="34"/>
        <v>54.288464376963262</v>
      </c>
    </row>
    <row r="203" spans="1:13" ht="41.45" customHeight="1" outlineLevel="7" x14ac:dyDescent="0.3">
      <c r="A203" s="438" t="s">
        <v>336</v>
      </c>
      <c r="B203" s="439" t="s">
        <v>500</v>
      </c>
      <c r="C203" s="439" t="s">
        <v>50</v>
      </c>
      <c r="D203" s="539" t="s">
        <v>337</v>
      </c>
      <c r="E203" s="539" t="s">
        <v>6</v>
      </c>
      <c r="F203" s="540">
        <v>45977806.32</v>
      </c>
      <c r="G203" s="465">
        <f>G204+G210</f>
        <v>24051150</v>
      </c>
      <c r="H203" s="440">
        <f>H204+H210</f>
        <v>11934897.220000001</v>
      </c>
      <c r="I203" s="440">
        <f>I204+I210</f>
        <v>13157000</v>
      </c>
      <c r="J203" s="465">
        <f>J204+J210</f>
        <v>13057000</v>
      </c>
      <c r="K203" s="465">
        <f>K204+K210</f>
        <v>13057000</v>
      </c>
      <c r="L203" s="436">
        <f t="shared" si="33"/>
        <v>0</v>
      </c>
      <c r="M203" s="498">
        <f t="shared" si="34"/>
        <v>54.288464376963262</v>
      </c>
    </row>
    <row r="204" spans="1:13" ht="67.95" outlineLevel="7" x14ac:dyDescent="0.3">
      <c r="A204" s="397" t="s">
        <v>822</v>
      </c>
      <c r="B204" s="439" t="s">
        <v>500</v>
      </c>
      <c r="C204" s="439" t="s">
        <v>50</v>
      </c>
      <c r="D204" s="539" t="s">
        <v>339</v>
      </c>
      <c r="E204" s="539" t="s">
        <v>6</v>
      </c>
      <c r="F204" s="540">
        <v>10511682.609999999</v>
      </c>
      <c r="G204" s="465">
        <f t="shared" ref="G204:K205" si="36">G205</f>
        <v>24051150</v>
      </c>
      <c r="H204" s="440">
        <f t="shared" si="36"/>
        <v>11934897.220000001</v>
      </c>
      <c r="I204" s="440">
        <f t="shared" si="36"/>
        <v>13057000</v>
      </c>
      <c r="J204" s="465">
        <f t="shared" si="36"/>
        <v>13057000</v>
      </c>
      <c r="K204" s="465">
        <f t="shared" si="36"/>
        <v>13057000</v>
      </c>
      <c r="L204" s="436">
        <f t="shared" si="33"/>
        <v>0</v>
      </c>
      <c r="M204" s="498">
        <f t="shared" si="34"/>
        <v>54.288464376963262</v>
      </c>
    </row>
    <row r="205" spans="1:13" s="449" customFormat="1" ht="34" outlineLevel="7" x14ac:dyDescent="0.3">
      <c r="A205" s="438" t="s">
        <v>15</v>
      </c>
      <c r="B205" s="439" t="s">
        <v>500</v>
      </c>
      <c r="C205" s="439" t="s">
        <v>50</v>
      </c>
      <c r="D205" s="539" t="s">
        <v>339</v>
      </c>
      <c r="E205" s="539" t="s">
        <v>16</v>
      </c>
      <c r="F205" s="540">
        <v>10511682.609999999</v>
      </c>
      <c r="G205" s="465">
        <f t="shared" si="36"/>
        <v>24051150</v>
      </c>
      <c r="H205" s="370">
        <v>11934897.220000001</v>
      </c>
      <c r="I205" s="440">
        <f t="shared" si="36"/>
        <v>13057000</v>
      </c>
      <c r="J205" s="465">
        <f t="shared" si="36"/>
        <v>13057000</v>
      </c>
      <c r="K205" s="465">
        <f t="shared" si="36"/>
        <v>13057000</v>
      </c>
      <c r="L205" s="436">
        <f t="shared" si="33"/>
        <v>0</v>
      </c>
      <c r="M205" s="498">
        <f t="shared" si="34"/>
        <v>54.288464376963262</v>
      </c>
    </row>
    <row r="206" spans="1:13" ht="44.5" customHeight="1" outlineLevel="7" x14ac:dyDescent="0.3">
      <c r="A206" s="438" t="s">
        <v>17</v>
      </c>
      <c r="B206" s="439" t="s">
        <v>500</v>
      </c>
      <c r="C206" s="439" t="s">
        <v>50</v>
      </c>
      <c r="D206" s="539" t="s">
        <v>339</v>
      </c>
      <c r="E206" s="539" t="s">
        <v>18</v>
      </c>
      <c r="F206" s="540">
        <v>10511682.609999999</v>
      </c>
      <c r="G206" s="465">
        <f>[2]потребность!L201-1500000-10690000</f>
        <v>24051150</v>
      </c>
      <c r="H206" s="370">
        <v>11934897.220000001</v>
      </c>
      <c r="I206" s="440">
        <f>'[2]прил 12'!F201</f>
        <v>13057000</v>
      </c>
      <c r="J206" s="466">
        <v>13057000</v>
      </c>
      <c r="K206" s="466">
        <v>13057000</v>
      </c>
      <c r="L206" s="436">
        <f t="shared" si="33"/>
        <v>0</v>
      </c>
      <c r="M206" s="498">
        <f t="shared" si="34"/>
        <v>54.288464376963262</v>
      </c>
    </row>
    <row r="207" spans="1:13" ht="57.25" customHeight="1" outlineLevel="7" x14ac:dyDescent="0.3">
      <c r="A207" s="438" t="s">
        <v>564</v>
      </c>
      <c r="B207" s="439" t="s">
        <v>500</v>
      </c>
      <c r="C207" s="439" t="s">
        <v>50</v>
      </c>
      <c r="D207" s="539" t="s">
        <v>586</v>
      </c>
      <c r="E207" s="539" t="s">
        <v>6</v>
      </c>
      <c r="F207" s="540">
        <v>34402140</v>
      </c>
      <c r="G207" s="465">
        <f>G208</f>
        <v>0</v>
      </c>
      <c r="H207" s="440">
        <f>H208</f>
        <v>0</v>
      </c>
      <c r="I207" s="440">
        <v>0</v>
      </c>
      <c r="J207" s="513">
        <f>J208</f>
        <v>0</v>
      </c>
      <c r="K207" s="513">
        <f>K208</f>
        <v>0</v>
      </c>
      <c r="L207" s="436">
        <f t="shared" si="33"/>
        <v>0</v>
      </c>
      <c r="M207" s="498"/>
    </row>
    <row r="208" spans="1:13" ht="34" outlineLevel="7" x14ac:dyDescent="0.3">
      <c r="A208" s="438" t="s">
        <v>15</v>
      </c>
      <c r="B208" s="439" t="s">
        <v>500</v>
      </c>
      <c r="C208" s="439" t="s">
        <v>50</v>
      </c>
      <c r="D208" s="539" t="s">
        <v>586</v>
      </c>
      <c r="E208" s="539" t="s">
        <v>16</v>
      </c>
      <c r="F208" s="540">
        <v>34402140</v>
      </c>
      <c r="G208" s="465">
        <f>G209</f>
        <v>0</v>
      </c>
      <c r="H208" s="440">
        <f>H209</f>
        <v>0</v>
      </c>
      <c r="I208" s="440">
        <v>0</v>
      </c>
      <c r="J208" s="465">
        <f>J209</f>
        <v>0</v>
      </c>
      <c r="K208" s="465">
        <f>K209</f>
        <v>0</v>
      </c>
      <c r="L208" s="436">
        <f t="shared" si="33"/>
        <v>0</v>
      </c>
      <c r="M208" s="498"/>
    </row>
    <row r="209" spans="1:13" ht="21.75" customHeight="1" outlineLevel="7" x14ac:dyDescent="0.3">
      <c r="A209" s="438" t="s">
        <v>17</v>
      </c>
      <c r="B209" s="439" t="s">
        <v>500</v>
      </c>
      <c r="C209" s="439" t="s">
        <v>50</v>
      </c>
      <c r="D209" s="539" t="s">
        <v>586</v>
      </c>
      <c r="E209" s="539" t="s">
        <v>18</v>
      </c>
      <c r="F209" s="540">
        <v>34402140</v>
      </c>
      <c r="G209" s="465">
        <v>0</v>
      </c>
      <c r="H209" s="440">
        <v>0</v>
      </c>
      <c r="I209" s="440">
        <v>0</v>
      </c>
      <c r="J209" s="510"/>
      <c r="K209" s="510"/>
      <c r="L209" s="436">
        <f t="shared" si="33"/>
        <v>0</v>
      </c>
      <c r="M209" s="498"/>
    </row>
    <row r="210" spans="1:13" ht="43.5" customHeight="1" outlineLevel="7" x14ac:dyDescent="0.3">
      <c r="A210" s="438" t="s">
        <v>280</v>
      </c>
      <c r="B210" s="439" t="s">
        <v>500</v>
      </c>
      <c r="C210" s="439" t="s">
        <v>50</v>
      </c>
      <c r="D210" s="539" t="s">
        <v>409</v>
      </c>
      <c r="E210" s="539" t="s">
        <v>6</v>
      </c>
      <c r="F210" s="540">
        <v>1063983.71</v>
      </c>
      <c r="G210" s="466">
        <f t="shared" ref="G210:K211" si="37">G211</f>
        <v>0</v>
      </c>
      <c r="H210" s="442">
        <f t="shared" si="37"/>
        <v>0</v>
      </c>
      <c r="I210" s="442">
        <f t="shared" si="37"/>
        <v>100000</v>
      </c>
      <c r="J210" s="466">
        <f t="shared" si="37"/>
        <v>0</v>
      </c>
      <c r="K210" s="466">
        <f t="shared" si="37"/>
        <v>0</v>
      </c>
      <c r="L210" s="436">
        <f t="shared" si="33"/>
        <v>0</v>
      </c>
      <c r="M210" s="498"/>
    </row>
    <row r="211" spans="1:13" ht="34" outlineLevel="7" x14ac:dyDescent="0.3">
      <c r="A211" s="438" t="s">
        <v>15</v>
      </c>
      <c r="B211" s="439" t="s">
        <v>500</v>
      </c>
      <c r="C211" s="439" t="s">
        <v>50</v>
      </c>
      <c r="D211" s="539" t="s">
        <v>409</v>
      </c>
      <c r="E211" s="539" t="s">
        <v>16</v>
      </c>
      <c r="F211" s="540">
        <v>1063983.71</v>
      </c>
      <c r="G211" s="466">
        <f t="shared" si="37"/>
        <v>0</v>
      </c>
      <c r="H211" s="442">
        <f t="shared" si="37"/>
        <v>0</v>
      </c>
      <c r="I211" s="442">
        <f t="shared" si="37"/>
        <v>100000</v>
      </c>
      <c r="J211" s="466">
        <f t="shared" si="37"/>
        <v>0</v>
      </c>
      <c r="K211" s="466">
        <f t="shared" si="37"/>
        <v>0</v>
      </c>
      <c r="L211" s="436">
        <f t="shared" si="33"/>
        <v>0</v>
      </c>
      <c r="M211" s="498"/>
    </row>
    <row r="212" spans="1:13" ht="34" outlineLevel="7" x14ac:dyDescent="0.3">
      <c r="A212" s="438" t="s">
        <v>17</v>
      </c>
      <c r="B212" s="439" t="s">
        <v>500</v>
      </c>
      <c r="C212" s="439" t="s">
        <v>50</v>
      </c>
      <c r="D212" s="539" t="s">
        <v>409</v>
      </c>
      <c r="E212" s="539" t="s">
        <v>18</v>
      </c>
      <c r="F212" s="540">
        <v>1063983.71</v>
      </c>
      <c r="G212" s="465">
        <f>[2]потребность!I207-310000</f>
        <v>0</v>
      </c>
      <c r="H212" s="440">
        <v>0</v>
      </c>
      <c r="I212" s="440">
        <f>'[2]прил 12'!F207</f>
        <v>100000</v>
      </c>
      <c r="J212" s="466">
        <v>0</v>
      </c>
      <c r="K212" s="466">
        <v>0</v>
      </c>
      <c r="L212" s="436">
        <f t="shared" si="33"/>
        <v>0</v>
      </c>
      <c r="M212" s="498"/>
    </row>
    <row r="213" spans="1:13" outlineLevel="7" x14ac:dyDescent="0.3">
      <c r="A213" s="438" t="s">
        <v>52</v>
      </c>
      <c r="B213" s="439" t="s">
        <v>500</v>
      </c>
      <c r="C213" s="439" t="s">
        <v>53</v>
      </c>
      <c r="D213" s="539" t="s">
        <v>126</v>
      </c>
      <c r="E213" s="539" t="s">
        <v>6</v>
      </c>
      <c r="F213" s="540">
        <v>754300.72</v>
      </c>
      <c r="G213" s="465">
        <f>G214+G219</f>
        <v>3943600</v>
      </c>
      <c r="H213" s="440">
        <f>H214+H219</f>
        <v>210681.28</v>
      </c>
      <c r="I213" s="440">
        <f>I214+I219</f>
        <v>530000</v>
      </c>
      <c r="J213" s="465">
        <f>J214+J219</f>
        <v>1885000</v>
      </c>
      <c r="K213" s="465">
        <f>K214+K219</f>
        <v>1885000</v>
      </c>
      <c r="L213" s="436">
        <f t="shared" si="33"/>
        <v>0</v>
      </c>
      <c r="M213" s="498">
        <f t="shared" si="34"/>
        <v>47.798965412313621</v>
      </c>
    </row>
    <row r="214" spans="1:13" ht="39.25" customHeight="1" outlineLevel="7" x14ac:dyDescent="0.3">
      <c r="A214" s="444" t="s">
        <v>849</v>
      </c>
      <c r="B214" s="445" t="s">
        <v>500</v>
      </c>
      <c r="C214" s="445" t="s">
        <v>53</v>
      </c>
      <c r="D214" s="541" t="s">
        <v>412</v>
      </c>
      <c r="E214" s="541" t="s">
        <v>6</v>
      </c>
      <c r="F214" s="541" t="s">
        <v>976</v>
      </c>
      <c r="G214" s="465">
        <f t="shared" ref="G214:K217" si="38">G215</f>
        <v>100000</v>
      </c>
      <c r="H214" s="440">
        <f t="shared" si="38"/>
        <v>0</v>
      </c>
      <c r="I214" s="440">
        <f t="shared" si="38"/>
        <v>100000</v>
      </c>
      <c r="J214" s="465">
        <f t="shared" si="38"/>
        <v>100000</v>
      </c>
      <c r="K214" s="465">
        <f t="shared" si="38"/>
        <v>100000</v>
      </c>
      <c r="L214" s="436">
        <f t="shared" si="33"/>
        <v>0</v>
      </c>
      <c r="M214" s="498">
        <f t="shared" si="34"/>
        <v>100</v>
      </c>
    </row>
    <row r="215" spans="1:13" ht="34" outlineLevel="7" x14ac:dyDescent="0.3">
      <c r="A215" s="438" t="s">
        <v>780</v>
      </c>
      <c r="B215" s="439" t="s">
        <v>500</v>
      </c>
      <c r="C215" s="439" t="s">
        <v>53</v>
      </c>
      <c r="D215" s="539" t="s">
        <v>414</v>
      </c>
      <c r="E215" s="539" t="s">
        <v>6</v>
      </c>
      <c r="F215" s="539" t="s">
        <v>976</v>
      </c>
      <c r="G215" s="465">
        <f t="shared" si="38"/>
        <v>100000</v>
      </c>
      <c r="H215" s="440">
        <f t="shared" si="38"/>
        <v>0</v>
      </c>
      <c r="I215" s="440">
        <f t="shared" si="38"/>
        <v>100000</v>
      </c>
      <c r="J215" s="465">
        <f t="shared" si="38"/>
        <v>100000</v>
      </c>
      <c r="K215" s="465">
        <f t="shared" si="38"/>
        <v>100000</v>
      </c>
      <c r="L215" s="436">
        <f t="shared" si="33"/>
        <v>0</v>
      </c>
      <c r="M215" s="498">
        <f t="shared" si="34"/>
        <v>100</v>
      </c>
    </row>
    <row r="216" spans="1:13" ht="83.25" customHeight="1" outlineLevel="7" x14ac:dyDescent="0.3">
      <c r="A216" s="438" t="s">
        <v>781</v>
      </c>
      <c r="B216" s="439" t="s">
        <v>500</v>
      </c>
      <c r="C216" s="439" t="s">
        <v>53</v>
      </c>
      <c r="D216" s="539" t="s">
        <v>782</v>
      </c>
      <c r="E216" s="539" t="s">
        <v>6</v>
      </c>
      <c r="F216" s="539" t="s">
        <v>976</v>
      </c>
      <c r="G216" s="465">
        <f t="shared" si="38"/>
        <v>100000</v>
      </c>
      <c r="H216" s="440">
        <f t="shared" si="38"/>
        <v>0</v>
      </c>
      <c r="I216" s="440">
        <f t="shared" si="38"/>
        <v>100000</v>
      </c>
      <c r="J216" s="465">
        <f t="shared" si="38"/>
        <v>100000</v>
      </c>
      <c r="K216" s="465">
        <f t="shared" si="38"/>
        <v>100000</v>
      </c>
      <c r="L216" s="436">
        <f t="shared" si="33"/>
        <v>0</v>
      </c>
      <c r="M216" s="498">
        <f t="shared" si="34"/>
        <v>100</v>
      </c>
    </row>
    <row r="217" spans="1:13" outlineLevel="2" x14ac:dyDescent="0.3">
      <c r="A217" s="438" t="s">
        <v>19</v>
      </c>
      <c r="B217" s="439" t="s">
        <v>500</v>
      </c>
      <c r="C217" s="439" t="s">
        <v>53</v>
      </c>
      <c r="D217" s="539" t="s">
        <v>782</v>
      </c>
      <c r="E217" s="539" t="s">
        <v>20</v>
      </c>
      <c r="F217" s="539" t="s">
        <v>976</v>
      </c>
      <c r="G217" s="465">
        <f t="shared" si="38"/>
        <v>100000</v>
      </c>
      <c r="H217" s="440">
        <v>0</v>
      </c>
      <c r="I217" s="440">
        <f t="shared" si="38"/>
        <v>100000</v>
      </c>
      <c r="J217" s="465">
        <f t="shared" si="38"/>
        <v>100000</v>
      </c>
      <c r="K217" s="465">
        <f t="shared" si="38"/>
        <v>100000</v>
      </c>
      <c r="L217" s="436">
        <f t="shared" si="33"/>
        <v>0</v>
      </c>
      <c r="M217" s="498">
        <f t="shared" si="34"/>
        <v>100</v>
      </c>
    </row>
    <row r="218" spans="1:13" ht="50.95" outlineLevel="2" x14ac:dyDescent="0.3">
      <c r="A218" s="438" t="s">
        <v>47</v>
      </c>
      <c r="B218" s="439" t="s">
        <v>500</v>
      </c>
      <c r="C218" s="439" t="s">
        <v>53</v>
      </c>
      <c r="D218" s="539" t="s">
        <v>782</v>
      </c>
      <c r="E218" s="539" t="s">
        <v>48</v>
      </c>
      <c r="F218" s="539" t="s">
        <v>976</v>
      </c>
      <c r="G218" s="465">
        <v>100000</v>
      </c>
      <c r="H218" s="440">
        <v>0</v>
      </c>
      <c r="I218" s="440">
        <f>'[2]прил 12'!F213</f>
        <v>100000</v>
      </c>
      <c r="J218" s="466">
        <v>100000</v>
      </c>
      <c r="K218" s="466">
        <v>100000</v>
      </c>
      <c r="L218" s="436">
        <f t="shared" si="33"/>
        <v>0</v>
      </c>
      <c r="M218" s="498">
        <f t="shared" si="34"/>
        <v>100</v>
      </c>
    </row>
    <row r="219" spans="1:13" ht="60.8" customHeight="1" outlineLevel="2" x14ac:dyDescent="0.3">
      <c r="A219" s="444" t="s">
        <v>848</v>
      </c>
      <c r="B219" s="445" t="s">
        <v>500</v>
      </c>
      <c r="C219" s="445" t="s">
        <v>53</v>
      </c>
      <c r="D219" s="541" t="s">
        <v>340</v>
      </c>
      <c r="E219" s="541" t="s">
        <v>6</v>
      </c>
      <c r="F219" s="542">
        <v>464300.72</v>
      </c>
      <c r="G219" s="508">
        <f>G220+G224</f>
        <v>3843600</v>
      </c>
      <c r="H219" s="446">
        <f>H220+H224</f>
        <v>210681.28</v>
      </c>
      <c r="I219" s="446">
        <f>I220+I224</f>
        <v>430000</v>
      </c>
      <c r="J219" s="508">
        <f>J220+J224</f>
        <v>1785000</v>
      </c>
      <c r="K219" s="508">
        <f>K220+K224</f>
        <v>1785000</v>
      </c>
      <c r="L219" s="436">
        <f t="shared" si="33"/>
        <v>0</v>
      </c>
      <c r="M219" s="498">
        <f t="shared" si="34"/>
        <v>46.440836715579145</v>
      </c>
    </row>
    <row r="220" spans="1:13" ht="34" outlineLevel="2" x14ac:dyDescent="0.3">
      <c r="A220" s="438" t="s">
        <v>386</v>
      </c>
      <c r="B220" s="439" t="s">
        <v>500</v>
      </c>
      <c r="C220" s="439" t="s">
        <v>53</v>
      </c>
      <c r="D220" s="539" t="s">
        <v>341</v>
      </c>
      <c r="E220" s="539" t="s">
        <v>6</v>
      </c>
      <c r="F220" s="540">
        <v>249600</v>
      </c>
      <c r="G220" s="466">
        <f t="shared" ref="G220:K222" si="39">G221</f>
        <v>3713600</v>
      </c>
      <c r="H220" s="442">
        <f t="shared" si="39"/>
        <v>160600</v>
      </c>
      <c r="I220" s="442">
        <f t="shared" si="39"/>
        <v>300000</v>
      </c>
      <c r="J220" s="466">
        <f t="shared" si="39"/>
        <v>235000</v>
      </c>
      <c r="K220" s="466">
        <f t="shared" si="39"/>
        <v>235000</v>
      </c>
      <c r="L220" s="436">
        <f t="shared" si="33"/>
        <v>0</v>
      </c>
      <c r="M220" s="498">
        <f t="shared" si="34"/>
        <v>6.3280913399396814</v>
      </c>
    </row>
    <row r="221" spans="1:13" ht="34" outlineLevel="2" x14ac:dyDescent="0.3">
      <c r="A221" s="438" t="s">
        <v>342</v>
      </c>
      <c r="B221" s="439" t="s">
        <v>500</v>
      </c>
      <c r="C221" s="439" t="s">
        <v>53</v>
      </c>
      <c r="D221" s="539" t="s">
        <v>343</v>
      </c>
      <c r="E221" s="539" t="s">
        <v>6</v>
      </c>
      <c r="F221" s="540">
        <v>249600</v>
      </c>
      <c r="G221" s="466">
        <f t="shared" si="39"/>
        <v>3713600</v>
      </c>
      <c r="H221" s="442">
        <f t="shared" si="39"/>
        <v>160600</v>
      </c>
      <c r="I221" s="442">
        <f t="shared" si="39"/>
        <v>300000</v>
      </c>
      <c r="J221" s="466">
        <f t="shared" si="39"/>
        <v>235000</v>
      </c>
      <c r="K221" s="466">
        <f t="shared" si="39"/>
        <v>235000</v>
      </c>
      <c r="L221" s="436">
        <f t="shared" si="33"/>
        <v>0</v>
      </c>
      <c r="M221" s="498">
        <f t="shared" si="34"/>
        <v>6.3280913399396814</v>
      </c>
    </row>
    <row r="222" spans="1:13" s="449" customFormat="1" ht="34" outlineLevel="3" x14ac:dyDescent="0.3">
      <c r="A222" s="438" t="s">
        <v>15</v>
      </c>
      <c r="B222" s="439" t="s">
        <v>500</v>
      </c>
      <c r="C222" s="439" t="s">
        <v>53</v>
      </c>
      <c r="D222" s="539" t="s">
        <v>343</v>
      </c>
      <c r="E222" s="539" t="s">
        <v>16</v>
      </c>
      <c r="F222" s="540">
        <v>249600</v>
      </c>
      <c r="G222" s="466">
        <f t="shared" si="39"/>
        <v>3713600</v>
      </c>
      <c r="H222" s="370">
        <v>160600</v>
      </c>
      <c r="I222" s="442">
        <f t="shared" si="39"/>
        <v>300000</v>
      </c>
      <c r="J222" s="466">
        <f t="shared" si="39"/>
        <v>235000</v>
      </c>
      <c r="K222" s="466">
        <f t="shared" si="39"/>
        <v>235000</v>
      </c>
      <c r="L222" s="436">
        <f t="shared" si="33"/>
        <v>0</v>
      </c>
      <c r="M222" s="498">
        <f t="shared" si="34"/>
        <v>6.3280913399396814</v>
      </c>
    </row>
    <row r="223" spans="1:13" ht="34" outlineLevel="3" x14ac:dyDescent="0.3">
      <c r="A223" s="438" t="s">
        <v>17</v>
      </c>
      <c r="B223" s="439" t="s">
        <v>500</v>
      </c>
      <c r="C223" s="439" t="s">
        <v>53</v>
      </c>
      <c r="D223" s="539" t="s">
        <v>343</v>
      </c>
      <c r="E223" s="539" t="s">
        <v>18</v>
      </c>
      <c r="F223" s="540">
        <v>249600</v>
      </c>
      <c r="G223" s="465">
        <f>[2]потребность!I222+3500000</f>
        <v>3713600</v>
      </c>
      <c r="H223" s="370">
        <v>160600</v>
      </c>
      <c r="I223" s="440">
        <f>'[2]прил 12'!F218</f>
        <v>300000</v>
      </c>
      <c r="J223" s="466">
        <v>235000</v>
      </c>
      <c r="K223" s="466">
        <v>235000</v>
      </c>
      <c r="L223" s="436">
        <f t="shared" si="33"/>
        <v>0</v>
      </c>
      <c r="M223" s="498">
        <f t="shared" si="34"/>
        <v>6.3280913399396814</v>
      </c>
    </row>
    <row r="224" spans="1:13" ht="34" outlineLevel="3" x14ac:dyDescent="0.3">
      <c r="A224" s="450" t="s">
        <v>388</v>
      </c>
      <c r="B224" s="439" t="s">
        <v>500</v>
      </c>
      <c r="C224" s="439" t="s">
        <v>53</v>
      </c>
      <c r="D224" s="539" t="s">
        <v>387</v>
      </c>
      <c r="E224" s="539" t="s">
        <v>6</v>
      </c>
      <c r="F224" s="540">
        <v>214700.72</v>
      </c>
      <c r="G224" s="465">
        <f t="shared" ref="G224:K226" si="40">G225</f>
        <v>130000</v>
      </c>
      <c r="H224" s="440">
        <f t="shared" si="40"/>
        <v>50081.279999999999</v>
      </c>
      <c r="I224" s="440">
        <f t="shared" si="40"/>
        <v>130000</v>
      </c>
      <c r="J224" s="465">
        <f t="shared" si="40"/>
        <v>1550000</v>
      </c>
      <c r="K224" s="465">
        <f t="shared" si="40"/>
        <v>1550000</v>
      </c>
      <c r="L224" s="436">
        <f t="shared" si="33"/>
        <v>0</v>
      </c>
      <c r="M224" s="498">
        <f t="shared" si="34"/>
        <v>1192.3076923076924</v>
      </c>
    </row>
    <row r="225" spans="1:13" ht="34" outlineLevel="3" x14ac:dyDescent="0.3">
      <c r="A225" s="438" t="s">
        <v>344</v>
      </c>
      <c r="B225" s="439" t="s">
        <v>500</v>
      </c>
      <c r="C225" s="439" t="s">
        <v>53</v>
      </c>
      <c r="D225" s="539" t="s">
        <v>417</v>
      </c>
      <c r="E225" s="539" t="s">
        <v>6</v>
      </c>
      <c r="F225" s="540">
        <v>214700.72</v>
      </c>
      <c r="G225" s="465">
        <f t="shared" si="40"/>
        <v>130000</v>
      </c>
      <c r="H225" s="440">
        <f t="shared" si="40"/>
        <v>50081.279999999999</v>
      </c>
      <c r="I225" s="440">
        <f t="shared" si="40"/>
        <v>130000</v>
      </c>
      <c r="J225" s="465">
        <f t="shared" si="40"/>
        <v>1550000</v>
      </c>
      <c r="K225" s="465">
        <f t="shared" si="40"/>
        <v>1550000</v>
      </c>
      <c r="L225" s="436">
        <f t="shared" si="33"/>
        <v>0</v>
      </c>
      <c r="M225" s="498">
        <f t="shared" si="34"/>
        <v>1192.3076923076924</v>
      </c>
    </row>
    <row r="226" spans="1:13" ht="18.7" customHeight="1" outlineLevel="3" x14ac:dyDescent="0.3">
      <c r="A226" s="438" t="s">
        <v>15</v>
      </c>
      <c r="B226" s="439" t="s">
        <v>500</v>
      </c>
      <c r="C226" s="439" t="s">
        <v>53</v>
      </c>
      <c r="D226" s="539" t="s">
        <v>417</v>
      </c>
      <c r="E226" s="539" t="s">
        <v>16</v>
      </c>
      <c r="F226" s="540">
        <v>214700.72</v>
      </c>
      <c r="G226" s="465">
        <f t="shared" si="40"/>
        <v>130000</v>
      </c>
      <c r="H226" s="370">
        <v>50081.279999999999</v>
      </c>
      <c r="I226" s="440">
        <f t="shared" si="40"/>
        <v>130000</v>
      </c>
      <c r="J226" s="465">
        <f t="shared" si="40"/>
        <v>1550000</v>
      </c>
      <c r="K226" s="465">
        <f t="shared" si="40"/>
        <v>1550000</v>
      </c>
      <c r="L226" s="436">
        <f t="shared" si="33"/>
        <v>0</v>
      </c>
      <c r="M226" s="498">
        <f t="shared" si="34"/>
        <v>1192.3076923076924</v>
      </c>
    </row>
    <row r="227" spans="1:13" ht="19.55" customHeight="1" outlineLevel="3" x14ac:dyDescent="0.3">
      <c r="A227" s="438" t="s">
        <v>17</v>
      </c>
      <c r="B227" s="439" t="s">
        <v>500</v>
      </c>
      <c r="C227" s="439" t="s">
        <v>53</v>
      </c>
      <c r="D227" s="539" t="s">
        <v>417</v>
      </c>
      <c r="E227" s="539" t="s">
        <v>18</v>
      </c>
      <c r="F227" s="540">
        <v>214700.72</v>
      </c>
      <c r="G227" s="465">
        <v>130000</v>
      </c>
      <c r="H227" s="370">
        <v>50081.279999999999</v>
      </c>
      <c r="I227" s="440">
        <f>'[2]прил 12'!F222</f>
        <v>130000</v>
      </c>
      <c r="J227" s="466">
        <v>1550000</v>
      </c>
      <c r="K227" s="512">
        <f>1550000</f>
        <v>1550000</v>
      </c>
      <c r="L227" s="436">
        <f t="shared" si="33"/>
        <v>0</v>
      </c>
      <c r="M227" s="498">
        <f t="shared" si="34"/>
        <v>1192.3076923076924</v>
      </c>
    </row>
    <row r="228" spans="1:13" outlineLevel="5" x14ac:dyDescent="0.3">
      <c r="A228" s="444" t="s">
        <v>54</v>
      </c>
      <c r="B228" s="445" t="s">
        <v>500</v>
      </c>
      <c r="C228" s="445" t="s">
        <v>55</v>
      </c>
      <c r="D228" s="541" t="s">
        <v>126</v>
      </c>
      <c r="E228" s="541" t="s">
        <v>6</v>
      </c>
      <c r="F228" s="540">
        <v>188947675.87</v>
      </c>
      <c r="G228" s="515">
        <f>G229+G240+G272+G324</f>
        <v>126974379.52000001</v>
      </c>
      <c r="H228" s="456">
        <f>H229+H240+H272+H324</f>
        <v>91233080.129999995</v>
      </c>
      <c r="I228" s="456">
        <f>I229+I240+I272+I324</f>
        <v>48705734.209999993</v>
      </c>
      <c r="J228" s="515">
        <f>J229+J240+J272+J324</f>
        <v>62901864.480000004</v>
      </c>
      <c r="K228" s="515">
        <f>K229+K240+K272+K324</f>
        <v>62178008.660000004</v>
      </c>
      <c r="L228" s="436">
        <f t="shared" si="33"/>
        <v>-723855.8200000003</v>
      </c>
      <c r="M228" s="498">
        <f t="shared" si="34"/>
        <v>49.539020956658582</v>
      </c>
    </row>
    <row r="229" spans="1:13" outlineLevel="6" x14ac:dyDescent="0.3">
      <c r="A229" s="438" t="s">
        <v>56</v>
      </c>
      <c r="B229" s="439" t="s">
        <v>500</v>
      </c>
      <c r="C229" s="439" t="s">
        <v>57</v>
      </c>
      <c r="D229" s="539" t="s">
        <v>126</v>
      </c>
      <c r="E229" s="539" t="s">
        <v>6</v>
      </c>
      <c r="F229" s="540">
        <v>3451807.53</v>
      </c>
      <c r="G229" s="465">
        <f>G230+G236</f>
        <v>4550000</v>
      </c>
      <c r="H229" s="440">
        <f>H230+H236</f>
        <v>3303727.39</v>
      </c>
      <c r="I229" s="440">
        <f>I230+I236</f>
        <v>2500000</v>
      </c>
      <c r="J229" s="465">
        <f>J230+J236</f>
        <v>2500000</v>
      </c>
      <c r="K229" s="465">
        <f>K230+K236</f>
        <v>2500000</v>
      </c>
      <c r="L229" s="436">
        <f t="shared" si="33"/>
        <v>0</v>
      </c>
      <c r="M229" s="498">
        <f t="shared" si="34"/>
        <v>54.945054945054942</v>
      </c>
    </row>
    <row r="230" spans="1:13" ht="61.5" customHeight="1" outlineLevel="7" x14ac:dyDescent="0.3">
      <c r="A230" s="444" t="s">
        <v>847</v>
      </c>
      <c r="B230" s="445" t="s">
        <v>500</v>
      </c>
      <c r="C230" s="445" t="s">
        <v>57</v>
      </c>
      <c r="D230" s="541" t="s">
        <v>331</v>
      </c>
      <c r="E230" s="541" t="s">
        <v>6</v>
      </c>
      <c r="F230" s="542">
        <v>3451807.53</v>
      </c>
      <c r="G230" s="508">
        <f t="shared" ref="G230:K233" si="41">G231</f>
        <v>4550000</v>
      </c>
      <c r="H230" s="446">
        <f t="shared" si="41"/>
        <v>3303727.39</v>
      </c>
      <c r="I230" s="446">
        <f t="shared" si="41"/>
        <v>2500000</v>
      </c>
      <c r="J230" s="508">
        <f t="shared" si="41"/>
        <v>2500000</v>
      </c>
      <c r="K230" s="508">
        <f t="shared" si="41"/>
        <v>2500000</v>
      </c>
      <c r="L230" s="436">
        <f t="shared" si="33"/>
        <v>0</v>
      </c>
      <c r="M230" s="498">
        <f t="shared" si="34"/>
        <v>54.945054945054942</v>
      </c>
    </row>
    <row r="231" spans="1:13" s="449" customFormat="1" ht="34" outlineLevel="1" x14ac:dyDescent="0.3">
      <c r="A231" s="438" t="s">
        <v>345</v>
      </c>
      <c r="B231" s="439" t="s">
        <v>500</v>
      </c>
      <c r="C231" s="439" t="s">
        <v>57</v>
      </c>
      <c r="D231" s="539" t="s">
        <v>332</v>
      </c>
      <c r="E231" s="539" t="s">
        <v>6</v>
      </c>
      <c r="F231" s="540">
        <v>3451807.53</v>
      </c>
      <c r="G231" s="465">
        <f t="shared" si="41"/>
        <v>4550000</v>
      </c>
      <c r="H231" s="440">
        <f t="shared" si="41"/>
        <v>3303727.39</v>
      </c>
      <c r="I231" s="440">
        <f t="shared" si="41"/>
        <v>2500000</v>
      </c>
      <c r="J231" s="465">
        <f t="shared" si="41"/>
        <v>2500000</v>
      </c>
      <c r="K231" s="465">
        <f t="shared" si="41"/>
        <v>2500000</v>
      </c>
      <c r="L231" s="436">
        <f t="shared" si="33"/>
        <v>0</v>
      </c>
      <c r="M231" s="498">
        <f t="shared" si="34"/>
        <v>54.945054945054942</v>
      </c>
    </row>
    <row r="232" spans="1:13" ht="34" outlineLevel="1" x14ac:dyDescent="0.3">
      <c r="A232" s="438" t="s">
        <v>346</v>
      </c>
      <c r="B232" s="439" t="s">
        <v>500</v>
      </c>
      <c r="C232" s="439" t="s">
        <v>57</v>
      </c>
      <c r="D232" s="539" t="s">
        <v>347</v>
      </c>
      <c r="E232" s="539" t="s">
        <v>6</v>
      </c>
      <c r="F232" s="540">
        <v>3451807.53</v>
      </c>
      <c r="G232" s="465">
        <f t="shared" si="41"/>
        <v>4550000</v>
      </c>
      <c r="H232" s="440">
        <f t="shared" si="41"/>
        <v>3303727.39</v>
      </c>
      <c r="I232" s="440">
        <f t="shared" si="41"/>
        <v>2500000</v>
      </c>
      <c r="J232" s="465">
        <f t="shared" si="41"/>
        <v>2500000</v>
      </c>
      <c r="K232" s="465">
        <f t="shared" si="41"/>
        <v>2500000</v>
      </c>
      <c r="L232" s="436">
        <f t="shared" si="33"/>
        <v>0</v>
      </c>
      <c r="M232" s="498">
        <f t="shared" si="34"/>
        <v>54.945054945054942</v>
      </c>
    </row>
    <row r="233" spans="1:13" s="449" customFormat="1" ht="34" outlineLevel="1" x14ac:dyDescent="0.3">
      <c r="A233" s="438" t="s">
        <v>15</v>
      </c>
      <c r="B233" s="439" t="s">
        <v>500</v>
      </c>
      <c r="C233" s="439" t="s">
        <v>57</v>
      </c>
      <c r="D233" s="539" t="s">
        <v>347</v>
      </c>
      <c r="E233" s="539" t="s">
        <v>16</v>
      </c>
      <c r="F233" s="540">
        <v>3451807.53</v>
      </c>
      <c r="G233" s="465">
        <f t="shared" si="41"/>
        <v>4550000</v>
      </c>
      <c r="H233" s="370">
        <v>3303727.39</v>
      </c>
      <c r="I233" s="440">
        <f t="shared" si="41"/>
        <v>2500000</v>
      </c>
      <c r="J233" s="465">
        <f t="shared" si="41"/>
        <v>2500000</v>
      </c>
      <c r="K233" s="465">
        <f t="shared" si="41"/>
        <v>2500000</v>
      </c>
      <c r="L233" s="436">
        <f t="shared" si="33"/>
        <v>0</v>
      </c>
      <c r="M233" s="498">
        <f t="shared" si="34"/>
        <v>54.945054945054942</v>
      </c>
    </row>
    <row r="234" spans="1:13" ht="36.700000000000003" customHeight="1" outlineLevel="1" x14ac:dyDescent="0.3">
      <c r="A234" s="438" t="s">
        <v>17</v>
      </c>
      <c r="B234" s="439" t="s">
        <v>500</v>
      </c>
      <c r="C234" s="439" t="s">
        <v>57</v>
      </c>
      <c r="D234" s="539" t="s">
        <v>347</v>
      </c>
      <c r="E234" s="539" t="s">
        <v>18</v>
      </c>
      <c r="F234" s="540">
        <v>3451807.53</v>
      </c>
      <c r="G234" s="466">
        <f>1500000+2800000+250000</f>
        <v>4550000</v>
      </c>
      <c r="H234" s="370">
        <v>3303727.39</v>
      </c>
      <c r="I234" s="442">
        <f>'[2]прил 12'!F229</f>
        <v>2500000</v>
      </c>
      <c r="J234" s="466">
        <v>2500000</v>
      </c>
      <c r="K234" s="512">
        <f>2500000</f>
        <v>2500000</v>
      </c>
      <c r="L234" s="436">
        <f t="shared" si="33"/>
        <v>0</v>
      </c>
      <c r="M234" s="498">
        <f t="shared" si="34"/>
        <v>54.945054945054942</v>
      </c>
    </row>
    <row r="235" spans="1:13" ht="34" hidden="1" outlineLevel="5" x14ac:dyDescent="0.3">
      <c r="A235" s="438" t="s">
        <v>132</v>
      </c>
      <c r="B235" s="439" t="s">
        <v>500</v>
      </c>
      <c r="C235" s="439" t="s">
        <v>57</v>
      </c>
      <c r="D235" s="539" t="s">
        <v>127</v>
      </c>
      <c r="E235" s="539" t="s">
        <v>6</v>
      </c>
      <c r="F235" s="539"/>
      <c r="G235" s="465">
        <f>G236</f>
        <v>0</v>
      </c>
      <c r="H235" s="441"/>
      <c r="I235" s="440"/>
      <c r="J235" s="466"/>
      <c r="K235" s="466"/>
      <c r="L235" s="436">
        <f t="shared" si="33"/>
        <v>0</v>
      </c>
      <c r="M235" s="498"/>
    </row>
    <row r="236" spans="1:13" hidden="1" outlineLevel="6" x14ac:dyDescent="0.3">
      <c r="A236" s="438" t="s">
        <v>277</v>
      </c>
      <c r="B236" s="439" t="s">
        <v>500</v>
      </c>
      <c r="C236" s="439" t="s">
        <v>57</v>
      </c>
      <c r="D236" s="539" t="s">
        <v>276</v>
      </c>
      <c r="E236" s="539" t="s">
        <v>6</v>
      </c>
      <c r="F236" s="539"/>
      <c r="G236" s="465">
        <f>G237</f>
        <v>0</v>
      </c>
      <c r="H236" s="441"/>
      <c r="I236" s="440"/>
      <c r="J236" s="466"/>
      <c r="K236" s="466"/>
      <c r="L236" s="436">
        <f t="shared" si="33"/>
        <v>0</v>
      </c>
      <c r="M236" s="498"/>
    </row>
    <row r="237" spans="1:13" ht="18" hidden="1" customHeight="1" outlineLevel="7" x14ac:dyDescent="0.3">
      <c r="A237" s="393" t="s">
        <v>381</v>
      </c>
      <c r="B237" s="439" t="s">
        <v>500</v>
      </c>
      <c r="C237" s="439" t="s">
        <v>57</v>
      </c>
      <c r="D237" s="539" t="s">
        <v>507</v>
      </c>
      <c r="E237" s="539" t="s">
        <v>6</v>
      </c>
      <c r="F237" s="539"/>
      <c r="G237" s="465">
        <f>G238</f>
        <v>0</v>
      </c>
      <c r="H237" s="441"/>
      <c r="I237" s="440"/>
      <c r="J237" s="466"/>
      <c r="K237" s="466"/>
      <c r="L237" s="436">
        <f t="shared" si="33"/>
        <v>0</v>
      </c>
      <c r="M237" s="498"/>
    </row>
    <row r="238" spans="1:13" ht="19.55" hidden="1" customHeight="1" outlineLevel="7" x14ac:dyDescent="0.3">
      <c r="A238" s="438" t="s">
        <v>15</v>
      </c>
      <c r="B238" s="439" t="s">
        <v>500</v>
      </c>
      <c r="C238" s="439" t="s">
        <v>57</v>
      </c>
      <c r="D238" s="539" t="s">
        <v>507</v>
      </c>
      <c r="E238" s="539" t="s">
        <v>16</v>
      </c>
      <c r="F238" s="539"/>
      <c r="G238" s="465">
        <f>G239</f>
        <v>0</v>
      </c>
      <c r="H238" s="441"/>
      <c r="I238" s="440"/>
      <c r="J238" s="466"/>
      <c r="K238" s="466"/>
      <c r="L238" s="436">
        <f t="shared" si="33"/>
        <v>0</v>
      </c>
      <c r="M238" s="498"/>
    </row>
    <row r="239" spans="1:13" ht="19.55" hidden="1" customHeight="1" outlineLevel="7" x14ac:dyDescent="0.3">
      <c r="A239" s="438" t="s">
        <v>17</v>
      </c>
      <c r="B239" s="439" t="s">
        <v>500</v>
      </c>
      <c r="C239" s="439" t="s">
        <v>57</v>
      </c>
      <c r="D239" s="539" t="s">
        <v>507</v>
      </c>
      <c r="E239" s="539" t="s">
        <v>18</v>
      </c>
      <c r="F239" s="539"/>
      <c r="G239" s="466">
        <v>0</v>
      </c>
      <c r="H239" s="443"/>
      <c r="I239" s="442"/>
      <c r="J239" s="466"/>
      <c r="K239" s="466"/>
      <c r="L239" s="436">
        <f t="shared" si="33"/>
        <v>0</v>
      </c>
      <c r="M239" s="498"/>
    </row>
    <row r="240" spans="1:13" ht="18.7" customHeight="1" outlineLevel="7" x14ac:dyDescent="0.3">
      <c r="A240" s="438" t="s">
        <v>58</v>
      </c>
      <c r="B240" s="439" t="s">
        <v>500</v>
      </c>
      <c r="C240" s="439" t="s">
        <v>59</v>
      </c>
      <c r="D240" s="539" t="s">
        <v>126</v>
      </c>
      <c r="E240" s="539" t="s">
        <v>6</v>
      </c>
      <c r="F240" s="540">
        <v>157175808.12</v>
      </c>
      <c r="G240" s="465">
        <f>G241</f>
        <v>59022607.700000003</v>
      </c>
      <c r="H240" s="440">
        <f>H241</f>
        <v>54637654.609999999</v>
      </c>
      <c r="I240" s="440">
        <f>I241</f>
        <v>15331657.939999999</v>
      </c>
      <c r="J240" s="465">
        <f>J241</f>
        <v>33060658</v>
      </c>
      <c r="K240" s="465">
        <f>K241</f>
        <v>33060658</v>
      </c>
      <c r="L240" s="436">
        <f t="shared" si="33"/>
        <v>0</v>
      </c>
      <c r="M240" s="498">
        <f t="shared" si="34"/>
        <v>56.013550211201526</v>
      </c>
    </row>
    <row r="241" spans="1:13" ht="50.95" outlineLevel="7" x14ac:dyDescent="0.3">
      <c r="A241" s="444" t="s">
        <v>845</v>
      </c>
      <c r="B241" s="445" t="s">
        <v>500</v>
      </c>
      <c r="C241" s="445" t="s">
        <v>59</v>
      </c>
      <c r="D241" s="541" t="s">
        <v>134</v>
      </c>
      <c r="E241" s="541" t="s">
        <v>6</v>
      </c>
      <c r="F241" s="540">
        <v>157175808.12</v>
      </c>
      <c r="G241" s="508">
        <f>G242+G269</f>
        <v>59022607.700000003</v>
      </c>
      <c r="H241" s="446">
        <f>H242+H269</f>
        <v>54637654.609999999</v>
      </c>
      <c r="I241" s="446">
        <f>I242+I269</f>
        <v>15331657.939999999</v>
      </c>
      <c r="J241" s="508">
        <f>J242+J269</f>
        <v>33060658</v>
      </c>
      <c r="K241" s="508">
        <f>K242+K269</f>
        <v>33060658</v>
      </c>
      <c r="L241" s="436">
        <f t="shared" si="33"/>
        <v>0</v>
      </c>
      <c r="M241" s="498">
        <f t="shared" si="34"/>
        <v>56.013550211201526</v>
      </c>
    </row>
    <row r="242" spans="1:13" ht="50.95" outlineLevel="7" x14ac:dyDescent="0.3">
      <c r="A242" s="438" t="s">
        <v>846</v>
      </c>
      <c r="B242" s="439" t="s">
        <v>500</v>
      </c>
      <c r="C242" s="439" t="s">
        <v>59</v>
      </c>
      <c r="D242" s="539" t="s">
        <v>350</v>
      </c>
      <c r="E242" s="539" t="s">
        <v>6</v>
      </c>
      <c r="F242" s="540">
        <v>39215522.909999996</v>
      </c>
      <c r="G242" s="465">
        <f>G243+G250+G253+G259+G256</f>
        <v>37683628</v>
      </c>
      <c r="H242" s="440">
        <f>H243+H250+H253+H259+H256</f>
        <v>33298674.91</v>
      </c>
      <c r="I242" s="440">
        <f>I243+I250+I253+I259+I256</f>
        <v>15331657.939999999</v>
      </c>
      <c r="J242" s="465">
        <f>J243+J250+J253+J259+J256</f>
        <v>33060658</v>
      </c>
      <c r="K242" s="465">
        <f>K243+K250+K253+K259+K256</f>
        <v>33060658</v>
      </c>
      <c r="L242" s="436">
        <f t="shared" si="33"/>
        <v>0</v>
      </c>
      <c r="M242" s="498">
        <f t="shared" si="34"/>
        <v>87.732152541151279</v>
      </c>
    </row>
    <row r="243" spans="1:13" ht="84.9" outlineLevel="1" x14ac:dyDescent="0.3">
      <c r="A243" s="438" t="s">
        <v>60</v>
      </c>
      <c r="B243" s="439" t="s">
        <v>500</v>
      </c>
      <c r="C243" s="439" t="s">
        <v>59</v>
      </c>
      <c r="D243" s="539" t="s">
        <v>351</v>
      </c>
      <c r="E243" s="539" t="s">
        <v>6</v>
      </c>
      <c r="F243" s="540">
        <v>18467321.710000001</v>
      </c>
      <c r="G243" s="465">
        <f>G244+G246+G248</f>
        <v>17205628</v>
      </c>
      <c r="H243" s="440">
        <f>H244+H246+H248</f>
        <v>11589414.24</v>
      </c>
      <c r="I243" s="440">
        <f>I244+I246+I248</f>
        <v>7110000</v>
      </c>
      <c r="J243" s="465">
        <f>J244+J246+J248</f>
        <v>12500000</v>
      </c>
      <c r="K243" s="465">
        <f>K244+K246+K248</f>
        <v>12500000</v>
      </c>
      <c r="L243" s="436">
        <f t="shared" si="33"/>
        <v>0</v>
      </c>
      <c r="M243" s="498">
        <f t="shared" si="34"/>
        <v>72.650646637251484</v>
      </c>
    </row>
    <row r="244" spans="1:13" s="449" customFormat="1" ht="34" outlineLevel="1" x14ac:dyDescent="0.3">
      <c r="A244" s="438" t="s">
        <v>15</v>
      </c>
      <c r="B244" s="439" t="s">
        <v>500</v>
      </c>
      <c r="C244" s="439" t="s">
        <v>59</v>
      </c>
      <c r="D244" s="539" t="s">
        <v>351</v>
      </c>
      <c r="E244" s="539" t="s">
        <v>16</v>
      </c>
      <c r="F244" s="540">
        <v>5173445.33</v>
      </c>
      <c r="G244" s="465">
        <f>G245</f>
        <v>6127679.0999999996</v>
      </c>
      <c r="H244" s="370">
        <v>749716.98</v>
      </c>
      <c r="I244" s="440">
        <f>I245</f>
        <v>2110000</v>
      </c>
      <c r="J244" s="465">
        <f>J245</f>
        <v>2500000</v>
      </c>
      <c r="K244" s="465">
        <f>K245</f>
        <v>2500000</v>
      </c>
      <c r="L244" s="436">
        <f t="shared" si="33"/>
        <v>0</v>
      </c>
      <c r="M244" s="498">
        <f t="shared" si="34"/>
        <v>40.798481108451</v>
      </c>
    </row>
    <row r="245" spans="1:13" ht="38.9" customHeight="1" outlineLevel="1" x14ac:dyDescent="0.3">
      <c r="A245" s="438" t="s">
        <v>17</v>
      </c>
      <c r="B245" s="439" t="s">
        <v>500</v>
      </c>
      <c r="C245" s="439" t="s">
        <v>59</v>
      </c>
      <c r="D245" s="539" t="s">
        <v>351</v>
      </c>
      <c r="E245" s="539" t="s">
        <v>18</v>
      </c>
      <c r="F245" s="540">
        <v>5173445.33</v>
      </c>
      <c r="G245" s="466">
        <f>[2]потребность!L244-482320.9+1700000</f>
        <v>6127679.0999999996</v>
      </c>
      <c r="H245" s="370">
        <v>749716.98</v>
      </c>
      <c r="I245" s="442">
        <f>'[2]прил 12'!F240</f>
        <v>2110000</v>
      </c>
      <c r="J245" s="466">
        <v>2500000</v>
      </c>
      <c r="K245" s="466">
        <v>2500000</v>
      </c>
      <c r="L245" s="436">
        <f t="shared" si="33"/>
        <v>0</v>
      </c>
      <c r="M245" s="498">
        <f t="shared" si="34"/>
        <v>40.798481108451</v>
      </c>
    </row>
    <row r="246" spans="1:13" ht="40.75" customHeight="1" outlineLevel="1" x14ac:dyDescent="0.3">
      <c r="A246" s="438" t="s">
        <v>264</v>
      </c>
      <c r="B246" s="439" t="s">
        <v>500</v>
      </c>
      <c r="C246" s="439" t="s">
        <v>59</v>
      </c>
      <c r="D246" s="539" t="s">
        <v>351</v>
      </c>
      <c r="E246" s="539" t="s">
        <v>265</v>
      </c>
      <c r="F246" s="540">
        <v>1362876.38</v>
      </c>
      <c r="G246" s="466">
        <f>G247</f>
        <v>1077948.8999999999</v>
      </c>
      <c r="H246" s="370">
        <v>839697.26</v>
      </c>
      <c r="I246" s="442">
        <f>I247</f>
        <v>0</v>
      </c>
      <c r="J246" s="466">
        <f>J247</f>
        <v>0</v>
      </c>
      <c r="K246" s="466">
        <f>K247</f>
        <v>0</v>
      </c>
      <c r="L246" s="436">
        <f t="shared" si="33"/>
        <v>0</v>
      </c>
      <c r="M246" s="498">
        <f t="shared" si="34"/>
        <v>0</v>
      </c>
    </row>
    <row r="247" spans="1:13" ht="41.3" customHeight="1" outlineLevel="1" x14ac:dyDescent="0.3">
      <c r="A247" s="438" t="s">
        <v>266</v>
      </c>
      <c r="B247" s="439" t="s">
        <v>500</v>
      </c>
      <c r="C247" s="439" t="s">
        <v>59</v>
      </c>
      <c r="D247" s="539" t="s">
        <v>351</v>
      </c>
      <c r="E247" s="539" t="s">
        <v>267</v>
      </c>
      <c r="F247" s="540">
        <v>1362876.38</v>
      </c>
      <c r="G247" s="466">
        <f>22900478.19-22304850.19+482320.9</f>
        <v>1077948.8999999999</v>
      </c>
      <c r="H247" s="370">
        <v>839697.26</v>
      </c>
      <c r="I247" s="442">
        <f>'[2]прил 12'!F242</f>
        <v>0</v>
      </c>
      <c r="J247" s="466">
        <f>'[2]прил 12'!G242</f>
        <v>0</v>
      </c>
      <c r="K247" s="466">
        <f>'[2]прил 12'!H242</f>
        <v>0</v>
      </c>
      <c r="L247" s="436">
        <f t="shared" si="33"/>
        <v>0</v>
      </c>
      <c r="M247" s="498">
        <f t="shared" si="34"/>
        <v>0</v>
      </c>
    </row>
    <row r="248" spans="1:13" ht="62.15" customHeight="1" outlineLevel="1" x14ac:dyDescent="0.3">
      <c r="A248" s="438" t="s">
        <v>19</v>
      </c>
      <c r="B248" s="439" t="s">
        <v>500</v>
      </c>
      <c r="C248" s="439" t="s">
        <v>59</v>
      </c>
      <c r="D248" s="539" t="s">
        <v>351</v>
      </c>
      <c r="E248" s="539" t="s">
        <v>20</v>
      </c>
      <c r="F248" s="540">
        <v>11931000</v>
      </c>
      <c r="G248" s="466">
        <f>G249</f>
        <v>10000000</v>
      </c>
      <c r="H248" s="370">
        <v>10000000</v>
      </c>
      <c r="I248" s="442">
        <f>I249</f>
        <v>5000000</v>
      </c>
      <c r="J248" s="466">
        <f>J249</f>
        <v>10000000</v>
      </c>
      <c r="K248" s="466">
        <f>K249</f>
        <v>10000000</v>
      </c>
      <c r="L248" s="436">
        <f t="shared" si="33"/>
        <v>0</v>
      </c>
      <c r="M248" s="498">
        <f t="shared" si="34"/>
        <v>100</v>
      </c>
    </row>
    <row r="249" spans="1:13" ht="69.45" customHeight="1" outlineLevel="1" x14ac:dyDescent="0.3">
      <c r="A249" s="438" t="s">
        <v>47</v>
      </c>
      <c r="B249" s="439" t="s">
        <v>500</v>
      </c>
      <c r="C249" s="439" t="s">
        <v>59</v>
      </c>
      <c r="D249" s="539" t="s">
        <v>351</v>
      </c>
      <c r="E249" s="539" t="s">
        <v>48</v>
      </c>
      <c r="F249" s="540">
        <v>11931000</v>
      </c>
      <c r="G249" s="466">
        <f>[2]потребность!L248</f>
        <v>10000000</v>
      </c>
      <c r="H249" s="370">
        <v>10000000</v>
      </c>
      <c r="I249" s="442">
        <f>'[2]прил 12'!F244</f>
        <v>5000000</v>
      </c>
      <c r="J249" s="466">
        <v>10000000</v>
      </c>
      <c r="K249" s="466">
        <v>10000000</v>
      </c>
      <c r="L249" s="436">
        <f t="shared" si="33"/>
        <v>0</v>
      </c>
      <c r="M249" s="498">
        <f t="shared" si="34"/>
        <v>100</v>
      </c>
    </row>
    <row r="250" spans="1:13" ht="21.25" customHeight="1" outlineLevel="1" x14ac:dyDescent="0.3">
      <c r="A250" s="438" t="s">
        <v>250</v>
      </c>
      <c r="B250" s="439" t="s">
        <v>500</v>
      </c>
      <c r="C250" s="439" t="s">
        <v>59</v>
      </c>
      <c r="D250" s="539" t="s">
        <v>352</v>
      </c>
      <c r="E250" s="539" t="s">
        <v>6</v>
      </c>
      <c r="F250" s="540">
        <v>1100000</v>
      </c>
      <c r="G250" s="466">
        <f t="shared" ref="G250:K251" si="42">G251</f>
        <v>4000000</v>
      </c>
      <c r="H250" s="442">
        <f t="shared" si="42"/>
        <v>2609040.7400000002</v>
      </c>
      <c r="I250" s="442">
        <f t="shared" si="42"/>
        <v>5000000</v>
      </c>
      <c r="J250" s="466">
        <f t="shared" si="42"/>
        <v>4400000</v>
      </c>
      <c r="K250" s="466">
        <f t="shared" si="42"/>
        <v>4400000</v>
      </c>
      <c r="L250" s="436">
        <f t="shared" si="33"/>
        <v>0</v>
      </c>
      <c r="M250" s="498">
        <f t="shared" si="34"/>
        <v>110</v>
      </c>
    </row>
    <row r="251" spans="1:13" ht="21.25" customHeight="1" outlineLevel="1" x14ac:dyDescent="0.3">
      <c r="A251" s="438" t="s">
        <v>19</v>
      </c>
      <c r="B251" s="439" t="s">
        <v>500</v>
      </c>
      <c r="C251" s="439" t="s">
        <v>59</v>
      </c>
      <c r="D251" s="539" t="s">
        <v>352</v>
      </c>
      <c r="E251" s="539" t="s">
        <v>20</v>
      </c>
      <c r="F251" s="540">
        <v>1100000</v>
      </c>
      <c r="G251" s="466">
        <f t="shared" si="42"/>
        <v>4000000</v>
      </c>
      <c r="H251" s="370">
        <v>2609040.7400000002</v>
      </c>
      <c r="I251" s="442">
        <f t="shared" si="42"/>
        <v>5000000</v>
      </c>
      <c r="J251" s="466">
        <f t="shared" si="42"/>
        <v>4400000</v>
      </c>
      <c r="K251" s="466">
        <f t="shared" si="42"/>
        <v>4400000</v>
      </c>
      <c r="L251" s="436">
        <f t="shared" si="33"/>
        <v>0</v>
      </c>
      <c r="M251" s="498">
        <f t="shared" si="34"/>
        <v>110</v>
      </c>
    </row>
    <row r="252" spans="1:13" ht="55.55" customHeight="1" outlineLevel="1" x14ac:dyDescent="0.3">
      <c r="A252" s="438" t="s">
        <v>47</v>
      </c>
      <c r="B252" s="439" t="s">
        <v>500</v>
      </c>
      <c r="C252" s="439" t="s">
        <v>59</v>
      </c>
      <c r="D252" s="539" t="s">
        <v>352</v>
      </c>
      <c r="E252" s="539" t="s">
        <v>48</v>
      </c>
      <c r="F252" s="540">
        <v>1100000</v>
      </c>
      <c r="G252" s="465">
        <f>[2]потребность!L251</f>
        <v>4000000</v>
      </c>
      <c r="H252" s="370">
        <v>2609040.7400000002</v>
      </c>
      <c r="I252" s="440">
        <f>'[2]прил 12'!F247</f>
        <v>5000000</v>
      </c>
      <c r="J252" s="466">
        <v>4400000</v>
      </c>
      <c r="K252" s="466">
        <v>4400000</v>
      </c>
      <c r="L252" s="436">
        <f t="shared" si="33"/>
        <v>0</v>
      </c>
      <c r="M252" s="498">
        <f t="shared" si="34"/>
        <v>110</v>
      </c>
    </row>
    <row r="253" spans="1:13" ht="36.700000000000003" customHeight="1" outlineLevel="1" x14ac:dyDescent="0.3">
      <c r="A253" s="438" t="s">
        <v>262</v>
      </c>
      <c r="B253" s="439" t="s">
        <v>500</v>
      </c>
      <c r="C253" s="439" t="s">
        <v>59</v>
      </c>
      <c r="D253" s="539" t="s">
        <v>353</v>
      </c>
      <c r="E253" s="539" t="s">
        <v>6</v>
      </c>
      <c r="F253" s="540">
        <v>13650000</v>
      </c>
      <c r="G253" s="466">
        <f t="shared" ref="G253:K254" si="43">G254</f>
        <v>15778000</v>
      </c>
      <c r="H253" s="442">
        <f t="shared" si="43"/>
        <v>19100219.93</v>
      </c>
      <c r="I253" s="442">
        <f t="shared" si="43"/>
        <v>2500000</v>
      </c>
      <c r="J253" s="466">
        <f t="shared" si="43"/>
        <v>15439000</v>
      </c>
      <c r="K253" s="466">
        <f t="shared" si="43"/>
        <v>15439000</v>
      </c>
      <c r="L253" s="436">
        <f t="shared" si="33"/>
        <v>0</v>
      </c>
      <c r="M253" s="498">
        <f t="shared" si="34"/>
        <v>97.851438712130815</v>
      </c>
    </row>
    <row r="254" spans="1:13" outlineLevel="1" x14ac:dyDescent="0.3">
      <c r="A254" s="438" t="s">
        <v>19</v>
      </c>
      <c r="B254" s="439" t="s">
        <v>500</v>
      </c>
      <c r="C254" s="439" t="s">
        <v>59</v>
      </c>
      <c r="D254" s="539" t="s">
        <v>353</v>
      </c>
      <c r="E254" s="539" t="s">
        <v>20</v>
      </c>
      <c r="F254" s="540">
        <v>13650000</v>
      </c>
      <c r="G254" s="466">
        <f t="shared" si="43"/>
        <v>15778000</v>
      </c>
      <c r="H254" s="370">
        <v>19100219.93</v>
      </c>
      <c r="I254" s="442">
        <f t="shared" si="43"/>
        <v>2500000</v>
      </c>
      <c r="J254" s="466">
        <f t="shared" si="43"/>
        <v>15439000</v>
      </c>
      <c r="K254" s="466">
        <f t="shared" si="43"/>
        <v>15439000</v>
      </c>
      <c r="L254" s="436">
        <f t="shared" si="33"/>
        <v>0</v>
      </c>
      <c r="M254" s="498">
        <f t="shared" si="34"/>
        <v>97.851438712130815</v>
      </c>
    </row>
    <row r="255" spans="1:13" ht="50.95" outlineLevel="1" x14ac:dyDescent="0.3">
      <c r="A255" s="438" t="s">
        <v>47</v>
      </c>
      <c r="B255" s="439" t="s">
        <v>500</v>
      </c>
      <c r="C255" s="439" t="s">
        <v>59</v>
      </c>
      <c r="D255" s="539" t="s">
        <v>353</v>
      </c>
      <c r="E255" s="539" t="s">
        <v>48</v>
      </c>
      <c r="F255" s="540">
        <v>13650000</v>
      </c>
      <c r="G255" s="465">
        <f>[2]потребность!L254+5000000</f>
        <v>15778000</v>
      </c>
      <c r="H255" s="370">
        <v>19100219.93</v>
      </c>
      <c r="I255" s="440">
        <f>'[2]прил 12'!F250</f>
        <v>2500000</v>
      </c>
      <c r="J255" s="466">
        <v>15439000</v>
      </c>
      <c r="K255" s="466">
        <v>15439000</v>
      </c>
      <c r="L255" s="436">
        <f t="shared" si="33"/>
        <v>0</v>
      </c>
      <c r="M255" s="498">
        <f t="shared" si="34"/>
        <v>97.851438712130815</v>
      </c>
    </row>
    <row r="256" spans="1:13" ht="50.95" outlineLevel="1" x14ac:dyDescent="0.3">
      <c r="A256" s="438" t="s">
        <v>299</v>
      </c>
      <c r="B256" s="439" t="s">
        <v>500</v>
      </c>
      <c r="C256" s="439" t="s">
        <v>59</v>
      </c>
      <c r="D256" s="539" t="s">
        <v>390</v>
      </c>
      <c r="E256" s="539" t="s">
        <v>6</v>
      </c>
      <c r="F256" s="539"/>
      <c r="G256" s="465">
        <f t="shared" ref="G256:K257" si="44">G257</f>
        <v>500000</v>
      </c>
      <c r="H256" s="440">
        <f t="shared" si="44"/>
        <v>0</v>
      </c>
      <c r="I256" s="440">
        <f t="shared" si="44"/>
        <v>521657.94</v>
      </c>
      <c r="J256" s="465">
        <f t="shared" si="44"/>
        <v>521658</v>
      </c>
      <c r="K256" s="465">
        <f t="shared" si="44"/>
        <v>521658</v>
      </c>
      <c r="L256" s="436">
        <f t="shared" si="33"/>
        <v>0</v>
      </c>
      <c r="M256" s="498">
        <f t="shared" si="34"/>
        <v>104.33159999999999</v>
      </c>
    </row>
    <row r="257" spans="1:13" ht="34" outlineLevel="1" x14ac:dyDescent="0.3">
      <c r="A257" s="438" t="s">
        <v>15</v>
      </c>
      <c r="B257" s="439" t="s">
        <v>500</v>
      </c>
      <c r="C257" s="439" t="s">
        <v>59</v>
      </c>
      <c r="D257" s="539" t="s">
        <v>390</v>
      </c>
      <c r="E257" s="539" t="s">
        <v>16</v>
      </c>
      <c r="F257" s="539"/>
      <c r="G257" s="465">
        <f t="shared" si="44"/>
        <v>500000</v>
      </c>
      <c r="H257" s="440">
        <v>0</v>
      </c>
      <c r="I257" s="440">
        <f t="shared" si="44"/>
        <v>521657.94</v>
      </c>
      <c r="J257" s="465">
        <f t="shared" si="44"/>
        <v>521658</v>
      </c>
      <c r="K257" s="465">
        <f t="shared" si="44"/>
        <v>521658</v>
      </c>
      <c r="L257" s="436">
        <f t="shared" si="33"/>
        <v>0</v>
      </c>
      <c r="M257" s="498">
        <f t="shared" si="34"/>
        <v>104.33159999999999</v>
      </c>
    </row>
    <row r="258" spans="1:13" ht="49.75" customHeight="1" outlineLevel="1" x14ac:dyDescent="0.3">
      <c r="A258" s="438" t="s">
        <v>17</v>
      </c>
      <c r="B258" s="439" t="s">
        <v>500</v>
      </c>
      <c r="C258" s="439" t="s">
        <v>59</v>
      </c>
      <c r="D258" s="539" t="s">
        <v>390</v>
      </c>
      <c r="E258" s="539" t="s">
        <v>18</v>
      </c>
      <c r="F258" s="539"/>
      <c r="G258" s="465">
        <v>500000</v>
      </c>
      <c r="H258" s="440">
        <v>0</v>
      </c>
      <c r="I258" s="440">
        <f>'[2]прил 12'!F253</f>
        <v>521657.94</v>
      </c>
      <c r="J258" s="466">
        <v>521658</v>
      </c>
      <c r="K258" s="466">
        <v>521658</v>
      </c>
      <c r="L258" s="436">
        <f t="shared" si="33"/>
        <v>0</v>
      </c>
      <c r="M258" s="498">
        <f t="shared" si="34"/>
        <v>104.33159999999999</v>
      </c>
    </row>
    <row r="259" spans="1:13" ht="56.25" customHeight="1" outlineLevel="1" x14ac:dyDescent="0.3">
      <c r="A259" s="438" t="s">
        <v>263</v>
      </c>
      <c r="B259" s="439" t="s">
        <v>500</v>
      </c>
      <c r="C259" s="439" t="s">
        <v>59</v>
      </c>
      <c r="D259" s="539" t="s">
        <v>391</v>
      </c>
      <c r="E259" s="539" t="s">
        <v>6</v>
      </c>
      <c r="F259" s="539"/>
      <c r="G259" s="465">
        <f t="shared" ref="G259:K260" si="45">G260</f>
        <v>200000</v>
      </c>
      <c r="H259" s="440">
        <f t="shared" si="45"/>
        <v>0</v>
      </c>
      <c r="I259" s="440">
        <f t="shared" si="45"/>
        <v>200000</v>
      </c>
      <c r="J259" s="465">
        <f t="shared" si="45"/>
        <v>200000</v>
      </c>
      <c r="K259" s="465">
        <f t="shared" si="45"/>
        <v>200000</v>
      </c>
      <c r="L259" s="436">
        <f t="shared" si="33"/>
        <v>0</v>
      </c>
      <c r="M259" s="498">
        <f t="shared" si="34"/>
        <v>100</v>
      </c>
    </row>
    <row r="260" spans="1:13" ht="37.549999999999997" customHeight="1" outlineLevel="1" x14ac:dyDescent="0.3">
      <c r="A260" s="438" t="s">
        <v>15</v>
      </c>
      <c r="B260" s="439" t="s">
        <v>500</v>
      </c>
      <c r="C260" s="439" t="s">
        <v>59</v>
      </c>
      <c r="D260" s="539" t="s">
        <v>391</v>
      </c>
      <c r="E260" s="539" t="s">
        <v>16</v>
      </c>
      <c r="F260" s="539"/>
      <c r="G260" s="465">
        <f t="shared" si="45"/>
        <v>200000</v>
      </c>
      <c r="H260" s="440">
        <v>0</v>
      </c>
      <c r="I260" s="440">
        <f t="shared" si="45"/>
        <v>200000</v>
      </c>
      <c r="J260" s="465">
        <f t="shared" si="45"/>
        <v>200000</v>
      </c>
      <c r="K260" s="465">
        <f t="shared" si="45"/>
        <v>200000</v>
      </c>
      <c r="L260" s="436">
        <f t="shared" si="33"/>
        <v>0</v>
      </c>
      <c r="M260" s="498">
        <f t="shared" si="34"/>
        <v>100</v>
      </c>
    </row>
    <row r="261" spans="1:13" ht="37.549999999999997" customHeight="1" outlineLevel="1" x14ac:dyDescent="0.3">
      <c r="A261" s="438" t="s">
        <v>17</v>
      </c>
      <c r="B261" s="439" t="s">
        <v>500</v>
      </c>
      <c r="C261" s="439" t="s">
        <v>59</v>
      </c>
      <c r="D261" s="539" t="s">
        <v>391</v>
      </c>
      <c r="E261" s="539" t="s">
        <v>18</v>
      </c>
      <c r="F261" s="539"/>
      <c r="G261" s="465">
        <v>200000</v>
      </c>
      <c r="H261" s="440">
        <v>0</v>
      </c>
      <c r="I261" s="440">
        <f>'[2]прил 12'!F256</f>
        <v>200000</v>
      </c>
      <c r="J261" s="466">
        <v>200000</v>
      </c>
      <c r="K261" s="466">
        <v>200000</v>
      </c>
      <c r="L261" s="436">
        <f t="shared" si="33"/>
        <v>0</v>
      </c>
      <c r="M261" s="498">
        <f t="shared" si="34"/>
        <v>100</v>
      </c>
    </row>
    <row r="262" spans="1:13" ht="55.7" hidden="1" customHeight="1" outlineLevel="1" x14ac:dyDescent="0.3">
      <c r="A262" s="438" t="s">
        <v>709</v>
      </c>
      <c r="B262" s="439" t="s">
        <v>500</v>
      </c>
      <c r="C262" s="439" t="s">
        <v>59</v>
      </c>
      <c r="D262" s="539" t="s">
        <v>708</v>
      </c>
      <c r="E262" s="539" t="s">
        <v>6</v>
      </c>
      <c r="F262" s="540">
        <v>5938219.1900000004</v>
      </c>
      <c r="G262" s="465">
        <f>G263</f>
        <v>0</v>
      </c>
      <c r="H262" s="440">
        <f>H263</f>
        <v>0</v>
      </c>
      <c r="I262" s="440">
        <v>0</v>
      </c>
      <c r="J262" s="509"/>
      <c r="K262" s="509"/>
      <c r="L262" s="436">
        <f t="shared" si="33"/>
        <v>0</v>
      </c>
      <c r="M262" s="498"/>
    </row>
    <row r="263" spans="1:13" ht="37.549999999999997" hidden="1" customHeight="1" outlineLevel="1" x14ac:dyDescent="0.3">
      <c r="A263" s="438" t="s">
        <v>15</v>
      </c>
      <c r="B263" s="439" t="s">
        <v>500</v>
      </c>
      <c r="C263" s="439" t="s">
        <v>59</v>
      </c>
      <c r="D263" s="539" t="s">
        <v>708</v>
      </c>
      <c r="E263" s="539" t="s">
        <v>16</v>
      </c>
      <c r="F263" s="540">
        <v>5938219.1900000004</v>
      </c>
      <c r="G263" s="465">
        <f>G264</f>
        <v>0</v>
      </c>
      <c r="H263" s="440">
        <f>H264</f>
        <v>0</v>
      </c>
      <c r="I263" s="440">
        <v>0</v>
      </c>
      <c r="J263" s="466"/>
      <c r="K263" s="466"/>
      <c r="L263" s="436">
        <f t="shared" si="33"/>
        <v>0</v>
      </c>
      <c r="M263" s="498"/>
    </row>
    <row r="264" spans="1:13" ht="37.549999999999997" hidden="1" customHeight="1" outlineLevel="1" x14ac:dyDescent="0.3">
      <c r="A264" s="438" t="s">
        <v>17</v>
      </c>
      <c r="B264" s="439" t="s">
        <v>500</v>
      </c>
      <c r="C264" s="439" t="s">
        <v>59</v>
      </c>
      <c r="D264" s="539" t="s">
        <v>708</v>
      </c>
      <c r="E264" s="539" t="s">
        <v>18</v>
      </c>
      <c r="F264" s="540">
        <v>5938219.1900000004</v>
      </c>
      <c r="G264" s="465"/>
      <c r="H264" s="440"/>
      <c r="I264" s="440">
        <v>0</v>
      </c>
      <c r="J264" s="510"/>
      <c r="K264" s="510"/>
      <c r="L264" s="436">
        <f t="shared" ref="L264:L327" si="46">K264-J264</f>
        <v>0</v>
      </c>
      <c r="M264" s="498"/>
    </row>
    <row r="265" spans="1:13" ht="34" hidden="1" outlineLevel="1" x14ac:dyDescent="0.3">
      <c r="A265" s="438" t="s">
        <v>682</v>
      </c>
      <c r="B265" s="439" t="s">
        <v>500</v>
      </c>
      <c r="C265" s="439" t="s">
        <v>59</v>
      </c>
      <c r="D265" s="539" t="s">
        <v>681</v>
      </c>
      <c r="E265" s="539" t="s">
        <v>6</v>
      </c>
      <c r="F265" s="540">
        <v>59982.01</v>
      </c>
      <c r="G265" s="465">
        <f>G266</f>
        <v>0</v>
      </c>
      <c r="H265" s="440">
        <f>H266</f>
        <v>0</v>
      </c>
      <c r="I265" s="440">
        <v>0</v>
      </c>
      <c r="J265" s="466"/>
      <c r="K265" s="466"/>
      <c r="L265" s="436">
        <f t="shared" si="46"/>
        <v>0</v>
      </c>
      <c r="M265" s="498"/>
    </row>
    <row r="266" spans="1:13" ht="34" hidden="1" outlineLevel="1" x14ac:dyDescent="0.3">
      <c r="A266" s="438" t="s">
        <v>15</v>
      </c>
      <c r="B266" s="439" t="s">
        <v>500</v>
      </c>
      <c r="C266" s="439" t="s">
        <v>59</v>
      </c>
      <c r="D266" s="539" t="s">
        <v>681</v>
      </c>
      <c r="E266" s="539" t="s">
        <v>16</v>
      </c>
      <c r="F266" s="540">
        <v>59982.01</v>
      </c>
      <c r="G266" s="465">
        <f>G267</f>
        <v>0</v>
      </c>
      <c r="H266" s="440">
        <f>H267</f>
        <v>0</v>
      </c>
      <c r="I266" s="440">
        <v>0</v>
      </c>
      <c r="J266" s="466"/>
      <c r="K266" s="466"/>
      <c r="L266" s="436">
        <f t="shared" si="46"/>
        <v>0</v>
      </c>
      <c r="M266" s="498"/>
    </row>
    <row r="267" spans="1:13" ht="34" hidden="1" outlineLevel="1" x14ac:dyDescent="0.3">
      <c r="A267" s="438" t="s">
        <v>17</v>
      </c>
      <c r="B267" s="439" t="s">
        <v>500</v>
      </c>
      <c r="C267" s="439" t="s">
        <v>59</v>
      </c>
      <c r="D267" s="539" t="s">
        <v>681</v>
      </c>
      <c r="E267" s="539" t="s">
        <v>18</v>
      </c>
      <c r="F267" s="540">
        <v>59982.01</v>
      </c>
      <c r="G267" s="465">
        <v>0</v>
      </c>
      <c r="H267" s="440">
        <v>0</v>
      </c>
      <c r="I267" s="440">
        <v>0</v>
      </c>
      <c r="J267" s="510"/>
      <c r="K267" s="510"/>
      <c r="L267" s="436">
        <f t="shared" si="46"/>
        <v>0</v>
      </c>
      <c r="M267" s="498"/>
    </row>
    <row r="268" spans="1:13" ht="27.7" customHeight="1" outlineLevel="1" x14ac:dyDescent="0.3">
      <c r="A268" s="450" t="s">
        <v>455</v>
      </c>
      <c r="B268" s="439" t="s">
        <v>500</v>
      </c>
      <c r="C268" s="439" t="s">
        <v>59</v>
      </c>
      <c r="D268" s="539" t="s">
        <v>700</v>
      </c>
      <c r="E268" s="539" t="s">
        <v>6</v>
      </c>
      <c r="F268" s="542">
        <v>117960285.20999999</v>
      </c>
      <c r="G268" s="465">
        <f>G269</f>
        <v>21338979.699999999</v>
      </c>
      <c r="H268" s="440">
        <f>H269</f>
        <v>21338979.699999999</v>
      </c>
      <c r="I268" s="440">
        <v>0</v>
      </c>
      <c r="J268" s="465">
        <f t="shared" ref="J268:K270" si="47">J269</f>
        <v>0</v>
      </c>
      <c r="K268" s="465">
        <f t="shared" si="47"/>
        <v>0</v>
      </c>
      <c r="L268" s="436">
        <f t="shared" si="46"/>
        <v>0</v>
      </c>
      <c r="M268" s="498">
        <f t="shared" ref="M268:M327" si="48">J268/G268%</f>
        <v>0</v>
      </c>
    </row>
    <row r="269" spans="1:13" ht="41.95" customHeight="1" outlineLevel="1" x14ac:dyDescent="0.3">
      <c r="A269" s="438" t="s">
        <v>460</v>
      </c>
      <c r="B269" s="439" t="s">
        <v>500</v>
      </c>
      <c r="C269" s="439" t="s">
        <v>59</v>
      </c>
      <c r="D269" s="539" t="s">
        <v>701</v>
      </c>
      <c r="E269" s="539" t="s">
        <v>6</v>
      </c>
      <c r="F269" s="540">
        <v>117960285.20999999</v>
      </c>
      <c r="G269" s="465">
        <f>G270</f>
        <v>21338979.699999999</v>
      </c>
      <c r="H269" s="440">
        <f>H270</f>
        <v>21338979.699999999</v>
      </c>
      <c r="I269" s="440">
        <v>0</v>
      </c>
      <c r="J269" s="513">
        <f t="shared" si="47"/>
        <v>0</v>
      </c>
      <c r="K269" s="513">
        <f t="shared" si="47"/>
        <v>0</v>
      </c>
      <c r="L269" s="436">
        <f t="shared" si="46"/>
        <v>0</v>
      </c>
      <c r="M269" s="498">
        <f t="shared" si="48"/>
        <v>0</v>
      </c>
    </row>
    <row r="270" spans="1:13" ht="40.75" customHeight="1" outlineLevel="1" x14ac:dyDescent="0.3">
      <c r="A270" s="438" t="s">
        <v>264</v>
      </c>
      <c r="B270" s="439" t="s">
        <v>500</v>
      </c>
      <c r="C270" s="439" t="s">
        <v>59</v>
      </c>
      <c r="D270" s="539" t="s">
        <v>701</v>
      </c>
      <c r="E270" s="539" t="s">
        <v>265</v>
      </c>
      <c r="F270" s="540">
        <v>117960285.20999999</v>
      </c>
      <c r="G270" s="465">
        <f>G271</f>
        <v>21338979.699999999</v>
      </c>
      <c r="H270" s="370">
        <v>21338979.699999999</v>
      </c>
      <c r="I270" s="440">
        <v>0</v>
      </c>
      <c r="J270" s="465">
        <f t="shared" si="47"/>
        <v>0</v>
      </c>
      <c r="K270" s="465">
        <f t="shared" si="47"/>
        <v>0</v>
      </c>
      <c r="L270" s="436">
        <f t="shared" si="46"/>
        <v>0</v>
      </c>
      <c r="M270" s="498">
        <f t="shared" si="48"/>
        <v>0</v>
      </c>
    </row>
    <row r="271" spans="1:13" ht="23.95" customHeight="1" outlineLevel="1" x14ac:dyDescent="0.3">
      <c r="A271" s="438" t="s">
        <v>266</v>
      </c>
      <c r="B271" s="439" t="s">
        <v>500</v>
      </c>
      <c r="C271" s="439" t="s">
        <v>59</v>
      </c>
      <c r="D271" s="539" t="s">
        <v>701</v>
      </c>
      <c r="E271" s="539" t="s">
        <v>267</v>
      </c>
      <c r="F271" s="540">
        <v>117960285.20999999</v>
      </c>
      <c r="G271" s="465">
        <v>21338979.699999999</v>
      </c>
      <c r="H271" s="370">
        <v>21338979.699999999</v>
      </c>
      <c r="I271" s="440">
        <v>0</v>
      </c>
      <c r="J271" s="510"/>
      <c r="K271" s="510"/>
      <c r="L271" s="436">
        <f t="shared" si="46"/>
        <v>0</v>
      </c>
      <c r="M271" s="498">
        <f t="shared" si="48"/>
        <v>0</v>
      </c>
    </row>
    <row r="272" spans="1:13" ht="27.7" customHeight="1" outlineLevel="1" x14ac:dyDescent="0.3">
      <c r="A272" s="438" t="s">
        <v>61</v>
      </c>
      <c r="B272" s="439" t="s">
        <v>500</v>
      </c>
      <c r="C272" s="439" t="s">
        <v>62</v>
      </c>
      <c r="D272" s="539" t="s">
        <v>126</v>
      </c>
      <c r="E272" s="539" t="s">
        <v>6</v>
      </c>
      <c r="F272" s="540">
        <v>25901503.52</v>
      </c>
      <c r="G272" s="465">
        <f>G273+G287+G304</f>
        <v>55940903.060000002</v>
      </c>
      <c r="H272" s="440">
        <f>H273+H287+H304</f>
        <v>27271577.329999998</v>
      </c>
      <c r="I272" s="440">
        <f>I273+I287+I304</f>
        <v>30574076.27</v>
      </c>
      <c r="J272" s="465">
        <f>J273+J287+J304</f>
        <v>24281386.560000002</v>
      </c>
      <c r="K272" s="465">
        <f>K273+K287+K304</f>
        <v>23557530.740000002</v>
      </c>
      <c r="L272" s="436">
        <f t="shared" si="46"/>
        <v>-723855.8200000003</v>
      </c>
      <c r="M272" s="498">
        <f t="shared" si="48"/>
        <v>43.405424710353252</v>
      </c>
    </row>
    <row r="273" spans="1:13" ht="50.95" outlineLevel="1" x14ac:dyDescent="0.3">
      <c r="A273" s="444" t="s">
        <v>845</v>
      </c>
      <c r="B273" s="439" t="s">
        <v>500</v>
      </c>
      <c r="C273" s="445" t="s">
        <v>62</v>
      </c>
      <c r="D273" s="541" t="s">
        <v>134</v>
      </c>
      <c r="E273" s="541" t="s">
        <v>6</v>
      </c>
      <c r="F273" s="542">
        <v>299455.2</v>
      </c>
      <c r="G273" s="465">
        <f>G274</f>
        <v>2992316</v>
      </c>
      <c r="H273" s="440">
        <f>H274</f>
        <v>2292013.5</v>
      </c>
      <c r="I273" s="440">
        <f>I274</f>
        <v>1661631</v>
      </c>
      <c r="J273" s="465">
        <f>J274</f>
        <v>1691631</v>
      </c>
      <c r="K273" s="465">
        <f>K274</f>
        <v>1691631</v>
      </c>
      <c r="L273" s="436">
        <f t="shared" si="46"/>
        <v>0</v>
      </c>
      <c r="M273" s="498">
        <f t="shared" si="48"/>
        <v>56.532498573011672</v>
      </c>
    </row>
    <row r="274" spans="1:13" ht="23.3" customHeight="1" outlineLevel="1" x14ac:dyDescent="0.3">
      <c r="A274" s="438" t="s">
        <v>354</v>
      </c>
      <c r="B274" s="439" t="s">
        <v>500</v>
      </c>
      <c r="C274" s="439" t="s">
        <v>62</v>
      </c>
      <c r="D274" s="539" t="s">
        <v>232</v>
      </c>
      <c r="E274" s="539" t="s">
        <v>6</v>
      </c>
      <c r="F274" s="540">
        <v>299455.2</v>
      </c>
      <c r="G274" s="465">
        <f>G275+G281+G278+G284</f>
        <v>2992316</v>
      </c>
      <c r="H274" s="440">
        <f>H275+H281+H278+H284</f>
        <v>2292013.5</v>
      </c>
      <c r="I274" s="440">
        <f>I275+I281+I278+I284</f>
        <v>1661631</v>
      </c>
      <c r="J274" s="465">
        <f>J275+J281+J278+J284</f>
        <v>1691631</v>
      </c>
      <c r="K274" s="465">
        <f>K275+K281+K278+K284</f>
        <v>1691631</v>
      </c>
      <c r="L274" s="436">
        <f t="shared" si="46"/>
        <v>0</v>
      </c>
      <c r="M274" s="498">
        <f t="shared" si="48"/>
        <v>56.532498573011672</v>
      </c>
    </row>
    <row r="275" spans="1:13" ht="27.7" customHeight="1" outlineLevel="1" x14ac:dyDescent="0.3">
      <c r="A275" s="438" t="s">
        <v>360</v>
      </c>
      <c r="B275" s="439" t="s">
        <v>500</v>
      </c>
      <c r="C275" s="439" t="s">
        <v>62</v>
      </c>
      <c r="D275" s="539" t="s">
        <v>461</v>
      </c>
      <c r="E275" s="539" t="s">
        <v>6</v>
      </c>
      <c r="F275" s="540">
        <v>0</v>
      </c>
      <c r="G275" s="465">
        <f t="shared" ref="G275:K276" si="49">G276</f>
        <v>2492316</v>
      </c>
      <c r="H275" s="440">
        <f t="shared" si="49"/>
        <v>2079400</v>
      </c>
      <c r="I275" s="440">
        <f t="shared" si="49"/>
        <v>400000</v>
      </c>
      <c r="J275" s="465">
        <f t="shared" si="49"/>
        <v>400000</v>
      </c>
      <c r="K275" s="465">
        <f t="shared" si="49"/>
        <v>400000</v>
      </c>
      <c r="L275" s="436">
        <f t="shared" si="46"/>
        <v>0</v>
      </c>
      <c r="M275" s="498">
        <f t="shared" si="48"/>
        <v>16.049329218285322</v>
      </c>
    </row>
    <row r="276" spans="1:13" s="449" customFormat="1" ht="34" outlineLevel="1" x14ac:dyDescent="0.3">
      <c r="A276" s="397" t="s">
        <v>15</v>
      </c>
      <c r="B276" s="439" t="s">
        <v>500</v>
      </c>
      <c r="C276" s="439" t="s">
        <v>62</v>
      </c>
      <c r="D276" s="539" t="s">
        <v>461</v>
      </c>
      <c r="E276" s="539" t="s">
        <v>16</v>
      </c>
      <c r="F276" s="540">
        <v>0</v>
      </c>
      <c r="G276" s="465">
        <f t="shared" si="49"/>
        <v>2492316</v>
      </c>
      <c r="H276" s="373">
        <v>2079400</v>
      </c>
      <c r="I276" s="440">
        <f t="shared" si="49"/>
        <v>400000</v>
      </c>
      <c r="J276" s="465">
        <f t="shared" si="49"/>
        <v>400000</v>
      </c>
      <c r="K276" s="465">
        <f t="shared" si="49"/>
        <v>400000</v>
      </c>
      <c r="L276" s="436">
        <f t="shared" si="46"/>
        <v>0</v>
      </c>
      <c r="M276" s="498">
        <f t="shared" si="48"/>
        <v>16.049329218285322</v>
      </c>
    </row>
    <row r="277" spans="1:13" ht="34" outlineLevel="1" x14ac:dyDescent="0.3">
      <c r="A277" s="397" t="s">
        <v>17</v>
      </c>
      <c r="B277" s="439" t="s">
        <v>500</v>
      </c>
      <c r="C277" s="439" t="s">
        <v>62</v>
      </c>
      <c r="D277" s="539" t="s">
        <v>461</v>
      </c>
      <c r="E277" s="539" t="s">
        <v>18</v>
      </c>
      <c r="F277" s="540">
        <v>0</v>
      </c>
      <c r="G277" s="465">
        <f>200000+2292316</f>
        <v>2492316</v>
      </c>
      <c r="H277" s="373">
        <v>2079400</v>
      </c>
      <c r="I277" s="440">
        <f>'[2]прил 12'!F272</f>
        <v>400000</v>
      </c>
      <c r="J277" s="466">
        <v>400000</v>
      </c>
      <c r="K277" s="466">
        <v>400000</v>
      </c>
      <c r="L277" s="436">
        <f t="shared" si="46"/>
        <v>0</v>
      </c>
      <c r="M277" s="498">
        <f t="shared" si="48"/>
        <v>16.049329218285322</v>
      </c>
    </row>
    <row r="278" spans="1:13" ht="49.75" customHeight="1" outlineLevel="1" x14ac:dyDescent="0.3">
      <c r="A278" s="397" t="s">
        <v>767</v>
      </c>
      <c r="B278" s="439" t="s">
        <v>500</v>
      </c>
      <c r="C278" s="439" t="s">
        <v>62</v>
      </c>
      <c r="D278" s="539" t="s">
        <v>947</v>
      </c>
      <c r="E278" s="539" t="s">
        <v>6</v>
      </c>
      <c r="F278" s="539" t="s">
        <v>976</v>
      </c>
      <c r="G278" s="465">
        <f t="shared" ref="G278:I279" si="50">G279</f>
        <v>0</v>
      </c>
      <c r="H278" s="440">
        <f t="shared" si="50"/>
        <v>0</v>
      </c>
      <c r="I278" s="457">
        <f t="shared" si="50"/>
        <v>761631</v>
      </c>
      <c r="J278" s="466">
        <f>J279</f>
        <v>791631</v>
      </c>
      <c r="K278" s="466">
        <f>K279</f>
        <v>791631</v>
      </c>
      <c r="L278" s="436">
        <f t="shared" si="46"/>
        <v>0</v>
      </c>
      <c r="M278" s="498"/>
    </row>
    <row r="279" spans="1:13" ht="34" outlineLevel="1" x14ac:dyDescent="0.3">
      <c r="A279" s="397" t="s">
        <v>15</v>
      </c>
      <c r="B279" s="439" t="s">
        <v>500</v>
      </c>
      <c r="C279" s="439" t="s">
        <v>62</v>
      </c>
      <c r="D279" s="539" t="s">
        <v>947</v>
      </c>
      <c r="E279" s="539" t="s">
        <v>16</v>
      </c>
      <c r="F279" s="539" t="s">
        <v>976</v>
      </c>
      <c r="G279" s="465">
        <f t="shared" si="50"/>
        <v>0</v>
      </c>
      <c r="H279" s="440">
        <f t="shared" si="50"/>
        <v>0</v>
      </c>
      <c r="I279" s="457">
        <f t="shared" si="50"/>
        <v>761631</v>
      </c>
      <c r="J279" s="466">
        <f>J280</f>
        <v>791631</v>
      </c>
      <c r="K279" s="466">
        <f>K280</f>
        <v>791631</v>
      </c>
      <c r="L279" s="436">
        <f t="shared" si="46"/>
        <v>0</v>
      </c>
      <c r="M279" s="498"/>
    </row>
    <row r="280" spans="1:13" ht="18.7" customHeight="1" outlineLevel="1" x14ac:dyDescent="0.3">
      <c r="A280" s="397" t="s">
        <v>17</v>
      </c>
      <c r="B280" s="439" t="s">
        <v>500</v>
      </c>
      <c r="C280" s="439" t="s">
        <v>62</v>
      </c>
      <c r="D280" s="539" t="s">
        <v>947</v>
      </c>
      <c r="E280" s="539" t="s">
        <v>18</v>
      </c>
      <c r="F280" s="539" t="s">
        <v>976</v>
      </c>
      <c r="G280" s="465">
        <v>0</v>
      </c>
      <c r="H280" s="440">
        <v>0</v>
      </c>
      <c r="I280" s="457">
        <f>'[2]прил 12'!F278</f>
        <v>761631</v>
      </c>
      <c r="J280" s="466">
        <v>791631</v>
      </c>
      <c r="K280" s="466">
        <v>791631</v>
      </c>
      <c r="L280" s="436">
        <f t="shared" si="46"/>
        <v>0</v>
      </c>
      <c r="M280" s="498"/>
    </row>
    <row r="281" spans="1:13" ht="34" outlineLevel="1" x14ac:dyDescent="0.3">
      <c r="A281" s="438" t="s">
        <v>63</v>
      </c>
      <c r="B281" s="439" t="s">
        <v>500</v>
      </c>
      <c r="C281" s="439" t="s">
        <v>62</v>
      </c>
      <c r="D281" s="539" t="s">
        <v>355</v>
      </c>
      <c r="E281" s="539" t="s">
        <v>6</v>
      </c>
      <c r="F281" s="540">
        <v>299455.2</v>
      </c>
      <c r="G281" s="465">
        <f>G282</f>
        <v>500000</v>
      </c>
      <c r="H281" s="440">
        <f>H282</f>
        <v>212613.5</v>
      </c>
      <c r="I281" s="440">
        <f>I282</f>
        <v>500000</v>
      </c>
      <c r="J281" s="466">
        <f>J282</f>
        <v>500000</v>
      </c>
      <c r="K281" s="466">
        <f>K282</f>
        <v>500000</v>
      </c>
      <c r="L281" s="436">
        <f t="shared" si="46"/>
        <v>0</v>
      </c>
      <c r="M281" s="498">
        <f t="shared" si="48"/>
        <v>100</v>
      </c>
    </row>
    <row r="282" spans="1:13" ht="34" outlineLevel="1" x14ac:dyDescent="0.3">
      <c r="A282" s="438" t="s">
        <v>15</v>
      </c>
      <c r="B282" s="439" t="s">
        <v>500</v>
      </c>
      <c r="C282" s="439" t="s">
        <v>62</v>
      </c>
      <c r="D282" s="539" t="s">
        <v>355</v>
      </c>
      <c r="E282" s="539" t="s">
        <v>16</v>
      </c>
      <c r="F282" s="540">
        <v>299455.2</v>
      </c>
      <c r="G282" s="465">
        <f>G283</f>
        <v>500000</v>
      </c>
      <c r="H282" s="370">
        <v>212613.5</v>
      </c>
      <c r="I282" s="440">
        <f>I283</f>
        <v>500000</v>
      </c>
      <c r="J282" s="466">
        <f>J283</f>
        <v>500000</v>
      </c>
      <c r="K282" s="466">
        <f>K283</f>
        <v>500000</v>
      </c>
      <c r="L282" s="436">
        <f t="shared" si="46"/>
        <v>0</v>
      </c>
      <c r="M282" s="498">
        <f t="shared" si="48"/>
        <v>100</v>
      </c>
    </row>
    <row r="283" spans="1:13" ht="22.75" customHeight="1" outlineLevel="1" x14ac:dyDescent="0.3">
      <c r="A283" s="438" t="s">
        <v>17</v>
      </c>
      <c r="B283" s="439" t="s">
        <v>500</v>
      </c>
      <c r="C283" s="439" t="s">
        <v>62</v>
      </c>
      <c r="D283" s="539" t="s">
        <v>355</v>
      </c>
      <c r="E283" s="539" t="s">
        <v>18</v>
      </c>
      <c r="F283" s="540">
        <v>299455.2</v>
      </c>
      <c r="G283" s="466">
        <v>500000</v>
      </c>
      <c r="H283" s="370">
        <v>212613.5</v>
      </c>
      <c r="I283" s="442">
        <f>'[2]прил 12'!F281</f>
        <v>500000</v>
      </c>
      <c r="J283" s="466">
        <v>500000</v>
      </c>
      <c r="K283" s="466">
        <v>500000</v>
      </c>
      <c r="L283" s="436">
        <f t="shared" si="46"/>
        <v>0</v>
      </c>
      <c r="M283" s="498">
        <f t="shared" si="48"/>
        <v>100</v>
      </c>
    </row>
    <row r="284" spans="1:13" ht="40.1" hidden="1" customHeight="1" outlineLevel="1" x14ac:dyDescent="0.3">
      <c r="A284" s="438" t="s">
        <v>948</v>
      </c>
      <c r="B284" s="439" t="s">
        <v>500</v>
      </c>
      <c r="C284" s="439" t="s">
        <v>62</v>
      </c>
      <c r="D284" s="539" t="s">
        <v>949</v>
      </c>
      <c r="E284" s="539" t="s">
        <v>6</v>
      </c>
      <c r="F284" s="539" t="s">
        <v>976</v>
      </c>
      <c r="G284" s="466">
        <f>G285</f>
        <v>0</v>
      </c>
      <c r="H284" s="442">
        <f>H285</f>
        <v>0</v>
      </c>
      <c r="I284" s="442">
        <v>0</v>
      </c>
      <c r="J284" s="466"/>
      <c r="K284" s="466"/>
      <c r="L284" s="436">
        <f t="shared" si="46"/>
        <v>0</v>
      </c>
      <c r="M284" s="498"/>
    </row>
    <row r="285" spans="1:13" ht="22.75" hidden="1" customHeight="1" outlineLevel="1" x14ac:dyDescent="0.3">
      <c r="A285" s="438" t="s">
        <v>15</v>
      </c>
      <c r="B285" s="439" t="s">
        <v>500</v>
      </c>
      <c r="C285" s="439" t="s">
        <v>62</v>
      </c>
      <c r="D285" s="539" t="s">
        <v>949</v>
      </c>
      <c r="E285" s="539" t="s">
        <v>16</v>
      </c>
      <c r="F285" s="539" t="s">
        <v>976</v>
      </c>
      <c r="G285" s="466">
        <f>G286</f>
        <v>0</v>
      </c>
      <c r="H285" s="442">
        <f>H286</f>
        <v>0</v>
      </c>
      <c r="I285" s="442">
        <v>0</v>
      </c>
      <c r="J285" s="466"/>
      <c r="K285" s="466"/>
      <c r="L285" s="436">
        <f t="shared" si="46"/>
        <v>0</v>
      </c>
      <c r="M285" s="498"/>
    </row>
    <row r="286" spans="1:13" ht="22.75" hidden="1" customHeight="1" outlineLevel="1" x14ac:dyDescent="0.3">
      <c r="A286" s="438" t="s">
        <v>17</v>
      </c>
      <c r="B286" s="439" t="s">
        <v>500</v>
      </c>
      <c r="C286" s="439" t="s">
        <v>62</v>
      </c>
      <c r="D286" s="539" t="s">
        <v>949</v>
      </c>
      <c r="E286" s="539" t="s">
        <v>18</v>
      </c>
      <c r="F286" s="539" t="s">
        <v>976</v>
      </c>
      <c r="G286" s="466">
        <v>0</v>
      </c>
      <c r="H286" s="442">
        <v>0</v>
      </c>
      <c r="I286" s="442">
        <v>0</v>
      </c>
      <c r="J286" s="466"/>
      <c r="K286" s="466"/>
      <c r="L286" s="436">
        <f t="shared" si="46"/>
        <v>0</v>
      </c>
      <c r="M286" s="498"/>
    </row>
    <row r="287" spans="1:13" s="449" customFormat="1" ht="50.95" outlineLevel="1" x14ac:dyDescent="0.3">
      <c r="A287" s="444" t="s">
        <v>508</v>
      </c>
      <c r="B287" s="445" t="s">
        <v>500</v>
      </c>
      <c r="C287" s="445" t="s">
        <v>62</v>
      </c>
      <c r="D287" s="541" t="s">
        <v>509</v>
      </c>
      <c r="E287" s="541" t="s">
        <v>6</v>
      </c>
      <c r="F287" s="542">
        <v>9726045.7400000002</v>
      </c>
      <c r="G287" s="465">
        <f>G288</f>
        <v>37602759.850000001</v>
      </c>
      <c r="H287" s="440">
        <f>H288</f>
        <v>12620574.139999997</v>
      </c>
      <c r="I287" s="440">
        <f>I288</f>
        <v>8938369</v>
      </c>
      <c r="J287" s="465">
        <f>J288</f>
        <v>9414506.0600000005</v>
      </c>
      <c r="K287" s="465">
        <f>K288</f>
        <v>8914506.0600000005</v>
      </c>
      <c r="L287" s="436">
        <f t="shared" si="46"/>
        <v>-500000</v>
      </c>
      <c r="M287" s="498">
        <f t="shared" si="48"/>
        <v>25.036742243269146</v>
      </c>
    </row>
    <row r="288" spans="1:13" ht="34" outlineLevel="1" x14ac:dyDescent="0.3">
      <c r="A288" s="438" t="s">
        <v>510</v>
      </c>
      <c r="B288" s="439" t="s">
        <v>500</v>
      </c>
      <c r="C288" s="439" t="s">
        <v>62</v>
      </c>
      <c r="D288" s="539" t="s">
        <v>511</v>
      </c>
      <c r="E288" s="539" t="s">
        <v>6</v>
      </c>
      <c r="F288" s="540">
        <v>9726045.7400000002</v>
      </c>
      <c r="G288" s="465">
        <f>G289+G292+G295+G301+G298</f>
        <v>37602759.850000001</v>
      </c>
      <c r="H288" s="440">
        <f>H289+H292+H295+H301+H298</f>
        <v>12620574.139999997</v>
      </c>
      <c r="I288" s="440">
        <f>I289+I292+I295+I301+I298</f>
        <v>8938369</v>
      </c>
      <c r="J288" s="465">
        <f>J289+J292+J295+J301+J298</f>
        <v>9414506.0600000005</v>
      </c>
      <c r="K288" s="465">
        <f>K289+K292+K295+K301+K298</f>
        <v>8914506.0600000005</v>
      </c>
      <c r="L288" s="436">
        <f t="shared" si="46"/>
        <v>-500000</v>
      </c>
      <c r="M288" s="498">
        <f t="shared" si="48"/>
        <v>25.036742243269146</v>
      </c>
    </row>
    <row r="289" spans="1:13" ht="56.25" customHeight="1" outlineLevel="1" x14ac:dyDescent="0.3">
      <c r="A289" s="438" t="s">
        <v>512</v>
      </c>
      <c r="B289" s="439" t="s">
        <v>500</v>
      </c>
      <c r="C289" s="439" t="s">
        <v>62</v>
      </c>
      <c r="D289" s="539" t="s">
        <v>513</v>
      </c>
      <c r="E289" s="539" t="s">
        <v>6</v>
      </c>
      <c r="F289" s="540">
        <v>1296863.18</v>
      </c>
      <c r="G289" s="465">
        <f t="shared" ref="G289:K290" si="51">G290</f>
        <v>2660000</v>
      </c>
      <c r="H289" s="440">
        <f t="shared" si="51"/>
        <v>1833684.4</v>
      </c>
      <c r="I289" s="440">
        <f t="shared" si="51"/>
        <v>2738369</v>
      </c>
      <c r="J289" s="465">
        <f t="shared" si="51"/>
        <v>2170900</v>
      </c>
      <c r="K289" s="465">
        <f t="shared" si="51"/>
        <v>2170900</v>
      </c>
      <c r="L289" s="436">
        <f t="shared" si="46"/>
        <v>0</v>
      </c>
      <c r="M289" s="498">
        <f t="shared" si="48"/>
        <v>81.612781954887211</v>
      </c>
    </row>
    <row r="290" spans="1:13" ht="34" outlineLevel="1" x14ac:dyDescent="0.3">
      <c r="A290" s="438" t="s">
        <v>15</v>
      </c>
      <c r="B290" s="439" t="s">
        <v>500</v>
      </c>
      <c r="C290" s="439" t="s">
        <v>62</v>
      </c>
      <c r="D290" s="539" t="s">
        <v>513</v>
      </c>
      <c r="E290" s="539" t="s">
        <v>16</v>
      </c>
      <c r="F290" s="540">
        <v>1296863.18</v>
      </c>
      <c r="G290" s="465">
        <f t="shared" si="51"/>
        <v>2660000</v>
      </c>
      <c r="H290" s="370">
        <v>1833684.4</v>
      </c>
      <c r="I290" s="440">
        <f t="shared" si="51"/>
        <v>2738369</v>
      </c>
      <c r="J290" s="465">
        <f t="shared" si="51"/>
        <v>2170900</v>
      </c>
      <c r="K290" s="465">
        <f t="shared" si="51"/>
        <v>2170900</v>
      </c>
      <c r="L290" s="436">
        <f t="shared" si="46"/>
        <v>0</v>
      </c>
      <c r="M290" s="498">
        <f t="shared" si="48"/>
        <v>81.612781954887211</v>
      </c>
    </row>
    <row r="291" spans="1:13" ht="34" outlineLevel="1" x14ac:dyDescent="0.3">
      <c r="A291" s="438" t="s">
        <v>17</v>
      </c>
      <c r="B291" s="439" t="s">
        <v>500</v>
      </c>
      <c r="C291" s="439" t="s">
        <v>62</v>
      </c>
      <c r="D291" s="539" t="s">
        <v>513</v>
      </c>
      <c r="E291" s="539" t="s">
        <v>18</v>
      </c>
      <c r="F291" s="540">
        <v>1296863.18</v>
      </c>
      <c r="G291" s="466">
        <f>[2]потребность!L287+160000+1000000</f>
        <v>2660000</v>
      </c>
      <c r="H291" s="370">
        <v>1833684.4</v>
      </c>
      <c r="I291" s="442">
        <f>'[2]прил 12'!F286</f>
        <v>2738369</v>
      </c>
      <c r="J291" s="466">
        <v>2170900</v>
      </c>
      <c r="K291" s="466">
        <v>2170900</v>
      </c>
      <c r="L291" s="436">
        <f t="shared" si="46"/>
        <v>0</v>
      </c>
      <c r="M291" s="498">
        <f t="shared" si="48"/>
        <v>81.612781954887211</v>
      </c>
    </row>
    <row r="292" spans="1:13" ht="38.25" customHeight="1" outlineLevel="1" x14ac:dyDescent="0.3">
      <c r="A292" s="438" t="s">
        <v>514</v>
      </c>
      <c r="B292" s="439" t="s">
        <v>500</v>
      </c>
      <c r="C292" s="439" t="s">
        <v>62</v>
      </c>
      <c r="D292" s="539" t="s">
        <v>515</v>
      </c>
      <c r="E292" s="539" t="s">
        <v>6</v>
      </c>
      <c r="F292" s="540">
        <v>3750776.94</v>
      </c>
      <c r="G292" s="465">
        <f t="shared" ref="G292:K293" si="52">G293</f>
        <v>5151000</v>
      </c>
      <c r="H292" s="440">
        <f t="shared" si="52"/>
        <v>4821119.8099999996</v>
      </c>
      <c r="I292" s="440">
        <f t="shared" si="52"/>
        <v>3700000</v>
      </c>
      <c r="J292" s="465">
        <f t="shared" si="52"/>
        <v>3348000</v>
      </c>
      <c r="K292" s="465">
        <f t="shared" si="52"/>
        <v>3348000</v>
      </c>
      <c r="L292" s="436">
        <f t="shared" si="46"/>
        <v>0</v>
      </c>
      <c r="M292" s="498">
        <f t="shared" si="48"/>
        <v>64.99708794408852</v>
      </c>
    </row>
    <row r="293" spans="1:13" ht="34" outlineLevel="1" x14ac:dyDescent="0.3">
      <c r="A293" s="438" t="s">
        <v>15</v>
      </c>
      <c r="B293" s="439" t="s">
        <v>500</v>
      </c>
      <c r="C293" s="439" t="s">
        <v>62</v>
      </c>
      <c r="D293" s="539" t="s">
        <v>515</v>
      </c>
      <c r="E293" s="539" t="s">
        <v>16</v>
      </c>
      <c r="F293" s="540">
        <v>3750776.94</v>
      </c>
      <c r="G293" s="465">
        <f t="shared" si="52"/>
        <v>5151000</v>
      </c>
      <c r="H293" s="370">
        <v>4821119.8099999996</v>
      </c>
      <c r="I293" s="440">
        <f t="shared" si="52"/>
        <v>3700000</v>
      </c>
      <c r="J293" s="465">
        <f t="shared" si="52"/>
        <v>3348000</v>
      </c>
      <c r="K293" s="465">
        <f t="shared" si="52"/>
        <v>3348000</v>
      </c>
      <c r="L293" s="436">
        <f t="shared" si="46"/>
        <v>0</v>
      </c>
      <c r="M293" s="498">
        <f t="shared" si="48"/>
        <v>64.99708794408852</v>
      </c>
    </row>
    <row r="294" spans="1:13" ht="34" outlineLevel="1" x14ac:dyDescent="0.3">
      <c r="A294" s="438" t="s">
        <v>17</v>
      </c>
      <c r="B294" s="439" t="s">
        <v>500</v>
      </c>
      <c r="C294" s="439" t="s">
        <v>62</v>
      </c>
      <c r="D294" s="539" t="s">
        <v>515</v>
      </c>
      <c r="E294" s="539" t="s">
        <v>18</v>
      </c>
      <c r="F294" s="540">
        <v>3750776.94</v>
      </c>
      <c r="G294" s="466">
        <f>3621000+1530000</f>
        <v>5151000</v>
      </c>
      <c r="H294" s="370">
        <v>4821119.8099999996</v>
      </c>
      <c r="I294" s="442">
        <f>'[2]прил 12'!F289</f>
        <v>3700000</v>
      </c>
      <c r="J294" s="466">
        <v>3348000</v>
      </c>
      <c r="K294" s="466">
        <v>3348000</v>
      </c>
      <c r="L294" s="436">
        <f t="shared" si="46"/>
        <v>0</v>
      </c>
      <c r="M294" s="498">
        <f t="shared" si="48"/>
        <v>64.99708794408852</v>
      </c>
    </row>
    <row r="295" spans="1:13" ht="34" outlineLevel="1" x14ac:dyDescent="0.3">
      <c r="A295" s="438" t="s">
        <v>516</v>
      </c>
      <c r="B295" s="439" t="s">
        <v>500</v>
      </c>
      <c r="C295" s="439" t="s">
        <v>62</v>
      </c>
      <c r="D295" s="539" t="s">
        <v>517</v>
      </c>
      <c r="E295" s="539" t="s">
        <v>6</v>
      </c>
      <c r="F295" s="540">
        <v>4678405.62</v>
      </c>
      <c r="G295" s="465">
        <f t="shared" ref="G295:K296" si="53">G296</f>
        <v>24862435</v>
      </c>
      <c r="H295" s="440">
        <f t="shared" si="53"/>
        <v>1843383.7</v>
      </c>
      <c r="I295" s="440">
        <f t="shared" si="53"/>
        <v>2500000</v>
      </c>
      <c r="J295" s="465">
        <f t="shared" si="53"/>
        <v>3835000</v>
      </c>
      <c r="K295" s="465">
        <f t="shared" si="53"/>
        <v>3335000</v>
      </c>
      <c r="L295" s="436">
        <f t="shared" si="46"/>
        <v>-500000</v>
      </c>
      <c r="M295" s="498">
        <f t="shared" si="48"/>
        <v>15.424876927782817</v>
      </c>
    </row>
    <row r="296" spans="1:13" ht="34" outlineLevel="1" x14ac:dyDescent="0.3">
      <c r="A296" s="438" t="s">
        <v>15</v>
      </c>
      <c r="B296" s="439" t="s">
        <v>500</v>
      </c>
      <c r="C296" s="439" t="s">
        <v>62</v>
      </c>
      <c r="D296" s="539" t="s">
        <v>517</v>
      </c>
      <c r="E296" s="539" t="s">
        <v>16</v>
      </c>
      <c r="F296" s="540">
        <v>4678405.62</v>
      </c>
      <c r="G296" s="465">
        <f t="shared" si="53"/>
        <v>24862435</v>
      </c>
      <c r="H296" s="370">
        <v>1843383.7</v>
      </c>
      <c r="I296" s="440">
        <f t="shared" si="53"/>
        <v>2500000</v>
      </c>
      <c r="J296" s="465">
        <f t="shared" si="53"/>
        <v>3835000</v>
      </c>
      <c r="K296" s="465">
        <f t="shared" si="53"/>
        <v>3335000</v>
      </c>
      <c r="L296" s="436">
        <f t="shared" si="46"/>
        <v>-500000</v>
      </c>
      <c r="M296" s="498">
        <f t="shared" si="48"/>
        <v>15.424876927782817</v>
      </c>
    </row>
    <row r="297" spans="1:13" ht="34" outlineLevel="1" x14ac:dyDescent="0.3">
      <c r="A297" s="438" t="s">
        <v>17</v>
      </c>
      <c r="B297" s="439" t="s">
        <v>500</v>
      </c>
      <c r="C297" s="439" t="s">
        <v>62</v>
      </c>
      <c r="D297" s="539" t="s">
        <v>517</v>
      </c>
      <c r="E297" s="539" t="s">
        <v>18</v>
      </c>
      <c r="F297" s="540">
        <v>4678405.62</v>
      </c>
      <c r="G297" s="466">
        <f>[2]потребность!L293-3000000+22186435</f>
        <v>24862435</v>
      </c>
      <c r="H297" s="370">
        <v>1843383.7</v>
      </c>
      <c r="I297" s="442">
        <f>'[2]прил 12'!F292</f>
        <v>2500000</v>
      </c>
      <c r="J297" s="466">
        <v>3835000</v>
      </c>
      <c r="K297" s="466">
        <f>3835000-500000</f>
        <v>3335000</v>
      </c>
      <c r="L297" s="436">
        <f t="shared" si="46"/>
        <v>-500000</v>
      </c>
      <c r="M297" s="498">
        <f t="shared" si="48"/>
        <v>15.424876927782817</v>
      </c>
    </row>
    <row r="298" spans="1:13" ht="34" outlineLevel="1" x14ac:dyDescent="0.3">
      <c r="A298" s="438" t="s">
        <v>706</v>
      </c>
      <c r="B298" s="439" t="s">
        <v>500</v>
      </c>
      <c r="C298" s="439" t="s">
        <v>62</v>
      </c>
      <c r="D298" s="539" t="s">
        <v>916</v>
      </c>
      <c r="E298" s="539" t="s">
        <v>6</v>
      </c>
      <c r="F298" s="539"/>
      <c r="G298" s="466">
        <f>G299</f>
        <v>4868718.79</v>
      </c>
      <c r="H298" s="442">
        <f>H299</f>
        <v>4081162.36</v>
      </c>
      <c r="I298" s="442">
        <v>0</v>
      </c>
      <c r="J298" s="509">
        <v>0</v>
      </c>
      <c r="K298" s="509">
        <v>0</v>
      </c>
      <c r="L298" s="436">
        <f t="shared" si="46"/>
        <v>0</v>
      </c>
      <c r="M298" s="498">
        <f t="shared" si="48"/>
        <v>0</v>
      </c>
    </row>
    <row r="299" spans="1:13" ht="34" outlineLevel="1" x14ac:dyDescent="0.3">
      <c r="A299" s="438" t="s">
        <v>15</v>
      </c>
      <c r="B299" s="439" t="s">
        <v>500</v>
      </c>
      <c r="C299" s="439" t="s">
        <v>62</v>
      </c>
      <c r="D299" s="539" t="s">
        <v>916</v>
      </c>
      <c r="E299" s="539" t="s">
        <v>16</v>
      </c>
      <c r="F299" s="539"/>
      <c r="G299" s="466">
        <f>G300</f>
        <v>4868718.79</v>
      </c>
      <c r="H299" s="373">
        <v>4081162.36</v>
      </c>
      <c r="I299" s="442">
        <v>0</v>
      </c>
      <c r="J299" s="466">
        <v>0</v>
      </c>
      <c r="K299" s="466">
        <v>0</v>
      </c>
      <c r="L299" s="436">
        <f t="shared" si="46"/>
        <v>0</v>
      </c>
      <c r="M299" s="498">
        <f t="shared" si="48"/>
        <v>0</v>
      </c>
    </row>
    <row r="300" spans="1:13" ht="34" outlineLevel="1" x14ac:dyDescent="0.3">
      <c r="A300" s="438" t="s">
        <v>17</v>
      </c>
      <c r="B300" s="439" t="s">
        <v>500</v>
      </c>
      <c r="C300" s="439" t="s">
        <v>62</v>
      </c>
      <c r="D300" s="539" t="s">
        <v>916</v>
      </c>
      <c r="E300" s="539" t="s">
        <v>18</v>
      </c>
      <c r="F300" s="539"/>
      <c r="G300" s="466">
        <f>6000000-1131281.21</f>
        <v>4868718.79</v>
      </c>
      <c r="H300" s="373">
        <v>4081162.36</v>
      </c>
      <c r="I300" s="442">
        <v>0</v>
      </c>
      <c r="J300" s="510"/>
      <c r="K300" s="510"/>
      <c r="L300" s="436">
        <f t="shared" si="46"/>
        <v>0</v>
      </c>
      <c r="M300" s="498">
        <f t="shared" si="48"/>
        <v>0</v>
      </c>
    </row>
    <row r="301" spans="1:13" ht="34" outlineLevel="1" x14ac:dyDescent="0.3">
      <c r="A301" s="438" t="s">
        <v>682</v>
      </c>
      <c r="B301" s="439" t="s">
        <v>500</v>
      </c>
      <c r="C301" s="439" t="s">
        <v>62</v>
      </c>
      <c r="D301" s="539" t="s">
        <v>874</v>
      </c>
      <c r="E301" s="539" t="s">
        <v>6</v>
      </c>
      <c r="F301" s="539"/>
      <c r="G301" s="465">
        <f>G302</f>
        <v>60606.06</v>
      </c>
      <c r="H301" s="440">
        <f>H302</f>
        <v>41223.870000000003</v>
      </c>
      <c r="I301" s="440">
        <v>0</v>
      </c>
      <c r="J301" s="465">
        <f>J302</f>
        <v>60606.06</v>
      </c>
      <c r="K301" s="465">
        <f>K302</f>
        <v>60606.06</v>
      </c>
      <c r="L301" s="436">
        <f t="shared" si="46"/>
        <v>0</v>
      </c>
      <c r="M301" s="498">
        <f t="shared" si="48"/>
        <v>99.999999999999986</v>
      </c>
    </row>
    <row r="302" spans="1:13" ht="34" outlineLevel="1" x14ac:dyDescent="0.3">
      <c r="A302" s="438" t="s">
        <v>15</v>
      </c>
      <c r="B302" s="439" t="s">
        <v>500</v>
      </c>
      <c r="C302" s="439" t="s">
        <v>62</v>
      </c>
      <c r="D302" s="539" t="s">
        <v>874</v>
      </c>
      <c r="E302" s="539" t="s">
        <v>16</v>
      </c>
      <c r="F302" s="539"/>
      <c r="G302" s="465">
        <f>G303</f>
        <v>60606.06</v>
      </c>
      <c r="H302" s="373">
        <v>41223.870000000003</v>
      </c>
      <c r="I302" s="440">
        <v>0</v>
      </c>
      <c r="J302" s="465">
        <f>J303</f>
        <v>60606.06</v>
      </c>
      <c r="K302" s="465">
        <f>K303</f>
        <v>60606.06</v>
      </c>
      <c r="L302" s="436">
        <f t="shared" si="46"/>
        <v>0</v>
      </c>
      <c r="M302" s="498">
        <f t="shared" si="48"/>
        <v>99.999999999999986</v>
      </c>
    </row>
    <row r="303" spans="1:13" ht="34" outlineLevel="1" x14ac:dyDescent="0.3">
      <c r="A303" s="438" t="s">
        <v>17</v>
      </c>
      <c r="B303" s="439" t="s">
        <v>500</v>
      </c>
      <c r="C303" s="439" t="s">
        <v>62</v>
      </c>
      <c r="D303" s="539" t="s">
        <v>874</v>
      </c>
      <c r="E303" s="539" t="s">
        <v>18</v>
      </c>
      <c r="F303" s="539"/>
      <c r="G303" s="466">
        <f>62000-1393.94</f>
        <v>60606.06</v>
      </c>
      <c r="H303" s="373">
        <v>41223.870000000003</v>
      </c>
      <c r="I303" s="442">
        <v>0</v>
      </c>
      <c r="J303" s="466">
        <v>60606.06</v>
      </c>
      <c r="K303" s="466">
        <v>60606.06</v>
      </c>
      <c r="L303" s="436">
        <f t="shared" si="46"/>
        <v>0</v>
      </c>
      <c r="M303" s="498">
        <f t="shared" si="48"/>
        <v>99.999999999999986</v>
      </c>
    </row>
    <row r="304" spans="1:13" s="449" customFormat="1" ht="67.95" outlineLevel="1" x14ac:dyDescent="0.3">
      <c r="A304" s="444" t="s">
        <v>518</v>
      </c>
      <c r="B304" s="445" t="s">
        <v>500</v>
      </c>
      <c r="C304" s="445" t="s">
        <v>62</v>
      </c>
      <c r="D304" s="541" t="s">
        <v>519</v>
      </c>
      <c r="E304" s="541" t="s">
        <v>6</v>
      </c>
      <c r="F304" s="542">
        <v>15876002.58</v>
      </c>
      <c r="G304" s="465">
        <f>G305+G313</f>
        <v>15345827.210000001</v>
      </c>
      <c r="H304" s="440">
        <f>H305+H313</f>
        <v>12358989.689999999</v>
      </c>
      <c r="I304" s="440">
        <f>I305+I313</f>
        <v>19974076.27</v>
      </c>
      <c r="J304" s="465">
        <f>J305+J313</f>
        <v>13175249.5</v>
      </c>
      <c r="K304" s="465">
        <f>K305+K313</f>
        <v>12951393.68</v>
      </c>
      <c r="L304" s="436">
        <f t="shared" si="46"/>
        <v>-223855.8200000003</v>
      </c>
      <c r="M304" s="498">
        <f t="shared" si="48"/>
        <v>85.85558353879054</v>
      </c>
    </row>
    <row r="305" spans="1:13" s="449" customFormat="1" ht="50.95" outlineLevel="1" x14ac:dyDescent="0.3">
      <c r="A305" s="444" t="s">
        <v>550</v>
      </c>
      <c r="B305" s="445" t="s">
        <v>500</v>
      </c>
      <c r="C305" s="445" t="s">
        <v>62</v>
      </c>
      <c r="D305" s="541" t="s">
        <v>551</v>
      </c>
      <c r="E305" s="541" t="s">
        <v>6</v>
      </c>
      <c r="F305" s="540">
        <v>8247922.1500000004</v>
      </c>
      <c r="G305" s="465">
        <f>G306+G310</f>
        <v>6967934.4000000004</v>
      </c>
      <c r="H305" s="440">
        <f>H306+H310</f>
        <v>3981096.88</v>
      </c>
      <c r="I305" s="440">
        <f>I306+I310</f>
        <v>6616389.0700000003</v>
      </c>
      <c r="J305" s="465">
        <f>J306+J310</f>
        <v>6968867.6299999999</v>
      </c>
      <c r="K305" s="465">
        <f>K306+K310</f>
        <v>6968867.6299999999</v>
      </c>
      <c r="L305" s="436">
        <f t="shared" si="46"/>
        <v>0</v>
      </c>
      <c r="M305" s="498">
        <f t="shared" si="48"/>
        <v>100.01339320875351</v>
      </c>
    </row>
    <row r="306" spans="1:13" ht="34" outlineLevel="1" x14ac:dyDescent="0.3">
      <c r="A306" s="438" t="s">
        <v>549</v>
      </c>
      <c r="B306" s="439" t="s">
        <v>500</v>
      </c>
      <c r="C306" s="439" t="s">
        <v>62</v>
      </c>
      <c r="D306" s="539" t="s">
        <v>552</v>
      </c>
      <c r="E306" s="539" t="s">
        <v>6</v>
      </c>
      <c r="F306" s="540">
        <v>8247922.1500000004</v>
      </c>
      <c r="G306" s="465">
        <f t="shared" ref="G306:K308" si="54">G307</f>
        <v>6616389.0600000005</v>
      </c>
      <c r="H306" s="440">
        <f t="shared" si="54"/>
        <v>3981096.88</v>
      </c>
      <c r="I306" s="440">
        <f t="shared" si="54"/>
        <v>6616389.0700000003</v>
      </c>
      <c r="J306" s="465">
        <f t="shared" si="54"/>
        <v>6968867.6299999999</v>
      </c>
      <c r="K306" s="465">
        <f t="shared" si="54"/>
        <v>6968867.6299999999</v>
      </c>
      <c r="L306" s="436">
        <f t="shared" si="46"/>
        <v>0</v>
      </c>
      <c r="M306" s="498">
        <f t="shared" si="48"/>
        <v>105.32735555306054</v>
      </c>
    </row>
    <row r="307" spans="1:13" ht="34" outlineLevel="1" x14ac:dyDescent="0.3">
      <c r="A307" s="438" t="s">
        <v>548</v>
      </c>
      <c r="B307" s="439" t="s">
        <v>500</v>
      </c>
      <c r="C307" s="439" t="s">
        <v>62</v>
      </c>
      <c r="D307" s="539" t="s">
        <v>553</v>
      </c>
      <c r="E307" s="539" t="s">
        <v>6</v>
      </c>
      <c r="F307" s="540">
        <v>6850012.1100000003</v>
      </c>
      <c r="G307" s="465">
        <f t="shared" si="54"/>
        <v>6616389.0600000005</v>
      </c>
      <c r="H307" s="440">
        <f t="shared" si="54"/>
        <v>3981096.88</v>
      </c>
      <c r="I307" s="440">
        <f t="shared" si="54"/>
        <v>6616389.0700000003</v>
      </c>
      <c r="J307" s="513">
        <f t="shared" si="54"/>
        <v>6968867.6299999999</v>
      </c>
      <c r="K307" s="513">
        <f t="shared" si="54"/>
        <v>6968867.6299999999</v>
      </c>
      <c r="L307" s="436">
        <f t="shared" si="46"/>
        <v>0</v>
      </c>
      <c r="M307" s="498">
        <f t="shared" si="48"/>
        <v>105.32735555306054</v>
      </c>
    </row>
    <row r="308" spans="1:13" ht="34" outlineLevel="1" x14ac:dyDescent="0.3">
      <c r="A308" s="438" t="s">
        <v>15</v>
      </c>
      <c r="B308" s="439" t="s">
        <v>500</v>
      </c>
      <c r="C308" s="439" t="s">
        <v>62</v>
      </c>
      <c r="D308" s="539" t="s">
        <v>553</v>
      </c>
      <c r="E308" s="539" t="s">
        <v>16</v>
      </c>
      <c r="F308" s="540">
        <v>6850012.1100000003</v>
      </c>
      <c r="G308" s="465">
        <f t="shared" si="54"/>
        <v>6616389.0600000005</v>
      </c>
      <c r="H308" s="370">
        <v>3981096.88</v>
      </c>
      <c r="I308" s="440">
        <f t="shared" si="54"/>
        <v>6616389.0700000003</v>
      </c>
      <c r="J308" s="465">
        <f t="shared" si="54"/>
        <v>6968867.6299999999</v>
      </c>
      <c r="K308" s="465">
        <f t="shared" si="54"/>
        <v>6968867.6299999999</v>
      </c>
      <c r="L308" s="436">
        <f t="shared" si="46"/>
        <v>0</v>
      </c>
      <c r="M308" s="498">
        <f t="shared" si="48"/>
        <v>105.32735555306054</v>
      </c>
    </row>
    <row r="309" spans="1:13" ht="34" outlineLevel="1" x14ac:dyDescent="0.3">
      <c r="A309" s="438" t="s">
        <v>17</v>
      </c>
      <c r="B309" s="439" t="s">
        <v>500</v>
      </c>
      <c r="C309" s="439" t="s">
        <v>62</v>
      </c>
      <c r="D309" s="539" t="s">
        <v>553</v>
      </c>
      <c r="E309" s="539" t="s">
        <v>18</v>
      </c>
      <c r="F309" s="540">
        <v>6850012.1100000003</v>
      </c>
      <c r="G309" s="465">
        <f>6583307.11+33081.96-0.01</f>
        <v>6616389.0600000005</v>
      </c>
      <c r="H309" s="370">
        <v>3981096.88</v>
      </c>
      <c r="I309" s="440">
        <f>'[2]прил 12'!F298</f>
        <v>6616389.0700000003</v>
      </c>
      <c r="J309" s="510">
        <f>33081.95+6935785.68</f>
        <v>6968867.6299999999</v>
      </c>
      <c r="K309" s="510">
        <f>33081.95+6935785.68</f>
        <v>6968867.6299999999</v>
      </c>
      <c r="L309" s="436">
        <f t="shared" si="46"/>
        <v>0</v>
      </c>
      <c r="M309" s="498">
        <f t="shared" si="48"/>
        <v>105.32735555306054</v>
      </c>
    </row>
    <row r="310" spans="1:13" ht="50.95" outlineLevel="1" x14ac:dyDescent="0.3">
      <c r="A310" s="397" t="s">
        <v>680</v>
      </c>
      <c r="B310" s="439" t="s">
        <v>500</v>
      </c>
      <c r="C310" s="439" t="s">
        <v>62</v>
      </c>
      <c r="D310" s="539" t="s">
        <v>724</v>
      </c>
      <c r="E310" s="539" t="s">
        <v>6</v>
      </c>
      <c r="F310" s="540">
        <v>1397910.04</v>
      </c>
      <c r="G310" s="465">
        <f>G311</f>
        <v>351545.34</v>
      </c>
      <c r="H310" s="440">
        <f>H311</f>
        <v>0</v>
      </c>
      <c r="I310" s="440">
        <v>0</v>
      </c>
      <c r="J310" s="465">
        <v>0</v>
      </c>
      <c r="K310" s="465">
        <v>0</v>
      </c>
      <c r="L310" s="436">
        <f t="shared" si="46"/>
        <v>0</v>
      </c>
      <c r="M310" s="498">
        <f t="shared" si="48"/>
        <v>0</v>
      </c>
    </row>
    <row r="311" spans="1:13" ht="34" outlineLevel="1" x14ac:dyDescent="0.3">
      <c r="A311" s="438" t="s">
        <v>15</v>
      </c>
      <c r="B311" s="439" t="s">
        <v>500</v>
      </c>
      <c r="C311" s="439" t="s">
        <v>62</v>
      </c>
      <c r="D311" s="539" t="s">
        <v>724</v>
      </c>
      <c r="E311" s="539" t="s">
        <v>16</v>
      </c>
      <c r="F311" s="540">
        <v>1397910.04</v>
      </c>
      <c r="G311" s="465">
        <f>G312</f>
        <v>351545.34</v>
      </c>
      <c r="H311" s="442">
        <v>0</v>
      </c>
      <c r="I311" s="440">
        <v>0</v>
      </c>
      <c r="J311" s="465">
        <v>0</v>
      </c>
      <c r="K311" s="465">
        <v>0</v>
      </c>
      <c r="L311" s="436">
        <f t="shared" si="46"/>
        <v>0</v>
      </c>
      <c r="M311" s="498">
        <f t="shared" si="48"/>
        <v>0</v>
      </c>
    </row>
    <row r="312" spans="1:13" ht="34" outlineLevel="1" x14ac:dyDescent="0.3">
      <c r="A312" s="438" t="s">
        <v>17</v>
      </c>
      <c r="B312" s="439" t="s">
        <v>500</v>
      </c>
      <c r="C312" s="439" t="s">
        <v>62</v>
      </c>
      <c r="D312" s="539" t="s">
        <v>724</v>
      </c>
      <c r="E312" s="539" t="s">
        <v>18</v>
      </c>
      <c r="F312" s="540">
        <v>1397910.04</v>
      </c>
      <c r="G312" s="465">
        <f>215859.46+109286.29+26399.58+0.01</f>
        <v>351545.34</v>
      </c>
      <c r="H312" s="442">
        <v>0</v>
      </c>
      <c r="I312" s="440">
        <v>0</v>
      </c>
      <c r="J312" s="466">
        <v>0</v>
      </c>
      <c r="K312" s="466">
        <v>0</v>
      </c>
      <c r="L312" s="436">
        <f t="shared" si="46"/>
        <v>0</v>
      </c>
      <c r="M312" s="498">
        <f t="shared" si="48"/>
        <v>0</v>
      </c>
    </row>
    <row r="313" spans="1:13" s="449" customFormat="1" ht="50.95" outlineLevel="1" x14ac:dyDescent="0.3">
      <c r="A313" s="458" t="s">
        <v>554</v>
      </c>
      <c r="B313" s="439" t="s">
        <v>500</v>
      </c>
      <c r="C313" s="439" t="s">
        <v>62</v>
      </c>
      <c r="D313" s="541" t="s">
        <v>556</v>
      </c>
      <c r="E313" s="541" t="s">
        <v>6</v>
      </c>
      <c r="F313" s="541"/>
      <c r="G313" s="465">
        <f t="shared" ref="G313:K319" si="55">G314</f>
        <v>8377892.8099999996</v>
      </c>
      <c r="H313" s="440">
        <f t="shared" si="55"/>
        <v>8377892.8099999996</v>
      </c>
      <c r="I313" s="440">
        <f t="shared" si="55"/>
        <v>13357687.199999999</v>
      </c>
      <c r="J313" s="465">
        <f t="shared" si="55"/>
        <v>6206381.8700000001</v>
      </c>
      <c r="K313" s="465">
        <f t="shared" si="55"/>
        <v>5982526.0499999998</v>
      </c>
      <c r="L313" s="436">
        <f t="shared" si="46"/>
        <v>-223855.8200000003</v>
      </c>
      <c r="M313" s="498">
        <f t="shared" si="48"/>
        <v>74.080464034965388</v>
      </c>
    </row>
    <row r="314" spans="1:13" s="449" customFormat="1" ht="34" outlineLevel="1" x14ac:dyDescent="0.3">
      <c r="A314" s="458" t="s">
        <v>555</v>
      </c>
      <c r="B314" s="439" t="s">
        <v>500</v>
      </c>
      <c r="C314" s="439" t="s">
        <v>62</v>
      </c>
      <c r="D314" s="541" t="s">
        <v>557</v>
      </c>
      <c r="E314" s="541" t="s">
        <v>6</v>
      </c>
      <c r="F314" s="540">
        <v>7628080.4299999997</v>
      </c>
      <c r="G314" s="508">
        <f>G315+G318+G321</f>
        <v>8377892.8099999996</v>
      </c>
      <c r="H314" s="446">
        <f>H315+H318+H321</f>
        <v>8377892.8099999996</v>
      </c>
      <c r="I314" s="446">
        <f>I315+I318+I321</f>
        <v>13357687.199999999</v>
      </c>
      <c r="J314" s="508">
        <f>J315+J318+J321</f>
        <v>6206381.8700000001</v>
      </c>
      <c r="K314" s="508">
        <f>K315+K318+K321</f>
        <v>5982526.0499999998</v>
      </c>
      <c r="L314" s="436">
        <f t="shared" si="46"/>
        <v>-223855.8200000003</v>
      </c>
      <c r="M314" s="498">
        <f t="shared" si="48"/>
        <v>74.080464034965388</v>
      </c>
    </row>
    <row r="315" spans="1:13" s="449" customFormat="1" ht="57.25" customHeight="1" outlineLevel="1" x14ac:dyDescent="0.3">
      <c r="A315" s="397" t="s">
        <v>565</v>
      </c>
      <c r="B315" s="439" t="s">
        <v>500</v>
      </c>
      <c r="C315" s="439" t="s">
        <v>62</v>
      </c>
      <c r="D315" s="539" t="s">
        <v>587</v>
      </c>
      <c r="E315" s="539" t="s">
        <v>6</v>
      </c>
      <c r="F315" s="540">
        <v>6501429.3700000001</v>
      </c>
      <c r="G315" s="465">
        <f t="shared" ref="G315:K316" si="56">G316</f>
        <v>6855579.5599999996</v>
      </c>
      <c r="H315" s="440">
        <f t="shared" si="56"/>
        <v>6855579.5599999996</v>
      </c>
      <c r="I315" s="440">
        <f t="shared" si="56"/>
        <v>12956956.59</v>
      </c>
      <c r="J315" s="513">
        <f t="shared" si="56"/>
        <v>5803050.2599999998</v>
      </c>
      <c r="K315" s="513">
        <f t="shared" si="56"/>
        <v>5803050.2599999998</v>
      </c>
      <c r="L315" s="436">
        <f t="shared" si="46"/>
        <v>0</v>
      </c>
      <c r="M315" s="498">
        <f t="shared" si="48"/>
        <v>84.647114211303816</v>
      </c>
    </row>
    <row r="316" spans="1:13" s="449" customFormat="1" ht="34" outlineLevel="1" x14ac:dyDescent="0.3">
      <c r="A316" s="438" t="s">
        <v>15</v>
      </c>
      <c r="B316" s="439" t="s">
        <v>500</v>
      </c>
      <c r="C316" s="439" t="s">
        <v>62</v>
      </c>
      <c r="D316" s="539" t="s">
        <v>587</v>
      </c>
      <c r="E316" s="539" t="s">
        <v>16</v>
      </c>
      <c r="F316" s="540">
        <v>6501429.3700000001</v>
      </c>
      <c r="G316" s="465">
        <f t="shared" si="56"/>
        <v>6855579.5599999996</v>
      </c>
      <c r="H316" s="370">
        <v>6855579.5599999996</v>
      </c>
      <c r="I316" s="440">
        <f t="shared" si="56"/>
        <v>12956956.59</v>
      </c>
      <c r="J316" s="465">
        <f t="shared" si="56"/>
        <v>5803050.2599999998</v>
      </c>
      <c r="K316" s="465">
        <f t="shared" si="56"/>
        <v>5803050.2599999998</v>
      </c>
      <c r="L316" s="436">
        <f t="shared" si="46"/>
        <v>0</v>
      </c>
      <c r="M316" s="498">
        <f t="shared" si="48"/>
        <v>84.647114211303816</v>
      </c>
    </row>
    <row r="317" spans="1:13" s="449" customFormat="1" ht="34" outlineLevel="1" x14ac:dyDescent="0.3">
      <c r="A317" s="438" t="s">
        <v>17</v>
      </c>
      <c r="B317" s="439" t="s">
        <v>500</v>
      </c>
      <c r="C317" s="439" t="s">
        <v>62</v>
      </c>
      <c r="D317" s="539" t="s">
        <v>587</v>
      </c>
      <c r="E317" s="539" t="s">
        <v>18</v>
      </c>
      <c r="F317" s="540">
        <v>6501429.3700000001</v>
      </c>
      <c r="G317" s="465">
        <v>6855579.5599999996</v>
      </c>
      <c r="H317" s="370">
        <v>6855579.5599999996</v>
      </c>
      <c r="I317" s="440">
        <f>'[2]прил 12'!F306</f>
        <v>12956956.59</v>
      </c>
      <c r="J317" s="514">
        <v>5803050.2599999998</v>
      </c>
      <c r="K317" s="514">
        <v>5803050.2599999998</v>
      </c>
      <c r="L317" s="436">
        <f t="shared" si="46"/>
        <v>0</v>
      </c>
      <c r="M317" s="498">
        <f t="shared" si="48"/>
        <v>84.647114211303816</v>
      </c>
    </row>
    <row r="318" spans="1:13" ht="40.75" customHeight="1" outlineLevel="1" x14ac:dyDescent="0.3">
      <c r="A318" s="397" t="s">
        <v>559</v>
      </c>
      <c r="B318" s="439" t="s">
        <v>500</v>
      </c>
      <c r="C318" s="439" t="s">
        <v>62</v>
      </c>
      <c r="D318" s="539" t="s">
        <v>558</v>
      </c>
      <c r="E318" s="539" t="s">
        <v>6</v>
      </c>
      <c r="F318" s="540">
        <v>201075.14</v>
      </c>
      <c r="G318" s="465">
        <f t="shared" si="55"/>
        <v>212028.24</v>
      </c>
      <c r="H318" s="440">
        <f t="shared" si="55"/>
        <v>212028.24</v>
      </c>
      <c r="I318" s="440">
        <f t="shared" ref="I318:K319" si="57">I319</f>
        <v>400730.61</v>
      </c>
      <c r="J318" s="511">
        <f t="shared" si="57"/>
        <v>403331.61</v>
      </c>
      <c r="K318" s="511">
        <f t="shared" si="57"/>
        <v>179475.78999999998</v>
      </c>
      <c r="L318" s="436">
        <f t="shared" si="46"/>
        <v>-223855.82</v>
      </c>
      <c r="M318" s="498">
        <f t="shared" si="48"/>
        <v>190.2254199723584</v>
      </c>
    </row>
    <row r="319" spans="1:13" ht="34" outlineLevel="1" x14ac:dyDescent="0.3">
      <c r="A319" s="438" t="s">
        <v>15</v>
      </c>
      <c r="B319" s="439" t="s">
        <v>500</v>
      </c>
      <c r="C319" s="439" t="s">
        <v>62</v>
      </c>
      <c r="D319" s="539" t="s">
        <v>558</v>
      </c>
      <c r="E319" s="539" t="s">
        <v>16</v>
      </c>
      <c r="F319" s="540">
        <v>201075.14</v>
      </c>
      <c r="G319" s="465">
        <f t="shared" si="55"/>
        <v>212028.24</v>
      </c>
      <c r="H319" s="370">
        <v>212028.24</v>
      </c>
      <c r="I319" s="440">
        <f t="shared" si="57"/>
        <v>400730.61</v>
      </c>
      <c r="J319" s="511">
        <f t="shared" si="57"/>
        <v>403331.61</v>
      </c>
      <c r="K319" s="511">
        <f t="shared" si="57"/>
        <v>179475.78999999998</v>
      </c>
      <c r="L319" s="436">
        <f t="shared" si="46"/>
        <v>-223855.82</v>
      </c>
      <c r="M319" s="498">
        <f t="shared" si="48"/>
        <v>190.2254199723584</v>
      </c>
    </row>
    <row r="320" spans="1:13" ht="34" outlineLevel="1" x14ac:dyDescent="0.3">
      <c r="A320" s="438" t="s">
        <v>17</v>
      </c>
      <c r="B320" s="439" t="s">
        <v>500</v>
      </c>
      <c r="C320" s="439" t="s">
        <v>62</v>
      </c>
      <c r="D320" s="539" t="s">
        <v>558</v>
      </c>
      <c r="E320" s="539" t="s">
        <v>18</v>
      </c>
      <c r="F320" s="540">
        <v>201075.14</v>
      </c>
      <c r="G320" s="466">
        <f>403331.62-191303.38</f>
        <v>212028.24</v>
      </c>
      <c r="H320" s="370">
        <v>212028.24</v>
      </c>
      <c r="I320" s="442">
        <f>'[2]прил 12'!F309</f>
        <v>400730.61</v>
      </c>
      <c r="J320" s="512">
        <v>403331.61</v>
      </c>
      <c r="K320" s="512">
        <f>403331.61-223855.82</f>
        <v>179475.78999999998</v>
      </c>
      <c r="L320" s="436">
        <f t="shared" si="46"/>
        <v>-223855.82</v>
      </c>
      <c r="M320" s="498">
        <f t="shared" si="48"/>
        <v>190.2254199723584</v>
      </c>
    </row>
    <row r="321" spans="1:13" ht="50.95" outlineLevel="1" x14ac:dyDescent="0.3">
      <c r="A321" s="438" t="s">
        <v>680</v>
      </c>
      <c r="B321" s="439" t="s">
        <v>500</v>
      </c>
      <c r="C321" s="439" t="s">
        <v>62</v>
      </c>
      <c r="D321" s="539" t="s">
        <v>679</v>
      </c>
      <c r="E321" s="539" t="s">
        <v>6</v>
      </c>
      <c r="F321" s="540">
        <v>925575.92</v>
      </c>
      <c r="G321" s="465">
        <f>G322</f>
        <v>1310285.0099999998</v>
      </c>
      <c r="H321" s="440">
        <f>H322</f>
        <v>1310285.01</v>
      </c>
      <c r="I321" s="440">
        <v>0</v>
      </c>
      <c r="J321" s="465">
        <v>0</v>
      </c>
      <c r="K321" s="465">
        <v>0</v>
      </c>
      <c r="L321" s="436">
        <f t="shared" si="46"/>
        <v>0</v>
      </c>
      <c r="M321" s="498">
        <f t="shared" si="48"/>
        <v>0</v>
      </c>
    </row>
    <row r="322" spans="1:13" ht="34" outlineLevel="1" x14ac:dyDescent="0.3">
      <c r="A322" s="438" t="s">
        <v>15</v>
      </c>
      <c r="B322" s="439" t="s">
        <v>500</v>
      </c>
      <c r="C322" s="439" t="s">
        <v>62</v>
      </c>
      <c r="D322" s="539" t="s">
        <v>679</v>
      </c>
      <c r="E322" s="539" t="s">
        <v>16</v>
      </c>
      <c r="F322" s="540">
        <v>925575.92</v>
      </c>
      <c r="G322" s="465">
        <f>G323</f>
        <v>1310285.0099999998</v>
      </c>
      <c r="H322" s="370">
        <v>1310285.01</v>
      </c>
      <c r="I322" s="440">
        <v>0</v>
      </c>
      <c r="J322" s="465">
        <v>0</v>
      </c>
      <c r="K322" s="465">
        <v>0</v>
      </c>
      <c r="L322" s="436">
        <f t="shared" si="46"/>
        <v>0</v>
      </c>
      <c r="M322" s="498">
        <f t="shared" si="48"/>
        <v>0</v>
      </c>
    </row>
    <row r="323" spans="1:13" ht="38.25" customHeight="1" outlineLevel="1" x14ac:dyDescent="0.3">
      <c r="A323" s="438" t="s">
        <v>17</v>
      </c>
      <c r="B323" s="439" t="s">
        <v>500</v>
      </c>
      <c r="C323" s="439" t="s">
        <v>62</v>
      </c>
      <c r="D323" s="539" t="s">
        <v>679</v>
      </c>
      <c r="E323" s="539" t="s">
        <v>18</v>
      </c>
      <c r="F323" s="540">
        <v>925575.92</v>
      </c>
      <c r="G323" s="466">
        <f>[2]потребность!L313-7169178.83</f>
        <v>1310285.0099999998</v>
      </c>
      <c r="H323" s="370">
        <v>1310285.01</v>
      </c>
      <c r="I323" s="442">
        <v>0</v>
      </c>
      <c r="J323" s="466">
        <v>0</v>
      </c>
      <c r="K323" s="466">
        <v>0</v>
      </c>
      <c r="L323" s="436">
        <f t="shared" si="46"/>
        <v>0</v>
      </c>
      <c r="M323" s="498">
        <f t="shared" si="48"/>
        <v>0</v>
      </c>
    </row>
    <row r="324" spans="1:13" ht="34" outlineLevel="1" x14ac:dyDescent="0.3">
      <c r="A324" s="438" t="s">
        <v>292</v>
      </c>
      <c r="B324" s="439" t="s">
        <v>500</v>
      </c>
      <c r="C324" s="439" t="s">
        <v>293</v>
      </c>
      <c r="D324" s="539" t="s">
        <v>126</v>
      </c>
      <c r="E324" s="539" t="s">
        <v>6</v>
      </c>
      <c r="F324" s="540">
        <v>2418556.7000000002</v>
      </c>
      <c r="G324" s="466">
        <f t="shared" ref="G324:K325" si="58">G325</f>
        <v>7460868.7599999998</v>
      </c>
      <c r="H324" s="442">
        <f t="shared" si="58"/>
        <v>6020120.7999999998</v>
      </c>
      <c r="I324" s="442">
        <f t="shared" si="58"/>
        <v>300000</v>
      </c>
      <c r="J324" s="466">
        <f t="shared" si="58"/>
        <v>3059819.92</v>
      </c>
      <c r="K324" s="466">
        <f t="shared" si="58"/>
        <v>3059819.92</v>
      </c>
      <c r="L324" s="436">
        <f t="shared" si="46"/>
        <v>0</v>
      </c>
      <c r="M324" s="498">
        <f t="shared" si="48"/>
        <v>41.011576780503503</v>
      </c>
    </row>
    <row r="325" spans="1:13" ht="50.95" outlineLevel="1" x14ac:dyDescent="0.3">
      <c r="A325" s="444" t="s">
        <v>843</v>
      </c>
      <c r="B325" s="445" t="s">
        <v>500</v>
      </c>
      <c r="C325" s="445" t="s">
        <v>293</v>
      </c>
      <c r="D325" s="541" t="s">
        <v>134</v>
      </c>
      <c r="E325" s="541" t="s">
        <v>6</v>
      </c>
      <c r="F325" s="542">
        <v>2418556.7000000002</v>
      </c>
      <c r="G325" s="507">
        <f t="shared" si="58"/>
        <v>7460868.7599999998</v>
      </c>
      <c r="H325" s="448">
        <f t="shared" si="58"/>
        <v>6020120.7999999998</v>
      </c>
      <c r="I325" s="448">
        <f t="shared" si="58"/>
        <v>300000</v>
      </c>
      <c r="J325" s="507">
        <f t="shared" si="58"/>
        <v>3059819.92</v>
      </c>
      <c r="K325" s="507">
        <f t="shared" si="58"/>
        <v>3059819.92</v>
      </c>
      <c r="L325" s="436">
        <f t="shared" si="46"/>
        <v>0</v>
      </c>
      <c r="M325" s="498">
        <f t="shared" si="48"/>
        <v>41.011576780503503</v>
      </c>
    </row>
    <row r="326" spans="1:13" ht="50.95" outlineLevel="1" x14ac:dyDescent="0.3">
      <c r="A326" s="438" t="s">
        <v>844</v>
      </c>
      <c r="B326" s="439" t="s">
        <v>500</v>
      </c>
      <c r="C326" s="439" t="s">
        <v>293</v>
      </c>
      <c r="D326" s="539" t="s">
        <v>350</v>
      </c>
      <c r="E326" s="539" t="s">
        <v>6</v>
      </c>
      <c r="F326" s="540">
        <v>2418556.7000000002</v>
      </c>
      <c r="G326" s="466">
        <f>G327+G330</f>
        <v>7460868.7599999998</v>
      </c>
      <c r="H326" s="442">
        <f>H327+H330</f>
        <v>6020120.7999999998</v>
      </c>
      <c r="I326" s="442">
        <f>I327+I330</f>
        <v>300000</v>
      </c>
      <c r="J326" s="466">
        <f>J330+J327</f>
        <v>3059819.92</v>
      </c>
      <c r="K326" s="466">
        <f>K330+K327</f>
        <v>3059819.92</v>
      </c>
      <c r="L326" s="436">
        <f t="shared" si="46"/>
        <v>0</v>
      </c>
      <c r="M326" s="498">
        <f t="shared" si="48"/>
        <v>41.011576780503503</v>
      </c>
    </row>
    <row r="327" spans="1:13" ht="37.549999999999997" customHeight="1" outlineLevel="1" x14ac:dyDescent="0.3">
      <c r="A327" s="393" t="s">
        <v>563</v>
      </c>
      <c r="B327" s="439" t="s">
        <v>500</v>
      </c>
      <c r="C327" s="439" t="s">
        <v>293</v>
      </c>
      <c r="D327" s="539" t="s">
        <v>588</v>
      </c>
      <c r="E327" s="539" t="s">
        <v>6</v>
      </c>
      <c r="F327" s="540">
        <v>2346000</v>
      </c>
      <c r="G327" s="466">
        <f>G328</f>
        <v>7160868.7599999998</v>
      </c>
      <c r="H327" s="442">
        <f>H328</f>
        <v>5839517.1600000001</v>
      </c>
      <c r="I327" s="442">
        <v>0</v>
      </c>
      <c r="J327" s="509">
        <f>J328</f>
        <v>2759819.92</v>
      </c>
      <c r="K327" s="509">
        <f>K328</f>
        <v>2759819.92</v>
      </c>
      <c r="L327" s="436">
        <f t="shared" si="46"/>
        <v>0</v>
      </c>
      <c r="M327" s="498">
        <f t="shared" si="48"/>
        <v>38.540294655532826</v>
      </c>
    </row>
    <row r="328" spans="1:13" outlineLevel="1" x14ac:dyDescent="0.3">
      <c r="A328" s="438" t="s">
        <v>19</v>
      </c>
      <c r="B328" s="439" t="s">
        <v>500</v>
      </c>
      <c r="C328" s="439" t="s">
        <v>293</v>
      </c>
      <c r="D328" s="539" t="s">
        <v>588</v>
      </c>
      <c r="E328" s="539" t="s">
        <v>20</v>
      </c>
      <c r="F328" s="540">
        <v>2346000</v>
      </c>
      <c r="G328" s="466">
        <f>G329</f>
        <v>7160868.7599999998</v>
      </c>
      <c r="H328" s="370">
        <v>5839517.1600000001</v>
      </c>
      <c r="I328" s="442">
        <v>0</v>
      </c>
      <c r="J328" s="466">
        <f>J329</f>
        <v>2759819.92</v>
      </c>
      <c r="K328" s="466">
        <f>K329</f>
        <v>2759819.92</v>
      </c>
      <c r="L328" s="436">
        <f t="shared" ref="L328:L391" si="59">K328-J328</f>
        <v>0</v>
      </c>
      <c r="M328" s="498">
        <f t="shared" ref="M328:M391" si="60">J328/G328%</f>
        <v>38.540294655532826</v>
      </c>
    </row>
    <row r="329" spans="1:13" ht="50.95" outlineLevel="1" x14ac:dyDescent="0.3">
      <c r="A329" s="438" t="s">
        <v>47</v>
      </c>
      <c r="B329" s="439" t="s">
        <v>500</v>
      </c>
      <c r="C329" s="439" t="s">
        <v>293</v>
      </c>
      <c r="D329" s="539" t="s">
        <v>588</v>
      </c>
      <c r="E329" s="539" t="s">
        <v>48</v>
      </c>
      <c r="F329" s="540">
        <v>2346000</v>
      </c>
      <c r="G329" s="466">
        <v>7160868.7599999998</v>
      </c>
      <c r="H329" s="370">
        <v>5839517.1600000001</v>
      </c>
      <c r="I329" s="442">
        <v>0</v>
      </c>
      <c r="J329" s="466">
        <v>2759819.92</v>
      </c>
      <c r="K329" s="466">
        <v>2759819.92</v>
      </c>
      <c r="L329" s="436">
        <f t="shared" si="59"/>
        <v>0</v>
      </c>
      <c r="M329" s="498">
        <f t="shared" si="60"/>
        <v>38.540294655532826</v>
      </c>
    </row>
    <row r="330" spans="1:13" s="449" customFormat="1" ht="39.4" customHeight="1" outlineLevel="1" x14ac:dyDescent="0.3">
      <c r="A330" s="438" t="s">
        <v>306</v>
      </c>
      <c r="B330" s="439" t="s">
        <v>500</v>
      </c>
      <c r="C330" s="439" t="s">
        <v>293</v>
      </c>
      <c r="D330" s="539" t="s">
        <v>357</v>
      </c>
      <c r="E330" s="539" t="s">
        <v>6</v>
      </c>
      <c r="F330" s="540">
        <v>72556.7</v>
      </c>
      <c r="G330" s="466">
        <f t="shared" ref="G330:K331" si="61">G331</f>
        <v>300000</v>
      </c>
      <c r="H330" s="442">
        <f t="shared" si="61"/>
        <v>180603.64</v>
      </c>
      <c r="I330" s="442">
        <f t="shared" si="61"/>
        <v>300000</v>
      </c>
      <c r="J330" s="466">
        <f t="shared" si="61"/>
        <v>300000</v>
      </c>
      <c r="K330" s="466">
        <f t="shared" si="61"/>
        <v>300000</v>
      </c>
      <c r="L330" s="436">
        <f t="shared" si="59"/>
        <v>0</v>
      </c>
      <c r="M330" s="498">
        <f t="shared" si="60"/>
        <v>100</v>
      </c>
    </row>
    <row r="331" spans="1:13" outlineLevel="2" x14ac:dyDescent="0.3">
      <c r="A331" s="438" t="s">
        <v>19</v>
      </c>
      <c r="B331" s="439" t="s">
        <v>500</v>
      </c>
      <c r="C331" s="439" t="s">
        <v>293</v>
      </c>
      <c r="D331" s="539" t="s">
        <v>357</v>
      </c>
      <c r="E331" s="539" t="s">
        <v>20</v>
      </c>
      <c r="F331" s="540">
        <v>72556.7</v>
      </c>
      <c r="G331" s="466">
        <f t="shared" si="61"/>
        <v>300000</v>
      </c>
      <c r="H331" s="370">
        <v>180603.64</v>
      </c>
      <c r="I331" s="442">
        <f t="shared" si="61"/>
        <v>300000</v>
      </c>
      <c r="J331" s="466">
        <f t="shared" si="61"/>
        <v>300000</v>
      </c>
      <c r="K331" s="466">
        <f t="shared" si="61"/>
        <v>300000</v>
      </c>
      <c r="L331" s="436">
        <f t="shared" si="59"/>
        <v>0</v>
      </c>
      <c r="M331" s="498">
        <f t="shared" si="60"/>
        <v>100</v>
      </c>
    </row>
    <row r="332" spans="1:13" s="449" customFormat="1" ht="59.3" customHeight="1" outlineLevel="3" x14ac:dyDescent="0.3">
      <c r="A332" s="438" t="s">
        <v>47</v>
      </c>
      <c r="B332" s="439" t="s">
        <v>500</v>
      </c>
      <c r="C332" s="439" t="s">
        <v>293</v>
      </c>
      <c r="D332" s="539" t="s">
        <v>357</v>
      </c>
      <c r="E332" s="539" t="s">
        <v>48</v>
      </c>
      <c r="F332" s="540">
        <v>72556.7</v>
      </c>
      <c r="G332" s="466">
        <v>300000</v>
      </c>
      <c r="H332" s="370">
        <v>180603.64</v>
      </c>
      <c r="I332" s="442">
        <v>300000</v>
      </c>
      <c r="J332" s="507">
        <v>300000</v>
      </c>
      <c r="K332" s="507">
        <v>300000</v>
      </c>
      <c r="L332" s="436">
        <f t="shared" si="59"/>
        <v>0</v>
      </c>
      <c r="M332" s="498">
        <f t="shared" si="60"/>
        <v>100</v>
      </c>
    </row>
    <row r="333" spans="1:13" ht="27" customHeight="1" outlineLevel="3" x14ac:dyDescent="0.3">
      <c r="A333" s="444" t="s">
        <v>64</v>
      </c>
      <c r="B333" s="439" t="s">
        <v>500</v>
      </c>
      <c r="C333" s="445" t="s">
        <v>65</v>
      </c>
      <c r="D333" s="541" t="s">
        <v>126</v>
      </c>
      <c r="E333" s="541" t="s">
        <v>6</v>
      </c>
      <c r="F333" s="540">
        <v>514749.4</v>
      </c>
      <c r="G333" s="508">
        <f>G334</f>
        <v>555000</v>
      </c>
      <c r="H333" s="446">
        <f>H334</f>
        <v>53200</v>
      </c>
      <c r="I333" s="446">
        <f>I334</f>
        <v>515000</v>
      </c>
      <c r="J333" s="508">
        <f>J334</f>
        <v>515000</v>
      </c>
      <c r="K333" s="508">
        <f>K334</f>
        <v>515000</v>
      </c>
      <c r="L333" s="436">
        <f t="shared" si="59"/>
        <v>0</v>
      </c>
      <c r="M333" s="498">
        <f t="shared" si="60"/>
        <v>92.792792792792795</v>
      </c>
    </row>
    <row r="334" spans="1:13" ht="23.3" customHeight="1" outlineLevel="3" x14ac:dyDescent="0.3">
      <c r="A334" s="438" t="s">
        <v>66</v>
      </c>
      <c r="B334" s="439" t="s">
        <v>500</v>
      </c>
      <c r="C334" s="439" t="s">
        <v>67</v>
      </c>
      <c r="D334" s="539" t="s">
        <v>126</v>
      </c>
      <c r="E334" s="539" t="s">
        <v>6</v>
      </c>
      <c r="F334" s="540">
        <v>514749.4</v>
      </c>
      <c r="G334" s="465">
        <f>G335+G344</f>
        <v>555000</v>
      </c>
      <c r="H334" s="440">
        <f>H335+H344</f>
        <v>53200</v>
      </c>
      <c r="I334" s="440">
        <f>I335+I344</f>
        <v>515000</v>
      </c>
      <c r="J334" s="465">
        <f>J335+J344</f>
        <v>515000</v>
      </c>
      <c r="K334" s="465">
        <f>K335+K344</f>
        <v>515000</v>
      </c>
      <c r="L334" s="436">
        <f t="shared" si="59"/>
        <v>0</v>
      </c>
      <c r="M334" s="498">
        <f t="shared" si="60"/>
        <v>92.792792792792795</v>
      </c>
    </row>
    <row r="335" spans="1:13" ht="43.5" customHeight="1" outlineLevel="3" x14ac:dyDescent="0.3">
      <c r="A335" s="444" t="s">
        <v>841</v>
      </c>
      <c r="B335" s="445" t="s">
        <v>500</v>
      </c>
      <c r="C335" s="445" t="s">
        <v>67</v>
      </c>
      <c r="D335" s="541" t="s">
        <v>135</v>
      </c>
      <c r="E335" s="541" t="s">
        <v>6</v>
      </c>
      <c r="F335" s="542">
        <v>469935.4</v>
      </c>
      <c r="G335" s="508">
        <f>G336+G340</f>
        <v>470000</v>
      </c>
      <c r="H335" s="446">
        <f>H336+H340</f>
        <v>8200</v>
      </c>
      <c r="I335" s="446">
        <f>I336+I340</f>
        <v>470000</v>
      </c>
      <c r="J335" s="508">
        <f>J336+J340</f>
        <v>470000</v>
      </c>
      <c r="K335" s="508">
        <f>K336+K340</f>
        <v>470000</v>
      </c>
      <c r="L335" s="436">
        <f t="shared" si="59"/>
        <v>0</v>
      </c>
      <c r="M335" s="498">
        <f t="shared" si="60"/>
        <v>100</v>
      </c>
    </row>
    <row r="336" spans="1:13" ht="62.5" customHeight="1" outlineLevel="3" x14ac:dyDescent="0.3">
      <c r="A336" s="438" t="s">
        <v>842</v>
      </c>
      <c r="B336" s="439" t="s">
        <v>500</v>
      </c>
      <c r="C336" s="439" t="s">
        <v>67</v>
      </c>
      <c r="D336" s="539" t="s">
        <v>392</v>
      </c>
      <c r="E336" s="539" t="s">
        <v>6</v>
      </c>
      <c r="F336" s="540">
        <v>439940.4</v>
      </c>
      <c r="G336" s="465">
        <f t="shared" ref="G336:K338" si="62">G337</f>
        <v>440000</v>
      </c>
      <c r="H336" s="440">
        <f t="shared" si="62"/>
        <v>0</v>
      </c>
      <c r="I336" s="440">
        <f t="shared" si="62"/>
        <v>440000</v>
      </c>
      <c r="J336" s="465">
        <f t="shared" si="62"/>
        <v>440000</v>
      </c>
      <c r="K336" s="465">
        <f t="shared" si="62"/>
        <v>440000</v>
      </c>
      <c r="L336" s="436">
        <f t="shared" si="59"/>
        <v>0</v>
      </c>
      <c r="M336" s="498">
        <f t="shared" si="60"/>
        <v>100</v>
      </c>
    </row>
    <row r="337" spans="1:13" ht="30.25" customHeight="1" outlineLevel="7" x14ac:dyDescent="0.3">
      <c r="A337" s="438" t="s">
        <v>244</v>
      </c>
      <c r="B337" s="439" t="s">
        <v>500</v>
      </c>
      <c r="C337" s="439" t="s">
        <v>67</v>
      </c>
      <c r="D337" s="539" t="s">
        <v>361</v>
      </c>
      <c r="E337" s="539" t="s">
        <v>6</v>
      </c>
      <c r="F337" s="540">
        <v>439940.4</v>
      </c>
      <c r="G337" s="465">
        <f t="shared" si="62"/>
        <v>440000</v>
      </c>
      <c r="H337" s="440">
        <f t="shared" si="62"/>
        <v>0</v>
      </c>
      <c r="I337" s="440">
        <f t="shared" si="62"/>
        <v>440000</v>
      </c>
      <c r="J337" s="465">
        <f t="shared" si="62"/>
        <v>440000</v>
      </c>
      <c r="K337" s="465">
        <f t="shared" si="62"/>
        <v>440000</v>
      </c>
      <c r="L337" s="436">
        <f t="shared" si="59"/>
        <v>0</v>
      </c>
      <c r="M337" s="498">
        <f t="shared" si="60"/>
        <v>100</v>
      </c>
    </row>
    <row r="338" spans="1:13" ht="25.5" customHeight="1" outlineLevel="5" x14ac:dyDescent="0.3">
      <c r="A338" s="438" t="s">
        <v>15</v>
      </c>
      <c r="B338" s="439" t="s">
        <v>500</v>
      </c>
      <c r="C338" s="439" t="s">
        <v>67</v>
      </c>
      <c r="D338" s="539" t="s">
        <v>361</v>
      </c>
      <c r="E338" s="539" t="s">
        <v>16</v>
      </c>
      <c r="F338" s="540">
        <v>439940.4</v>
      </c>
      <c r="G338" s="465">
        <f t="shared" si="62"/>
        <v>440000</v>
      </c>
      <c r="H338" s="440">
        <v>0</v>
      </c>
      <c r="I338" s="440">
        <f t="shared" si="62"/>
        <v>440000</v>
      </c>
      <c r="J338" s="465">
        <f t="shared" si="62"/>
        <v>440000</v>
      </c>
      <c r="K338" s="465">
        <f t="shared" si="62"/>
        <v>440000</v>
      </c>
      <c r="L338" s="436">
        <f t="shared" si="59"/>
        <v>0</v>
      </c>
      <c r="M338" s="498">
        <f t="shared" si="60"/>
        <v>100</v>
      </c>
    </row>
    <row r="339" spans="1:13" ht="34" outlineLevel="6" x14ac:dyDescent="0.3">
      <c r="A339" s="438" t="s">
        <v>17</v>
      </c>
      <c r="B339" s="439" t="s">
        <v>500</v>
      </c>
      <c r="C339" s="439" t="s">
        <v>67</v>
      </c>
      <c r="D339" s="539" t="s">
        <v>361</v>
      </c>
      <c r="E339" s="539" t="s">
        <v>18</v>
      </c>
      <c r="F339" s="540">
        <v>439940.4</v>
      </c>
      <c r="G339" s="465">
        <v>440000</v>
      </c>
      <c r="H339" s="440">
        <v>0</v>
      </c>
      <c r="I339" s="440">
        <f>'[2]прил 12'!F331</f>
        <v>440000</v>
      </c>
      <c r="J339" s="466">
        <v>440000</v>
      </c>
      <c r="K339" s="466">
        <v>440000</v>
      </c>
      <c r="L339" s="436">
        <f t="shared" si="59"/>
        <v>0</v>
      </c>
      <c r="M339" s="498">
        <f t="shared" si="60"/>
        <v>100</v>
      </c>
    </row>
    <row r="340" spans="1:13" ht="44.5" customHeight="1" outlineLevel="7" x14ac:dyDescent="0.3">
      <c r="A340" s="438" t="s">
        <v>362</v>
      </c>
      <c r="B340" s="439" t="s">
        <v>500</v>
      </c>
      <c r="C340" s="439" t="s">
        <v>67</v>
      </c>
      <c r="D340" s="539" t="s">
        <v>246</v>
      </c>
      <c r="E340" s="539" t="s">
        <v>6</v>
      </c>
      <c r="F340" s="540">
        <v>29995</v>
      </c>
      <c r="G340" s="466">
        <f t="shared" ref="G340:K342" si="63">G341</f>
        <v>30000</v>
      </c>
      <c r="H340" s="442">
        <f t="shared" si="63"/>
        <v>8200</v>
      </c>
      <c r="I340" s="442">
        <f t="shared" si="63"/>
        <v>30000</v>
      </c>
      <c r="J340" s="466">
        <f t="shared" si="63"/>
        <v>30000</v>
      </c>
      <c r="K340" s="466">
        <f t="shared" si="63"/>
        <v>30000</v>
      </c>
      <c r="L340" s="436">
        <f t="shared" si="59"/>
        <v>0</v>
      </c>
      <c r="M340" s="498">
        <f t="shared" si="60"/>
        <v>100</v>
      </c>
    </row>
    <row r="341" spans="1:13" s="449" customFormat="1" ht="27" customHeight="1" outlineLevel="3" x14ac:dyDescent="0.3">
      <c r="A341" s="438" t="s">
        <v>68</v>
      </c>
      <c r="B341" s="439" t="s">
        <v>500</v>
      </c>
      <c r="C341" s="439" t="s">
        <v>67</v>
      </c>
      <c r="D341" s="539" t="s">
        <v>245</v>
      </c>
      <c r="E341" s="539" t="s">
        <v>6</v>
      </c>
      <c r="F341" s="540">
        <v>29995</v>
      </c>
      <c r="G341" s="465">
        <f t="shared" si="63"/>
        <v>30000</v>
      </c>
      <c r="H341" s="440">
        <f t="shared" si="63"/>
        <v>8200</v>
      </c>
      <c r="I341" s="440">
        <f t="shared" si="63"/>
        <v>30000</v>
      </c>
      <c r="J341" s="465">
        <f t="shared" si="63"/>
        <v>30000</v>
      </c>
      <c r="K341" s="465">
        <f t="shared" si="63"/>
        <v>30000</v>
      </c>
      <c r="L341" s="436">
        <f t="shared" si="59"/>
        <v>0</v>
      </c>
      <c r="M341" s="498">
        <f t="shared" si="60"/>
        <v>100</v>
      </c>
    </row>
    <row r="342" spans="1:13" ht="34" outlineLevel="5" x14ac:dyDescent="0.3">
      <c r="A342" s="438" t="s">
        <v>15</v>
      </c>
      <c r="B342" s="439" t="s">
        <v>500</v>
      </c>
      <c r="C342" s="439" t="s">
        <v>67</v>
      </c>
      <c r="D342" s="539" t="s">
        <v>245</v>
      </c>
      <c r="E342" s="539" t="s">
        <v>16</v>
      </c>
      <c r="F342" s="540">
        <v>29995</v>
      </c>
      <c r="G342" s="465">
        <f t="shared" si="63"/>
        <v>30000</v>
      </c>
      <c r="H342" s="370">
        <v>8200</v>
      </c>
      <c r="I342" s="440">
        <f t="shared" si="63"/>
        <v>30000</v>
      </c>
      <c r="J342" s="465">
        <f t="shared" si="63"/>
        <v>30000</v>
      </c>
      <c r="K342" s="465">
        <f t="shared" si="63"/>
        <v>30000</v>
      </c>
      <c r="L342" s="436">
        <f t="shared" si="59"/>
        <v>0</v>
      </c>
      <c r="M342" s="498">
        <f t="shared" si="60"/>
        <v>100</v>
      </c>
    </row>
    <row r="343" spans="1:13" ht="34" outlineLevel="5" x14ac:dyDescent="0.3">
      <c r="A343" s="438" t="s">
        <v>17</v>
      </c>
      <c r="B343" s="439" t="s">
        <v>500</v>
      </c>
      <c r="C343" s="439" t="s">
        <v>67</v>
      </c>
      <c r="D343" s="539" t="s">
        <v>245</v>
      </c>
      <c r="E343" s="539" t="s">
        <v>18</v>
      </c>
      <c r="F343" s="540">
        <v>29995</v>
      </c>
      <c r="G343" s="465">
        <v>30000</v>
      </c>
      <c r="H343" s="370">
        <v>8200</v>
      </c>
      <c r="I343" s="440">
        <f>'[2]прил 12'!F335</f>
        <v>30000</v>
      </c>
      <c r="J343" s="466">
        <v>30000</v>
      </c>
      <c r="K343" s="466">
        <v>30000</v>
      </c>
      <c r="L343" s="436">
        <f t="shared" si="59"/>
        <v>0</v>
      </c>
      <c r="M343" s="498">
        <f t="shared" si="60"/>
        <v>100</v>
      </c>
    </row>
    <row r="344" spans="1:13" ht="67.95" outlineLevel="6" x14ac:dyDescent="0.3">
      <c r="A344" s="444" t="s">
        <v>840</v>
      </c>
      <c r="B344" s="445" t="s">
        <v>500</v>
      </c>
      <c r="C344" s="445" t="s">
        <v>67</v>
      </c>
      <c r="D344" s="541" t="s">
        <v>363</v>
      </c>
      <c r="E344" s="541" t="s">
        <v>6</v>
      </c>
      <c r="F344" s="542">
        <v>44814</v>
      </c>
      <c r="G344" s="508">
        <f>G345</f>
        <v>85000</v>
      </c>
      <c r="H344" s="446">
        <f>H345</f>
        <v>45000</v>
      </c>
      <c r="I344" s="446">
        <f>I345</f>
        <v>45000</v>
      </c>
      <c r="J344" s="508">
        <f>J345</f>
        <v>45000</v>
      </c>
      <c r="K344" s="508">
        <f>K345</f>
        <v>45000</v>
      </c>
      <c r="L344" s="436">
        <f t="shared" si="59"/>
        <v>0</v>
      </c>
      <c r="M344" s="498">
        <f t="shared" si="60"/>
        <v>52.941176470588232</v>
      </c>
    </row>
    <row r="345" spans="1:13" ht="41.3" customHeight="1" outlineLevel="7" x14ac:dyDescent="0.3">
      <c r="A345" s="438" t="s">
        <v>364</v>
      </c>
      <c r="B345" s="439" t="s">
        <v>500</v>
      </c>
      <c r="C345" s="439" t="s">
        <v>67</v>
      </c>
      <c r="D345" s="539" t="s">
        <v>365</v>
      </c>
      <c r="E345" s="539" t="s">
        <v>6</v>
      </c>
      <c r="F345" s="540">
        <v>44814</v>
      </c>
      <c r="G345" s="465">
        <f>G347</f>
        <v>85000</v>
      </c>
      <c r="H345" s="440">
        <f>H347</f>
        <v>45000</v>
      </c>
      <c r="I345" s="440">
        <f t="shared" ref="I345:K347" si="64">I346</f>
        <v>45000</v>
      </c>
      <c r="J345" s="465">
        <f t="shared" si="64"/>
        <v>45000</v>
      </c>
      <c r="K345" s="465">
        <f t="shared" si="64"/>
        <v>45000</v>
      </c>
      <c r="L345" s="436">
        <f t="shared" si="59"/>
        <v>0</v>
      </c>
      <c r="M345" s="498">
        <f t="shared" si="60"/>
        <v>52.941176470588232</v>
      </c>
    </row>
    <row r="346" spans="1:13" s="449" customFormat="1" outlineLevel="1" x14ac:dyDescent="0.3">
      <c r="A346" s="438" t="s">
        <v>366</v>
      </c>
      <c r="B346" s="439" t="s">
        <v>500</v>
      </c>
      <c r="C346" s="439" t="s">
        <v>67</v>
      </c>
      <c r="D346" s="539" t="s">
        <v>367</v>
      </c>
      <c r="E346" s="539" t="s">
        <v>6</v>
      </c>
      <c r="F346" s="540">
        <v>44814</v>
      </c>
      <c r="G346" s="465">
        <f>G347</f>
        <v>85000</v>
      </c>
      <c r="H346" s="440">
        <f>H347</f>
        <v>45000</v>
      </c>
      <c r="I346" s="440">
        <f t="shared" si="64"/>
        <v>45000</v>
      </c>
      <c r="J346" s="465">
        <f t="shared" si="64"/>
        <v>45000</v>
      </c>
      <c r="K346" s="465">
        <f t="shared" si="64"/>
        <v>45000</v>
      </c>
      <c r="L346" s="436">
        <f t="shared" si="59"/>
        <v>0</v>
      </c>
      <c r="M346" s="498">
        <f t="shared" si="60"/>
        <v>52.941176470588232</v>
      </c>
    </row>
    <row r="347" spans="1:13" ht="34" outlineLevel="2" x14ac:dyDescent="0.3">
      <c r="A347" s="438" t="s">
        <v>15</v>
      </c>
      <c r="B347" s="439" t="s">
        <v>500</v>
      </c>
      <c r="C347" s="439" t="s">
        <v>67</v>
      </c>
      <c r="D347" s="539" t="s">
        <v>367</v>
      </c>
      <c r="E347" s="539" t="s">
        <v>16</v>
      </c>
      <c r="F347" s="540">
        <v>44814</v>
      </c>
      <c r="G347" s="465">
        <f>G348</f>
        <v>85000</v>
      </c>
      <c r="H347" s="371">
        <v>45000</v>
      </c>
      <c r="I347" s="440">
        <f t="shared" si="64"/>
        <v>45000</v>
      </c>
      <c r="J347" s="465">
        <f t="shared" si="64"/>
        <v>45000</v>
      </c>
      <c r="K347" s="465">
        <f t="shared" si="64"/>
        <v>45000</v>
      </c>
      <c r="L347" s="436">
        <f t="shared" si="59"/>
        <v>0</v>
      </c>
      <c r="M347" s="498">
        <f t="shared" si="60"/>
        <v>52.941176470588232</v>
      </c>
    </row>
    <row r="348" spans="1:13" s="449" customFormat="1" ht="34" outlineLevel="3" x14ac:dyDescent="0.3">
      <c r="A348" s="438" t="s">
        <v>17</v>
      </c>
      <c r="B348" s="439" t="s">
        <v>500</v>
      </c>
      <c r="C348" s="439" t="s">
        <v>67</v>
      </c>
      <c r="D348" s="539" t="s">
        <v>367</v>
      </c>
      <c r="E348" s="539" t="s">
        <v>18</v>
      </c>
      <c r="F348" s="540">
        <v>44814</v>
      </c>
      <c r="G348" s="466">
        <f>45000+40000</f>
        <v>85000</v>
      </c>
      <c r="H348" s="371">
        <v>45000</v>
      </c>
      <c r="I348" s="442">
        <f>'[2]прил 12'!F340</f>
        <v>45000</v>
      </c>
      <c r="J348" s="507">
        <v>45000</v>
      </c>
      <c r="K348" s="507">
        <v>45000</v>
      </c>
      <c r="L348" s="436">
        <f t="shared" si="59"/>
        <v>0</v>
      </c>
      <c r="M348" s="498">
        <f t="shared" si="60"/>
        <v>52.941176470588232</v>
      </c>
    </row>
    <row r="349" spans="1:13" outlineLevel="3" x14ac:dyDescent="0.3">
      <c r="A349" s="444" t="s">
        <v>69</v>
      </c>
      <c r="B349" s="445" t="s">
        <v>500</v>
      </c>
      <c r="C349" s="445" t="s">
        <v>70</v>
      </c>
      <c r="D349" s="541" t="s">
        <v>126</v>
      </c>
      <c r="E349" s="541" t="s">
        <v>6</v>
      </c>
      <c r="F349" s="540">
        <v>16476920</v>
      </c>
      <c r="G349" s="508">
        <f t="shared" ref="G349:K354" si="65">G350</f>
        <v>19091462.579999998</v>
      </c>
      <c r="H349" s="446">
        <f t="shared" si="65"/>
        <v>14464275.869999999</v>
      </c>
      <c r="I349" s="446">
        <f t="shared" si="65"/>
        <v>23510454.439999998</v>
      </c>
      <c r="J349" s="508">
        <f t="shared" si="65"/>
        <v>25296418.239999998</v>
      </c>
      <c r="K349" s="508">
        <f t="shared" si="65"/>
        <v>25296418.239999998</v>
      </c>
      <c r="L349" s="436">
        <f t="shared" si="59"/>
        <v>0</v>
      </c>
      <c r="M349" s="498">
        <f t="shared" si="60"/>
        <v>132.50120641097578</v>
      </c>
    </row>
    <row r="350" spans="1:13" outlineLevel="5" x14ac:dyDescent="0.3">
      <c r="A350" s="438" t="s">
        <v>257</v>
      </c>
      <c r="B350" s="439" t="s">
        <v>500</v>
      </c>
      <c r="C350" s="439" t="s">
        <v>256</v>
      </c>
      <c r="D350" s="539" t="s">
        <v>126</v>
      </c>
      <c r="E350" s="539" t="s">
        <v>6</v>
      </c>
      <c r="F350" s="540">
        <v>16476920</v>
      </c>
      <c r="G350" s="465">
        <f t="shared" si="65"/>
        <v>19091462.579999998</v>
      </c>
      <c r="H350" s="440">
        <f t="shared" si="65"/>
        <v>14464275.869999999</v>
      </c>
      <c r="I350" s="440">
        <f t="shared" si="65"/>
        <v>23510454.439999998</v>
      </c>
      <c r="J350" s="465">
        <f t="shared" si="65"/>
        <v>25296418.239999998</v>
      </c>
      <c r="K350" s="465">
        <f t="shared" si="65"/>
        <v>25296418.239999998</v>
      </c>
      <c r="L350" s="436">
        <f t="shared" si="59"/>
        <v>0</v>
      </c>
      <c r="M350" s="498">
        <f t="shared" si="60"/>
        <v>132.50120641097578</v>
      </c>
    </row>
    <row r="351" spans="1:13" ht="50.95" outlineLevel="6" x14ac:dyDescent="0.3">
      <c r="A351" s="444" t="s">
        <v>839</v>
      </c>
      <c r="B351" s="445" t="s">
        <v>500</v>
      </c>
      <c r="C351" s="445" t="s">
        <v>256</v>
      </c>
      <c r="D351" s="541" t="s">
        <v>136</v>
      </c>
      <c r="E351" s="541" t="s">
        <v>6</v>
      </c>
      <c r="F351" s="542">
        <v>16476920</v>
      </c>
      <c r="G351" s="508">
        <f>G352+G359</f>
        <v>19091462.579999998</v>
      </c>
      <c r="H351" s="446">
        <f>H352+H359</f>
        <v>14464275.869999999</v>
      </c>
      <c r="I351" s="446">
        <f>I352+I359+I366</f>
        <v>23510454.439999998</v>
      </c>
      <c r="J351" s="508">
        <f>J352+J359+J366</f>
        <v>25296418.239999998</v>
      </c>
      <c r="K351" s="508">
        <f>K352+K359+K366</f>
        <v>25296418.239999998</v>
      </c>
      <c r="L351" s="436">
        <f t="shared" si="59"/>
        <v>0</v>
      </c>
      <c r="M351" s="498">
        <f t="shared" si="60"/>
        <v>132.50120641097578</v>
      </c>
    </row>
    <row r="352" spans="1:13" ht="34" outlineLevel="7" x14ac:dyDescent="0.3">
      <c r="A352" s="438" t="s">
        <v>368</v>
      </c>
      <c r="B352" s="439" t="s">
        <v>500</v>
      </c>
      <c r="C352" s="439" t="s">
        <v>256</v>
      </c>
      <c r="D352" s="539" t="s">
        <v>228</v>
      </c>
      <c r="E352" s="539" t="s">
        <v>6</v>
      </c>
      <c r="F352" s="540">
        <v>16476920</v>
      </c>
      <c r="G352" s="465">
        <f>G353+G356+G363</f>
        <v>19091462.579999998</v>
      </c>
      <c r="H352" s="440">
        <f>H353+H356+H363</f>
        <v>14464275.869999999</v>
      </c>
      <c r="I352" s="440">
        <f>I353+I356+I363</f>
        <v>19052341.359999999</v>
      </c>
      <c r="J352" s="465">
        <f>J353+J356+J363</f>
        <v>20792637.34</v>
      </c>
      <c r="K352" s="465">
        <f>K353+K356+K363</f>
        <v>20792637.34</v>
      </c>
      <c r="L352" s="436">
        <f t="shared" si="59"/>
        <v>0</v>
      </c>
      <c r="M352" s="498">
        <f t="shared" si="60"/>
        <v>108.91065706920817</v>
      </c>
    </row>
    <row r="353" spans="1:13" ht="50.95" outlineLevel="7" x14ac:dyDescent="0.3">
      <c r="A353" s="438" t="s">
        <v>73</v>
      </c>
      <c r="B353" s="439" t="s">
        <v>500</v>
      </c>
      <c r="C353" s="439" t="s">
        <v>256</v>
      </c>
      <c r="D353" s="539" t="s">
        <v>137</v>
      </c>
      <c r="E353" s="539" t="s">
        <v>6</v>
      </c>
      <c r="F353" s="540">
        <v>16476920</v>
      </c>
      <c r="G353" s="465">
        <f t="shared" si="65"/>
        <v>18193102.579999998</v>
      </c>
      <c r="H353" s="440">
        <f t="shared" si="65"/>
        <v>13952527.77</v>
      </c>
      <c r="I353" s="440">
        <f t="shared" ref="I353:K354" si="66">I354</f>
        <v>18953228.359999999</v>
      </c>
      <c r="J353" s="465">
        <f t="shared" si="66"/>
        <v>20693524.34</v>
      </c>
      <c r="K353" s="465">
        <f t="shared" si="66"/>
        <v>20693524.34</v>
      </c>
      <c r="L353" s="436">
        <f t="shared" si="59"/>
        <v>0</v>
      </c>
      <c r="M353" s="498">
        <f t="shared" si="60"/>
        <v>113.74378970824229</v>
      </c>
    </row>
    <row r="354" spans="1:13" ht="34" outlineLevel="7" x14ac:dyDescent="0.3">
      <c r="A354" s="438" t="s">
        <v>37</v>
      </c>
      <c r="B354" s="439" t="s">
        <v>500</v>
      </c>
      <c r="C354" s="439" t="s">
        <v>256</v>
      </c>
      <c r="D354" s="539" t="s">
        <v>137</v>
      </c>
      <c r="E354" s="539" t="s">
        <v>38</v>
      </c>
      <c r="F354" s="540">
        <v>16476920</v>
      </c>
      <c r="G354" s="465">
        <f t="shared" si="65"/>
        <v>18193102.579999998</v>
      </c>
      <c r="H354" s="370">
        <v>13952527.77</v>
      </c>
      <c r="I354" s="440">
        <f t="shared" si="66"/>
        <v>18953228.359999999</v>
      </c>
      <c r="J354" s="465">
        <f t="shared" si="66"/>
        <v>20693524.34</v>
      </c>
      <c r="K354" s="465">
        <f t="shared" si="66"/>
        <v>20693524.34</v>
      </c>
      <c r="L354" s="436">
        <f t="shared" si="59"/>
        <v>0</v>
      </c>
      <c r="M354" s="498">
        <f t="shared" si="60"/>
        <v>113.74378970824229</v>
      </c>
    </row>
    <row r="355" spans="1:13" outlineLevel="7" x14ac:dyDescent="0.3">
      <c r="A355" s="438" t="s">
        <v>74</v>
      </c>
      <c r="B355" s="439" t="s">
        <v>500</v>
      </c>
      <c r="C355" s="439" t="s">
        <v>256</v>
      </c>
      <c r="D355" s="539" t="s">
        <v>137</v>
      </c>
      <c r="E355" s="539" t="s">
        <v>75</v>
      </c>
      <c r="F355" s="540">
        <v>16476920</v>
      </c>
      <c r="G355" s="465">
        <f>[2]потребность!I348</f>
        <v>18193102.579999998</v>
      </c>
      <c r="H355" s="370">
        <v>13952527.77</v>
      </c>
      <c r="I355" s="440">
        <f>'[2]прил 12'!F347</f>
        <v>18953228.359999999</v>
      </c>
      <c r="J355" s="466">
        <v>20693524.34</v>
      </c>
      <c r="K355" s="466">
        <v>20693524.34</v>
      </c>
      <c r="L355" s="436">
        <f t="shared" si="59"/>
        <v>0</v>
      </c>
      <c r="M355" s="498">
        <f t="shared" si="60"/>
        <v>113.74378970824229</v>
      </c>
    </row>
    <row r="356" spans="1:13" ht="77.95" customHeight="1" outlineLevel="7" x14ac:dyDescent="0.3">
      <c r="A356" s="438" t="s">
        <v>710</v>
      </c>
      <c r="B356" s="439" t="s">
        <v>500</v>
      </c>
      <c r="C356" s="439" t="s">
        <v>256</v>
      </c>
      <c r="D356" s="539" t="s">
        <v>711</v>
      </c>
      <c r="E356" s="539" t="s">
        <v>6</v>
      </c>
      <c r="F356" s="539" t="s">
        <v>976</v>
      </c>
      <c r="G356" s="465">
        <f t="shared" ref="G356:K357" si="67">G357</f>
        <v>98360</v>
      </c>
      <c r="H356" s="440">
        <f t="shared" si="67"/>
        <v>0</v>
      </c>
      <c r="I356" s="440">
        <f t="shared" si="67"/>
        <v>99113</v>
      </c>
      <c r="J356" s="465">
        <f t="shared" si="67"/>
        <v>99113</v>
      </c>
      <c r="K356" s="465">
        <f t="shared" si="67"/>
        <v>99113</v>
      </c>
      <c r="L356" s="436">
        <f t="shared" si="59"/>
        <v>0</v>
      </c>
      <c r="M356" s="498">
        <f t="shared" si="60"/>
        <v>100.76555510370069</v>
      </c>
    </row>
    <row r="357" spans="1:13" s="449" customFormat="1" ht="34" outlineLevel="1" x14ac:dyDescent="0.3">
      <c r="A357" s="438" t="s">
        <v>37</v>
      </c>
      <c r="B357" s="439" t="s">
        <v>500</v>
      </c>
      <c r="C357" s="439" t="s">
        <v>256</v>
      </c>
      <c r="D357" s="539" t="s">
        <v>711</v>
      </c>
      <c r="E357" s="539" t="s">
        <v>38</v>
      </c>
      <c r="F357" s="539" t="s">
        <v>976</v>
      </c>
      <c r="G357" s="465">
        <f t="shared" si="67"/>
        <v>98360</v>
      </c>
      <c r="H357" s="440">
        <v>0</v>
      </c>
      <c r="I357" s="440">
        <f t="shared" si="67"/>
        <v>99113</v>
      </c>
      <c r="J357" s="465">
        <f t="shared" si="67"/>
        <v>99113</v>
      </c>
      <c r="K357" s="465">
        <f t="shared" si="67"/>
        <v>99113</v>
      </c>
      <c r="L357" s="436">
        <f t="shared" si="59"/>
        <v>0</v>
      </c>
      <c r="M357" s="498">
        <f t="shared" si="60"/>
        <v>100.76555510370069</v>
      </c>
    </row>
    <row r="358" spans="1:13" ht="16.5" customHeight="1" outlineLevel="2" x14ac:dyDescent="0.3">
      <c r="A358" s="438" t="s">
        <v>74</v>
      </c>
      <c r="B358" s="439" t="s">
        <v>500</v>
      </c>
      <c r="C358" s="439" t="s">
        <v>256</v>
      </c>
      <c r="D358" s="539" t="s">
        <v>711</v>
      </c>
      <c r="E358" s="539" t="s">
        <v>75</v>
      </c>
      <c r="F358" s="539" t="s">
        <v>976</v>
      </c>
      <c r="G358" s="465">
        <v>98360</v>
      </c>
      <c r="H358" s="440">
        <v>0</v>
      </c>
      <c r="I358" s="440">
        <v>99113</v>
      </c>
      <c r="J358" s="466">
        <v>99113</v>
      </c>
      <c r="K358" s="466">
        <v>99113</v>
      </c>
      <c r="L358" s="436">
        <f t="shared" si="59"/>
        <v>0</v>
      </c>
      <c r="M358" s="498">
        <f t="shared" si="60"/>
        <v>100.76555510370069</v>
      </c>
    </row>
    <row r="359" spans="1:13" s="449" customFormat="1" ht="31.75" hidden="1" customHeight="1" outlineLevel="3" x14ac:dyDescent="0.3">
      <c r="A359" s="458" t="s">
        <v>597</v>
      </c>
      <c r="B359" s="460" t="s">
        <v>500</v>
      </c>
      <c r="C359" s="460" t="s">
        <v>256</v>
      </c>
      <c r="D359" s="545" t="s">
        <v>1008</v>
      </c>
      <c r="E359" s="546" t="s">
        <v>6</v>
      </c>
      <c r="F359" s="546"/>
      <c r="G359" s="465">
        <f>G360</f>
        <v>0</v>
      </c>
      <c r="H359" s="440">
        <v>0</v>
      </c>
      <c r="I359" s="440">
        <v>0</v>
      </c>
      <c r="J359" s="516"/>
      <c r="K359" s="516"/>
      <c r="L359" s="436">
        <f t="shared" si="59"/>
        <v>0</v>
      </c>
      <c r="M359" s="498"/>
    </row>
    <row r="360" spans="1:13" ht="93.75" hidden="1" customHeight="1" outlineLevel="3" x14ac:dyDescent="0.3">
      <c r="A360" s="438" t="s">
        <v>1009</v>
      </c>
      <c r="B360" s="461" t="s">
        <v>500</v>
      </c>
      <c r="C360" s="461" t="s">
        <v>256</v>
      </c>
      <c r="D360" s="545" t="s">
        <v>1008</v>
      </c>
      <c r="E360" s="545" t="s">
        <v>6</v>
      </c>
      <c r="F360" s="545"/>
      <c r="G360" s="465">
        <f>G361</f>
        <v>0</v>
      </c>
      <c r="H360" s="440">
        <v>0</v>
      </c>
      <c r="I360" s="440">
        <v>0</v>
      </c>
      <c r="J360" s="466"/>
      <c r="K360" s="466"/>
      <c r="L360" s="436">
        <f t="shared" si="59"/>
        <v>0</v>
      </c>
      <c r="M360" s="498"/>
    </row>
    <row r="361" spans="1:13" ht="34" hidden="1" outlineLevel="7" x14ac:dyDescent="0.3">
      <c r="A361" s="438" t="s">
        <v>37</v>
      </c>
      <c r="B361" s="461" t="s">
        <v>500</v>
      </c>
      <c r="C361" s="461" t="s">
        <v>256</v>
      </c>
      <c r="D361" s="545" t="s">
        <v>1008</v>
      </c>
      <c r="E361" s="545" t="s">
        <v>38</v>
      </c>
      <c r="F361" s="545"/>
      <c r="G361" s="465">
        <f>G362</f>
        <v>0</v>
      </c>
      <c r="H361" s="440">
        <v>0</v>
      </c>
      <c r="I361" s="440">
        <v>0</v>
      </c>
      <c r="J361" s="466"/>
      <c r="K361" s="466"/>
      <c r="L361" s="436">
        <f t="shared" si="59"/>
        <v>0</v>
      </c>
      <c r="M361" s="498"/>
    </row>
    <row r="362" spans="1:13" hidden="1" outlineLevel="7" x14ac:dyDescent="0.3">
      <c r="A362" s="438" t="s">
        <v>74</v>
      </c>
      <c r="B362" s="439" t="s">
        <v>500</v>
      </c>
      <c r="C362" s="439" t="s">
        <v>256</v>
      </c>
      <c r="D362" s="539" t="s">
        <v>521</v>
      </c>
      <c r="E362" s="539" t="s">
        <v>75</v>
      </c>
      <c r="F362" s="539" t="s">
        <v>976</v>
      </c>
      <c r="G362" s="465">
        <v>0</v>
      </c>
      <c r="H362" s="440">
        <v>0</v>
      </c>
      <c r="I362" s="440">
        <v>0</v>
      </c>
      <c r="J362" s="466"/>
      <c r="K362" s="466"/>
      <c r="L362" s="436">
        <f t="shared" si="59"/>
        <v>0</v>
      </c>
      <c r="M362" s="498"/>
    </row>
    <row r="363" spans="1:13" ht="50.95" outlineLevel="7" x14ac:dyDescent="0.3">
      <c r="A363" s="462" t="s">
        <v>937</v>
      </c>
      <c r="B363" s="439" t="s">
        <v>500</v>
      </c>
      <c r="C363" s="439" t="s">
        <v>256</v>
      </c>
      <c r="D363" s="493">
        <v>292270100</v>
      </c>
      <c r="E363" s="539" t="s">
        <v>6</v>
      </c>
      <c r="F363" s="539" t="s">
        <v>976</v>
      </c>
      <c r="G363" s="465">
        <f>G364</f>
        <v>800000</v>
      </c>
      <c r="H363" s="440">
        <f>H364</f>
        <v>511748.1</v>
      </c>
      <c r="I363" s="440">
        <v>0</v>
      </c>
      <c r="J363" s="465">
        <v>0</v>
      </c>
      <c r="K363" s="465">
        <v>0</v>
      </c>
      <c r="L363" s="436">
        <f t="shared" si="59"/>
        <v>0</v>
      </c>
      <c r="M363" s="498">
        <f t="shared" si="60"/>
        <v>0</v>
      </c>
    </row>
    <row r="364" spans="1:13" ht="34" outlineLevel="7" x14ac:dyDescent="0.3">
      <c r="A364" s="438" t="s">
        <v>37</v>
      </c>
      <c r="B364" s="439" t="s">
        <v>500</v>
      </c>
      <c r="C364" s="439" t="s">
        <v>256</v>
      </c>
      <c r="D364" s="493">
        <v>292270100</v>
      </c>
      <c r="E364" s="539" t="s">
        <v>38</v>
      </c>
      <c r="F364" s="539" t="s">
        <v>976</v>
      </c>
      <c r="G364" s="465">
        <f>G365</f>
        <v>800000</v>
      </c>
      <c r="H364" s="370">
        <v>511748.1</v>
      </c>
      <c r="I364" s="440">
        <v>0</v>
      </c>
      <c r="J364" s="465">
        <v>0</v>
      </c>
      <c r="K364" s="465">
        <v>0</v>
      </c>
      <c r="L364" s="436">
        <f t="shared" si="59"/>
        <v>0</v>
      </c>
      <c r="M364" s="498">
        <f t="shared" si="60"/>
        <v>0</v>
      </c>
    </row>
    <row r="365" spans="1:13" outlineLevel="7" x14ac:dyDescent="0.3">
      <c r="A365" s="438" t="s">
        <v>74</v>
      </c>
      <c r="B365" s="439" t="s">
        <v>500</v>
      </c>
      <c r="C365" s="439" t="s">
        <v>256</v>
      </c>
      <c r="D365" s="493">
        <v>292270100</v>
      </c>
      <c r="E365" s="539" t="s">
        <v>75</v>
      </c>
      <c r="F365" s="539" t="s">
        <v>976</v>
      </c>
      <c r="G365" s="465">
        <f>500000+300000</f>
        <v>800000</v>
      </c>
      <c r="H365" s="370">
        <v>511748.1</v>
      </c>
      <c r="I365" s="440">
        <v>0</v>
      </c>
      <c r="J365" s="465">
        <v>0</v>
      </c>
      <c r="K365" s="465">
        <v>0</v>
      </c>
      <c r="L365" s="436">
        <f t="shared" si="59"/>
        <v>0</v>
      </c>
      <c r="M365" s="498">
        <f t="shared" si="60"/>
        <v>0</v>
      </c>
    </row>
    <row r="366" spans="1:13" outlineLevel="7" x14ac:dyDescent="0.3">
      <c r="A366" s="458" t="s">
        <v>597</v>
      </c>
      <c r="B366" s="445" t="s">
        <v>500</v>
      </c>
      <c r="C366" s="445" t="s">
        <v>256</v>
      </c>
      <c r="D366" s="541" t="s">
        <v>598</v>
      </c>
      <c r="E366" s="547" t="s">
        <v>6</v>
      </c>
      <c r="F366" s="547" t="s">
        <v>976</v>
      </c>
      <c r="G366" s="466">
        <v>0</v>
      </c>
      <c r="H366" s="442">
        <v>0</v>
      </c>
      <c r="I366" s="440">
        <f t="shared" ref="I366:K368" si="68">I367</f>
        <v>4458113.08</v>
      </c>
      <c r="J366" s="465">
        <f t="shared" si="68"/>
        <v>4503780.8999999994</v>
      </c>
      <c r="K366" s="465">
        <f t="shared" si="68"/>
        <v>4503780.8999999994</v>
      </c>
      <c r="L366" s="436">
        <f t="shared" si="59"/>
        <v>0</v>
      </c>
      <c r="M366" s="498"/>
    </row>
    <row r="367" spans="1:13" ht="84.9" outlineLevel="7" x14ac:dyDescent="0.3">
      <c r="A367" s="438" t="s">
        <v>575</v>
      </c>
      <c r="B367" s="439" t="s">
        <v>500</v>
      </c>
      <c r="C367" s="439" t="s">
        <v>256</v>
      </c>
      <c r="D367" s="539" t="s">
        <v>599</v>
      </c>
      <c r="E367" s="548" t="s">
        <v>6</v>
      </c>
      <c r="F367" s="548" t="s">
        <v>976</v>
      </c>
      <c r="G367" s="466">
        <v>0</v>
      </c>
      <c r="H367" s="442">
        <v>0</v>
      </c>
      <c r="I367" s="440">
        <f t="shared" si="68"/>
        <v>4458113.08</v>
      </c>
      <c r="J367" s="513">
        <f t="shared" si="68"/>
        <v>4503780.8999999994</v>
      </c>
      <c r="K367" s="513">
        <f t="shared" si="68"/>
        <v>4503780.8999999994</v>
      </c>
      <c r="L367" s="436">
        <f t="shared" si="59"/>
        <v>0</v>
      </c>
      <c r="M367" s="498"/>
    </row>
    <row r="368" spans="1:13" ht="34" outlineLevel="7" x14ac:dyDescent="0.3">
      <c r="A368" s="438" t="s">
        <v>37</v>
      </c>
      <c r="B368" s="439" t="s">
        <v>500</v>
      </c>
      <c r="C368" s="439" t="s">
        <v>256</v>
      </c>
      <c r="D368" s="539" t="s">
        <v>599</v>
      </c>
      <c r="E368" s="548" t="s">
        <v>38</v>
      </c>
      <c r="F368" s="548" t="s">
        <v>976</v>
      </c>
      <c r="G368" s="466">
        <v>0</v>
      </c>
      <c r="H368" s="442">
        <v>0</v>
      </c>
      <c r="I368" s="440">
        <f t="shared" si="68"/>
        <v>4458113.08</v>
      </c>
      <c r="J368" s="465">
        <f t="shared" si="68"/>
        <v>4503780.8999999994</v>
      </c>
      <c r="K368" s="465">
        <f t="shared" si="68"/>
        <v>4503780.8999999994</v>
      </c>
      <c r="L368" s="436">
        <f t="shared" si="59"/>
        <v>0</v>
      </c>
      <c r="M368" s="498"/>
    </row>
    <row r="369" spans="1:13" outlineLevel="7" x14ac:dyDescent="0.3">
      <c r="A369" s="438" t="s">
        <v>74</v>
      </c>
      <c r="B369" s="439" t="s">
        <v>500</v>
      </c>
      <c r="C369" s="439" t="s">
        <v>256</v>
      </c>
      <c r="D369" s="539" t="s">
        <v>599</v>
      </c>
      <c r="E369" s="548" t="s">
        <v>75</v>
      </c>
      <c r="F369" s="548" t="s">
        <v>976</v>
      </c>
      <c r="G369" s="466">
        <v>0</v>
      </c>
      <c r="H369" s="442">
        <v>0</v>
      </c>
      <c r="I369" s="440">
        <f>4368667.47+89445.61</f>
        <v>4458113.08</v>
      </c>
      <c r="J369" s="510">
        <f>4368667.47+135113.43</f>
        <v>4503780.8999999994</v>
      </c>
      <c r="K369" s="510">
        <f>4368667.47+135113.43</f>
        <v>4503780.8999999994</v>
      </c>
      <c r="L369" s="436">
        <f t="shared" si="59"/>
        <v>0</v>
      </c>
      <c r="M369" s="498"/>
    </row>
    <row r="370" spans="1:13" outlineLevel="7" x14ac:dyDescent="0.3">
      <c r="A370" s="444" t="s">
        <v>79</v>
      </c>
      <c r="B370" s="445" t="s">
        <v>500</v>
      </c>
      <c r="C370" s="445" t="s">
        <v>80</v>
      </c>
      <c r="D370" s="541" t="s">
        <v>126</v>
      </c>
      <c r="E370" s="541" t="s">
        <v>6</v>
      </c>
      <c r="F370" s="540">
        <v>33822841.700000003</v>
      </c>
      <c r="G370" s="508">
        <f>G371+G401</f>
        <v>41452318.13000001</v>
      </c>
      <c r="H370" s="446">
        <f>H371+H401</f>
        <v>27370092.920000002</v>
      </c>
      <c r="I370" s="446">
        <f>I371+I401</f>
        <v>39865848.490000002</v>
      </c>
      <c r="J370" s="508">
        <f>J371+J401</f>
        <v>43853738.420000002</v>
      </c>
      <c r="K370" s="508">
        <f>K371+K401</f>
        <v>43751559.600000001</v>
      </c>
      <c r="L370" s="436">
        <f t="shared" si="59"/>
        <v>-102178.8200000003</v>
      </c>
      <c r="M370" s="498">
        <f t="shared" si="60"/>
        <v>105.79321108766177</v>
      </c>
    </row>
    <row r="371" spans="1:13" outlineLevel="7" x14ac:dyDescent="0.3">
      <c r="A371" s="438" t="s">
        <v>81</v>
      </c>
      <c r="B371" s="439" t="s">
        <v>500</v>
      </c>
      <c r="C371" s="439" t="s">
        <v>82</v>
      </c>
      <c r="D371" s="539" t="s">
        <v>126</v>
      </c>
      <c r="E371" s="539" t="s">
        <v>6</v>
      </c>
      <c r="F371" s="540">
        <v>33822841.700000003</v>
      </c>
      <c r="G371" s="465">
        <f>G372</f>
        <v>39083239.790000007</v>
      </c>
      <c r="H371" s="440">
        <f>H372</f>
        <v>25298078.920000002</v>
      </c>
      <c r="I371" s="440">
        <f>I372</f>
        <v>36253940.93</v>
      </c>
      <c r="J371" s="465">
        <f>J372</f>
        <v>38078949.649999999</v>
      </c>
      <c r="K371" s="465">
        <f>K372</f>
        <v>38078949.649999999</v>
      </c>
      <c r="L371" s="436">
        <f t="shared" si="59"/>
        <v>0</v>
      </c>
      <c r="M371" s="498">
        <f t="shared" si="60"/>
        <v>97.430381551283347</v>
      </c>
    </row>
    <row r="372" spans="1:13" ht="50.95" outlineLevel="7" x14ac:dyDescent="0.3">
      <c r="A372" s="444" t="s">
        <v>839</v>
      </c>
      <c r="B372" s="445" t="s">
        <v>500</v>
      </c>
      <c r="C372" s="445" t="s">
        <v>82</v>
      </c>
      <c r="D372" s="541" t="s">
        <v>136</v>
      </c>
      <c r="E372" s="541" t="s">
        <v>6</v>
      </c>
      <c r="F372" s="542">
        <v>33822841.700000003</v>
      </c>
      <c r="G372" s="508">
        <f>G373+G393+G383</f>
        <v>39083239.790000007</v>
      </c>
      <c r="H372" s="446">
        <f>H373+H393+H383</f>
        <v>25298078.920000002</v>
      </c>
      <c r="I372" s="446">
        <f>I373+I393+I383</f>
        <v>36253940.93</v>
      </c>
      <c r="J372" s="508">
        <f>J373+J393+J383</f>
        <v>38078949.649999999</v>
      </c>
      <c r="K372" s="508">
        <f>K373+K393+K383</f>
        <v>38078949.649999999</v>
      </c>
      <c r="L372" s="436">
        <f t="shared" si="59"/>
        <v>0</v>
      </c>
      <c r="M372" s="498">
        <f t="shared" si="60"/>
        <v>97.430381551283347</v>
      </c>
    </row>
    <row r="373" spans="1:13" ht="34" outlineLevel="7" x14ac:dyDescent="0.3">
      <c r="A373" s="438" t="s">
        <v>370</v>
      </c>
      <c r="B373" s="439" t="s">
        <v>500</v>
      </c>
      <c r="C373" s="439" t="s">
        <v>82</v>
      </c>
      <c r="D373" s="539" t="s">
        <v>227</v>
      </c>
      <c r="E373" s="539" t="s">
        <v>6</v>
      </c>
      <c r="F373" s="540">
        <v>8468322.4199999999</v>
      </c>
      <c r="G373" s="465">
        <f>G387+G374</f>
        <v>10660454.050000001</v>
      </c>
      <c r="H373" s="440">
        <f>H387+H374</f>
        <v>7987098.5700000003</v>
      </c>
      <c r="I373" s="440">
        <f>I377+I387+I374+I380</f>
        <v>9978834.7300000004</v>
      </c>
      <c r="J373" s="465">
        <f>J377+J387+J374+J380</f>
        <v>10667747.949999999</v>
      </c>
      <c r="K373" s="465">
        <f>K377+K387+K374+K380</f>
        <v>10667747.949999999</v>
      </c>
      <c r="L373" s="436">
        <f t="shared" si="59"/>
        <v>0</v>
      </c>
      <c r="M373" s="498">
        <f t="shared" si="60"/>
        <v>100.06842016264775</v>
      </c>
    </row>
    <row r="374" spans="1:13" ht="50.95" outlineLevel="7" x14ac:dyDescent="0.3">
      <c r="A374" s="397" t="s">
        <v>84</v>
      </c>
      <c r="B374" s="439" t="s">
        <v>500</v>
      </c>
      <c r="C374" s="439" t="s">
        <v>82</v>
      </c>
      <c r="D374" s="539" t="s">
        <v>141</v>
      </c>
      <c r="E374" s="539" t="s">
        <v>6</v>
      </c>
      <c r="F374" s="540">
        <v>8234876.1399999997</v>
      </c>
      <c r="G374" s="465">
        <f t="shared" ref="G374:K375" si="69">G375</f>
        <v>9380236.4600000009</v>
      </c>
      <c r="H374" s="440">
        <f t="shared" si="69"/>
        <v>6706880.9800000004</v>
      </c>
      <c r="I374" s="440">
        <f t="shared" si="69"/>
        <v>9805789.5800000001</v>
      </c>
      <c r="J374" s="465">
        <f t="shared" si="69"/>
        <v>10494546.92</v>
      </c>
      <c r="K374" s="465">
        <f t="shared" si="69"/>
        <v>10494546.92</v>
      </c>
      <c r="L374" s="436">
        <f t="shared" si="59"/>
        <v>0</v>
      </c>
      <c r="M374" s="498">
        <f t="shared" si="60"/>
        <v>111.87934296487872</v>
      </c>
    </row>
    <row r="375" spans="1:13" ht="34" outlineLevel="7" x14ac:dyDescent="0.3">
      <c r="A375" s="438" t="s">
        <v>37</v>
      </c>
      <c r="B375" s="439" t="s">
        <v>500</v>
      </c>
      <c r="C375" s="439" t="s">
        <v>82</v>
      </c>
      <c r="D375" s="539" t="s">
        <v>141</v>
      </c>
      <c r="E375" s="539" t="s">
        <v>38</v>
      </c>
      <c r="F375" s="540">
        <v>8234876.1399999997</v>
      </c>
      <c r="G375" s="465">
        <f t="shared" si="69"/>
        <v>9380236.4600000009</v>
      </c>
      <c r="H375" s="370">
        <v>6706880.9800000004</v>
      </c>
      <c r="I375" s="440">
        <f t="shared" si="69"/>
        <v>9805789.5800000001</v>
      </c>
      <c r="J375" s="465">
        <f t="shared" si="69"/>
        <v>10494546.92</v>
      </c>
      <c r="K375" s="465">
        <f t="shared" si="69"/>
        <v>10494546.92</v>
      </c>
      <c r="L375" s="436">
        <f t="shared" si="59"/>
        <v>0</v>
      </c>
      <c r="M375" s="498">
        <f t="shared" si="60"/>
        <v>111.87934296487872</v>
      </c>
    </row>
    <row r="376" spans="1:13" outlineLevel="7" x14ac:dyDescent="0.3">
      <c r="A376" s="438" t="s">
        <v>74</v>
      </c>
      <c r="B376" s="439" t="s">
        <v>500</v>
      </c>
      <c r="C376" s="439" t="s">
        <v>82</v>
      </c>
      <c r="D376" s="539" t="s">
        <v>141</v>
      </c>
      <c r="E376" s="539" t="s">
        <v>75</v>
      </c>
      <c r="F376" s="540">
        <v>8234876.1399999997</v>
      </c>
      <c r="G376" s="466">
        <f>[2]потребность!I362+85565.85-34359.85</f>
        <v>9380236.4600000009</v>
      </c>
      <c r="H376" s="370">
        <v>6706880.9800000004</v>
      </c>
      <c r="I376" s="442">
        <f>'[2]прил 12'!F361</f>
        <v>9805789.5800000001</v>
      </c>
      <c r="J376" s="466">
        <v>10494546.92</v>
      </c>
      <c r="K376" s="466">
        <v>10494546.92</v>
      </c>
      <c r="L376" s="436">
        <f t="shared" si="59"/>
        <v>0</v>
      </c>
      <c r="M376" s="498">
        <f t="shared" si="60"/>
        <v>111.87934296487872</v>
      </c>
    </row>
    <row r="377" spans="1:13" ht="84.9" outlineLevel="7" x14ac:dyDescent="0.3">
      <c r="A377" s="393" t="s">
        <v>393</v>
      </c>
      <c r="B377" s="439" t="s">
        <v>500</v>
      </c>
      <c r="C377" s="439" t="s">
        <v>82</v>
      </c>
      <c r="D377" s="539" t="s">
        <v>294</v>
      </c>
      <c r="E377" s="548" t="s">
        <v>6</v>
      </c>
      <c r="F377" s="540">
        <v>226442.89</v>
      </c>
      <c r="G377" s="549">
        <v>0</v>
      </c>
      <c r="H377" s="463">
        <v>0</v>
      </c>
      <c r="I377" s="440">
        <f t="shared" ref="I377:K378" si="70">I378</f>
        <v>168005</v>
      </c>
      <c r="J377" s="513">
        <f t="shared" si="70"/>
        <v>168005</v>
      </c>
      <c r="K377" s="513">
        <f t="shared" si="70"/>
        <v>168005</v>
      </c>
      <c r="L377" s="436">
        <f t="shared" si="59"/>
        <v>0</v>
      </c>
      <c r="M377" s="498"/>
    </row>
    <row r="378" spans="1:13" ht="34" outlineLevel="7" x14ac:dyDescent="0.3">
      <c r="A378" s="438" t="s">
        <v>37</v>
      </c>
      <c r="B378" s="439" t="s">
        <v>500</v>
      </c>
      <c r="C378" s="439" t="s">
        <v>82</v>
      </c>
      <c r="D378" s="539" t="s">
        <v>294</v>
      </c>
      <c r="E378" s="548" t="s">
        <v>38</v>
      </c>
      <c r="F378" s="540">
        <v>226442.89</v>
      </c>
      <c r="G378" s="549">
        <v>0</v>
      </c>
      <c r="H378" s="463">
        <v>0</v>
      </c>
      <c r="I378" s="440">
        <f t="shared" si="70"/>
        <v>168005</v>
      </c>
      <c r="J378" s="465">
        <f t="shared" si="70"/>
        <v>168005</v>
      </c>
      <c r="K378" s="465">
        <f t="shared" si="70"/>
        <v>168005</v>
      </c>
      <c r="L378" s="436">
        <f t="shared" si="59"/>
        <v>0</v>
      </c>
      <c r="M378" s="498"/>
    </row>
    <row r="379" spans="1:13" outlineLevel="7" x14ac:dyDescent="0.3">
      <c r="A379" s="438" t="s">
        <v>74</v>
      </c>
      <c r="B379" s="439" t="s">
        <v>500</v>
      </c>
      <c r="C379" s="439" t="s">
        <v>82</v>
      </c>
      <c r="D379" s="539" t="s">
        <v>294</v>
      </c>
      <c r="E379" s="548" t="s">
        <v>75</v>
      </c>
      <c r="F379" s="540">
        <v>226442.89</v>
      </c>
      <c r="G379" s="549">
        <v>0</v>
      </c>
      <c r="H379" s="463">
        <v>0</v>
      </c>
      <c r="I379" s="442">
        <v>168005</v>
      </c>
      <c r="J379" s="510">
        <v>168005</v>
      </c>
      <c r="K379" s="510">
        <v>168005</v>
      </c>
      <c r="L379" s="436">
        <f t="shared" si="59"/>
        <v>0</v>
      </c>
      <c r="M379" s="498"/>
    </row>
    <row r="380" spans="1:13" ht="67.95" outlineLevel="7" x14ac:dyDescent="0.3">
      <c r="A380" s="438" t="s">
        <v>307</v>
      </c>
      <c r="B380" s="439" t="s">
        <v>500</v>
      </c>
      <c r="C380" s="439" t="s">
        <v>82</v>
      </c>
      <c r="D380" s="539" t="s">
        <v>308</v>
      </c>
      <c r="E380" s="548" t="s">
        <v>6</v>
      </c>
      <c r="F380" s="540">
        <v>7003.39</v>
      </c>
      <c r="G380" s="466">
        <v>0</v>
      </c>
      <c r="H380" s="442">
        <v>0</v>
      </c>
      <c r="I380" s="440">
        <f t="shared" ref="I380:K381" si="71">I381</f>
        <v>5040.1499999999996</v>
      </c>
      <c r="J380" s="511">
        <f t="shared" si="71"/>
        <v>5196.03</v>
      </c>
      <c r="K380" s="511">
        <f t="shared" si="71"/>
        <v>5196.03</v>
      </c>
      <c r="L380" s="436">
        <f t="shared" si="59"/>
        <v>0</v>
      </c>
      <c r="M380" s="498"/>
    </row>
    <row r="381" spans="1:13" ht="34" outlineLevel="7" x14ac:dyDescent="0.3">
      <c r="A381" s="438" t="s">
        <v>37</v>
      </c>
      <c r="B381" s="439" t="s">
        <v>500</v>
      </c>
      <c r="C381" s="439" t="s">
        <v>82</v>
      </c>
      <c r="D381" s="539" t="s">
        <v>308</v>
      </c>
      <c r="E381" s="548" t="s">
        <v>38</v>
      </c>
      <c r="F381" s="540">
        <v>7003.39</v>
      </c>
      <c r="G381" s="466">
        <v>0</v>
      </c>
      <c r="H381" s="442">
        <v>0</v>
      </c>
      <c r="I381" s="440">
        <f t="shared" si="71"/>
        <v>5040.1499999999996</v>
      </c>
      <c r="J381" s="511">
        <f t="shared" si="71"/>
        <v>5196.03</v>
      </c>
      <c r="K381" s="511">
        <f t="shared" si="71"/>
        <v>5196.03</v>
      </c>
      <c r="L381" s="436">
        <f t="shared" si="59"/>
        <v>0</v>
      </c>
      <c r="M381" s="498"/>
    </row>
    <row r="382" spans="1:13" outlineLevel="7" x14ac:dyDescent="0.3">
      <c r="A382" s="438" t="s">
        <v>74</v>
      </c>
      <c r="B382" s="439" t="s">
        <v>500</v>
      </c>
      <c r="C382" s="439" t="s">
        <v>82</v>
      </c>
      <c r="D382" s="539" t="s">
        <v>308</v>
      </c>
      <c r="E382" s="548" t="s">
        <v>75</v>
      </c>
      <c r="F382" s="540">
        <v>7003.39</v>
      </c>
      <c r="G382" s="466">
        <v>0</v>
      </c>
      <c r="H382" s="442">
        <v>0</v>
      </c>
      <c r="I382" s="442">
        <v>5040.1499999999996</v>
      </c>
      <c r="J382" s="512">
        <v>5196.03</v>
      </c>
      <c r="K382" s="512">
        <v>5196.03</v>
      </c>
      <c r="L382" s="436">
        <f t="shared" si="59"/>
        <v>0</v>
      </c>
      <c r="M382" s="498"/>
    </row>
    <row r="383" spans="1:13" ht="34" outlineLevel="7" x14ac:dyDescent="0.3">
      <c r="A383" s="438" t="s">
        <v>678</v>
      </c>
      <c r="B383" s="439" t="s">
        <v>500</v>
      </c>
      <c r="C383" s="439" t="s">
        <v>82</v>
      </c>
      <c r="D383" s="539" t="s">
        <v>677</v>
      </c>
      <c r="E383" s="539" t="s">
        <v>6</v>
      </c>
      <c r="F383" s="540">
        <v>23473533.550000001</v>
      </c>
      <c r="G383" s="465">
        <f>G384+G390</f>
        <v>26656285.740000002</v>
      </c>
      <c r="H383" s="440">
        <f>H384+H390</f>
        <v>16802005.420000002</v>
      </c>
      <c r="I383" s="440">
        <f>I384+I390</f>
        <v>25737149.199999999</v>
      </c>
      <c r="J383" s="465">
        <f>J384+J390</f>
        <v>26664701.699999999</v>
      </c>
      <c r="K383" s="465">
        <f>K384+K390</f>
        <v>26664701.699999999</v>
      </c>
      <c r="L383" s="436">
        <f t="shared" si="59"/>
        <v>0</v>
      </c>
      <c r="M383" s="498">
        <f t="shared" si="60"/>
        <v>100.03157214055283</v>
      </c>
    </row>
    <row r="384" spans="1:13" ht="36.700000000000003" customHeight="1" outlineLevel="3" x14ac:dyDescent="0.3">
      <c r="A384" s="397" t="s">
        <v>84</v>
      </c>
      <c r="B384" s="439" t="s">
        <v>500</v>
      </c>
      <c r="C384" s="439" t="s">
        <v>82</v>
      </c>
      <c r="D384" s="539" t="s">
        <v>676</v>
      </c>
      <c r="E384" s="539" t="s">
        <v>6</v>
      </c>
      <c r="F384" s="540">
        <v>23473533.550000001</v>
      </c>
      <c r="G384" s="465">
        <f t="shared" ref="G384:K385" si="72">G385</f>
        <v>24239342.940000001</v>
      </c>
      <c r="H384" s="440">
        <f t="shared" si="72"/>
        <v>16802005.420000002</v>
      </c>
      <c r="I384" s="440">
        <f t="shared" si="72"/>
        <v>25737149.199999999</v>
      </c>
      <c r="J384" s="465">
        <f t="shared" si="72"/>
        <v>26664701.699999999</v>
      </c>
      <c r="K384" s="465">
        <f t="shared" si="72"/>
        <v>26664701.699999999</v>
      </c>
      <c r="L384" s="436">
        <f t="shared" si="59"/>
        <v>0</v>
      </c>
      <c r="M384" s="498">
        <f t="shared" si="60"/>
        <v>110.00587666919654</v>
      </c>
    </row>
    <row r="385" spans="1:13" ht="34" outlineLevel="3" x14ac:dyDescent="0.3">
      <c r="A385" s="438" t="s">
        <v>37</v>
      </c>
      <c r="B385" s="439" t="s">
        <v>500</v>
      </c>
      <c r="C385" s="439" t="s">
        <v>82</v>
      </c>
      <c r="D385" s="539" t="s">
        <v>676</v>
      </c>
      <c r="E385" s="539" t="s">
        <v>38</v>
      </c>
      <c r="F385" s="540">
        <v>23473533.550000001</v>
      </c>
      <c r="G385" s="465">
        <f t="shared" si="72"/>
        <v>24239342.940000001</v>
      </c>
      <c r="H385" s="370">
        <v>16802005.420000002</v>
      </c>
      <c r="I385" s="440">
        <f t="shared" si="72"/>
        <v>25737149.199999999</v>
      </c>
      <c r="J385" s="465">
        <f t="shared" si="72"/>
        <v>26664701.699999999</v>
      </c>
      <c r="K385" s="465">
        <f t="shared" si="72"/>
        <v>26664701.699999999</v>
      </c>
      <c r="L385" s="436">
        <f t="shared" si="59"/>
        <v>0</v>
      </c>
      <c r="M385" s="498">
        <f t="shared" si="60"/>
        <v>110.00587666919654</v>
      </c>
    </row>
    <row r="386" spans="1:13" ht="21.25" customHeight="1" outlineLevel="3" x14ac:dyDescent="0.3">
      <c r="A386" s="438" t="s">
        <v>74</v>
      </c>
      <c r="B386" s="439" t="s">
        <v>500</v>
      </c>
      <c r="C386" s="439" t="s">
        <v>82</v>
      </c>
      <c r="D386" s="539" t="s">
        <v>676</v>
      </c>
      <c r="E386" s="539" t="s">
        <v>75</v>
      </c>
      <c r="F386" s="540">
        <v>23473533.550000001</v>
      </c>
      <c r="G386" s="466">
        <f>[2]потребность!L366</f>
        <v>24239342.940000001</v>
      </c>
      <c r="H386" s="370">
        <v>16802005.420000002</v>
      </c>
      <c r="I386" s="442">
        <f>'[2]прил 12'!F365</f>
        <v>25737149.199999999</v>
      </c>
      <c r="J386" s="466">
        <v>26664701.699999999</v>
      </c>
      <c r="K386" s="466">
        <v>26664701.699999999</v>
      </c>
      <c r="L386" s="436">
        <f t="shared" si="59"/>
        <v>0</v>
      </c>
      <c r="M386" s="498">
        <f t="shared" si="60"/>
        <v>110.00587666919654</v>
      </c>
    </row>
    <row r="387" spans="1:13" ht="84.9" outlineLevel="7" x14ac:dyDescent="0.3">
      <c r="A387" s="393" t="s">
        <v>936</v>
      </c>
      <c r="B387" s="439" t="s">
        <v>500</v>
      </c>
      <c r="C387" s="439" t="s">
        <v>82</v>
      </c>
      <c r="D387" s="539" t="s">
        <v>935</v>
      </c>
      <c r="E387" s="539" t="s">
        <v>6</v>
      </c>
      <c r="F387" s="539" t="s">
        <v>976</v>
      </c>
      <c r="G387" s="465">
        <f>G388</f>
        <v>1280217.5899999999</v>
      </c>
      <c r="H387" s="440">
        <f>H388</f>
        <v>1280217.5900000001</v>
      </c>
      <c r="I387" s="440">
        <v>0</v>
      </c>
      <c r="J387" s="465">
        <f>J388</f>
        <v>0</v>
      </c>
      <c r="K387" s="465">
        <f>K388</f>
        <v>0</v>
      </c>
      <c r="L387" s="436">
        <f t="shared" si="59"/>
        <v>0</v>
      </c>
      <c r="M387" s="498">
        <f t="shared" si="60"/>
        <v>0</v>
      </c>
    </row>
    <row r="388" spans="1:13" ht="34" outlineLevel="7" x14ac:dyDescent="0.3">
      <c r="A388" s="438" t="s">
        <v>37</v>
      </c>
      <c r="B388" s="439" t="s">
        <v>500</v>
      </c>
      <c r="C388" s="439" t="s">
        <v>82</v>
      </c>
      <c r="D388" s="539" t="s">
        <v>935</v>
      </c>
      <c r="E388" s="539" t="s">
        <v>38</v>
      </c>
      <c r="F388" s="539" t="s">
        <v>976</v>
      </c>
      <c r="G388" s="465">
        <f>G389</f>
        <v>1280217.5899999999</v>
      </c>
      <c r="H388" s="370">
        <v>1280217.5900000001</v>
      </c>
      <c r="I388" s="440">
        <v>0</v>
      </c>
      <c r="J388" s="465">
        <f>J389</f>
        <v>0</v>
      </c>
      <c r="K388" s="465">
        <f>K389</f>
        <v>0</v>
      </c>
      <c r="L388" s="436">
        <f t="shared" si="59"/>
        <v>0</v>
      </c>
      <c r="M388" s="498">
        <f t="shared" si="60"/>
        <v>0</v>
      </c>
    </row>
    <row r="389" spans="1:13" outlineLevel="7" x14ac:dyDescent="0.3">
      <c r="A389" s="438" t="s">
        <v>74</v>
      </c>
      <c r="B389" s="439" t="s">
        <v>500</v>
      </c>
      <c r="C389" s="439" t="s">
        <v>82</v>
      </c>
      <c r="D389" s="539" t="s">
        <v>935</v>
      </c>
      <c r="E389" s="539" t="s">
        <v>75</v>
      </c>
      <c r="F389" s="539" t="s">
        <v>976</v>
      </c>
      <c r="G389" s="466">
        <f>1273913.69+39400-33096.1</f>
        <v>1280217.5899999999</v>
      </c>
      <c r="H389" s="370">
        <v>1280217.5900000001</v>
      </c>
      <c r="I389" s="442">
        <v>0</v>
      </c>
      <c r="J389" s="510"/>
      <c r="K389" s="510"/>
      <c r="L389" s="436">
        <f t="shared" si="59"/>
        <v>0</v>
      </c>
      <c r="M389" s="498">
        <f t="shared" si="60"/>
        <v>0</v>
      </c>
    </row>
    <row r="390" spans="1:13" ht="44.15" customHeight="1" outlineLevel="7" x14ac:dyDescent="0.3">
      <c r="A390" s="438" t="s">
        <v>917</v>
      </c>
      <c r="B390" s="439" t="s">
        <v>500</v>
      </c>
      <c r="C390" s="439" t="s">
        <v>82</v>
      </c>
      <c r="D390" s="539" t="s">
        <v>918</v>
      </c>
      <c r="E390" s="539" t="s">
        <v>6</v>
      </c>
      <c r="F390" s="539" t="s">
        <v>976</v>
      </c>
      <c r="G390" s="519">
        <f>G391</f>
        <v>2416942.7999999998</v>
      </c>
      <c r="H390" s="442">
        <f>H391</f>
        <v>0</v>
      </c>
      <c r="I390" s="442">
        <v>0</v>
      </c>
      <c r="J390" s="466">
        <f>J391</f>
        <v>0</v>
      </c>
      <c r="K390" s="466">
        <f>K391</f>
        <v>0</v>
      </c>
      <c r="L390" s="436">
        <f t="shared" si="59"/>
        <v>0</v>
      </c>
      <c r="M390" s="498">
        <f t="shared" si="60"/>
        <v>0</v>
      </c>
    </row>
    <row r="391" spans="1:13" ht="34" outlineLevel="7" x14ac:dyDescent="0.3">
      <c r="A391" s="438" t="s">
        <v>37</v>
      </c>
      <c r="B391" s="439" t="s">
        <v>500</v>
      </c>
      <c r="C391" s="439" t="s">
        <v>82</v>
      </c>
      <c r="D391" s="539" t="s">
        <v>918</v>
      </c>
      <c r="E391" s="539" t="s">
        <v>38</v>
      </c>
      <c r="F391" s="539" t="s">
        <v>976</v>
      </c>
      <c r="G391" s="519">
        <f>G392</f>
        <v>2416942.7999999998</v>
      </c>
      <c r="H391" s="442">
        <v>0</v>
      </c>
      <c r="I391" s="442">
        <v>0</v>
      </c>
      <c r="J391" s="466">
        <f>J392</f>
        <v>0</v>
      </c>
      <c r="K391" s="466">
        <f>K392</f>
        <v>0</v>
      </c>
      <c r="L391" s="436">
        <f t="shared" si="59"/>
        <v>0</v>
      </c>
      <c r="M391" s="498">
        <f t="shared" si="60"/>
        <v>0</v>
      </c>
    </row>
    <row r="392" spans="1:13" outlineLevel="7" x14ac:dyDescent="0.3">
      <c r="A392" s="438" t="s">
        <v>74</v>
      </c>
      <c r="B392" s="439" t="s">
        <v>500</v>
      </c>
      <c r="C392" s="439" t="s">
        <v>82</v>
      </c>
      <c r="D392" s="539" t="s">
        <v>918</v>
      </c>
      <c r="E392" s="539" t="s">
        <v>75</v>
      </c>
      <c r="F392" s="539" t="s">
        <v>976</v>
      </c>
      <c r="G392" s="519">
        <f>2155894.2-2155894.2+900000+1516942.8</f>
        <v>2416942.7999999998</v>
      </c>
      <c r="H392" s="442">
        <v>0</v>
      </c>
      <c r="I392" s="442">
        <v>0</v>
      </c>
      <c r="J392" s="466">
        <v>0</v>
      </c>
      <c r="K392" s="466">
        <v>0</v>
      </c>
      <c r="L392" s="436">
        <f t="shared" ref="L392:L455" si="73">K392-J392</f>
        <v>0</v>
      </c>
      <c r="M392" s="498">
        <f t="shared" ref="M392:M455" si="74">J392/G392%</f>
        <v>0</v>
      </c>
    </row>
    <row r="393" spans="1:13" ht="27" customHeight="1" outlineLevel="7" x14ac:dyDescent="0.3">
      <c r="A393" s="438" t="s">
        <v>211</v>
      </c>
      <c r="B393" s="439" t="s">
        <v>500</v>
      </c>
      <c r="C393" s="439" t="s">
        <v>82</v>
      </c>
      <c r="D393" s="539" t="s">
        <v>229</v>
      </c>
      <c r="E393" s="539" t="s">
        <v>6</v>
      </c>
      <c r="F393" s="540">
        <v>1880985.73</v>
      </c>
      <c r="G393" s="466">
        <f>G394+G398</f>
        <v>1766500</v>
      </c>
      <c r="H393" s="442">
        <f>H394+H398</f>
        <v>508974.93</v>
      </c>
      <c r="I393" s="442">
        <f>I394+I398</f>
        <v>537957</v>
      </c>
      <c r="J393" s="466">
        <f>J394+J398</f>
        <v>746500</v>
      </c>
      <c r="K393" s="466">
        <f>K394+K398</f>
        <v>746500</v>
      </c>
      <c r="L393" s="436">
        <f t="shared" si="73"/>
        <v>0</v>
      </c>
      <c r="M393" s="498">
        <f t="shared" si="74"/>
        <v>42.25870365128786</v>
      </c>
    </row>
    <row r="394" spans="1:13" outlineLevel="7" x14ac:dyDescent="0.3">
      <c r="A394" s="438" t="s">
        <v>83</v>
      </c>
      <c r="B394" s="439" t="s">
        <v>500</v>
      </c>
      <c r="C394" s="439" t="s">
        <v>82</v>
      </c>
      <c r="D394" s="539" t="s">
        <v>140</v>
      </c>
      <c r="E394" s="539" t="s">
        <v>6</v>
      </c>
      <c r="F394" s="540">
        <v>1880985.73</v>
      </c>
      <c r="G394" s="465">
        <f>G395</f>
        <v>746500</v>
      </c>
      <c r="H394" s="440">
        <f>H395</f>
        <v>508974.93</v>
      </c>
      <c r="I394" s="440">
        <f>I395</f>
        <v>537957</v>
      </c>
      <c r="J394" s="465">
        <f>J395</f>
        <v>746500</v>
      </c>
      <c r="K394" s="465">
        <f>K395</f>
        <v>746500</v>
      </c>
      <c r="L394" s="436">
        <f t="shared" si="73"/>
        <v>0</v>
      </c>
      <c r="M394" s="498">
        <f t="shared" si="74"/>
        <v>100</v>
      </c>
    </row>
    <row r="395" spans="1:13" s="449" customFormat="1" ht="34" outlineLevel="1" x14ac:dyDescent="0.3">
      <c r="A395" s="438" t="s">
        <v>37</v>
      </c>
      <c r="B395" s="439" t="s">
        <v>500</v>
      </c>
      <c r="C395" s="439" t="s">
        <v>82</v>
      </c>
      <c r="D395" s="539" t="s">
        <v>140</v>
      </c>
      <c r="E395" s="539" t="s">
        <v>38</v>
      </c>
      <c r="F395" s="540">
        <v>1880985.73</v>
      </c>
      <c r="G395" s="465">
        <f>G396+G397</f>
        <v>746500</v>
      </c>
      <c r="H395" s="370">
        <v>508974.93</v>
      </c>
      <c r="I395" s="440">
        <f>I396+I397</f>
        <v>537957</v>
      </c>
      <c r="J395" s="465">
        <f>J396+J397</f>
        <v>746500</v>
      </c>
      <c r="K395" s="465">
        <f>K396+K397</f>
        <v>746500</v>
      </c>
      <c r="L395" s="436">
        <f t="shared" si="73"/>
        <v>0</v>
      </c>
      <c r="M395" s="498">
        <f t="shared" si="74"/>
        <v>100</v>
      </c>
    </row>
    <row r="396" spans="1:13" outlineLevel="2" x14ac:dyDescent="0.3">
      <c r="A396" s="438" t="s">
        <v>74</v>
      </c>
      <c r="B396" s="439" t="s">
        <v>500</v>
      </c>
      <c r="C396" s="439" t="s">
        <v>82</v>
      </c>
      <c r="D396" s="539" t="s">
        <v>140</v>
      </c>
      <c r="E396" s="539" t="s">
        <v>75</v>
      </c>
      <c r="F396" s="540">
        <v>1766985.73</v>
      </c>
      <c r="G396" s="465">
        <f>632500</f>
        <v>632500</v>
      </c>
      <c r="H396" s="370">
        <v>410474.93</v>
      </c>
      <c r="I396" s="440">
        <v>423957</v>
      </c>
      <c r="J396" s="466">
        <v>632500</v>
      </c>
      <c r="K396" s="466">
        <v>632500</v>
      </c>
      <c r="L396" s="436">
        <f t="shared" si="73"/>
        <v>0</v>
      </c>
      <c r="M396" s="498">
        <f t="shared" si="74"/>
        <v>100</v>
      </c>
    </row>
    <row r="397" spans="1:13" ht="50.95" outlineLevel="4" x14ac:dyDescent="0.3">
      <c r="A397" s="438" t="s">
        <v>371</v>
      </c>
      <c r="B397" s="439" t="s">
        <v>500</v>
      </c>
      <c r="C397" s="439" t="s">
        <v>82</v>
      </c>
      <c r="D397" s="539" t="s">
        <v>140</v>
      </c>
      <c r="E397" s="539" t="s">
        <v>252</v>
      </c>
      <c r="F397" s="540">
        <v>114000</v>
      </c>
      <c r="G397" s="465">
        <v>114000</v>
      </c>
      <c r="H397" s="370">
        <v>98500</v>
      </c>
      <c r="I397" s="440">
        <v>114000</v>
      </c>
      <c r="J397" s="466">
        <v>114000</v>
      </c>
      <c r="K397" s="466">
        <v>114000</v>
      </c>
      <c r="L397" s="436">
        <f t="shared" si="73"/>
        <v>0</v>
      </c>
      <c r="M397" s="498">
        <f t="shared" si="74"/>
        <v>100</v>
      </c>
    </row>
    <row r="398" spans="1:13" ht="34" outlineLevel="4" x14ac:dyDescent="0.3">
      <c r="A398" s="438" t="s">
        <v>955</v>
      </c>
      <c r="B398" s="439" t="s">
        <v>500</v>
      </c>
      <c r="C398" s="439" t="s">
        <v>82</v>
      </c>
      <c r="D398" s="539" t="s">
        <v>956</v>
      </c>
      <c r="E398" s="539" t="s">
        <v>6</v>
      </c>
      <c r="F398" s="539" t="s">
        <v>976</v>
      </c>
      <c r="G398" s="465">
        <f>G399</f>
        <v>1020000</v>
      </c>
      <c r="H398" s="440">
        <f>H399</f>
        <v>0</v>
      </c>
      <c r="I398" s="440">
        <v>0</v>
      </c>
      <c r="J398" s="465">
        <f>J399</f>
        <v>0</v>
      </c>
      <c r="K398" s="465">
        <f>K399</f>
        <v>0</v>
      </c>
      <c r="L398" s="436">
        <f t="shared" si="73"/>
        <v>0</v>
      </c>
      <c r="M398" s="498">
        <f t="shared" si="74"/>
        <v>0</v>
      </c>
    </row>
    <row r="399" spans="1:13" ht="34" outlineLevel="4" x14ac:dyDescent="0.3">
      <c r="A399" s="438" t="s">
        <v>37</v>
      </c>
      <c r="B399" s="439" t="s">
        <v>500</v>
      </c>
      <c r="C399" s="439" t="s">
        <v>82</v>
      </c>
      <c r="D399" s="539" t="s">
        <v>956</v>
      </c>
      <c r="E399" s="539" t="s">
        <v>38</v>
      </c>
      <c r="F399" s="539" t="s">
        <v>976</v>
      </c>
      <c r="G399" s="465">
        <f>G400</f>
        <v>1020000</v>
      </c>
      <c r="H399" s="440">
        <v>0</v>
      </c>
      <c r="I399" s="440">
        <v>0</v>
      </c>
      <c r="J399" s="465">
        <f>J400</f>
        <v>0</v>
      </c>
      <c r="K399" s="465">
        <f>K400</f>
        <v>0</v>
      </c>
      <c r="L399" s="436">
        <f t="shared" si="73"/>
        <v>0</v>
      </c>
      <c r="M399" s="498">
        <f t="shared" si="74"/>
        <v>0</v>
      </c>
    </row>
    <row r="400" spans="1:13" outlineLevel="4" x14ac:dyDescent="0.3">
      <c r="A400" s="438" t="s">
        <v>74</v>
      </c>
      <c r="B400" s="439" t="s">
        <v>500</v>
      </c>
      <c r="C400" s="439" t="s">
        <v>82</v>
      </c>
      <c r="D400" s="539" t="s">
        <v>956</v>
      </c>
      <c r="E400" s="539" t="s">
        <v>75</v>
      </c>
      <c r="F400" s="539" t="s">
        <v>976</v>
      </c>
      <c r="G400" s="465">
        <f>1000000+20000</f>
        <v>1020000</v>
      </c>
      <c r="H400" s="440">
        <v>0</v>
      </c>
      <c r="I400" s="440">
        <v>0</v>
      </c>
      <c r="J400" s="466">
        <v>0</v>
      </c>
      <c r="K400" s="466">
        <v>0</v>
      </c>
      <c r="L400" s="436">
        <f t="shared" si="73"/>
        <v>0</v>
      </c>
      <c r="M400" s="498">
        <f t="shared" si="74"/>
        <v>0</v>
      </c>
    </row>
    <row r="401" spans="1:13" outlineLevel="5" x14ac:dyDescent="0.3">
      <c r="A401" s="438" t="s">
        <v>522</v>
      </c>
      <c r="B401" s="439" t="s">
        <v>500</v>
      </c>
      <c r="C401" s="439" t="s">
        <v>523</v>
      </c>
      <c r="D401" s="539" t="s">
        <v>126</v>
      </c>
      <c r="E401" s="539" t="s">
        <v>6</v>
      </c>
      <c r="F401" s="539"/>
      <c r="G401" s="465">
        <f>G402+G413</f>
        <v>2369078.34</v>
      </c>
      <c r="H401" s="440">
        <f>H402+H413</f>
        <v>2072014</v>
      </c>
      <c r="I401" s="440">
        <f>I402+I413</f>
        <v>3611907.56</v>
      </c>
      <c r="J401" s="465">
        <f>J402+J413</f>
        <v>5774788.7699999996</v>
      </c>
      <c r="K401" s="465">
        <f>K402+K413</f>
        <v>5672609.9500000002</v>
      </c>
      <c r="L401" s="436">
        <f t="shared" si="73"/>
        <v>-102178.81999999937</v>
      </c>
      <c r="M401" s="498">
        <f t="shared" si="74"/>
        <v>243.75676703033804</v>
      </c>
    </row>
    <row r="402" spans="1:13" ht="48.25" customHeight="1" outlineLevel="6" x14ac:dyDescent="0.3">
      <c r="A402" s="444" t="s">
        <v>839</v>
      </c>
      <c r="B402" s="439" t="s">
        <v>500</v>
      </c>
      <c r="C402" s="439" t="s">
        <v>523</v>
      </c>
      <c r="D402" s="539" t="s">
        <v>136</v>
      </c>
      <c r="E402" s="539" t="s">
        <v>6</v>
      </c>
      <c r="F402" s="539" t="s">
        <v>976</v>
      </c>
      <c r="G402" s="465">
        <f>G403</f>
        <v>202147.39</v>
      </c>
      <c r="H402" s="440">
        <f>H403</f>
        <v>0</v>
      </c>
      <c r="I402" s="440">
        <v>208543</v>
      </c>
      <c r="J402" s="465">
        <f>J403+J410</f>
        <v>3508139.3699999996</v>
      </c>
      <c r="K402" s="465">
        <f>K403</f>
        <v>3405960.55</v>
      </c>
      <c r="L402" s="436">
        <f t="shared" si="73"/>
        <v>-102178.81999999983</v>
      </c>
      <c r="M402" s="498">
        <f t="shared" si="74"/>
        <v>1735.4363912390852</v>
      </c>
    </row>
    <row r="403" spans="1:13" ht="23.3" customHeight="1" outlineLevel="7" x14ac:dyDescent="0.3">
      <c r="A403" s="438" t="s">
        <v>211</v>
      </c>
      <c r="B403" s="439" t="s">
        <v>500</v>
      </c>
      <c r="C403" s="439" t="s">
        <v>523</v>
      </c>
      <c r="D403" s="539" t="s">
        <v>229</v>
      </c>
      <c r="E403" s="539" t="s">
        <v>6</v>
      </c>
      <c r="F403" s="539" t="s">
        <v>976</v>
      </c>
      <c r="G403" s="465">
        <f>G404+G407</f>
        <v>202147.39</v>
      </c>
      <c r="H403" s="440">
        <f>H404+H407</f>
        <v>0</v>
      </c>
      <c r="I403" s="440">
        <v>208543</v>
      </c>
      <c r="J403" s="465">
        <f>J404+J407+J410</f>
        <v>3405960.55</v>
      </c>
      <c r="K403" s="465">
        <f>K404+K407+K410</f>
        <v>3405960.55</v>
      </c>
      <c r="L403" s="436">
        <f t="shared" si="73"/>
        <v>0</v>
      </c>
      <c r="M403" s="498">
        <f t="shared" si="74"/>
        <v>1684.889698551141</v>
      </c>
    </row>
    <row r="404" spans="1:13" ht="50.95" outlineLevel="7" x14ac:dyDescent="0.3">
      <c r="A404" s="438" t="s">
        <v>524</v>
      </c>
      <c r="B404" s="439" t="s">
        <v>500</v>
      </c>
      <c r="C404" s="439" t="s">
        <v>523</v>
      </c>
      <c r="D404" s="539" t="s">
        <v>525</v>
      </c>
      <c r="E404" s="539" t="s">
        <v>6</v>
      </c>
      <c r="F404" s="539" t="s">
        <v>976</v>
      </c>
      <c r="G404" s="465">
        <f>G405</f>
        <v>202147.39</v>
      </c>
      <c r="H404" s="440">
        <f>H405</f>
        <v>0</v>
      </c>
      <c r="I404" s="440">
        <v>208543</v>
      </c>
      <c r="J404" s="465">
        <f>J405</f>
        <v>0</v>
      </c>
      <c r="K404" s="465">
        <f>K405</f>
        <v>0</v>
      </c>
      <c r="L404" s="436">
        <f t="shared" si="73"/>
        <v>0</v>
      </c>
      <c r="M404" s="498">
        <f t="shared" si="74"/>
        <v>0</v>
      </c>
    </row>
    <row r="405" spans="1:13" s="449" customFormat="1" ht="34" outlineLevel="7" x14ac:dyDescent="0.3">
      <c r="A405" s="438" t="s">
        <v>37</v>
      </c>
      <c r="B405" s="439" t="s">
        <v>500</v>
      </c>
      <c r="C405" s="439" t="s">
        <v>523</v>
      </c>
      <c r="D405" s="539" t="s">
        <v>525</v>
      </c>
      <c r="E405" s="539" t="s">
        <v>38</v>
      </c>
      <c r="F405" s="539" t="s">
        <v>976</v>
      </c>
      <c r="G405" s="465">
        <f>G406</f>
        <v>202147.39</v>
      </c>
      <c r="H405" s="440">
        <f>H406</f>
        <v>0</v>
      </c>
      <c r="I405" s="440">
        <v>208543</v>
      </c>
      <c r="J405" s="465">
        <f>J406</f>
        <v>0</v>
      </c>
      <c r="K405" s="465">
        <f>K406</f>
        <v>0</v>
      </c>
      <c r="L405" s="436">
        <f t="shared" si="73"/>
        <v>0</v>
      </c>
      <c r="M405" s="498">
        <f t="shared" si="74"/>
        <v>0</v>
      </c>
    </row>
    <row r="406" spans="1:13" ht="24.8" customHeight="1" outlineLevel="7" x14ac:dyDescent="0.3">
      <c r="A406" s="438" t="s">
        <v>74</v>
      </c>
      <c r="B406" s="439" t="s">
        <v>500</v>
      </c>
      <c r="C406" s="439" t="s">
        <v>523</v>
      </c>
      <c r="D406" s="539" t="s">
        <v>525</v>
      </c>
      <c r="E406" s="539" t="s">
        <v>75</v>
      </c>
      <c r="F406" s="539" t="s">
        <v>976</v>
      </c>
      <c r="G406" s="465">
        <v>202147.39</v>
      </c>
      <c r="H406" s="440">
        <v>0</v>
      </c>
      <c r="I406" s="440">
        <v>208543</v>
      </c>
      <c r="J406" s="466">
        <v>0</v>
      </c>
      <c r="K406" s="466">
        <v>0</v>
      </c>
      <c r="L406" s="436">
        <f t="shared" si="73"/>
        <v>0</v>
      </c>
      <c r="M406" s="498">
        <f t="shared" si="74"/>
        <v>0</v>
      </c>
    </row>
    <row r="407" spans="1:13" ht="27.2" customHeight="1" outlineLevel="7" x14ac:dyDescent="0.3">
      <c r="A407" s="464" t="s">
        <v>986</v>
      </c>
      <c r="B407" s="439" t="s">
        <v>500</v>
      </c>
      <c r="C407" s="439" t="s">
        <v>523</v>
      </c>
      <c r="D407" s="539" t="s">
        <v>1014</v>
      </c>
      <c r="E407" s="539" t="s">
        <v>6</v>
      </c>
      <c r="F407" s="539" t="s">
        <v>976</v>
      </c>
      <c r="G407" s="465">
        <f>G408</f>
        <v>0</v>
      </c>
      <c r="H407" s="441"/>
      <c r="I407" s="440">
        <v>0</v>
      </c>
      <c r="J407" s="465">
        <f>J408</f>
        <v>3303781.73</v>
      </c>
      <c r="K407" s="465">
        <f>K408</f>
        <v>3303781.73</v>
      </c>
      <c r="L407" s="436">
        <f t="shared" si="73"/>
        <v>0</v>
      </c>
      <c r="M407" s="498"/>
    </row>
    <row r="408" spans="1:13" ht="24.8" customHeight="1" outlineLevel="7" x14ac:dyDescent="0.3">
      <c r="A408" s="438" t="s">
        <v>37</v>
      </c>
      <c r="B408" s="439" t="s">
        <v>500</v>
      </c>
      <c r="C408" s="439" t="s">
        <v>523</v>
      </c>
      <c r="D408" s="539" t="s">
        <v>1014</v>
      </c>
      <c r="E408" s="539" t="s">
        <v>38</v>
      </c>
      <c r="F408" s="539" t="s">
        <v>976</v>
      </c>
      <c r="G408" s="465">
        <f>G409</f>
        <v>0</v>
      </c>
      <c r="H408" s="441"/>
      <c r="I408" s="440">
        <v>0</v>
      </c>
      <c r="J408" s="513">
        <f>J409</f>
        <v>3303781.73</v>
      </c>
      <c r="K408" s="513">
        <f>K409</f>
        <v>3303781.73</v>
      </c>
      <c r="L408" s="436">
        <f t="shared" si="73"/>
        <v>0</v>
      </c>
      <c r="M408" s="498"/>
    </row>
    <row r="409" spans="1:13" ht="23.3" customHeight="1" outlineLevel="7" x14ac:dyDescent="0.3">
      <c r="A409" s="438" t="s">
        <v>74</v>
      </c>
      <c r="B409" s="439" t="s">
        <v>500</v>
      </c>
      <c r="C409" s="439" t="s">
        <v>523</v>
      </c>
      <c r="D409" s="539" t="s">
        <v>1014</v>
      </c>
      <c r="E409" s="539" t="s">
        <v>75</v>
      </c>
      <c r="F409" s="539" t="s">
        <v>976</v>
      </c>
      <c r="G409" s="465">
        <v>0</v>
      </c>
      <c r="H409" s="441"/>
      <c r="I409" s="440">
        <v>0</v>
      </c>
      <c r="J409" s="465">
        <v>3303781.73</v>
      </c>
      <c r="K409" s="465">
        <v>3303781.73</v>
      </c>
      <c r="L409" s="436">
        <f t="shared" si="73"/>
        <v>0</v>
      </c>
      <c r="M409" s="498"/>
    </row>
    <row r="410" spans="1:13" ht="44.15" customHeight="1" outlineLevel="7" x14ac:dyDescent="0.3">
      <c r="A410" s="438" t="s">
        <v>1015</v>
      </c>
      <c r="B410" s="439" t="s">
        <v>500</v>
      </c>
      <c r="C410" s="439" t="s">
        <v>523</v>
      </c>
      <c r="D410" s="539" t="s">
        <v>1016</v>
      </c>
      <c r="E410" s="539" t="s">
        <v>6</v>
      </c>
      <c r="F410" s="539"/>
      <c r="G410" s="465"/>
      <c r="H410" s="441"/>
      <c r="I410" s="440"/>
      <c r="J410" s="511">
        <f>J411</f>
        <v>102178.82</v>
      </c>
      <c r="K410" s="511">
        <f>K411</f>
        <v>102178.82</v>
      </c>
      <c r="L410" s="436">
        <f t="shared" si="73"/>
        <v>0</v>
      </c>
      <c r="M410" s="498"/>
    </row>
    <row r="411" spans="1:13" ht="23.3" customHeight="1" outlineLevel="7" x14ac:dyDescent="0.3">
      <c r="A411" s="438" t="s">
        <v>37</v>
      </c>
      <c r="B411" s="439" t="s">
        <v>500</v>
      </c>
      <c r="C411" s="439" t="s">
        <v>523</v>
      </c>
      <c r="D411" s="539" t="s">
        <v>1016</v>
      </c>
      <c r="E411" s="539" t="s">
        <v>38</v>
      </c>
      <c r="F411" s="539"/>
      <c r="G411" s="465"/>
      <c r="H411" s="441"/>
      <c r="I411" s="440"/>
      <c r="J411" s="511">
        <f>J412</f>
        <v>102178.82</v>
      </c>
      <c r="K411" s="511">
        <f>K412</f>
        <v>102178.82</v>
      </c>
      <c r="L411" s="436">
        <f t="shared" si="73"/>
        <v>0</v>
      </c>
      <c r="M411" s="498"/>
    </row>
    <row r="412" spans="1:13" ht="23.3" customHeight="1" outlineLevel="7" x14ac:dyDescent="0.3">
      <c r="A412" s="438" t="s">
        <v>74</v>
      </c>
      <c r="B412" s="439" t="s">
        <v>500</v>
      </c>
      <c r="C412" s="439" t="s">
        <v>523</v>
      </c>
      <c r="D412" s="539" t="s">
        <v>1016</v>
      </c>
      <c r="E412" s="539" t="s">
        <v>75</v>
      </c>
      <c r="F412" s="539"/>
      <c r="G412" s="465"/>
      <c r="H412" s="441"/>
      <c r="I412" s="440"/>
      <c r="J412" s="511">
        <v>102178.82</v>
      </c>
      <c r="K412" s="511">
        <v>102178.82</v>
      </c>
      <c r="L412" s="436">
        <f t="shared" si="73"/>
        <v>0</v>
      </c>
      <c r="M412" s="498"/>
    </row>
    <row r="413" spans="1:13" ht="42.45" customHeight="1" outlineLevel="7" x14ac:dyDescent="0.3">
      <c r="A413" s="444" t="s">
        <v>847</v>
      </c>
      <c r="B413" s="445" t="s">
        <v>500</v>
      </c>
      <c r="C413" s="439" t="s">
        <v>523</v>
      </c>
      <c r="D413" s="539" t="s">
        <v>331</v>
      </c>
      <c r="E413" s="541" t="s">
        <v>6</v>
      </c>
      <c r="F413" s="541" t="s">
        <v>976</v>
      </c>
      <c r="G413" s="465">
        <f t="shared" ref="G413:K416" si="75">G414</f>
        <v>2166930.9499999997</v>
      </c>
      <c r="H413" s="440">
        <f t="shared" si="75"/>
        <v>2072014</v>
      </c>
      <c r="I413" s="440">
        <f t="shared" si="75"/>
        <v>3403364.56</v>
      </c>
      <c r="J413" s="465">
        <f>J414</f>
        <v>2266649.4000000004</v>
      </c>
      <c r="K413" s="465">
        <f>K414</f>
        <v>2266649.4000000004</v>
      </c>
      <c r="L413" s="436">
        <f t="shared" si="73"/>
        <v>0</v>
      </c>
      <c r="M413" s="498">
        <f t="shared" si="74"/>
        <v>104.60182868309674</v>
      </c>
    </row>
    <row r="414" spans="1:13" ht="40.75" customHeight="1" outlineLevel="7" x14ac:dyDescent="0.3">
      <c r="A414" s="438" t="s">
        <v>345</v>
      </c>
      <c r="B414" s="439" t="s">
        <v>500</v>
      </c>
      <c r="C414" s="439" t="s">
        <v>523</v>
      </c>
      <c r="D414" s="539" t="s">
        <v>332</v>
      </c>
      <c r="E414" s="539" t="s">
        <v>6</v>
      </c>
      <c r="F414" s="539" t="s">
        <v>976</v>
      </c>
      <c r="G414" s="465">
        <f t="shared" si="75"/>
        <v>2166930.9499999997</v>
      </c>
      <c r="H414" s="440">
        <f t="shared" si="75"/>
        <v>2072014</v>
      </c>
      <c r="I414" s="440">
        <f t="shared" si="75"/>
        <v>3403364.56</v>
      </c>
      <c r="J414" s="465">
        <f>J415+J418</f>
        <v>2266649.4000000004</v>
      </c>
      <c r="K414" s="465">
        <f>K415+K418</f>
        <v>2266649.4000000004</v>
      </c>
      <c r="L414" s="436">
        <f t="shared" si="73"/>
        <v>0</v>
      </c>
      <c r="M414" s="498">
        <f t="shared" si="74"/>
        <v>104.60182868309674</v>
      </c>
    </row>
    <row r="415" spans="1:13" ht="75.400000000000006" customHeight="1" outlineLevel="7" x14ac:dyDescent="0.3">
      <c r="A415" s="438" t="s">
        <v>872</v>
      </c>
      <c r="B415" s="439" t="s">
        <v>500</v>
      </c>
      <c r="C415" s="439" t="s">
        <v>523</v>
      </c>
      <c r="D415" s="539" t="s">
        <v>908</v>
      </c>
      <c r="E415" s="539" t="s">
        <v>6</v>
      </c>
      <c r="F415" s="539" t="s">
        <v>976</v>
      </c>
      <c r="G415" s="465">
        <f t="shared" si="75"/>
        <v>2166930.9499999997</v>
      </c>
      <c r="H415" s="440">
        <f t="shared" si="75"/>
        <v>2072014</v>
      </c>
      <c r="I415" s="440">
        <f t="shared" si="75"/>
        <v>3403364.56</v>
      </c>
      <c r="J415" s="513">
        <f t="shared" si="75"/>
        <v>1174110.1200000001</v>
      </c>
      <c r="K415" s="513">
        <f t="shared" si="75"/>
        <v>1174110.1200000001</v>
      </c>
      <c r="L415" s="436">
        <f t="shared" si="73"/>
        <v>0</v>
      </c>
      <c r="M415" s="498">
        <f t="shared" si="74"/>
        <v>54.183088759704148</v>
      </c>
    </row>
    <row r="416" spans="1:13" ht="23.3" customHeight="1" outlineLevel="7" x14ac:dyDescent="0.3">
      <c r="A416" s="438" t="s">
        <v>15</v>
      </c>
      <c r="B416" s="439" t="s">
        <v>500</v>
      </c>
      <c r="C416" s="439" t="s">
        <v>523</v>
      </c>
      <c r="D416" s="539" t="s">
        <v>908</v>
      </c>
      <c r="E416" s="539" t="s">
        <v>16</v>
      </c>
      <c r="F416" s="539" t="s">
        <v>976</v>
      </c>
      <c r="G416" s="465">
        <f t="shared" si="75"/>
        <v>2166930.9499999997</v>
      </c>
      <c r="H416" s="370">
        <v>2072014</v>
      </c>
      <c r="I416" s="440">
        <f t="shared" si="75"/>
        <v>3403364.56</v>
      </c>
      <c r="J416" s="465">
        <f t="shared" si="75"/>
        <v>1174110.1200000001</v>
      </c>
      <c r="K416" s="465">
        <f t="shared" si="75"/>
        <v>1174110.1200000001</v>
      </c>
      <c r="L416" s="436">
        <f t="shared" si="73"/>
        <v>0</v>
      </c>
      <c r="M416" s="498">
        <f t="shared" si="74"/>
        <v>54.183088759704148</v>
      </c>
    </row>
    <row r="417" spans="1:13" ht="23.3" customHeight="1" outlineLevel="7" x14ac:dyDescent="0.3">
      <c r="A417" s="438" t="s">
        <v>17</v>
      </c>
      <c r="B417" s="439" t="s">
        <v>500</v>
      </c>
      <c r="C417" s="439" t="s">
        <v>523</v>
      </c>
      <c r="D417" s="539" t="s">
        <v>908</v>
      </c>
      <c r="E417" s="539" t="s">
        <v>18</v>
      </c>
      <c r="F417" s="539" t="s">
        <v>976</v>
      </c>
      <c r="G417" s="465">
        <f>2430452.42+72913.58+2255.05-338690.1</f>
        <v>2166930.9499999997</v>
      </c>
      <c r="H417" s="370">
        <v>2072014</v>
      </c>
      <c r="I417" s="440">
        <f>3301263.62+102100.94</f>
        <v>3403364.56</v>
      </c>
      <c r="J417" s="510">
        <f>102100.94+1104785.36-32776.18</f>
        <v>1174110.1200000001</v>
      </c>
      <c r="K417" s="510">
        <f>102100.94+1104785.36-32776.18</f>
        <v>1174110.1200000001</v>
      </c>
      <c r="L417" s="436">
        <f t="shared" si="73"/>
        <v>0</v>
      </c>
      <c r="M417" s="498">
        <f t="shared" si="74"/>
        <v>54.183088759704148</v>
      </c>
    </row>
    <row r="418" spans="1:13" ht="92.4" customHeight="1" outlineLevel="7" x14ac:dyDescent="0.3">
      <c r="A418" s="438" t="s">
        <v>1021</v>
      </c>
      <c r="B418" s="439" t="s">
        <v>500</v>
      </c>
      <c r="C418" s="439" t="s">
        <v>523</v>
      </c>
      <c r="D418" s="539" t="s">
        <v>1020</v>
      </c>
      <c r="E418" s="539" t="s">
        <v>6</v>
      </c>
      <c r="F418" s="539"/>
      <c r="G418" s="465"/>
      <c r="H418" s="370"/>
      <c r="I418" s="440"/>
      <c r="J418" s="509">
        <f>J419</f>
        <v>1092539.28</v>
      </c>
      <c r="K418" s="509">
        <f>K419</f>
        <v>1092539.28</v>
      </c>
      <c r="L418" s="436">
        <f t="shared" si="73"/>
        <v>0</v>
      </c>
      <c r="M418" s="498"/>
    </row>
    <row r="419" spans="1:13" ht="23.3" customHeight="1" outlineLevel="7" x14ac:dyDescent="0.3">
      <c r="A419" s="438" t="s">
        <v>15</v>
      </c>
      <c r="B419" s="439" t="s">
        <v>500</v>
      </c>
      <c r="C419" s="439" t="s">
        <v>523</v>
      </c>
      <c r="D419" s="539" t="s">
        <v>1020</v>
      </c>
      <c r="E419" s="539" t="s">
        <v>16</v>
      </c>
      <c r="F419" s="539"/>
      <c r="G419" s="465"/>
      <c r="H419" s="370"/>
      <c r="I419" s="440"/>
      <c r="J419" s="510">
        <f>J420</f>
        <v>1092539.28</v>
      </c>
      <c r="K419" s="510">
        <f>K420</f>
        <v>1092539.28</v>
      </c>
      <c r="L419" s="436">
        <f t="shared" si="73"/>
        <v>0</v>
      </c>
      <c r="M419" s="498"/>
    </row>
    <row r="420" spans="1:13" ht="23.3" customHeight="1" outlineLevel="7" x14ac:dyDescent="0.3">
      <c r="A420" s="438" t="s">
        <v>17</v>
      </c>
      <c r="B420" s="439" t="s">
        <v>500</v>
      </c>
      <c r="C420" s="439" t="s">
        <v>523</v>
      </c>
      <c r="D420" s="539" t="s">
        <v>1020</v>
      </c>
      <c r="E420" s="539" t="s">
        <v>18</v>
      </c>
      <c r="F420" s="539"/>
      <c r="G420" s="465"/>
      <c r="H420" s="370"/>
      <c r="I420" s="440"/>
      <c r="J420" s="510">
        <f>1059763.1+32776.18</f>
        <v>1092539.28</v>
      </c>
      <c r="K420" s="510">
        <f>1059763.1+32776.18</f>
        <v>1092539.28</v>
      </c>
      <c r="L420" s="436">
        <f t="shared" si="73"/>
        <v>0</v>
      </c>
      <c r="M420" s="498"/>
    </row>
    <row r="421" spans="1:13" outlineLevel="7" x14ac:dyDescent="0.3">
      <c r="A421" s="444" t="s">
        <v>85</v>
      </c>
      <c r="B421" s="445" t="s">
        <v>500</v>
      </c>
      <c r="C421" s="445" t="s">
        <v>86</v>
      </c>
      <c r="D421" s="541" t="s">
        <v>126</v>
      </c>
      <c r="E421" s="541" t="s">
        <v>6</v>
      </c>
      <c r="F421" s="550">
        <v>37352716.880000003</v>
      </c>
      <c r="G421" s="508">
        <f>G422+G427+G442</f>
        <v>54369845.619999997</v>
      </c>
      <c r="H421" s="446">
        <f>H422+H427+H442</f>
        <v>25467567.349999998</v>
      </c>
      <c r="I421" s="446">
        <f>I422+I427+I442</f>
        <v>65496624.950000003</v>
      </c>
      <c r="J421" s="508">
        <f>J422+J427+J442</f>
        <v>90525266.789999992</v>
      </c>
      <c r="K421" s="508">
        <f>K422+K427+K442</f>
        <v>90525266.789999992</v>
      </c>
      <c r="L421" s="436">
        <f t="shared" si="73"/>
        <v>0</v>
      </c>
      <c r="M421" s="498">
        <f t="shared" si="74"/>
        <v>166.49903224426333</v>
      </c>
    </row>
    <row r="422" spans="1:13" outlineLevel="7" x14ac:dyDescent="0.3">
      <c r="A422" s="438" t="s">
        <v>87</v>
      </c>
      <c r="B422" s="439" t="s">
        <v>500</v>
      </c>
      <c r="C422" s="439" t="s">
        <v>88</v>
      </c>
      <c r="D422" s="539" t="s">
        <v>126</v>
      </c>
      <c r="E422" s="539" t="s">
        <v>6</v>
      </c>
      <c r="F422" s="540">
        <v>5273116.22</v>
      </c>
      <c r="G422" s="465">
        <f t="shared" ref="G422:K425" si="76">G423</f>
        <v>5386176</v>
      </c>
      <c r="H422" s="440">
        <f t="shared" si="76"/>
        <v>4028416.23</v>
      </c>
      <c r="I422" s="440">
        <f t="shared" si="76"/>
        <v>5386176</v>
      </c>
      <c r="J422" s="465">
        <f t="shared" si="76"/>
        <v>5533145.6699999999</v>
      </c>
      <c r="K422" s="465">
        <f t="shared" si="76"/>
        <v>5533145.6699999999</v>
      </c>
      <c r="L422" s="436">
        <f t="shared" si="73"/>
        <v>0</v>
      </c>
      <c r="M422" s="498">
        <f t="shared" si="74"/>
        <v>102.72864588903147</v>
      </c>
    </row>
    <row r="423" spans="1:13" ht="34" outlineLevel="7" x14ac:dyDescent="0.3">
      <c r="A423" s="444" t="s">
        <v>132</v>
      </c>
      <c r="B423" s="445" t="s">
        <v>500</v>
      </c>
      <c r="C423" s="445" t="s">
        <v>88</v>
      </c>
      <c r="D423" s="541" t="s">
        <v>127</v>
      </c>
      <c r="E423" s="541" t="s">
        <v>6</v>
      </c>
      <c r="F423" s="540">
        <v>5273116.22</v>
      </c>
      <c r="G423" s="508">
        <f t="shared" si="76"/>
        <v>5386176</v>
      </c>
      <c r="H423" s="446">
        <f t="shared" si="76"/>
        <v>4028416.23</v>
      </c>
      <c r="I423" s="446">
        <f t="shared" si="76"/>
        <v>5386176</v>
      </c>
      <c r="J423" s="508">
        <f t="shared" si="76"/>
        <v>5533145.6699999999</v>
      </c>
      <c r="K423" s="508">
        <f t="shared" si="76"/>
        <v>5533145.6699999999</v>
      </c>
      <c r="L423" s="436">
        <f t="shared" si="73"/>
        <v>0</v>
      </c>
      <c r="M423" s="498">
        <f t="shared" si="74"/>
        <v>102.72864588903147</v>
      </c>
    </row>
    <row r="424" spans="1:13" s="449" customFormat="1" ht="26.5" customHeight="1" outlineLevel="7" x14ac:dyDescent="0.3">
      <c r="A424" s="438" t="s">
        <v>89</v>
      </c>
      <c r="B424" s="439" t="s">
        <v>500</v>
      </c>
      <c r="C424" s="439" t="s">
        <v>88</v>
      </c>
      <c r="D424" s="539" t="s">
        <v>142</v>
      </c>
      <c r="E424" s="539" t="s">
        <v>6</v>
      </c>
      <c r="F424" s="540">
        <v>5273116.22</v>
      </c>
      <c r="G424" s="465">
        <f t="shared" si="76"/>
        <v>5386176</v>
      </c>
      <c r="H424" s="440">
        <f t="shared" si="76"/>
        <v>4028416.23</v>
      </c>
      <c r="I424" s="440">
        <f t="shared" si="76"/>
        <v>5386176</v>
      </c>
      <c r="J424" s="465">
        <f t="shared" si="76"/>
        <v>5533145.6699999999</v>
      </c>
      <c r="K424" s="465">
        <f t="shared" si="76"/>
        <v>5533145.6699999999</v>
      </c>
      <c r="L424" s="436">
        <f t="shared" si="73"/>
        <v>0</v>
      </c>
      <c r="M424" s="498">
        <f t="shared" si="74"/>
        <v>102.72864588903147</v>
      </c>
    </row>
    <row r="425" spans="1:13" ht="25.5" customHeight="1" outlineLevel="7" x14ac:dyDescent="0.3">
      <c r="A425" s="438" t="s">
        <v>90</v>
      </c>
      <c r="B425" s="439" t="s">
        <v>500</v>
      </c>
      <c r="C425" s="439" t="s">
        <v>88</v>
      </c>
      <c r="D425" s="539" t="s">
        <v>142</v>
      </c>
      <c r="E425" s="539" t="s">
        <v>91</v>
      </c>
      <c r="F425" s="540">
        <v>5273116.22</v>
      </c>
      <c r="G425" s="465">
        <f t="shared" si="76"/>
        <v>5386176</v>
      </c>
      <c r="H425" s="373">
        <v>4028416.23</v>
      </c>
      <c r="I425" s="440">
        <f t="shared" si="76"/>
        <v>5386176</v>
      </c>
      <c r="J425" s="465">
        <f t="shared" si="76"/>
        <v>5533145.6699999999</v>
      </c>
      <c r="K425" s="465">
        <f t="shared" si="76"/>
        <v>5533145.6699999999</v>
      </c>
      <c r="L425" s="436">
        <f t="shared" si="73"/>
        <v>0</v>
      </c>
      <c r="M425" s="498">
        <f t="shared" si="74"/>
        <v>102.72864588903147</v>
      </c>
    </row>
    <row r="426" spans="1:13" ht="34" outlineLevel="7" x14ac:dyDescent="0.3">
      <c r="A426" s="438" t="s">
        <v>92</v>
      </c>
      <c r="B426" s="439" t="s">
        <v>500</v>
      </c>
      <c r="C426" s="439" t="s">
        <v>88</v>
      </c>
      <c r="D426" s="539" t="s">
        <v>142</v>
      </c>
      <c r="E426" s="539" t="s">
        <v>93</v>
      </c>
      <c r="F426" s="540">
        <v>5273116.22</v>
      </c>
      <c r="G426" s="466">
        <v>5386176</v>
      </c>
      <c r="H426" s="373">
        <v>4028416.23</v>
      </c>
      <c r="I426" s="442">
        <v>5386176</v>
      </c>
      <c r="J426" s="466">
        <v>5533145.6699999999</v>
      </c>
      <c r="K426" s="466">
        <v>5533145.6699999999</v>
      </c>
      <c r="L426" s="436">
        <f t="shared" si="73"/>
        <v>0</v>
      </c>
      <c r="M426" s="498">
        <f t="shared" si="74"/>
        <v>102.72864588903147</v>
      </c>
    </row>
    <row r="427" spans="1:13" outlineLevel="7" x14ac:dyDescent="0.3">
      <c r="A427" s="438" t="s">
        <v>94</v>
      </c>
      <c r="B427" s="439" t="s">
        <v>500</v>
      </c>
      <c r="C427" s="439" t="s">
        <v>95</v>
      </c>
      <c r="D427" s="539" t="s">
        <v>126</v>
      </c>
      <c r="E427" s="539" t="s">
        <v>6</v>
      </c>
      <c r="F427" s="540">
        <v>679404.39</v>
      </c>
      <c r="G427" s="465">
        <f>G428+G438+G433</f>
        <v>1526800</v>
      </c>
      <c r="H427" s="440">
        <f>H428+H438+H433</f>
        <v>1351800</v>
      </c>
      <c r="I427" s="440">
        <f>I428+I438+I433</f>
        <v>985609.95</v>
      </c>
      <c r="J427" s="465">
        <f>J428+J438+J433</f>
        <v>984438.26</v>
      </c>
      <c r="K427" s="465">
        <f>K428+K438+K433</f>
        <v>984438.26</v>
      </c>
      <c r="L427" s="436">
        <f t="shared" si="73"/>
        <v>0</v>
      </c>
      <c r="M427" s="498">
        <f t="shared" si="74"/>
        <v>64.477224259889965</v>
      </c>
    </row>
    <row r="428" spans="1:13" ht="50.95" outlineLevel="7" x14ac:dyDescent="0.3">
      <c r="A428" s="444" t="s">
        <v>933</v>
      </c>
      <c r="B428" s="439" t="s">
        <v>500</v>
      </c>
      <c r="C428" s="445" t="s">
        <v>95</v>
      </c>
      <c r="D428" s="541" t="s">
        <v>129</v>
      </c>
      <c r="E428" s="541" t="s">
        <v>6</v>
      </c>
      <c r="F428" s="542">
        <v>60804.39</v>
      </c>
      <c r="G428" s="508">
        <f t="shared" ref="G428:K431" si="77">G429</f>
        <v>150000</v>
      </c>
      <c r="H428" s="446">
        <f t="shared" si="77"/>
        <v>0</v>
      </c>
      <c r="I428" s="446">
        <f t="shared" si="77"/>
        <v>150000</v>
      </c>
      <c r="J428" s="508">
        <f t="shared" si="77"/>
        <v>150000</v>
      </c>
      <c r="K428" s="508">
        <f t="shared" si="77"/>
        <v>150000</v>
      </c>
      <c r="L428" s="436">
        <f t="shared" si="73"/>
        <v>0</v>
      </c>
      <c r="M428" s="498">
        <f t="shared" si="74"/>
        <v>100</v>
      </c>
    </row>
    <row r="429" spans="1:13" ht="34" outlineLevel="7" x14ac:dyDescent="0.3">
      <c r="A429" s="438" t="s">
        <v>372</v>
      </c>
      <c r="B429" s="439" t="s">
        <v>500</v>
      </c>
      <c r="C429" s="439" t="s">
        <v>95</v>
      </c>
      <c r="D429" s="539" t="s">
        <v>441</v>
      </c>
      <c r="E429" s="539" t="s">
        <v>6</v>
      </c>
      <c r="F429" s="540">
        <v>60804.39</v>
      </c>
      <c r="G429" s="465">
        <f t="shared" si="77"/>
        <v>150000</v>
      </c>
      <c r="H429" s="440">
        <f t="shared" si="77"/>
        <v>0</v>
      </c>
      <c r="I429" s="440">
        <f t="shared" si="77"/>
        <v>150000</v>
      </c>
      <c r="J429" s="465">
        <f t="shared" si="77"/>
        <v>150000</v>
      </c>
      <c r="K429" s="465">
        <f t="shared" si="77"/>
        <v>150000</v>
      </c>
      <c r="L429" s="436">
        <f t="shared" si="73"/>
        <v>0</v>
      </c>
      <c r="M429" s="498">
        <f t="shared" si="74"/>
        <v>100</v>
      </c>
    </row>
    <row r="430" spans="1:13" ht="34" outlineLevel="7" x14ac:dyDescent="0.3">
      <c r="A430" s="438" t="s">
        <v>99</v>
      </c>
      <c r="B430" s="439" t="s">
        <v>500</v>
      </c>
      <c r="C430" s="439" t="s">
        <v>95</v>
      </c>
      <c r="D430" s="539" t="s">
        <v>416</v>
      </c>
      <c r="E430" s="539" t="s">
        <v>6</v>
      </c>
      <c r="F430" s="540">
        <v>60804.39</v>
      </c>
      <c r="G430" s="465">
        <f t="shared" si="77"/>
        <v>150000</v>
      </c>
      <c r="H430" s="440">
        <f t="shared" si="77"/>
        <v>0</v>
      </c>
      <c r="I430" s="440">
        <f t="shared" si="77"/>
        <v>150000</v>
      </c>
      <c r="J430" s="465">
        <f t="shared" si="77"/>
        <v>150000</v>
      </c>
      <c r="K430" s="465">
        <f t="shared" si="77"/>
        <v>150000</v>
      </c>
      <c r="L430" s="436">
        <f t="shared" si="73"/>
        <v>0</v>
      </c>
      <c r="M430" s="498">
        <f t="shared" si="74"/>
        <v>100</v>
      </c>
    </row>
    <row r="431" spans="1:13" outlineLevel="7" x14ac:dyDescent="0.3">
      <c r="A431" s="438" t="s">
        <v>90</v>
      </c>
      <c r="B431" s="439" t="s">
        <v>500</v>
      </c>
      <c r="C431" s="439" t="s">
        <v>95</v>
      </c>
      <c r="D431" s="539" t="s">
        <v>416</v>
      </c>
      <c r="E431" s="539" t="s">
        <v>91</v>
      </c>
      <c r="F431" s="540">
        <v>60804.39</v>
      </c>
      <c r="G431" s="465">
        <f t="shared" si="77"/>
        <v>150000</v>
      </c>
      <c r="H431" s="465">
        <v>0</v>
      </c>
      <c r="I431" s="440">
        <f t="shared" si="77"/>
        <v>150000</v>
      </c>
      <c r="J431" s="465">
        <f t="shared" si="77"/>
        <v>150000</v>
      </c>
      <c r="K431" s="465">
        <f t="shared" si="77"/>
        <v>150000</v>
      </c>
      <c r="L431" s="436">
        <f t="shared" si="73"/>
        <v>0</v>
      </c>
      <c r="M431" s="498">
        <f t="shared" si="74"/>
        <v>100</v>
      </c>
    </row>
    <row r="432" spans="1:13" ht="34" outlineLevel="7" x14ac:dyDescent="0.3">
      <c r="A432" s="438" t="s">
        <v>97</v>
      </c>
      <c r="B432" s="439" t="s">
        <v>500</v>
      </c>
      <c r="C432" s="439" t="s">
        <v>95</v>
      </c>
      <c r="D432" s="539" t="s">
        <v>416</v>
      </c>
      <c r="E432" s="539" t="s">
        <v>98</v>
      </c>
      <c r="F432" s="540">
        <v>60804.39</v>
      </c>
      <c r="G432" s="466">
        <v>150000</v>
      </c>
      <c r="H432" s="466">
        <v>0</v>
      </c>
      <c r="I432" s="442">
        <v>150000</v>
      </c>
      <c r="J432" s="466">
        <v>150000</v>
      </c>
      <c r="K432" s="466">
        <v>150000</v>
      </c>
      <c r="L432" s="436">
        <f t="shared" si="73"/>
        <v>0</v>
      </c>
      <c r="M432" s="498">
        <f t="shared" si="74"/>
        <v>100</v>
      </c>
    </row>
    <row r="433" spans="1:13" ht="50.95" outlineLevel="1" x14ac:dyDescent="0.3">
      <c r="A433" s="444" t="s">
        <v>838</v>
      </c>
      <c r="B433" s="439" t="s">
        <v>500</v>
      </c>
      <c r="C433" s="445" t="s">
        <v>95</v>
      </c>
      <c r="D433" s="541" t="s">
        <v>374</v>
      </c>
      <c r="E433" s="541" t="s">
        <v>6</v>
      </c>
      <c r="F433" s="542">
        <v>558600</v>
      </c>
      <c r="G433" s="507">
        <f t="shared" ref="G433:K436" si="78">G434</f>
        <v>1276800</v>
      </c>
      <c r="H433" s="448">
        <f t="shared" si="78"/>
        <v>1276800</v>
      </c>
      <c r="I433" s="448">
        <f t="shared" si="78"/>
        <v>735609.95</v>
      </c>
      <c r="J433" s="507">
        <f t="shared" si="78"/>
        <v>734438.26</v>
      </c>
      <c r="K433" s="507">
        <f t="shared" si="78"/>
        <v>734438.26</v>
      </c>
      <c r="L433" s="436">
        <f t="shared" si="73"/>
        <v>0</v>
      </c>
      <c r="M433" s="498">
        <f t="shared" si="74"/>
        <v>57.521793546365913</v>
      </c>
    </row>
    <row r="434" spans="1:13" ht="44.5" customHeight="1" outlineLevel="1" x14ac:dyDescent="0.3">
      <c r="A434" s="438" t="s">
        <v>394</v>
      </c>
      <c r="B434" s="439" t="s">
        <v>500</v>
      </c>
      <c r="C434" s="439" t="s">
        <v>95</v>
      </c>
      <c r="D434" s="539" t="s">
        <v>375</v>
      </c>
      <c r="E434" s="539" t="s">
        <v>6</v>
      </c>
      <c r="F434" s="540">
        <v>558600</v>
      </c>
      <c r="G434" s="466">
        <f t="shared" si="78"/>
        <v>1276800</v>
      </c>
      <c r="H434" s="442">
        <f t="shared" si="78"/>
        <v>1276800</v>
      </c>
      <c r="I434" s="442">
        <f t="shared" si="78"/>
        <v>735609.95</v>
      </c>
      <c r="J434" s="509">
        <f t="shared" si="78"/>
        <v>734438.26</v>
      </c>
      <c r="K434" s="509">
        <f t="shared" si="78"/>
        <v>734438.26</v>
      </c>
      <c r="L434" s="436">
        <f t="shared" si="73"/>
        <v>0</v>
      </c>
      <c r="M434" s="498">
        <f t="shared" si="74"/>
        <v>57.521793546365913</v>
      </c>
    </row>
    <row r="435" spans="1:13" ht="34" outlineLevel="1" x14ac:dyDescent="0.3">
      <c r="A435" s="438" t="s">
        <v>96</v>
      </c>
      <c r="B435" s="439" t="s">
        <v>500</v>
      </c>
      <c r="C435" s="439" t="s">
        <v>95</v>
      </c>
      <c r="D435" s="539" t="s">
        <v>376</v>
      </c>
      <c r="E435" s="539" t="s">
        <v>6</v>
      </c>
      <c r="F435" s="540">
        <v>558600</v>
      </c>
      <c r="G435" s="465">
        <f t="shared" si="78"/>
        <v>1276800</v>
      </c>
      <c r="H435" s="440">
        <f t="shared" si="78"/>
        <v>1276800</v>
      </c>
      <c r="I435" s="440">
        <f t="shared" si="78"/>
        <v>735609.95</v>
      </c>
      <c r="J435" s="465">
        <f t="shared" si="78"/>
        <v>734438.26</v>
      </c>
      <c r="K435" s="465">
        <f t="shared" si="78"/>
        <v>734438.26</v>
      </c>
      <c r="L435" s="436">
        <f t="shared" si="73"/>
        <v>0</v>
      </c>
      <c r="M435" s="498">
        <f t="shared" si="74"/>
        <v>57.521793546365913</v>
      </c>
    </row>
    <row r="436" spans="1:13" outlineLevel="1" x14ac:dyDescent="0.3">
      <c r="A436" s="438" t="s">
        <v>90</v>
      </c>
      <c r="B436" s="439" t="s">
        <v>500</v>
      </c>
      <c r="C436" s="439" t="s">
        <v>95</v>
      </c>
      <c r="D436" s="539" t="s">
        <v>376</v>
      </c>
      <c r="E436" s="539" t="s">
        <v>91</v>
      </c>
      <c r="F436" s="540">
        <v>558600</v>
      </c>
      <c r="G436" s="466">
        <f t="shared" si="78"/>
        <v>1276800</v>
      </c>
      <c r="H436" s="370">
        <v>1276800</v>
      </c>
      <c r="I436" s="442">
        <f t="shared" si="78"/>
        <v>735609.95</v>
      </c>
      <c r="J436" s="466">
        <f t="shared" si="78"/>
        <v>734438.26</v>
      </c>
      <c r="K436" s="466">
        <f t="shared" si="78"/>
        <v>734438.26</v>
      </c>
      <c r="L436" s="436">
        <f t="shared" si="73"/>
        <v>0</v>
      </c>
      <c r="M436" s="498">
        <f t="shared" si="74"/>
        <v>57.521793546365913</v>
      </c>
    </row>
    <row r="437" spans="1:13" ht="34" outlineLevel="1" x14ac:dyDescent="0.3">
      <c r="A437" s="438" t="s">
        <v>97</v>
      </c>
      <c r="B437" s="439" t="s">
        <v>500</v>
      </c>
      <c r="C437" s="439" t="s">
        <v>95</v>
      </c>
      <c r="D437" s="539" t="s">
        <v>376</v>
      </c>
      <c r="E437" s="539" t="s">
        <v>98</v>
      </c>
      <c r="F437" s="540">
        <v>558600</v>
      </c>
      <c r="G437" s="465">
        <f>742359.04+534440.96</f>
        <v>1276800</v>
      </c>
      <c r="H437" s="370">
        <v>1276800</v>
      </c>
      <c r="I437" s="440">
        <v>735609.95</v>
      </c>
      <c r="J437" s="510">
        <f>173500+560938.26</f>
        <v>734438.26</v>
      </c>
      <c r="K437" s="510">
        <f>173500+560938.26</f>
        <v>734438.26</v>
      </c>
      <c r="L437" s="436">
        <f t="shared" si="73"/>
        <v>0</v>
      </c>
      <c r="M437" s="498">
        <f t="shared" si="74"/>
        <v>57.521793546365913</v>
      </c>
    </row>
    <row r="438" spans="1:13" ht="34" outlineLevel="1" x14ac:dyDescent="0.3">
      <c r="A438" s="444" t="s">
        <v>132</v>
      </c>
      <c r="B438" s="445" t="s">
        <v>500</v>
      </c>
      <c r="C438" s="445" t="s">
        <v>95</v>
      </c>
      <c r="D438" s="541" t="s">
        <v>127</v>
      </c>
      <c r="E438" s="541" t="s">
        <v>6</v>
      </c>
      <c r="F438" s="540">
        <v>60000</v>
      </c>
      <c r="G438" s="507">
        <f t="shared" ref="G438:K440" si="79">G439</f>
        <v>100000</v>
      </c>
      <c r="H438" s="448">
        <f t="shared" si="79"/>
        <v>75000</v>
      </c>
      <c r="I438" s="448">
        <f t="shared" si="79"/>
        <v>100000</v>
      </c>
      <c r="J438" s="507">
        <f t="shared" si="79"/>
        <v>100000</v>
      </c>
      <c r="K438" s="507">
        <f t="shared" si="79"/>
        <v>100000</v>
      </c>
      <c r="L438" s="436">
        <f t="shared" si="73"/>
        <v>0</v>
      </c>
      <c r="M438" s="498">
        <f t="shared" si="74"/>
        <v>100</v>
      </c>
    </row>
    <row r="439" spans="1:13" ht="34" outlineLevel="1" x14ac:dyDescent="0.3">
      <c r="A439" s="438" t="s">
        <v>526</v>
      </c>
      <c r="B439" s="439" t="s">
        <v>500</v>
      </c>
      <c r="C439" s="439" t="s">
        <v>95</v>
      </c>
      <c r="D439" s="539" t="s">
        <v>539</v>
      </c>
      <c r="E439" s="539" t="s">
        <v>6</v>
      </c>
      <c r="F439" s="540">
        <v>60000</v>
      </c>
      <c r="G439" s="466">
        <f t="shared" si="79"/>
        <v>100000</v>
      </c>
      <c r="H439" s="442">
        <f t="shared" si="79"/>
        <v>75000</v>
      </c>
      <c r="I439" s="442">
        <f t="shared" si="79"/>
        <v>100000</v>
      </c>
      <c r="J439" s="466">
        <f t="shared" si="79"/>
        <v>100000</v>
      </c>
      <c r="K439" s="466">
        <f t="shared" si="79"/>
        <v>100000</v>
      </c>
      <c r="L439" s="436">
        <f t="shared" si="73"/>
        <v>0</v>
      </c>
      <c r="M439" s="498">
        <f t="shared" si="74"/>
        <v>100</v>
      </c>
    </row>
    <row r="440" spans="1:13" outlineLevel="1" x14ac:dyDescent="0.3">
      <c r="A440" s="438" t="s">
        <v>90</v>
      </c>
      <c r="B440" s="439" t="s">
        <v>500</v>
      </c>
      <c r="C440" s="439" t="s">
        <v>95</v>
      </c>
      <c r="D440" s="539" t="s">
        <v>539</v>
      </c>
      <c r="E440" s="539" t="s">
        <v>91</v>
      </c>
      <c r="F440" s="540">
        <v>60000</v>
      </c>
      <c r="G440" s="466">
        <f t="shared" si="79"/>
        <v>100000</v>
      </c>
      <c r="H440" s="370">
        <v>75000</v>
      </c>
      <c r="I440" s="442">
        <f t="shared" si="79"/>
        <v>100000</v>
      </c>
      <c r="J440" s="466">
        <f t="shared" si="79"/>
        <v>100000</v>
      </c>
      <c r="K440" s="466">
        <f t="shared" si="79"/>
        <v>100000</v>
      </c>
      <c r="L440" s="436">
        <f t="shared" si="73"/>
        <v>0</v>
      </c>
      <c r="M440" s="498">
        <f t="shared" si="74"/>
        <v>100</v>
      </c>
    </row>
    <row r="441" spans="1:13" ht="20.25" customHeight="1" outlineLevel="1" x14ac:dyDescent="0.3">
      <c r="A441" s="438" t="s">
        <v>309</v>
      </c>
      <c r="B441" s="439" t="s">
        <v>500</v>
      </c>
      <c r="C441" s="439" t="s">
        <v>95</v>
      </c>
      <c r="D441" s="539" t="s">
        <v>539</v>
      </c>
      <c r="E441" s="539" t="s">
        <v>310</v>
      </c>
      <c r="F441" s="540">
        <v>60000</v>
      </c>
      <c r="G441" s="465">
        <f>[2]потребность!I407</f>
        <v>100000</v>
      </c>
      <c r="H441" s="370">
        <v>75000</v>
      </c>
      <c r="I441" s="440">
        <v>100000</v>
      </c>
      <c r="J441" s="465">
        <v>100000</v>
      </c>
      <c r="K441" s="465">
        <v>100000</v>
      </c>
      <c r="L441" s="436">
        <f t="shared" si="73"/>
        <v>0</v>
      </c>
      <c r="M441" s="498">
        <f t="shared" si="74"/>
        <v>100</v>
      </c>
    </row>
    <row r="442" spans="1:13" outlineLevel="1" x14ac:dyDescent="0.3">
      <c r="A442" s="438" t="s">
        <v>123</v>
      </c>
      <c r="B442" s="439" t="s">
        <v>500</v>
      </c>
      <c r="C442" s="439" t="s">
        <v>124</v>
      </c>
      <c r="D442" s="539" t="s">
        <v>126</v>
      </c>
      <c r="E442" s="539" t="s">
        <v>6</v>
      </c>
      <c r="F442" s="540">
        <v>31400196.27</v>
      </c>
      <c r="G442" s="466">
        <f t="shared" ref="G442:K443" si="80">G443</f>
        <v>47456869.619999997</v>
      </c>
      <c r="H442" s="442">
        <f t="shared" si="80"/>
        <v>20087351.119999997</v>
      </c>
      <c r="I442" s="442">
        <f t="shared" si="80"/>
        <v>59124839</v>
      </c>
      <c r="J442" s="466">
        <f t="shared" si="80"/>
        <v>84007682.859999999</v>
      </c>
      <c r="K442" s="466">
        <f t="shared" si="80"/>
        <v>84007682.859999999</v>
      </c>
      <c r="L442" s="436">
        <f t="shared" si="73"/>
        <v>0</v>
      </c>
      <c r="M442" s="498">
        <f t="shared" si="74"/>
        <v>177.0190143864782</v>
      </c>
    </row>
    <row r="443" spans="1:13" ht="34" outlineLevel="1" x14ac:dyDescent="0.3">
      <c r="A443" s="444" t="s">
        <v>132</v>
      </c>
      <c r="B443" s="445" t="s">
        <v>500</v>
      </c>
      <c r="C443" s="445" t="s">
        <v>124</v>
      </c>
      <c r="D443" s="541" t="s">
        <v>127</v>
      </c>
      <c r="E443" s="541" t="s">
        <v>6</v>
      </c>
      <c r="F443" s="540">
        <v>31400196.27</v>
      </c>
      <c r="G443" s="507">
        <f t="shared" si="80"/>
        <v>47456869.619999997</v>
      </c>
      <c r="H443" s="448">
        <f t="shared" si="80"/>
        <v>20087351.119999997</v>
      </c>
      <c r="I443" s="448">
        <f t="shared" si="80"/>
        <v>59124839</v>
      </c>
      <c r="J443" s="507">
        <f t="shared" si="80"/>
        <v>84007682.859999999</v>
      </c>
      <c r="K443" s="507">
        <f t="shared" si="80"/>
        <v>84007682.859999999</v>
      </c>
      <c r="L443" s="436">
        <f t="shared" si="73"/>
        <v>0</v>
      </c>
      <c r="M443" s="498">
        <f t="shared" si="74"/>
        <v>177.0190143864782</v>
      </c>
    </row>
    <row r="444" spans="1:13" outlineLevel="1" x14ac:dyDescent="0.3">
      <c r="A444" s="438" t="s">
        <v>277</v>
      </c>
      <c r="B444" s="439" t="s">
        <v>500</v>
      </c>
      <c r="C444" s="439" t="s">
        <v>124</v>
      </c>
      <c r="D444" s="539" t="s">
        <v>276</v>
      </c>
      <c r="E444" s="539" t="s">
        <v>6</v>
      </c>
      <c r="F444" s="540">
        <v>31400196.27</v>
      </c>
      <c r="G444" s="466">
        <f>G454+G445+G451</f>
        <v>47456869.619999997</v>
      </c>
      <c r="H444" s="442">
        <f>H454+H445+H451</f>
        <v>20087351.119999997</v>
      </c>
      <c r="I444" s="442">
        <f>I454+I445+I451</f>
        <v>59124839</v>
      </c>
      <c r="J444" s="466">
        <f>J454+J445+J451</f>
        <v>84007682.859999999</v>
      </c>
      <c r="K444" s="466">
        <f>K454+K445+K451</f>
        <v>84007682.859999999</v>
      </c>
      <c r="L444" s="436">
        <f t="shared" si="73"/>
        <v>0</v>
      </c>
      <c r="M444" s="498">
        <f t="shared" si="74"/>
        <v>177.0190143864782</v>
      </c>
    </row>
    <row r="445" spans="1:13" s="449" customFormat="1" ht="101.9" outlineLevel="1" x14ac:dyDescent="0.3">
      <c r="A445" s="393" t="s">
        <v>431</v>
      </c>
      <c r="B445" s="439" t="s">
        <v>500</v>
      </c>
      <c r="C445" s="439" t="s">
        <v>124</v>
      </c>
      <c r="D445" s="539" t="s">
        <v>432</v>
      </c>
      <c r="E445" s="539" t="s">
        <v>6</v>
      </c>
      <c r="F445" s="540">
        <v>456463.12</v>
      </c>
      <c r="G445" s="465">
        <f>G446+G448</f>
        <v>22326590.18</v>
      </c>
      <c r="H445" s="440">
        <f>H446+H448</f>
        <v>10072207.699999999</v>
      </c>
      <c r="I445" s="440">
        <f>I446+I448</f>
        <v>22604954.34</v>
      </c>
      <c r="J445" s="513">
        <f>J446+J448</f>
        <v>36028492.670000002</v>
      </c>
      <c r="K445" s="513">
        <f>K446+K448</f>
        <v>36028492.670000002</v>
      </c>
      <c r="L445" s="436">
        <f t="shared" si="73"/>
        <v>0</v>
      </c>
      <c r="M445" s="498">
        <f t="shared" si="74"/>
        <v>161.37033187572936</v>
      </c>
    </row>
    <row r="446" spans="1:13" ht="34" outlineLevel="1" x14ac:dyDescent="0.3">
      <c r="A446" s="438" t="s">
        <v>15</v>
      </c>
      <c r="B446" s="439" t="s">
        <v>500</v>
      </c>
      <c r="C446" s="439" t="s">
        <v>124</v>
      </c>
      <c r="D446" s="539" t="s">
        <v>432</v>
      </c>
      <c r="E446" s="539" t="s">
        <v>16</v>
      </c>
      <c r="F446" s="540">
        <v>456463.12</v>
      </c>
      <c r="G446" s="465">
        <f>G447</f>
        <v>130000</v>
      </c>
      <c r="H446" s="370">
        <v>74643.25</v>
      </c>
      <c r="I446" s="440">
        <f>I447</f>
        <v>130000</v>
      </c>
      <c r="J446" s="465">
        <f>J447</f>
        <v>130000</v>
      </c>
      <c r="K446" s="465">
        <f>K447</f>
        <v>130000</v>
      </c>
      <c r="L446" s="436">
        <f t="shared" si="73"/>
        <v>0</v>
      </c>
      <c r="M446" s="498">
        <f t="shared" si="74"/>
        <v>100</v>
      </c>
    </row>
    <row r="447" spans="1:13" s="449" customFormat="1" ht="37.549999999999997" customHeight="1" outlineLevel="1" x14ac:dyDescent="0.3">
      <c r="A447" s="438" t="s">
        <v>17</v>
      </c>
      <c r="B447" s="439" t="s">
        <v>500</v>
      </c>
      <c r="C447" s="439" t="s">
        <v>124</v>
      </c>
      <c r="D447" s="539" t="s">
        <v>432</v>
      </c>
      <c r="E447" s="539" t="s">
        <v>18</v>
      </c>
      <c r="F447" s="540">
        <v>456463.12</v>
      </c>
      <c r="G447" s="465">
        <v>130000</v>
      </c>
      <c r="H447" s="370">
        <v>74643.25</v>
      </c>
      <c r="I447" s="440">
        <v>130000</v>
      </c>
      <c r="J447" s="507">
        <v>130000</v>
      </c>
      <c r="K447" s="507">
        <v>130000</v>
      </c>
      <c r="L447" s="436">
        <f t="shared" si="73"/>
        <v>0</v>
      </c>
      <c r="M447" s="498">
        <f t="shared" si="74"/>
        <v>100</v>
      </c>
    </row>
    <row r="448" spans="1:13" outlineLevel="1" x14ac:dyDescent="0.3">
      <c r="A448" s="438" t="s">
        <v>90</v>
      </c>
      <c r="B448" s="439" t="s">
        <v>500</v>
      </c>
      <c r="C448" s="439" t="s">
        <v>124</v>
      </c>
      <c r="D448" s="539" t="s">
        <v>432</v>
      </c>
      <c r="E448" s="539" t="s">
        <v>91</v>
      </c>
      <c r="F448" s="540">
        <v>13734787.529999999</v>
      </c>
      <c r="G448" s="465">
        <f>G449+G450</f>
        <v>22196590.18</v>
      </c>
      <c r="H448" s="370">
        <v>9997564.4499999993</v>
      </c>
      <c r="I448" s="440">
        <f>I449+I450</f>
        <v>22474954.34</v>
      </c>
      <c r="J448" s="465">
        <f>J449+J450</f>
        <v>35898492.670000002</v>
      </c>
      <c r="K448" s="465">
        <f>K449+K450</f>
        <v>35898492.670000002</v>
      </c>
      <c r="L448" s="436">
        <f t="shared" si="73"/>
        <v>0</v>
      </c>
      <c r="M448" s="498">
        <f t="shared" si="74"/>
        <v>161.72976290000594</v>
      </c>
    </row>
    <row r="449" spans="1:13" ht="39.4" customHeight="1" outlineLevel="1" x14ac:dyDescent="0.3">
      <c r="A449" s="438" t="s">
        <v>92</v>
      </c>
      <c r="B449" s="439" t="s">
        <v>500</v>
      </c>
      <c r="C449" s="439" t="s">
        <v>124</v>
      </c>
      <c r="D449" s="539" t="s">
        <v>432</v>
      </c>
      <c r="E449" s="539" t="s">
        <v>93</v>
      </c>
      <c r="F449" s="540">
        <v>105651.19</v>
      </c>
      <c r="G449" s="465">
        <f>19797344.4+399245.78</f>
        <v>20196590.18</v>
      </c>
      <c r="H449" s="370">
        <v>8539128.2200000007</v>
      </c>
      <c r="I449" s="440">
        <v>20474954.34</v>
      </c>
      <c r="J449" s="510">
        <v>33898492.670000002</v>
      </c>
      <c r="K449" s="510">
        <v>33898492.670000002</v>
      </c>
      <c r="L449" s="436">
        <f t="shared" si="73"/>
        <v>0</v>
      </c>
      <c r="M449" s="498">
        <f t="shared" si="74"/>
        <v>167.84265248679716</v>
      </c>
    </row>
    <row r="450" spans="1:13" ht="47.25" customHeight="1" outlineLevel="1" x14ac:dyDescent="0.3">
      <c r="A450" s="438" t="s">
        <v>97</v>
      </c>
      <c r="B450" s="439" t="s">
        <v>500</v>
      </c>
      <c r="C450" s="439" t="s">
        <v>124</v>
      </c>
      <c r="D450" s="539" t="s">
        <v>432</v>
      </c>
      <c r="E450" s="539" t="s">
        <v>98</v>
      </c>
      <c r="F450" s="540">
        <v>105651.19</v>
      </c>
      <c r="G450" s="465">
        <v>2000000</v>
      </c>
      <c r="H450" s="370">
        <v>1458436.23</v>
      </c>
      <c r="I450" s="440">
        <v>2000000</v>
      </c>
      <c r="J450" s="510">
        <v>2000000</v>
      </c>
      <c r="K450" s="510">
        <v>2000000</v>
      </c>
      <c r="L450" s="436">
        <f t="shared" si="73"/>
        <v>0</v>
      </c>
      <c r="M450" s="498">
        <f t="shared" si="74"/>
        <v>100</v>
      </c>
    </row>
    <row r="451" spans="1:13" ht="84.25" customHeight="1" outlineLevel="1" x14ac:dyDescent="0.3">
      <c r="A451" s="393" t="s">
        <v>760</v>
      </c>
      <c r="B451" s="439" t="s">
        <v>500</v>
      </c>
      <c r="C451" s="439" t="s">
        <v>124</v>
      </c>
      <c r="D451" s="539" t="s">
        <v>792</v>
      </c>
      <c r="E451" s="539" t="s">
        <v>6</v>
      </c>
      <c r="F451" s="540">
        <v>13629136.34</v>
      </c>
      <c r="G451" s="465">
        <f t="shared" ref="G451:K452" si="81">G452</f>
        <v>16214571.039999999</v>
      </c>
      <c r="H451" s="440">
        <f t="shared" si="81"/>
        <v>10015143.42</v>
      </c>
      <c r="I451" s="440">
        <f t="shared" si="81"/>
        <v>16214571.039999999</v>
      </c>
      <c r="J451" s="465">
        <f t="shared" si="81"/>
        <v>21307950</v>
      </c>
      <c r="K451" s="465">
        <f t="shared" si="81"/>
        <v>21307950</v>
      </c>
      <c r="L451" s="436">
        <f t="shared" si="73"/>
        <v>0</v>
      </c>
      <c r="M451" s="498">
        <f t="shared" si="74"/>
        <v>131.41235711654079</v>
      </c>
    </row>
    <row r="452" spans="1:13" ht="42.8" customHeight="1" outlineLevel="1" x14ac:dyDescent="0.3">
      <c r="A452" s="438" t="s">
        <v>264</v>
      </c>
      <c r="B452" s="439" t="s">
        <v>500</v>
      </c>
      <c r="C452" s="439" t="s">
        <v>124</v>
      </c>
      <c r="D452" s="539" t="s">
        <v>792</v>
      </c>
      <c r="E452" s="539" t="s">
        <v>265</v>
      </c>
      <c r="F452" s="540">
        <v>11719309.77</v>
      </c>
      <c r="G452" s="465">
        <f t="shared" si="81"/>
        <v>16214571.039999999</v>
      </c>
      <c r="H452" s="370">
        <v>10015143.42</v>
      </c>
      <c r="I452" s="440">
        <f t="shared" si="81"/>
        <v>16214571.039999999</v>
      </c>
      <c r="J452" s="513">
        <f t="shared" si="81"/>
        <v>21307950</v>
      </c>
      <c r="K452" s="513">
        <f t="shared" si="81"/>
        <v>21307950</v>
      </c>
      <c r="L452" s="436">
        <f t="shared" si="73"/>
        <v>0</v>
      </c>
      <c r="M452" s="498">
        <f t="shared" si="74"/>
        <v>131.41235711654079</v>
      </c>
    </row>
    <row r="453" spans="1:13" ht="28.55" customHeight="1" outlineLevel="1" x14ac:dyDescent="0.3">
      <c r="A453" s="438" t="s">
        <v>266</v>
      </c>
      <c r="B453" s="439" t="s">
        <v>500</v>
      </c>
      <c r="C453" s="439" t="s">
        <v>124</v>
      </c>
      <c r="D453" s="539" t="s">
        <v>792</v>
      </c>
      <c r="E453" s="539" t="s">
        <v>267</v>
      </c>
      <c r="F453" s="540">
        <v>1909826.57</v>
      </c>
      <c r="G453" s="465">
        <v>16214571.039999999</v>
      </c>
      <c r="H453" s="370">
        <v>10015143.42</v>
      </c>
      <c r="I453" s="440">
        <v>16214571.039999999</v>
      </c>
      <c r="J453" s="510">
        <v>21307950</v>
      </c>
      <c r="K453" s="510">
        <v>21307950</v>
      </c>
      <c r="L453" s="436">
        <f t="shared" si="73"/>
        <v>0</v>
      </c>
      <c r="M453" s="498">
        <f t="shared" si="74"/>
        <v>131.41235711654079</v>
      </c>
    </row>
    <row r="454" spans="1:13" ht="99" customHeight="1" outlineLevel="1" x14ac:dyDescent="0.3">
      <c r="A454" s="393" t="s">
        <v>656</v>
      </c>
      <c r="B454" s="439" t="s">
        <v>500</v>
      </c>
      <c r="C454" s="439" t="s">
        <v>124</v>
      </c>
      <c r="D454" s="539" t="s">
        <v>295</v>
      </c>
      <c r="E454" s="539" t="s">
        <v>6</v>
      </c>
      <c r="F454" s="540">
        <v>17208945.620000001</v>
      </c>
      <c r="G454" s="466">
        <f t="shared" ref="G454:K455" si="82">G455</f>
        <v>8915708.4000000004</v>
      </c>
      <c r="H454" s="442">
        <f t="shared" si="82"/>
        <v>0</v>
      </c>
      <c r="I454" s="442">
        <f t="shared" si="82"/>
        <v>20305313.620000001</v>
      </c>
      <c r="J454" s="466">
        <f t="shared" si="82"/>
        <v>26671240.190000001</v>
      </c>
      <c r="K454" s="466">
        <f t="shared" si="82"/>
        <v>26671240.190000001</v>
      </c>
      <c r="L454" s="436">
        <f t="shared" si="73"/>
        <v>0</v>
      </c>
      <c r="M454" s="498">
        <f t="shared" si="74"/>
        <v>299.14886168776002</v>
      </c>
    </row>
    <row r="455" spans="1:13" ht="50.95" outlineLevel="1" x14ac:dyDescent="0.3">
      <c r="A455" s="438" t="s">
        <v>264</v>
      </c>
      <c r="B455" s="439" t="s">
        <v>500</v>
      </c>
      <c r="C455" s="439" t="s">
        <v>124</v>
      </c>
      <c r="D455" s="539" t="s">
        <v>295</v>
      </c>
      <c r="E455" s="539" t="s">
        <v>265</v>
      </c>
      <c r="F455" s="540">
        <v>17208945.620000001</v>
      </c>
      <c r="G455" s="466">
        <f t="shared" si="82"/>
        <v>8915708.4000000004</v>
      </c>
      <c r="H455" s="442">
        <v>0</v>
      </c>
      <c r="I455" s="442">
        <f t="shared" si="82"/>
        <v>20305313.620000001</v>
      </c>
      <c r="J455" s="509">
        <f t="shared" si="82"/>
        <v>26671240.190000001</v>
      </c>
      <c r="K455" s="509">
        <f t="shared" si="82"/>
        <v>26671240.190000001</v>
      </c>
      <c r="L455" s="436">
        <f t="shared" si="73"/>
        <v>0</v>
      </c>
      <c r="M455" s="498">
        <f t="shared" si="74"/>
        <v>299.14886168776002</v>
      </c>
    </row>
    <row r="456" spans="1:13" outlineLevel="1" x14ac:dyDescent="0.3">
      <c r="A456" s="438" t="s">
        <v>266</v>
      </c>
      <c r="B456" s="439" t="s">
        <v>500</v>
      </c>
      <c r="C456" s="439" t="s">
        <v>124</v>
      </c>
      <c r="D456" s="539" t="s">
        <v>295</v>
      </c>
      <c r="E456" s="539" t="s">
        <v>267</v>
      </c>
      <c r="F456" s="540">
        <v>17208945.620000001</v>
      </c>
      <c r="G456" s="465">
        <f>10197469.69-468919.69-812841.6</f>
        <v>8915708.4000000004</v>
      </c>
      <c r="H456" s="440">
        <v>0</v>
      </c>
      <c r="I456" s="440">
        <v>20305313.620000001</v>
      </c>
      <c r="J456" s="510">
        <v>26671240.190000001</v>
      </c>
      <c r="K456" s="510">
        <v>26671240.190000001</v>
      </c>
      <c r="L456" s="436">
        <f t="shared" ref="L456:L519" si="83">K456-J456</f>
        <v>0</v>
      </c>
      <c r="M456" s="498">
        <f t="shared" ref="M456:M519" si="84">J456/G456%</f>
        <v>299.14886168776002</v>
      </c>
    </row>
    <row r="457" spans="1:13" outlineLevel="1" x14ac:dyDescent="0.3">
      <c r="A457" s="444" t="s">
        <v>100</v>
      </c>
      <c r="B457" s="445" t="s">
        <v>500</v>
      </c>
      <c r="C457" s="445" t="s">
        <v>101</v>
      </c>
      <c r="D457" s="541" t="s">
        <v>126</v>
      </c>
      <c r="E457" s="541" t="s">
        <v>6</v>
      </c>
      <c r="F457" s="540">
        <v>710998.64</v>
      </c>
      <c r="G457" s="507">
        <f>G458</f>
        <v>11156395.439999999</v>
      </c>
      <c r="H457" s="448">
        <f>H458</f>
        <v>10079819.859999999</v>
      </c>
      <c r="I457" s="448">
        <f>I458</f>
        <v>1973229.4</v>
      </c>
      <c r="J457" s="507">
        <f>J458</f>
        <v>4204382.26</v>
      </c>
      <c r="K457" s="507">
        <f>K458</f>
        <v>4199318.82</v>
      </c>
      <c r="L457" s="436">
        <f t="shared" si="83"/>
        <v>-5063.4399999994785</v>
      </c>
      <c r="M457" s="498">
        <f t="shared" si="84"/>
        <v>37.685848288647612</v>
      </c>
    </row>
    <row r="458" spans="1:13" ht="22.75" customHeight="1" outlineLevel="1" x14ac:dyDescent="0.3">
      <c r="A458" s="438" t="s">
        <v>301</v>
      </c>
      <c r="B458" s="439" t="s">
        <v>500</v>
      </c>
      <c r="C458" s="439" t="s">
        <v>300</v>
      </c>
      <c r="D458" s="539" t="s">
        <v>126</v>
      </c>
      <c r="E458" s="539" t="s">
        <v>6</v>
      </c>
      <c r="F458" s="540">
        <v>710998.64</v>
      </c>
      <c r="G458" s="466">
        <f>G459+G500</f>
        <v>11156395.439999999</v>
      </c>
      <c r="H458" s="442">
        <f>H459+H500</f>
        <v>10079819.859999999</v>
      </c>
      <c r="I458" s="442">
        <f>I459+I500</f>
        <v>1973229.4</v>
      </c>
      <c r="J458" s="466">
        <f>J459+J500</f>
        <v>4204382.26</v>
      </c>
      <c r="K458" s="466">
        <f>K459+K500</f>
        <v>4199318.82</v>
      </c>
      <c r="L458" s="436">
        <f t="shared" si="83"/>
        <v>-5063.4399999994785</v>
      </c>
      <c r="M458" s="498">
        <f t="shared" si="84"/>
        <v>37.685848288647612</v>
      </c>
    </row>
    <row r="459" spans="1:13" ht="48.75" customHeight="1" outlineLevel="1" x14ac:dyDescent="0.3">
      <c r="A459" s="444" t="s">
        <v>836</v>
      </c>
      <c r="B459" s="445" t="s">
        <v>500</v>
      </c>
      <c r="C459" s="445" t="s">
        <v>300</v>
      </c>
      <c r="D459" s="541" t="s">
        <v>200</v>
      </c>
      <c r="E459" s="541" t="s">
        <v>6</v>
      </c>
      <c r="F459" s="542">
        <v>660998.64</v>
      </c>
      <c r="G459" s="507">
        <f>G460+G484</f>
        <v>11106395.439999999</v>
      </c>
      <c r="H459" s="448">
        <f>H460+H484</f>
        <v>10029819.859999999</v>
      </c>
      <c r="I459" s="448">
        <f>I460+I484</f>
        <v>1923229.4</v>
      </c>
      <c r="J459" s="507">
        <f>J460+J484</f>
        <v>4154382.2600000002</v>
      </c>
      <c r="K459" s="507">
        <f>K460+K484</f>
        <v>4149318.8200000003</v>
      </c>
      <c r="L459" s="436">
        <f t="shared" si="83"/>
        <v>-5063.4399999999441</v>
      </c>
      <c r="M459" s="498">
        <f t="shared" si="84"/>
        <v>37.405315544932556</v>
      </c>
    </row>
    <row r="460" spans="1:13" ht="50.95" outlineLevel="1" x14ac:dyDescent="0.3">
      <c r="A460" s="438" t="s">
        <v>837</v>
      </c>
      <c r="B460" s="439" t="s">
        <v>500</v>
      </c>
      <c r="C460" s="439" t="s">
        <v>300</v>
      </c>
      <c r="D460" s="539" t="s">
        <v>230</v>
      </c>
      <c r="E460" s="539" t="s">
        <v>6</v>
      </c>
      <c r="F460" s="540">
        <v>660998.64</v>
      </c>
      <c r="G460" s="466">
        <f>G461+G466+G469+G472+G475</f>
        <v>9907138.4499999993</v>
      </c>
      <c r="H460" s="442">
        <f>H461+H466+H469+H472+H475</f>
        <v>9833329.7299999986</v>
      </c>
      <c r="I460" s="442">
        <f>I461+I466+I469+I472+I475</f>
        <v>661000</v>
      </c>
      <c r="J460" s="466">
        <f>J461+J466+J469+J472+J475+J478+J481</f>
        <v>777071.62</v>
      </c>
      <c r="K460" s="466">
        <f>K461+K466+K469+K472+K475+K478+K481</f>
        <v>777071.62</v>
      </c>
      <c r="L460" s="436">
        <f t="shared" si="83"/>
        <v>0</v>
      </c>
      <c r="M460" s="498">
        <f t="shared" si="84"/>
        <v>7.8435526456178684</v>
      </c>
    </row>
    <row r="461" spans="1:13" ht="28.55" customHeight="1" outlineLevel="1" x14ac:dyDescent="0.3">
      <c r="A461" s="438" t="s">
        <v>102</v>
      </c>
      <c r="B461" s="439" t="s">
        <v>500</v>
      </c>
      <c r="C461" s="439" t="s">
        <v>300</v>
      </c>
      <c r="D461" s="539" t="s">
        <v>201</v>
      </c>
      <c r="E461" s="539" t="s">
        <v>6</v>
      </c>
      <c r="F461" s="540">
        <v>660998.64</v>
      </c>
      <c r="G461" s="466">
        <f>G462+G464</f>
        <v>704500</v>
      </c>
      <c r="H461" s="442">
        <f>H462+H464</f>
        <v>630691.68000000005</v>
      </c>
      <c r="I461" s="442">
        <f>I462+I464</f>
        <v>661000</v>
      </c>
      <c r="J461" s="466">
        <f>J462+J464</f>
        <v>661000</v>
      </c>
      <c r="K461" s="466">
        <f>K462+K464</f>
        <v>661000</v>
      </c>
      <c r="L461" s="436">
        <f t="shared" si="83"/>
        <v>0</v>
      </c>
      <c r="M461" s="498">
        <f t="shared" si="84"/>
        <v>93.825408090844576</v>
      </c>
    </row>
    <row r="462" spans="1:13" ht="21.25" customHeight="1" outlineLevel="1" x14ac:dyDescent="0.3">
      <c r="A462" s="438" t="s">
        <v>15</v>
      </c>
      <c r="B462" s="439" t="s">
        <v>500</v>
      </c>
      <c r="C462" s="439" t="s">
        <v>300</v>
      </c>
      <c r="D462" s="539" t="s">
        <v>201</v>
      </c>
      <c r="E462" s="539" t="s">
        <v>16</v>
      </c>
      <c r="F462" s="540">
        <v>639298.64</v>
      </c>
      <c r="G462" s="466">
        <f>G463</f>
        <v>674500</v>
      </c>
      <c r="H462" s="370">
        <v>607991.68000000005</v>
      </c>
      <c r="I462" s="442">
        <f>I463</f>
        <v>631000</v>
      </c>
      <c r="J462" s="466">
        <f>J463</f>
        <v>631000</v>
      </c>
      <c r="K462" s="466">
        <f>K463</f>
        <v>631000</v>
      </c>
      <c r="L462" s="436">
        <f t="shared" si="83"/>
        <v>0</v>
      </c>
      <c r="M462" s="498">
        <f t="shared" si="84"/>
        <v>93.550778354336543</v>
      </c>
    </row>
    <row r="463" spans="1:13" s="449" customFormat="1" ht="34" outlineLevel="1" x14ac:dyDescent="0.3">
      <c r="A463" s="438" t="s">
        <v>17</v>
      </c>
      <c r="B463" s="439" t="s">
        <v>500</v>
      </c>
      <c r="C463" s="439" t="s">
        <v>300</v>
      </c>
      <c r="D463" s="539" t="s">
        <v>201</v>
      </c>
      <c r="E463" s="539" t="s">
        <v>18</v>
      </c>
      <c r="F463" s="540">
        <v>639298.64</v>
      </c>
      <c r="G463" s="466">
        <f>[2]потребность!L432-156500</f>
        <v>674500</v>
      </c>
      <c r="H463" s="370">
        <v>607991.68000000005</v>
      </c>
      <c r="I463" s="442">
        <v>631000</v>
      </c>
      <c r="J463" s="507">
        <v>631000</v>
      </c>
      <c r="K463" s="507">
        <v>631000</v>
      </c>
      <c r="L463" s="436">
        <f t="shared" si="83"/>
        <v>0</v>
      </c>
      <c r="M463" s="498">
        <f t="shared" si="84"/>
        <v>93.550778354336543</v>
      </c>
    </row>
    <row r="464" spans="1:13" ht="24.8" customHeight="1" outlineLevel="2" x14ac:dyDescent="0.3">
      <c r="A464" s="438" t="s">
        <v>271</v>
      </c>
      <c r="B464" s="439" t="s">
        <v>500</v>
      </c>
      <c r="C464" s="439" t="s">
        <v>300</v>
      </c>
      <c r="D464" s="539" t="s">
        <v>201</v>
      </c>
      <c r="E464" s="539" t="s">
        <v>20</v>
      </c>
      <c r="F464" s="540">
        <v>21700</v>
      </c>
      <c r="G464" s="466">
        <f>G465</f>
        <v>30000</v>
      </c>
      <c r="H464" s="370">
        <v>22700</v>
      </c>
      <c r="I464" s="442">
        <f>I465</f>
        <v>30000</v>
      </c>
      <c r="J464" s="466">
        <f>J465</f>
        <v>30000</v>
      </c>
      <c r="K464" s="466">
        <f>K465</f>
        <v>30000</v>
      </c>
      <c r="L464" s="436">
        <f t="shared" si="83"/>
        <v>0</v>
      </c>
      <c r="M464" s="498">
        <f t="shared" si="84"/>
        <v>100</v>
      </c>
    </row>
    <row r="465" spans="1:13" s="449" customFormat="1" ht="27.7" customHeight="1" outlineLevel="3" x14ac:dyDescent="0.3">
      <c r="A465" s="438" t="s">
        <v>272</v>
      </c>
      <c r="B465" s="439" t="s">
        <v>500</v>
      </c>
      <c r="C465" s="439" t="s">
        <v>300</v>
      </c>
      <c r="D465" s="539" t="s">
        <v>201</v>
      </c>
      <c r="E465" s="539" t="s">
        <v>22</v>
      </c>
      <c r="F465" s="540">
        <v>21700</v>
      </c>
      <c r="G465" s="466">
        <v>30000</v>
      </c>
      <c r="H465" s="370">
        <v>22700</v>
      </c>
      <c r="I465" s="442">
        <v>30000</v>
      </c>
      <c r="J465" s="507">
        <v>30000</v>
      </c>
      <c r="K465" s="507">
        <v>30000</v>
      </c>
      <c r="L465" s="436">
        <f t="shared" si="83"/>
        <v>0</v>
      </c>
      <c r="M465" s="498">
        <f t="shared" si="84"/>
        <v>100</v>
      </c>
    </row>
    <row r="466" spans="1:13" s="449" customFormat="1" ht="43.5" customHeight="1" outlineLevel="3" x14ac:dyDescent="0.3">
      <c r="A466" s="438" t="s">
        <v>281</v>
      </c>
      <c r="B466" s="439" t="s">
        <v>500</v>
      </c>
      <c r="C466" s="439" t="s">
        <v>300</v>
      </c>
      <c r="D466" s="539" t="s">
        <v>920</v>
      </c>
      <c r="E466" s="539" t="s">
        <v>6</v>
      </c>
      <c r="F466" s="539"/>
      <c r="G466" s="466">
        <f>G467</f>
        <v>6553690</v>
      </c>
      <c r="H466" s="442">
        <f>H467</f>
        <v>6553689.5999999996</v>
      </c>
      <c r="I466" s="442">
        <v>0</v>
      </c>
      <c r="J466" s="466">
        <f>J467</f>
        <v>0</v>
      </c>
      <c r="K466" s="466">
        <f>K467</f>
        <v>0</v>
      </c>
      <c r="L466" s="436">
        <f t="shared" si="83"/>
        <v>0</v>
      </c>
      <c r="M466" s="498">
        <f t="shared" si="84"/>
        <v>0</v>
      </c>
    </row>
    <row r="467" spans="1:13" s="449" customFormat="1" ht="27.7" customHeight="1" outlineLevel="3" x14ac:dyDescent="0.3">
      <c r="A467" s="438" t="s">
        <v>15</v>
      </c>
      <c r="B467" s="439" t="s">
        <v>500</v>
      </c>
      <c r="C467" s="439" t="s">
        <v>300</v>
      </c>
      <c r="D467" s="539" t="s">
        <v>920</v>
      </c>
      <c r="E467" s="539" t="s">
        <v>16</v>
      </c>
      <c r="F467" s="539"/>
      <c r="G467" s="466">
        <f>G468</f>
        <v>6553690</v>
      </c>
      <c r="H467" s="370">
        <v>6553689.5999999996</v>
      </c>
      <c r="I467" s="442">
        <v>0</v>
      </c>
      <c r="J467" s="466">
        <f>J468</f>
        <v>0</v>
      </c>
      <c r="K467" s="466">
        <f>K468</f>
        <v>0</v>
      </c>
      <c r="L467" s="436">
        <f t="shared" si="83"/>
        <v>0</v>
      </c>
      <c r="M467" s="498">
        <f t="shared" si="84"/>
        <v>0</v>
      </c>
    </row>
    <row r="468" spans="1:13" s="449" customFormat="1" ht="49.75" customHeight="1" outlineLevel="3" x14ac:dyDescent="0.3">
      <c r="A468" s="438" t="s">
        <v>17</v>
      </c>
      <c r="B468" s="439" t="s">
        <v>500</v>
      </c>
      <c r="C468" s="439" t="s">
        <v>300</v>
      </c>
      <c r="D468" s="539" t="s">
        <v>920</v>
      </c>
      <c r="E468" s="539" t="s">
        <v>18</v>
      </c>
      <c r="F468" s="539"/>
      <c r="G468" s="466">
        <v>6553690</v>
      </c>
      <c r="H468" s="370">
        <v>6553689.5999999996</v>
      </c>
      <c r="I468" s="442">
        <v>0</v>
      </c>
      <c r="J468" s="507">
        <v>0</v>
      </c>
      <c r="K468" s="507">
        <v>0</v>
      </c>
      <c r="L468" s="436">
        <f t="shared" si="83"/>
        <v>0</v>
      </c>
      <c r="M468" s="498">
        <f t="shared" si="84"/>
        <v>0</v>
      </c>
    </row>
    <row r="469" spans="1:13" s="449" customFormat="1" ht="38.049999999999997" customHeight="1" outlineLevel="3" x14ac:dyDescent="0.3">
      <c r="A469" s="438" t="s">
        <v>919</v>
      </c>
      <c r="B469" s="439" t="s">
        <v>500</v>
      </c>
      <c r="C469" s="439" t="s">
        <v>300</v>
      </c>
      <c r="D469" s="539" t="s">
        <v>921</v>
      </c>
      <c r="E469" s="539" t="s">
        <v>6</v>
      </c>
      <c r="F469" s="539"/>
      <c r="G469" s="466">
        <f>G470</f>
        <v>0</v>
      </c>
      <c r="H469" s="442">
        <f>H470</f>
        <v>0</v>
      </c>
      <c r="I469" s="442">
        <v>0</v>
      </c>
      <c r="J469" s="466">
        <f>J470</f>
        <v>0</v>
      </c>
      <c r="K469" s="466">
        <f>K470</f>
        <v>0</v>
      </c>
      <c r="L469" s="436">
        <f t="shared" si="83"/>
        <v>0</v>
      </c>
      <c r="M469" s="498"/>
    </row>
    <row r="470" spans="1:13" s="449" customFormat="1" ht="27.7" customHeight="1" outlineLevel="3" x14ac:dyDescent="0.3">
      <c r="A470" s="438" t="s">
        <v>15</v>
      </c>
      <c r="B470" s="439" t="s">
        <v>500</v>
      </c>
      <c r="C470" s="439" t="s">
        <v>300</v>
      </c>
      <c r="D470" s="539" t="s">
        <v>921</v>
      </c>
      <c r="E470" s="539" t="s">
        <v>16</v>
      </c>
      <c r="F470" s="539"/>
      <c r="G470" s="466">
        <f>G471</f>
        <v>0</v>
      </c>
      <c r="H470" s="442">
        <f>H471</f>
        <v>0</v>
      </c>
      <c r="I470" s="442">
        <v>0</v>
      </c>
      <c r="J470" s="466">
        <f>J471</f>
        <v>0</v>
      </c>
      <c r="K470" s="466">
        <f>K471</f>
        <v>0</v>
      </c>
      <c r="L470" s="436">
        <f t="shared" si="83"/>
        <v>0</v>
      </c>
      <c r="M470" s="498"/>
    </row>
    <row r="471" spans="1:13" s="449" customFormat="1" ht="41.95" customHeight="1" outlineLevel="3" x14ac:dyDescent="0.3">
      <c r="A471" s="438" t="s">
        <v>17</v>
      </c>
      <c r="B471" s="439" t="s">
        <v>500</v>
      </c>
      <c r="C471" s="439" t="s">
        <v>300</v>
      </c>
      <c r="D471" s="539" t="s">
        <v>921</v>
      </c>
      <c r="E471" s="539" t="s">
        <v>18</v>
      </c>
      <c r="F471" s="539"/>
      <c r="G471" s="466">
        <f>647275.5-317251-330024.5</f>
        <v>0</v>
      </c>
      <c r="H471" s="442">
        <f>647275.5-317251-330024.5</f>
        <v>0</v>
      </c>
      <c r="I471" s="442">
        <v>0</v>
      </c>
      <c r="J471" s="466">
        <f>647275.5-317251-330024.5</f>
        <v>0</v>
      </c>
      <c r="K471" s="466">
        <f>647275.5-317251-330024.5</f>
        <v>0</v>
      </c>
      <c r="L471" s="436">
        <f t="shared" si="83"/>
        <v>0</v>
      </c>
      <c r="M471" s="498"/>
    </row>
    <row r="472" spans="1:13" s="449" customFormat="1" ht="59.8" customHeight="1" outlineLevel="3" x14ac:dyDescent="0.3">
      <c r="A472" s="453" t="s">
        <v>945</v>
      </c>
      <c r="B472" s="439" t="s">
        <v>500</v>
      </c>
      <c r="C472" s="439" t="s">
        <v>300</v>
      </c>
      <c r="D472" s="539" t="s">
        <v>946</v>
      </c>
      <c r="E472" s="539" t="s">
        <v>6</v>
      </c>
      <c r="F472" s="539"/>
      <c r="G472" s="466">
        <f t="shared" ref="G472:K473" si="85">G473</f>
        <v>2569480</v>
      </c>
      <c r="H472" s="442">
        <f t="shared" si="85"/>
        <v>2569480</v>
      </c>
      <c r="I472" s="442">
        <f t="shared" si="85"/>
        <v>0</v>
      </c>
      <c r="J472" s="509">
        <f t="shared" si="85"/>
        <v>0</v>
      </c>
      <c r="K472" s="509">
        <f t="shared" si="85"/>
        <v>0</v>
      </c>
      <c r="L472" s="436">
        <f t="shared" si="83"/>
        <v>0</v>
      </c>
      <c r="M472" s="498">
        <f t="shared" si="84"/>
        <v>0</v>
      </c>
    </row>
    <row r="473" spans="1:13" s="449" customFormat="1" ht="41.95" customHeight="1" outlineLevel="3" x14ac:dyDescent="0.3">
      <c r="A473" s="438" t="s">
        <v>15</v>
      </c>
      <c r="B473" s="439" t="s">
        <v>500</v>
      </c>
      <c r="C473" s="439" t="s">
        <v>300</v>
      </c>
      <c r="D473" s="539" t="s">
        <v>946</v>
      </c>
      <c r="E473" s="539" t="s">
        <v>16</v>
      </c>
      <c r="F473" s="539"/>
      <c r="G473" s="466">
        <f t="shared" si="85"/>
        <v>2569480</v>
      </c>
      <c r="H473" s="370">
        <v>2569480</v>
      </c>
      <c r="I473" s="442">
        <f t="shared" si="85"/>
        <v>0</v>
      </c>
      <c r="J473" s="466">
        <f t="shared" si="85"/>
        <v>0</v>
      </c>
      <c r="K473" s="466">
        <f t="shared" si="85"/>
        <v>0</v>
      </c>
      <c r="L473" s="436">
        <f t="shared" si="83"/>
        <v>0</v>
      </c>
      <c r="M473" s="498">
        <f t="shared" si="84"/>
        <v>0</v>
      </c>
    </row>
    <row r="474" spans="1:13" s="449" customFormat="1" ht="27.7" customHeight="1" outlineLevel="3" x14ac:dyDescent="0.3">
      <c r="A474" s="438" t="s">
        <v>17</v>
      </c>
      <c r="B474" s="439" t="s">
        <v>500</v>
      </c>
      <c r="C474" s="439" t="s">
        <v>300</v>
      </c>
      <c r="D474" s="539" t="s">
        <v>946</v>
      </c>
      <c r="E474" s="539" t="s">
        <v>18</v>
      </c>
      <c r="F474" s="539"/>
      <c r="G474" s="466">
        <v>2569480</v>
      </c>
      <c r="H474" s="370">
        <v>2569480</v>
      </c>
      <c r="I474" s="442">
        <v>0</v>
      </c>
      <c r="J474" s="514">
        <v>0</v>
      </c>
      <c r="K474" s="514">
        <v>0</v>
      </c>
      <c r="L474" s="436">
        <f t="shared" si="83"/>
        <v>0</v>
      </c>
      <c r="M474" s="498">
        <f t="shared" si="84"/>
        <v>0</v>
      </c>
    </row>
    <row r="475" spans="1:13" s="449" customFormat="1" ht="44.5" customHeight="1" outlineLevel="3" x14ac:dyDescent="0.3">
      <c r="A475" s="438" t="s">
        <v>943</v>
      </c>
      <c r="B475" s="439" t="s">
        <v>500</v>
      </c>
      <c r="C475" s="439" t="s">
        <v>300</v>
      </c>
      <c r="D475" s="539" t="s">
        <v>944</v>
      </c>
      <c r="E475" s="539" t="s">
        <v>6</v>
      </c>
      <c r="F475" s="539"/>
      <c r="G475" s="466">
        <f t="shared" ref="G475:K476" si="86">G476</f>
        <v>79468.45</v>
      </c>
      <c r="H475" s="442">
        <f t="shared" si="86"/>
        <v>79468.45</v>
      </c>
      <c r="I475" s="442">
        <f t="shared" si="86"/>
        <v>0</v>
      </c>
      <c r="J475" s="466">
        <f t="shared" si="86"/>
        <v>0</v>
      </c>
      <c r="K475" s="466">
        <f t="shared" si="86"/>
        <v>0</v>
      </c>
      <c r="L475" s="436">
        <f t="shared" si="83"/>
        <v>0</v>
      </c>
      <c r="M475" s="498">
        <f t="shared" si="84"/>
        <v>0</v>
      </c>
    </row>
    <row r="476" spans="1:13" s="449" customFormat="1" ht="27.7" customHeight="1" outlineLevel="3" x14ac:dyDescent="0.3">
      <c r="A476" s="438" t="s">
        <v>15</v>
      </c>
      <c r="B476" s="439" t="s">
        <v>500</v>
      </c>
      <c r="C476" s="439" t="s">
        <v>300</v>
      </c>
      <c r="D476" s="539" t="s">
        <v>944</v>
      </c>
      <c r="E476" s="539" t="s">
        <v>16</v>
      </c>
      <c r="F476" s="539"/>
      <c r="G476" s="466">
        <f t="shared" si="86"/>
        <v>79468.45</v>
      </c>
      <c r="H476" s="371">
        <v>79468.45</v>
      </c>
      <c r="I476" s="442">
        <f t="shared" si="86"/>
        <v>0</v>
      </c>
      <c r="J476" s="466">
        <f t="shared" si="86"/>
        <v>0</v>
      </c>
      <c r="K476" s="466">
        <f t="shared" si="86"/>
        <v>0</v>
      </c>
      <c r="L476" s="436">
        <f t="shared" si="83"/>
        <v>0</v>
      </c>
      <c r="M476" s="498">
        <f t="shared" si="84"/>
        <v>0</v>
      </c>
    </row>
    <row r="477" spans="1:13" s="449" customFormat="1" ht="55.7" customHeight="1" outlineLevel="3" x14ac:dyDescent="0.3">
      <c r="A477" s="438" t="s">
        <v>17</v>
      </c>
      <c r="B477" s="439" t="s">
        <v>500</v>
      </c>
      <c r="C477" s="439" t="s">
        <v>300</v>
      </c>
      <c r="D477" s="539" t="s">
        <v>944</v>
      </c>
      <c r="E477" s="539" t="s">
        <v>18</v>
      </c>
      <c r="F477" s="539"/>
      <c r="G477" s="466">
        <v>79468.45</v>
      </c>
      <c r="H477" s="371">
        <v>79468.45</v>
      </c>
      <c r="I477" s="442">
        <v>0</v>
      </c>
      <c r="J477" s="507">
        <v>0</v>
      </c>
      <c r="K477" s="507">
        <v>0</v>
      </c>
      <c r="L477" s="436">
        <f t="shared" si="83"/>
        <v>0</v>
      </c>
      <c r="M477" s="498">
        <f t="shared" si="84"/>
        <v>0</v>
      </c>
    </row>
    <row r="478" spans="1:13" s="449" customFormat="1" ht="44.85" customHeight="1" outlineLevel="3" x14ac:dyDescent="0.3">
      <c r="A478" s="467" t="s">
        <v>989</v>
      </c>
      <c r="B478" s="439" t="s">
        <v>500</v>
      </c>
      <c r="C478" s="439" t="s">
        <v>300</v>
      </c>
      <c r="D478" s="539" t="s">
        <v>1017</v>
      </c>
      <c r="E478" s="539" t="s">
        <v>6</v>
      </c>
      <c r="F478" s="539"/>
      <c r="G478" s="466"/>
      <c r="H478" s="371"/>
      <c r="I478" s="442"/>
      <c r="J478" s="516">
        <f>J479</f>
        <v>112589.47</v>
      </c>
      <c r="K478" s="516">
        <f>K479</f>
        <v>112589.47</v>
      </c>
      <c r="L478" s="436">
        <f t="shared" si="83"/>
        <v>0</v>
      </c>
      <c r="M478" s="498"/>
    </row>
    <row r="479" spans="1:13" s="449" customFormat="1" ht="44.15" customHeight="1" outlineLevel="3" x14ac:dyDescent="0.3">
      <c r="A479" s="438" t="s">
        <v>15</v>
      </c>
      <c r="B479" s="439" t="s">
        <v>500</v>
      </c>
      <c r="C479" s="439" t="s">
        <v>300</v>
      </c>
      <c r="D479" s="539" t="s">
        <v>1017</v>
      </c>
      <c r="E479" s="539" t="s">
        <v>16</v>
      </c>
      <c r="F479" s="539"/>
      <c r="G479" s="466"/>
      <c r="H479" s="371"/>
      <c r="I479" s="442"/>
      <c r="J479" s="507">
        <f>J480</f>
        <v>112589.47</v>
      </c>
      <c r="K479" s="507">
        <f>K480</f>
        <v>112589.47</v>
      </c>
      <c r="L479" s="436">
        <f t="shared" si="83"/>
        <v>0</v>
      </c>
      <c r="M479" s="498"/>
    </row>
    <row r="480" spans="1:13" s="449" customFormat="1" ht="50.3" customHeight="1" outlineLevel="3" x14ac:dyDescent="0.3">
      <c r="A480" s="438" t="s">
        <v>17</v>
      </c>
      <c r="B480" s="439" t="s">
        <v>500</v>
      </c>
      <c r="C480" s="439" t="s">
        <v>300</v>
      </c>
      <c r="D480" s="539" t="s">
        <v>1017</v>
      </c>
      <c r="E480" s="539" t="s">
        <v>18</v>
      </c>
      <c r="F480" s="539"/>
      <c r="G480" s="466"/>
      <c r="H480" s="371"/>
      <c r="I480" s="442"/>
      <c r="J480" s="466">
        <v>112589.47</v>
      </c>
      <c r="K480" s="466">
        <v>112589.47</v>
      </c>
      <c r="L480" s="436">
        <f t="shared" si="83"/>
        <v>0</v>
      </c>
      <c r="M480" s="498"/>
    </row>
    <row r="481" spans="1:13" s="449" customFormat="1" ht="53.7" customHeight="1" outlineLevel="3" x14ac:dyDescent="0.3">
      <c r="A481" s="438" t="s">
        <v>1018</v>
      </c>
      <c r="B481" s="439" t="s">
        <v>500</v>
      </c>
      <c r="C481" s="439" t="s">
        <v>300</v>
      </c>
      <c r="D481" s="539" t="s">
        <v>1019</v>
      </c>
      <c r="E481" s="539" t="s">
        <v>6</v>
      </c>
      <c r="F481" s="539"/>
      <c r="G481" s="466"/>
      <c r="H481" s="371"/>
      <c r="I481" s="442"/>
      <c r="J481" s="466">
        <f>J482</f>
        <v>3482.15</v>
      </c>
      <c r="K481" s="466">
        <f>K482</f>
        <v>3482.15</v>
      </c>
      <c r="L481" s="436">
        <f t="shared" si="83"/>
        <v>0</v>
      </c>
      <c r="M481" s="498"/>
    </row>
    <row r="482" spans="1:13" s="449" customFormat="1" ht="36" customHeight="1" outlineLevel="3" x14ac:dyDescent="0.3">
      <c r="A482" s="438" t="s">
        <v>15</v>
      </c>
      <c r="B482" s="439" t="s">
        <v>500</v>
      </c>
      <c r="C482" s="439" t="s">
        <v>300</v>
      </c>
      <c r="D482" s="539" t="s">
        <v>1019</v>
      </c>
      <c r="E482" s="539" t="s">
        <v>16</v>
      </c>
      <c r="F482" s="539"/>
      <c r="G482" s="466"/>
      <c r="H482" s="371"/>
      <c r="I482" s="442"/>
      <c r="J482" s="466">
        <f>J483</f>
        <v>3482.15</v>
      </c>
      <c r="K482" s="466">
        <f>K483</f>
        <v>3482.15</v>
      </c>
      <c r="L482" s="436">
        <f t="shared" si="83"/>
        <v>0</v>
      </c>
      <c r="M482" s="498"/>
    </row>
    <row r="483" spans="1:13" s="449" customFormat="1" ht="47.9" customHeight="1" outlineLevel="3" x14ac:dyDescent="0.3">
      <c r="A483" s="438" t="s">
        <v>17</v>
      </c>
      <c r="B483" s="439" t="s">
        <v>500</v>
      </c>
      <c r="C483" s="439" t="s">
        <v>300</v>
      </c>
      <c r="D483" s="539" t="s">
        <v>1019</v>
      </c>
      <c r="E483" s="539" t="s">
        <v>18</v>
      </c>
      <c r="F483" s="539"/>
      <c r="G483" s="466"/>
      <c r="H483" s="371"/>
      <c r="I483" s="442"/>
      <c r="J483" s="466">
        <v>3482.15</v>
      </c>
      <c r="K483" s="466">
        <v>3482.15</v>
      </c>
      <c r="L483" s="436">
        <f t="shared" si="83"/>
        <v>0</v>
      </c>
      <c r="M483" s="498"/>
    </row>
    <row r="484" spans="1:13" ht="31.75" customHeight="1" outlineLevel="4" x14ac:dyDescent="0.3">
      <c r="A484" s="438" t="s">
        <v>378</v>
      </c>
      <c r="B484" s="439" t="s">
        <v>500</v>
      </c>
      <c r="C484" s="439" t="s">
        <v>300</v>
      </c>
      <c r="D484" s="539" t="s">
        <v>303</v>
      </c>
      <c r="E484" s="539" t="s">
        <v>6</v>
      </c>
      <c r="F484" s="539"/>
      <c r="G484" s="465">
        <f>G485+G488+G491</f>
        <v>1199256.99</v>
      </c>
      <c r="H484" s="440">
        <f>H485+H488+H491</f>
        <v>196490.13</v>
      </c>
      <c r="I484" s="440">
        <f>I485+I488+I491+I494+I497</f>
        <v>1262229.3999999999</v>
      </c>
      <c r="J484" s="465">
        <f>J485+J488+J491+J494+J497</f>
        <v>3377310.64</v>
      </c>
      <c r="K484" s="465">
        <f>K485+K488+K491+K494+K497</f>
        <v>3372247.2</v>
      </c>
      <c r="L484" s="436">
        <f t="shared" si="83"/>
        <v>-5063.4399999999441</v>
      </c>
      <c r="M484" s="498">
        <f t="shared" si="84"/>
        <v>281.61692349193646</v>
      </c>
    </row>
    <row r="485" spans="1:13" ht="49.75" customHeight="1" outlineLevel="5" x14ac:dyDescent="0.3">
      <c r="A485" s="438" t="s">
        <v>281</v>
      </c>
      <c r="B485" s="439" t="s">
        <v>500</v>
      </c>
      <c r="C485" s="439" t="s">
        <v>300</v>
      </c>
      <c r="D485" s="539" t="s">
        <v>302</v>
      </c>
      <c r="E485" s="539" t="s">
        <v>6</v>
      </c>
      <c r="F485" s="539"/>
      <c r="G485" s="465">
        <f t="shared" ref="G485:K486" si="87">G486</f>
        <v>0</v>
      </c>
      <c r="H485" s="440">
        <f t="shared" si="87"/>
        <v>0</v>
      </c>
      <c r="I485" s="440">
        <f t="shared" si="87"/>
        <v>1093747.2</v>
      </c>
      <c r="J485" s="465">
        <f t="shared" si="87"/>
        <v>1093747.2</v>
      </c>
      <c r="K485" s="465">
        <f t="shared" si="87"/>
        <v>1093747.2</v>
      </c>
      <c r="L485" s="436">
        <f t="shared" si="83"/>
        <v>0</v>
      </c>
      <c r="M485" s="498"/>
    </row>
    <row r="486" spans="1:13" ht="50.95" outlineLevel="6" x14ac:dyDescent="0.3">
      <c r="A486" s="438" t="s">
        <v>264</v>
      </c>
      <c r="B486" s="439" t="s">
        <v>500</v>
      </c>
      <c r="C486" s="439" t="s">
        <v>300</v>
      </c>
      <c r="D486" s="539" t="s">
        <v>302</v>
      </c>
      <c r="E486" s="539" t="s">
        <v>265</v>
      </c>
      <c r="F486" s="539"/>
      <c r="G486" s="465">
        <f t="shared" si="87"/>
        <v>0</v>
      </c>
      <c r="H486" s="440">
        <f t="shared" si="87"/>
        <v>0</v>
      </c>
      <c r="I486" s="440">
        <f t="shared" si="87"/>
        <v>1093747.2</v>
      </c>
      <c r="J486" s="465">
        <f t="shared" si="87"/>
        <v>1093747.2</v>
      </c>
      <c r="K486" s="465">
        <f t="shared" si="87"/>
        <v>1093747.2</v>
      </c>
      <c r="L486" s="436">
        <f t="shared" si="83"/>
        <v>0</v>
      </c>
      <c r="M486" s="498"/>
    </row>
    <row r="487" spans="1:13" outlineLevel="7" x14ac:dyDescent="0.3">
      <c r="A487" s="438" t="s">
        <v>266</v>
      </c>
      <c r="B487" s="439" t="s">
        <v>500</v>
      </c>
      <c r="C487" s="439" t="s">
        <v>300</v>
      </c>
      <c r="D487" s="539" t="s">
        <v>302</v>
      </c>
      <c r="E487" s="539" t="s">
        <v>267</v>
      </c>
      <c r="F487" s="539"/>
      <c r="G487" s="466">
        <f>1127310-1127310</f>
        <v>0</v>
      </c>
      <c r="H487" s="442">
        <f>1127310-1127310</f>
        <v>0</v>
      </c>
      <c r="I487" s="442">
        <v>1093747.2</v>
      </c>
      <c r="J487" s="466">
        <v>1093747.2</v>
      </c>
      <c r="K487" s="466">
        <v>1093747.2</v>
      </c>
      <c r="L487" s="436">
        <f t="shared" si="83"/>
        <v>0</v>
      </c>
      <c r="M487" s="498"/>
    </row>
    <row r="488" spans="1:13" ht="50.95" outlineLevel="7" x14ac:dyDescent="0.3">
      <c r="A488" s="438" t="s">
        <v>788</v>
      </c>
      <c r="B488" s="439" t="s">
        <v>500</v>
      </c>
      <c r="C488" s="439" t="s">
        <v>300</v>
      </c>
      <c r="D488" s="539" t="s">
        <v>1022</v>
      </c>
      <c r="E488" s="539" t="s">
        <v>6</v>
      </c>
      <c r="F488" s="539"/>
      <c r="G488" s="466">
        <f>G489</f>
        <v>703249.99</v>
      </c>
      <c r="H488" s="442">
        <f>H489</f>
        <v>190595.43</v>
      </c>
      <c r="I488" s="442">
        <v>0</v>
      </c>
      <c r="J488" s="509">
        <f>J489</f>
        <v>2210145</v>
      </c>
      <c r="K488" s="509">
        <f>K489</f>
        <v>2210145</v>
      </c>
      <c r="L488" s="436">
        <f t="shared" si="83"/>
        <v>0</v>
      </c>
      <c r="M488" s="498">
        <f t="shared" si="84"/>
        <v>314.27586653787228</v>
      </c>
    </row>
    <row r="489" spans="1:13" ht="34" outlineLevel="7" x14ac:dyDescent="0.3">
      <c r="A489" s="438" t="s">
        <v>15</v>
      </c>
      <c r="B489" s="439" t="s">
        <v>500</v>
      </c>
      <c r="C489" s="439" t="s">
        <v>300</v>
      </c>
      <c r="D489" s="539" t="s">
        <v>764</v>
      </c>
      <c r="E489" s="539" t="s">
        <v>16</v>
      </c>
      <c r="F489" s="539"/>
      <c r="G489" s="466">
        <f>G490</f>
        <v>703249.99</v>
      </c>
      <c r="H489" s="370">
        <v>190595.43</v>
      </c>
      <c r="I489" s="442">
        <v>0</v>
      </c>
      <c r="J489" s="466">
        <f>J490</f>
        <v>2210145</v>
      </c>
      <c r="K489" s="466">
        <f>K490</f>
        <v>2210145</v>
      </c>
      <c r="L489" s="436">
        <f t="shared" si="83"/>
        <v>0</v>
      </c>
      <c r="M489" s="498">
        <f t="shared" si="84"/>
        <v>314.27586653787228</v>
      </c>
    </row>
    <row r="490" spans="1:13" ht="34" outlineLevel="7" x14ac:dyDescent="0.3">
      <c r="A490" s="438" t="s">
        <v>17</v>
      </c>
      <c r="B490" s="439" t="s">
        <v>500</v>
      </c>
      <c r="C490" s="439" t="s">
        <v>300</v>
      </c>
      <c r="D490" s="539" t="s">
        <v>764</v>
      </c>
      <c r="E490" s="539" t="s">
        <v>18</v>
      </c>
      <c r="F490" s="539"/>
      <c r="G490" s="466">
        <f>[2]потребность!I441+0.99</f>
        <v>703249.99</v>
      </c>
      <c r="H490" s="370">
        <v>190595.43</v>
      </c>
      <c r="I490" s="442">
        <v>0</v>
      </c>
      <c r="J490" s="510">
        <v>2210145</v>
      </c>
      <c r="K490" s="510">
        <v>2210145</v>
      </c>
      <c r="L490" s="436">
        <f t="shared" si="83"/>
        <v>0</v>
      </c>
      <c r="M490" s="498">
        <f t="shared" si="84"/>
        <v>314.27586653787228</v>
      </c>
    </row>
    <row r="491" spans="1:13" ht="67.95" outlineLevel="7" x14ac:dyDescent="0.3">
      <c r="A491" s="438" t="s">
        <v>911</v>
      </c>
      <c r="B491" s="439" t="s">
        <v>500</v>
      </c>
      <c r="C491" s="439" t="s">
        <v>300</v>
      </c>
      <c r="D491" s="539" t="s">
        <v>1023</v>
      </c>
      <c r="E491" s="539" t="s">
        <v>6</v>
      </c>
      <c r="F491" s="539"/>
      <c r="G491" s="466">
        <f>G492</f>
        <v>496007</v>
      </c>
      <c r="H491" s="442">
        <f>H492</f>
        <v>5894.7</v>
      </c>
      <c r="I491" s="442">
        <v>0</v>
      </c>
      <c r="J491" s="512">
        <f>J492</f>
        <v>68355</v>
      </c>
      <c r="K491" s="512">
        <f>K492</f>
        <v>68355</v>
      </c>
      <c r="L491" s="436">
        <f t="shared" si="83"/>
        <v>0</v>
      </c>
      <c r="M491" s="498">
        <f t="shared" si="84"/>
        <v>13.781055509297248</v>
      </c>
    </row>
    <row r="492" spans="1:13" ht="34" outlineLevel="7" x14ac:dyDescent="0.3">
      <c r="A492" s="438" t="s">
        <v>15</v>
      </c>
      <c r="B492" s="439" t="s">
        <v>500</v>
      </c>
      <c r="C492" s="439" t="s">
        <v>300</v>
      </c>
      <c r="D492" s="539" t="s">
        <v>769</v>
      </c>
      <c r="E492" s="539" t="s">
        <v>16</v>
      </c>
      <c r="F492" s="539"/>
      <c r="G492" s="466">
        <f>G493</f>
        <v>496007</v>
      </c>
      <c r="H492" s="370">
        <v>5894.7</v>
      </c>
      <c r="I492" s="442">
        <v>0</v>
      </c>
      <c r="J492" s="512">
        <f>J493</f>
        <v>68355</v>
      </c>
      <c r="K492" s="512">
        <f>K493</f>
        <v>68355</v>
      </c>
      <c r="L492" s="436">
        <f t="shared" si="83"/>
        <v>0</v>
      </c>
      <c r="M492" s="498">
        <f t="shared" si="84"/>
        <v>13.781055509297248</v>
      </c>
    </row>
    <row r="493" spans="1:13" ht="25.5" customHeight="1" outlineLevel="7" x14ac:dyDescent="0.3">
      <c r="A493" s="438" t="s">
        <v>17</v>
      </c>
      <c r="B493" s="439" t="s">
        <v>500</v>
      </c>
      <c r="C493" s="439" t="s">
        <v>300</v>
      </c>
      <c r="D493" s="539" t="s">
        <v>769</v>
      </c>
      <c r="E493" s="539" t="s">
        <v>18</v>
      </c>
      <c r="F493" s="539"/>
      <c r="G493" s="466">
        <f>22000+156756+317251</f>
        <v>496007</v>
      </c>
      <c r="H493" s="370">
        <v>5894.7</v>
      </c>
      <c r="I493" s="442">
        <v>0</v>
      </c>
      <c r="J493" s="512">
        <v>68355</v>
      </c>
      <c r="K493" s="512">
        <v>68355</v>
      </c>
      <c r="L493" s="436">
        <f t="shared" si="83"/>
        <v>0</v>
      </c>
      <c r="M493" s="498">
        <f t="shared" si="84"/>
        <v>13.781055509297248</v>
      </c>
    </row>
    <row r="494" spans="1:13" ht="61.15" hidden="1" customHeight="1" outlineLevel="7" x14ac:dyDescent="0.3">
      <c r="A494" s="438" t="s">
        <v>771</v>
      </c>
      <c r="B494" s="439" t="s">
        <v>500</v>
      </c>
      <c r="C494" s="439" t="s">
        <v>300</v>
      </c>
      <c r="D494" s="539" t="s">
        <v>796</v>
      </c>
      <c r="E494" s="548" t="s">
        <v>6</v>
      </c>
      <c r="F494" s="548"/>
      <c r="G494" s="466">
        <v>0</v>
      </c>
      <c r="H494" s="442">
        <v>0</v>
      </c>
      <c r="I494" s="442">
        <f t="shared" ref="I494:K495" si="88">I495</f>
        <v>163718</v>
      </c>
      <c r="J494" s="509">
        <f t="shared" si="88"/>
        <v>0</v>
      </c>
      <c r="K494" s="509">
        <f t="shared" si="88"/>
        <v>0</v>
      </c>
      <c r="L494" s="436">
        <f t="shared" si="83"/>
        <v>0</v>
      </c>
      <c r="M494" s="498"/>
    </row>
    <row r="495" spans="1:13" ht="25.5" hidden="1" customHeight="1" outlineLevel="7" x14ac:dyDescent="0.3">
      <c r="A495" s="438" t="s">
        <v>15</v>
      </c>
      <c r="B495" s="439" t="s">
        <v>500</v>
      </c>
      <c r="C495" s="439" t="s">
        <v>300</v>
      </c>
      <c r="D495" s="539" t="s">
        <v>796</v>
      </c>
      <c r="E495" s="548" t="s">
        <v>16</v>
      </c>
      <c r="F495" s="548"/>
      <c r="G495" s="466">
        <v>0</v>
      </c>
      <c r="H495" s="442">
        <v>0</v>
      </c>
      <c r="I495" s="442">
        <f t="shared" si="88"/>
        <v>163718</v>
      </c>
      <c r="J495" s="466">
        <f t="shared" si="88"/>
        <v>0</v>
      </c>
      <c r="K495" s="466">
        <f t="shared" si="88"/>
        <v>0</v>
      </c>
      <c r="L495" s="436">
        <f t="shared" si="83"/>
        <v>0</v>
      </c>
      <c r="M495" s="498"/>
    </row>
    <row r="496" spans="1:13" ht="42.45" hidden="1" customHeight="1" outlineLevel="7" x14ac:dyDescent="0.3">
      <c r="A496" s="438" t="s">
        <v>17</v>
      </c>
      <c r="B496" s="439" t="s">
        <v>500</v>
      </c>
      <c r="C496" s="439" t="s">
        <v>300</v>
      </c>
      <c r="D496" s="539" t="s">
        <v>796</v>
      </c>
      <c r="E496" s="548" t="s">
        <v>18</v>
      </c>
      <c r="F496" s="548"/>
      <c r="G496" s="466">
        <v>0</v>
      </c>
      <c r="H496" s="442">
        <v>0</v>
      </c>
      <c r="I496" s="442">
        <v>163718</v>
      </c>
      <c r="J496" s="510"/>
      <c r="K496" s="510"/>
      <c r="L496" s="436">
        <f t="shared" si="83"/>
        <v>0</v>
      </c>
      <c r="M496" s="498"/>
    </row>
    <row r="497" spans="1:13" ht="78.8" hidden="1" customHeight="1" outlineLevel="7" x14ac:dyDescent="0.3">
      <c r="A497" s="438" t="s">
        <v>1024</v>
      </c>
      <c r="B497" s="439" t="s">
        <v>500</v>
      </c>
      <c r="C497" s="439" t="s">
        <v>300</v>
      </c>
      <c r="D497" s="539" t="s">
        <v>797</v>
      </c>
      <c r="E497" s="548" t="s">
        <v>6</v>
      </c>
      <c r="F497" s="548"/>
      <c r="G497" s="466">
        <v>0</v>
      </c>
      <c r="H497" s="442">
        <v>0</v>
      </c>
      <c r="I497" s="459">
        <f t="shared" ref="I497:K498" si="89">I498</f>
        <v>4764.2</v>
      </c>
      <c r="J497" s="466">
        <f t="shared" si="89"/>
        <v>5063.4399999999996</v>
      </c>
      <c r="K497" s="466">
        <f t="shared" si="89"/>
        <v>0</v>
      </c>
      <c r="L497" s="436">
        <f t="shared" si="83"/>
        <v>-5063.4399999999996</v>
      </c>
      <c r="M497" s="498"/>
    </row>
    <row r="498" spans="1:13" ht="25.15" hidden="1" customHeight="1" outlineLevel="7" x14ac:dyDescent="0.3">
      <c r="A498" s="438" t="s">
        <v>15</v>
      </c>
      <c r="B498" s="439" t="s">
        <v>500</v>
      </c>
      <c r="C498" s="439" t="s">
        <v>300</v>
      </c>
      <c r="D498" s="539" t="s">
        <v>797</v>
      </c>
      <c r="E498" s="548" t="s">
        <v>16</v>
      </c>
      <c r="F498" s="548"/>
      <c r="G498" s="466">
        <v>0</v>
      </c>
      <c r="H498" s="442">
        <v>0</v>
      </c>
      <c r="I498" s="459">
        <f t="shared" si="89"/>
        <v>4764.2</v>
      </c>
      <c r="J498" s="466">
        <f t="shared" si="89"/>
        <v>5063.4399999999996</v>
      </c>
      <c r="K498" s="466">
        <f t="shared" si="89"/>
        <v>0</v>
      </c>
      <c r="L498" s="436">
        <f t="shared" si="83"/>
        <v>-5063.4399999999996</v>
      </c>
      <c r="M498" s="498"/>
    </row>
    <row r="499" spans="1:13" ht="26.5" hidden="1" customHeight="1" outlineLevel="7" x14ac:dyDescent="0.3">
      <c r="A499" s="438" t="s">
        <v>17</v>
      </c>
      <c r="B499" s="439" t="s">
        <v>500</v>
      </c>
      <c r="C499" s="439" t="s">
        <v>300</v>
      </c>
      <c r="D499" s="551" t="s">
        <v>797</v>
      </c>
      <c r="E499" s="548" t="s">
        <v>18</v>
      </c>
      <c r="F499" s="548"/>
      <c r="G499" s="466">
        <v>0</v>
      </c>
      <c r="H499" s="442">
        <v>0</v>
      </c>
      <c r="I499" s="459">
        <v>4764.2</v>
      </c>
      <c r="J499" s="466">
        <v>5063.4399999999996</v>
      </c>
      <c r="K499" s="466">
        <v>0</v>
      </c>
      <c r="L499" s="436">
        <f t="shared" si="83"/>
        <v>-5063.4399999999996</v>
      </c>
      <c r="M499" s="498"/>
    </row>
    <row r="500" spans="1:13" s="437" customFormat="1" ht="66.75" customHeight="1" collapsed="1" x14ac:dyDescent="0.3">
      <c r="A500" s="451" t="s">
        <v>828</v>
      </c>
      <c r="B500" s="445" t="s">
        <v>500</v>
      </c>
      <c r="C500" s="445" t="s">
        <v>300</v>
      </c>
      <c r="D500" s="541" t="s">
        <v>463</v>
      </c>
      <c r="E500" s="541" t="s">
        <v>6</v>
      </c>
      <c r="F500" s="542">
        <v>50000</v>
      </c>
      <c r="G500" s="465">
        <f t="shared" ref="G500:K503" si="90">G501</f>
        <v>50000</v>
      </c>
      <c r="H500" s="440">
        <f t="shared" si="90"/>
        <v>50000</v>
      </c>
      <c r="I500" s="440">
        <f t="shared" si="90"/>
        <v>50000</v>
      </c>
      <c r="J500" s="465">
        <f t="shared" si="90"/>
        <v>50000</v>
      </c>
      <c r="K500" s="465">
        <f t="shared" si="90"/>
        <v>50000</v>
      </c>
      <c r="L500" s="436">
        <f t="shared" si="83"/>
        <v>0</v>
      </c>
      <c r="M500" s="498">
        <f t="shared" si="84"/>
        <v>100</v>
      </c>
    </row>
    <row r="501" spans="1:13" outlineLevel="1" x14ac:dyDescent="0.3">
      <c r="A501" s="468" t="s">
        <v>464</v>
      </c>
      <c r="B501" s="439" t="s">
        <v>500</v>
      </c>
      <c r="C501" s="439" t="s">
        <v>300</v>
      </c>
      <c r="D501" s="539" t="s">
        <v>465</v>
      </c>
      <c r="E501" s="539" t="s">
        <v>6</v>
      </c>
      <c r="F501" s="540">
        <v>50000</v>
      </c>
      <c r="G501" s="465">
        <f t="shared" si="90"/>
        <v>50000</v>
      </c>
      <c r="H501" s="440">
        <f t="shared" si="90"/>
        <v>50000</v>
      </c>
      <c r="I501" s="440">
        <f t="shared" si="90"/>
        <v>50000</v>
      </c>
      <c r="J501" s="465">
        <f t="shared" si="90"/>
        <v>50000</v>
      </c>
      <c r="K501" s="465">
        <f t="shared" si="90"/>
        <v>50000</v>
      </c>
      <c r="L501" s="436">
        <f t="shared" si="83"/>
        <v>0</v>
      </c>
      <c r="M501" s="498">
        <f t="shared" si="84"/>
        <v>100</v>
      </c>
    </row>
    <row r="502" spans="1:13" ht="37.549999999999997" customHeight="1" outlineLevel="2" x14ac:dyDescent="0.3">
      <c r="A502" s="438" t="s">
        <v>466</v>
      </c>
      <c r="B502" s="439" t="s">
        <v>500</v>
      </c>
      <c r="C502" s="439" t="s">
        <v>300</v>
      </c>
      <c r="D502" s="539" t="s">
        <v>467</v>
      </c>
      <c r="E502" s="539" t="s">
        <v>6</v>
      </c>
      <c r="F502" s="540">
        <v>50000</v>
      </c>
      <c r="G502" s="465">
        <f t="shared" si="90"/>
        <v>50000</v>
      </c>
      <c r="H502" s="440">
        <f t="shared" si="90"/>
        <v>50000</v>
      </c>
      <c r="I502" s="440">
        <f t="shared" si="90"/>
        <v>50000</v>
      </c>
      <c r="J502" s="465">
        <f t="shared" si="90"/>
        <v>50000</v>
      </c>
      <c r="K502" s="465">
        <f t="shared" si="90"/>
        <v>50000</v>
      </c>
      <c r="L502" s="436">
        <f t="shared" si="83"/>
        <v>0</v>
      </c>
      <c r="M502" s="498">
        <f t="shared" si="84"/>
        <v>100</v>
      </c>
    </row>
    <row r="503" spans="1:13" ht="34" outlineLevel="4" x14ac:dyDescent="0.3">
      <c r="A503" s="438" t="s">
        <v>15</v>
      </c>
      <c r="B503" s="439" t="s">
        <v>500</v>
      </c>
      <c r="C503" s="439" t="s">
        <v>300</v>
      </c>
      <c r="D503" s="539" t="s">
        <v>467</v>
      </c>
      <c r="E503" s="539" t="s">
        <v>16</v>
      </c>
      <c r="F503" s="540">
        <v>50000</v>
      </c>
      <c r="G503" s="465">
        <f t="shared" si="90"/>
        <v>50000</v>
      </c>
      <c r="H503" s="370">
        <v>50000</v>
      </c>
      <c r="I503" s="440">
        <f t="shared" si="90"/>
        <v>50000</v>
      </c>
      <c r="J503" s="465">
        <f t="shared" si="90"/>
        <v>50000</v>
      </c>
      <c r="K503" s="465">
        <f t="shared" si="90"/>
        <v>50000</v>
      </c>
      <c r="L503" s="436">
        <f t="shared" si="83"/>
        <v>0</v>
      </c>
      <c r="M503" s="498">
        <f t="shared" si="84"/>
        <v>100</v>
      </c>
    </row>
    <row r="504" spans="1:13" ht="34" outlineLevel="5" x14ac:dyDescent="0.3">
      <c r="A504" s="438" t="s">
        <v>17</v>
      </c>
      <c r="B504" s="439" t="s">
        <v>500</v>
      </c>
      <c r="C504" s="439" t="s">
        <v>300</v>
      </c>
      <c r="D504" s="539" t="s">
        <v>467</v>
      </c>
      <c r="E504" s="539" t="s">
        <v>18</v>
      </c>
      <c r="F504" s="540">
        <v>50000</v>
      </c>
      <c r="G504" s="466">
        <v>50000</v>
      </c>
      <c r="H504" s="370">
        <v>50000</v>
      </c>
      <c r="I504" s="442">
        <v>50000</v>
      </c>
      <c r="J504" s="466">
        <v>50000</v>
      </c>
      <c r="K504" s="466">
        <v>50000</v>
      </c>
      <c r="L504" s="436">
        <f t="shared" si="83"/>
        <v>0</v>
      </c>
      <c r="M504" s="498">
        <f t="shared" si="84"/>
        <v>100</v>
      </c>
    </row>
    <row r="505" spans="1:13" outlineLevel="6" x14ac:dyDescent="0.3">
      <c r="A505" s="444" t="s">
        <v>103</v>
      </c>
      <c r="B505" s="439" t="s">
        <v>500</v>
      </c>
      <c r="C505" s="445" t="s">
        <v>104</v>
      </c>
      <c r="D505" s="541" t="s">
        <v>126</v>
      </c>
      <c r="E505" s="541" t="s">
        <v>6</v>
      </c>
      <c r="F505" s="540">
        <v>2562000</v>
      </c>
      <c r="G505" s="508">
        <f t="shared" ref="G505:K510" si="91">G506</f>
        <v>3357000</v>
      </c>
      <c r="H505" s="446">
        <f t="shared" si="91"/>
        <v>2408600</v>
      </c>
      <c r="I505" s="446">
        <f t="shared" si="91"/>
        <v>2500000</v>
      </c>
      <c r="J505" s="508">
        <f t="shared" si="91"/>
        <v>3357000</v>
      </c>
      <c r="K505" s="508">
        <f t="shared" si="91"/>
        <v>3357000</v>
      </c>
      <c r="L505" s="436">
        <f t="shared" si="83"/>
        <v>0</v>
      </c>
      <c r="M505" s="498">
        <f t="shared" si="84"/>
        <v>100</v>
      </c>
    </row>
    <row r="506" spans="1:13" outlineLevel="7" x14ac:dyDescent="0.3">
      <c r="A506" s="438" t="s">
        <v>105</v>
      </c>
      <c r="B506" s="439" t="s">
        <v>500</v>
      </c>
      <c r="C506" s="439" t="s">
        <v>106</v>
      </c>
      <c r="D506" s="539" t="s">
        <v>126</v>
      </c>
      <c r="E506" s="539" t="s">
        <v>6</v>
      </c>
      <c r="F506" s="540">
        <v>2562000</v>
      </c>
      <c r="G506" s="465">
        <f t="shared" si="91"/>
        <v>3357000</v>
      </c>
      <c r="H506" s="440">
        <f t="shared" si="91"/>
        <v>2408600</v>
      </c>
      <c r="I506" s="440">
        <f t="shared" si="91"/>
        <v>2500000</v>
      </c>
      <c r="J506" s="465">
        <f t="shared" si="91"/>
        <v>3357000</v>
      </c>
      <c r="K506" s="465">
        <f t="shared" si="91"/>
        <v>3357000</v>
      </c>
      <c r="L506" s="436">
        <f t="shared" si="83"/>
        <v>0</v>
      </c>
      <c r="M506" s="498">
        <f t="shared" si="84"/>
        <v>100</v>
      </c>
    </row>
    <row r="507" spans="1:13" ht="50.95" outlineLevel="5" x14ac:dyDescent="0.3">
      <c r="A507" s="444" t="s">
        <v>829</v>
      </c>
      <c r="B507" s="439" t="s">
        <v>500</v>
      </c>
      <c r="C507" s="445" t="s">
        <v>106</v>
      </c>
      <c r="D507" s="541" t="s">
        <v>317</v>
      </c>
      <c r="E507" s="541" t="s">
        <v>6</v>
      </c>
      <c r="F507" s="542">
        <v>2562000</v>
      </c>
      <c r="G507" s="508">
        <f>G508</f>
        <v>3357000</v>
      </c>
      <c r="H507" s="446">
        <f>H508</f>
        <v>2408600</v>
      </c>
      <c r="I507" s="446">
        <f>I508</f>
        <v>2500000</v>
      </c>
      <c r="J507" s="508">
        <f>J508</f>
        <v>3357000</v>
      </c>
      <c r="K507" s="508">
        <f>K508</f>
        <v>3357000</v>
      </c>
      <c r="L507" s="436">
        <f t="shared" si="83"/>
        <v>0</v>
      </c>
      <c r="M507" s="498">
        <f t="shared" si="84"/>
        <v>100</v>
      </c>
    </row>
    <row r="508" spans="1:13" ht="34" outlineLevel="6" x14ac:dyDescent="0.3">
      <c r="A508" s="450" t="s">
        <v>327</v>
      </c>
      <c r="B508" s="439" t="s">
        <v>500</v>
      </c>
      <c r="C508" s="439" t="s">
        <v>106</v>
      </c>
      <c r="D508" s="539" t="s">
        <v>318</v>
      </c>
      <c r="E508" s="539" t="s">
        <v>6</v>
      </c>
      <c r="F508" s="540">
        <v>2562000</v>
      </c>
      <c r="G508" s="465">
        <f t="shared" si="91"/>
        <v>3357000</v>
      </c>
      <c r="H508" s="440">
        <f t="shared" si="91"/>
        <v>2408600</v>
      </c>
      <c r="I508" s="440">
        <f t="shared" si="91"/>
        <v>2500000</v>
      </c>
      <c r="J508" s="465">
        <f t="shared" si="91"/>
        <v>3357000</v>
      </c>
      <c r="K508" s="465">
        <f t="shared" si="91"/>
        <v>3357000</v>
      </c>
      <c r="L508" s="436">
        <f t="shared" si="83"/>
        <v>0</v>
      </c>
      <c r="M508" s="498">
        <f t="shared" si="84"/>
        <v>100</v>
      </c>
    </row>
    <row r="509" spans="1:13" ht="50.95" outlineLevel="7" x14ac:dyDescent="0.3">
      <c r="A509" s="438" t="s">
        <v>107</v>
      </c>
      <c r="B509" s="439" t="s">
        <v>500</v>
      </c>
      <c r="C509" s="439" t="s">
        <v>106</v>
      </c>
      <c r="D509" s="539" t="s">
        <v>319</v>
      </c>
      <c r="E509" s="539" t="s">
        <v>6</v>
      </c>
      <c r="F509" s="540">
        <v>2562000</v>
      </c>
      <c r="G509" s="465">
        <f t="shared" si="91"/>
        <v>3357000</v>
      </c>
      <c r="H509" s="440">
        <f t="shared" si="91"/>
        <v>2408600</v>
      </c>
      <c r="I509" s="440">
        <f t="shared" si="91"/>
        <v>2500000</v>
      </c>
      <c r="J509" s="465">
        <f t="shared" si="91"/>
        <v>3357000</v>
      </c>
      <c r="K509" s="465">
        <f t="shared" si="91"/>
        <v>3357000</v>
      </c>
      <c r="L509" s="436">
        <f t="shared" si="83"/>
        <v>0</v>
      </c>
      <c r="M509" s="498">
        <f t="shared" si="84"/>
        <v>100</v>
      </c>
    </row>
    <row r="510" spans="1:13" ht="34" outlineLevel="6" x14ac:dyDescent="0.3">
      <c r="A510" s="438" t="s">
        <v>37</v>
      </c>
      <c r="B510" s="439" t="s">
        <v>500</v>
      </c>
      <c r="C510" s="439" t="s">
        <v>106</v>
      </c>
      <c r="D510" s="539" t="s">
        <v>319</v>
      </c>
      <c r="E510" s="539" t="s">
        <v>38</v>
      </c>
      <c r="F510" s="540">
        <v>2562000</v>
      </c>
      <c r="G510" s="465">
        <f t="shared" si="91"/>
        <v>3357000</v>
      </c>
      <c r="H510" s="370">
        <v>2408600</v>
      </c>
      <c r="I510" s="440">
        <f t="shared" si="91"/>
        <v>2500000</v>
      </c>
      <c r="J510" s="465">
        <f t="shared" si="91"/>
        <v>3357000</v>
      </c>
      <c r="K510" s="465">
        <f t="shared" si="91"/>
        <v>3357000</v>
      </c>
      <c r="L510" s="436">
        <f t="shared" si="83"/>
        <v>0</v>
      </c>
      <c r="M510" s="498">
        <f t="shared" si="84"/>
        <v>100</v>
      </c>
    </row>
    <row r="511" spans="1:13" ht="20.25" customHeight="1" outlineLevel="7" x14ac:dyDescent="0.3">
      <c r="A511" s="438" t="s">
        <v>39</v>
      </c>
      <c r="B511" s="439" t="s">
        <v>500</v>
      </c>
      <c r="C511" s="439" t="s">
        <v>106</v>
      </c>
      <c r="D511" s="539" t="s">
        <v>319</v>
      </c>
      <c r="E511" s="539" t="s">
        <v>40</v>
      </c>
      <c r="F511" s="540">
        <v>2562000</v>
      </c>
      <c r="G511" s="465">
        <f>[2]потребность!I456+247000+610000</f>
        <v>3357000</v>
      </c>
      <c r="H511" s="370">
        <v>2408600</v>
      </c>
      <c r="I511" s="440">
        <v>2500000</v>
      </c>
      <c r="J511" s="466">
        <v>3357000</v>
      </c>
      <c r="K511" s="466">
        <v>3357000</v>
      </c>
      <c r="L511" s="436">
        <f t="shared" si="83"/>
        <v>0</v>
      </c>
      <c r="M511" s="498">
        <f t="shared" si="84"/>
        <v>100</v>
      </c>
    </row>
    <row r="512" spans="1:13" ht="29.9" customHeight="1" outlineLevel="6" x14ac:dyDescent="0.3">
      <c r="A512" s="433" t="s">
        <v>527</v>
      </c>
      <c r="B512" s="434" t="s">
        <v>501</v>
      </c>
      <c r="C512" s="434" t="s">
        <v>5</v>
      </c>
      <c r="D512" s="537" t="s">
        <v>126</v>
      </c>
      <c r="E512" s="537" t="s">
        <v>6</v>
      </c>
      <c r="F512" s="538">
        <v>6282947.6699999999</v>
      </c>
      <c r="G512" s="506">
        <f>G513</f>
        <v>5488017.29</v>
      </c>
      <c r="H512" s="435">
        <f>H513</f>
        <v>4018836.4699999997</v>
      </c>
      <c r="I512" s="435">
        <f>I513</f>
        <v>5805481.6399999997</v>
      </c>
      <c r="J512" s="506">
        <f>J513</f>
        <v>5901038.2999999998</v>
      </c>
      <c r="K512" s="506">
        <f>K513</f>
        <v>5780338.2999999998</v>
      </c>
      <c r="L512" s="436">
        <f t="shared" si="83"/>
        <v>-120700</v>
      </c>
      <c r="M512" s="498">
        <f t="shared" si="84"/>
        <v>107.52586932903048</v>
      </c>
    </row>
    <row r="513" spans="1:13" outlineLevel="7" x14ac:dyDescent="0.3">
      <c r="A513" s="438" t="s">
        <v>7</v>
      </c>
      <c r="B513" s="439" t="s">
        <v>501</v>
      </c>
      <c r="C513" s="439" t="s">
        <v>8</v>
      </c>
      <c r="D513" s="539" t="s">
        <v>126</v>
      </c>
      <c r="E513" s="539" t="s">
        <v>6</v>
      </c>
      <c r="F513" s="540">
        <v>6282947.6699999999</v>
      </c>
      <c r="G513" s="465">
        <f>G514+G529+G534</f>
        <v>5488017.29</v>
      </c>
      <c r="H513" s="440">
        <f>H514+H529+H534</f>
        <v>4018836.4699999997</v>
      </c>
      <c r="I513" s="440">
        <f>I514+I529+I534</f>
        <v>5805481.6399999997</v>
      </c>
      <c r="J513" s="465">
        <f>J514+J529+J534</f>
        <v>5901038.2999999998</v>
      </c>
      <c r="K513" s="465">
        <f>K514+K529+K534</f>
        <v>5780338.2999999998</v>
      </c>
      <c r="L513" s="436">
        <f t="shared" si="83"/>
        <v>-120700</v>
      </c>
      <c r="M513" s="498">
        <f t="shared" si="84"/>
        <v>107.52586932903048</v>
      </c>
    </row>
    <row r="514" spans="1:13" ht="67.95" outlineLevel="5" x14ac:dyDescent="0.3">
      <c r="A514" s="438" t="s">
        <v>108</v>
      </c>
      <c r="B514" s="439" t="s">
        <v>501</v>
      </c>
      <c r="C514" s="439" t="s">
        <v>109</v>
      </c>
      <c r="D514" s="539" t="s">
        <v>126</v>
      </c>
      <c r="E514" s="539" t="s">
        <v>6</v>
      </c>
      <c r="F514" s="540">
        <v>5081721.7699999996</v>
      </c>
      <c r="G514" s="465">
        <f>G515</f>
        <v>5350737.29</v>
      </c>
      <c r="H514" s="440">
        <f>H515</f>
        <v>3890917.9699999997</v>
      </c>
      <c r="I514" s="440">
        <f>I515</f>
        <v>5668201.6399999997</v>
      </c>
      <c r="J514" s="465">
        <f>J515</f>
        <v>5650088.2999999998</v>
      </c>
      <c r="K514" s="465">
        <f>K515</f>
        <v>5529388.2999999998</v>
      </c>
      <c r="L514" s="436">
        <f t="shared" si="83"/>
        <v>-120700</v>
      </c>
      <c r="M514" s="498">
        <f t="shared" si="84"/>
        <v>105.59457498613241</v>
      </c>
    </row>
    <row r="515" spans="1:13" ht="34" outlineLevel="6" x14ac:dyDescent="0.3">
      <c r="A515" s="438" t="s">
        <v>132</v>
      </c>
      <c r="B515" s="439" t="s">
        <v>501</v>
      </c>
      <c r="C515" s="439" t="s">
        <v>109</v>
      </c>
      <c r="D515" s="539" t="s">
        <v>127</v>
      </c>
      <c r="E515" s="539" t="s">
        <v>6</v>
      </c>
      <c r="F515" s="540">
        <v>5081721.7699999996</v>
      </c>
      <c r="G515" s="465">
        <f>G516+G519+G526</f>
        <v>5350737.29</v>
      </c>
      <c r="H515" s="440">
        <f>H516+H519+H526</f>
        <v>3890917.9699999997</v>
      </c>
      <c r="I515" s="440">
        <f>I516+I519+I526</f>
        <v>5668201.6399999997</v>
      </c>
      <c r="J515" s="465">
        <f>J516+J519+J526</f>
        <v>5650088.2999999998</v>
      </c>
      <c r="K515" s="465">
        <f>K516+K519+K526</f>
        <v>5529388.2999999998</v>
      </c>
      <c r="L515" s="436">
        <f t="shared" si="83"/>
        <v>-120700</v>
      </c>
      <c r="M515" s="498">
        <f t="shared" si="84"/>
        <v>105.59457498613241</v>
      </c>
    </row>
    <row r="516" spans="1:13" ht="34" outlineLevel="7" x14ac:dyDescent="0.3">
      <c r="A516" s="438" t="s">
        <v>528</v>
      </c>
      <c r="B516" s="439" t="s">
        <v>501</v>
      </c>
      <c r="C516" s="439" t="s">
        <v>109</v>
      </c>
      <c r="D516" s="539" t="s">
        <v>529</v>
      </c>
      <c r="E516" s="539" t="s">
        <v>6</v>
      </c>
      <c r="F516" s="540">
        <v>2365763.5699999998</v>
      </c>
      <c r="G516" s="465">
        <f t="shared" ref="G516:K517" si="92">G517</f>
        <v>2472253.96</v>
      </c>
      <c r="H516" s="440">
        <f t="shared" si="92"/>
        <v>1921124.34</v>
      </c>
      <c r="I516" s="440">
        <f t="shared" si="92"/>
        <v>2618572.2799999998</v>
      </c>
      <c r="J516" s="466">
        <f t="shared" si="92"/>
        <v>2537974.2999999998</v>
      </c>
      <c r="K516" s="466">
        <f t="shared" si="92"/>
        <v>2537974.2999999998</v>
      </c>
      <c r="L516" s="436">
        <f t="shared" si="83"/>
        <v>0</v>
      </c>
      <c r="M516" s="498">
        <f t="shared" si="84"/>
        <v>102.65831670464793</v>
      </c>
    </row>
    <row r="517" spans="1:13" ht="37.549999999999997" customHeight="1" outlineLevel="2" x14ac:dyDescent="0.3">
      <c r="A517" s="438" t="s">
        <v>11</v>
      </c>
      <c r="B517" s="439" t="s">
        <v>501</v>
      </c>
      <c r="C517" s="439" t="s">
        <v>109</v>
      </c>
      <c r="D517" s="539" t="s">
        <v>529</v>
      </c>
      <c r="E517" s="539" t="s">
        <v>12</v>
      </c>
      <c r="F517" s="540">
        <v>2365763.5699999998</v>
      </c>
      <c r="G517" s="465">
        <f t="shared" si="92"/>
        <v>2472253.96</v>
      </c>
      <c r="H517" s="373">
        <v>1921124.34</v>
      </c>
      <c r="I517" s="440">
        <f t="shared" si="92"/>
        <v>2618572.2799999998</v>
      </c>
      <c r="J517" s="466">
        <f t="shared" si="92"/>
        <v>2537974.2999999998</v>
      </c>
      <c r="K517" s="466">
        <f t="shared" si="92"/>
        <v>2537974.2999999998</v>
      </c>
      <c r="L517" s="436">
        <f t="shared" si="83"/>
        <v>0</v>
      </c>
      <c r="M517" s="498">
        <f t="shared" si="84"/>
        <v>102.65831670464793</v>
      </c>
    </row>
    <row r="518" spans="1:13" ht="34" outlineLevel="4" x14ac:dyDescent="0.3">
      <c r="A518" s="438" t="s">
        <v>13</v>
      </c>
      <c r="B518" s="439" t="s">
        <v>501</v>
      </c>
      <c r="C518" s="439" t="s">
        <v>109</v>
      </c>
      <c r="D518" s="539" t="s">
        <v>529</v>
      </c>
      <c r="E518" s="539" t="s">
        <v>14</v>
      </c>
      <c r="F518" s="540">
        <v>2365763.5699999998</v>
      </c>
      <c r="G518" s="466">
        <f>[2]потребность!I463-45604</f>
        <v>2472253.96</v>
      </c>
      <c r="H518" s="373">
        <v>1921124.34</v>
      </c>
      <c r="I518" s="442">
        <f>'[2]прил 12'!F476</f>
        <v>2618572.2799999998</v>
      </c>
      <c r="J518" s="466">
        <v>2537974.2999999998</v>
      </c>
      <c r="K518" s="466">
        <v>2537974.2999999998</v>
      </c>
      <c r="L518" s="436">
        <f t="shared" si="83"/>
        <v>0</v>
      </c>
      <c r="M518" s="498">
        <f t="shared" si="84"/>
        <v>102.65831670464793</v>
      </c>
    </row>
    <row r="519" spans="1:13" ht="50.95" outlineLevel="5" x14ac:dyDescent="0.3">
      <c r="A519" s="438" t="s">
        <v>494</v>
      </c>
      <c r="B519" s="439" t="s">
        <v>501</v>
      </c>
      <c r="C519" s="439" t="s">
        <v>109</v>
      </c>
      <c r="D519" s="539" t="s">
        <v>495</v>
      </c>
      <c r="E519" s="539" t="s">
        <v>6</v>
      </c>
      <c r="F519" s="540">
        <v>2535958.2000000002</v>
      </c>
      <c r="G519" s="465">
        <f>G520+G522+G524</f>
        <v>2698483.33</v>
      </c>
      <c r="H519" s="440">
        <f>H520+H522+H524</f>
        <v>1834793.63</v>
      </c>
      <c r="I519" s="440">
        <f>I520+I522+I524</f>
        <v>2869629.36</v>
      </c>
      <c r="J519" s="465">
        <f>J520+J522+J524</f>
        <v>2932114</v>
      </c>
      <c r="K519" s="465">
        <f>K520+K522+K524</f>
        <v>2811414</v>
      </c>
      <c r="L519" s="436">
        <f t="shared" si="83"/>
        <v>-120700</v>
      </c>
      <c r="M519" s="498">
        <f t="shared" si="84"/>
        <v>108.65785114929726</v>
      </c>
    </row>
    <row r="520" spans="1:13" ht="84.9" outlineLevel="6" x14ac:dyDescent="0.3">
      <c r="A520" s="438" t="s">
        <v>11</v>
      </c>
      <c r="B520" s="439" t="s">
        <v>501</v>
      </c>
      <c r="C520" s="439" t="s">
        <v>109</v>
      </c>
      <c r="D520" s="539" t="s">
        <v>495</v>
      </c>
      <c r="E520" s="539" t="s">
        <v>12</v>
      </c>
      <c r="F520" s="540">
        <v>2387673</v>
      </c>
      <c r="G520" s="465">
        <f>G521</f>
        <v>2446983.33</v>
      </c>
      <c r="H520" s="370">
        <v>1724385.69</v>
      </c>
      <c r="I520" s="440">
        <f>I521</f>
        <v>2618129.36</v>
      </c>
      <c r="J520" s="466">
        <f>J521</f>
        <v>2681114</v>
      </c>
      <c r="K520" s="466">
        <f>K521</f>
        <v>2560414</v>
      </c>
      <c r="L520" s="436">
        <f t="shared" ref="L520:L583" si="93">K520-J520</f>
        <v>-120700</v>
      </c>
      <c r="M520" s="498">
        <f t="shared" ref="M520:M576" si="94">J520/G520%</f>
        <v>109.56813506367449</v>
      </c>
    </row>
    <row r="521" spans="1:13" ht="34" outlineLevel="7" x14ac:dyDescent="0.3">
      <c r="A521" s="438" t="s">
        <v>13</v>
      </c>
      <c r="B521" s="439" t="s">
        <v>501</v>
      </c>
      <c r="C521" s="439" t="s">
        <v>109</v>
      </c>
      <c r="D521" s="539" t="s">
        <v>495</v>
      </c>
      <c r="E521" s="539" t="s">
        <v>14</v>
      </c>
      <c r="F521" s="540">
        <v>2387673</v>
      </c>
      <c r="G521" s="465">
        <f>[2]потребность!I466-70449</f>
        <v>2446983.33</v>
      </c>
      <c r="H521" s="370">
        <v>1724385.69</v>
      </c>
      <c r="I521" s="440">
        <f>'[2]прил 12'!F479</f>
        <v>2618129.36</v>
      </c>
      <c r="J521" s="466">
        <v>2681114</v>
      </c>
      <c r="K521" s="466">
        <f>2681114-120700</f>
        <v>2560414</v>
      </c>
      <c r="L521" s="436">
        <f t="shared" si="93"/>
        <v>-120700</v>
      </c>
      <c r="M521" s="498">
        <f t="shared" si="94"/>
        <v>109.56813506367449</v>
      </c>
    </row>
    <row r="522" spans="1:13" ht="34" outlineLevel="7" x14ac:dyDescent="0.3">
      <c r="A522" s="438" t="s">
        <v>15</v>
      </c>
      <c r="B522" s="439" t="s">
        <v>501</v>
      </c>
      <c r="C522" s="439" t="s">
        <v>109</v>
      </c>
      <c r="D522" s="539" t="s">
        <v>495</v>
      </c>
      <c r="E522" s="539" t="s">
        <v>16</v>
      </c>
      <c r="F522" s="540">
        <v>146395.20000000001</v>
      </c>
      <c r="G522" s="465">
        <f>G523</f>
        <v>246000</v>
      </c>
      <c r="H522" s="370">
        <v>110407.94</v>
      </c>
      <c r="I522" s="440">
        <f>I523</f>
        <v>246000</v>
      </c>
      <c r="J522" s="466">
        <f>J523</f>
        <v>246000</v>
      </c>
      <c r="K522" s="466">
        <f>K523</f>
        <v>246000</v>
      </c>
      <c r="L522" s="436">
        <f t="shared" si="93"/>
        <v>0</v>
      </c>
      <c r="M522" s="498">
        <f t="shared" si="94"/>
        <v>100</v>
      </c>
    </row>
    <row r="523" spans="1:13" ht="34" outlineLevel="7" x14ac:dyDescent="0.3">
      <c r="A523" s="438" t="s">
        <v>17</v>
      </c>
      <c r="B523" s="439" t="s">
        <v>501</v>
      </c>
      <c r="C523" s="439" t="s">
        <v>109</v>
      </c>
      <c r="D523" s="539" t="s">
        <v>495</v>
      </c>
      <c r="E523" s="539" t="s">
        <v>18</v>
      </c>
      <c r="F523" s="540">
        <v>146395.20000000001</v>
      </c>
      <c r="G523" s="466">
        <v>246000</v>
      </c>
      <c r="H523" s="370">
        <v>110407.94</v>
      </c>
      <c r="I523" s="442">
        <f>'[2]прил 12'!F481</f>
        <v>246000</v>
      </c>
      <c r="J523" s="466">
        <v>246000</v>
      </c>
      <c r="K523" s="466">
        <v>246000</v>
      </c>
      <c r="L523" s="436">
        <f t="shared" si="93"/>
        <v>0</v>
      </c>
      <c r="M523" s="498">
        <f t="shared" si="94"/>
        <v>100</v>
      </c>
    </row>
    <row r="524" spans="1:13" outlineLevel="2" x14ac:dyDescent="0.3">
      <c r="A524" s="438" t="s">
        <v>19</v>
      </c>
      <c r="B524" s="439" t="s">
        <v>501</v>
      </c>
      <c r="C524" s="439" t="s">
        <v>109</v>
      </c>
      <c r="D524" s="539" t="s">
        <v>495</v>
      </c>
      <c r="E524" s="539" t="s">
        <v>20</v>
      </c>
      <c r="F524" s="540">
        <v>1890</v>
      </c>
      <c r="G524" s="465">
        <f>G525</f>
        <v>5500</v>
      </c>
      <c r="H524" s="441"/>
      <c r="I524" s="440">
        <f>I525</f>
        <v>5500</v>
      </c>
      <c r="J524" s="466">
        <f>J525</f>
        <v>5000</v>
      </c>
      <c r="K524" s="466">
        <f>K525</f>
        <v>5000</v>
      </c>
      <c r="L524" s="436">
        <f t="shared" si="93"/>
        <v>0</v>
      </c>
      <c r="M524" s="498">
        <f t="shared" si="94"/>
        <v>90.909090909090907</v>
      </c>
    </row>
    <row r="525" spans="1:13" s="449" customFormat="1" outlineLevel="3" x14ac:dyDescent="0.3">
      <c r="A525" s="438" t="s">
        <v>21</v>
      </c>
      <c r="B525" s="439" t="s">
        <v>501</v>
      </c>
      <c r="C525" s="439" t="s">
        <v>109</v>
      </c>
      <c r="D525" s="539" t="s">
        <v>495</v>
      </c>
      <c r="E525" s="539" t="s">
        <v>22</v>
      </c>
      <c r="F525" s="540">
        <v>1890</v>
      </c>
      <c r="G525" s="466">
        <v>5500</v>
      </c>
      <c r="H525" s="443"/>
      <c r="I525" s="442">
        <f>'[2]прил 12'!F483</f>
        <v>5500</v>
      </c>
      <c r="J525" s="507">
        <v>5000</v>
      </c>
      <c r="K525" s="507">
        <v>5000</v>
      </c>
      <c r="L525" s="436">
        <f t="shared" si="93"/>
        <v>0</v>
      </c>
      <c r="M525" s="498">
        <f t="shared" si="94"/>
        <v>90.909090909090907</v>
      </c>
    </row>
    <row r="526" spans="1:13" outlineLevel="4" x14ac:dyDescent="0.3">
      <c r="A526" s="438" t="s">
        <v>531</v>
      </c>
      <c r="B526" s="439" t="s">
        <v>501</v>
      </c>
      <c r="C526" s="439" t="s">
        <v>109</v>
      </c>
      <c r="D526" s="539" t="s">
        <v>530</v>
      </c>
      <c r="E526" s="539" t="s">
        <v>6</v>
      </c>
      <c r="F526" s="540">
        <v>180000</v>
      </c>
      <c r="G526" s="465">
        <f t="shared" ref="G526:K527" si="95">G527</f>
        <v>180000</v>
      </c>
      <c r="H526" s="440">
        <f t="shared" si="95"/>
        <v>135000</v>
      </c>
      <c r="I526" s="440">
        <f t="shared" si="95"/>
        <v>180000</v>
      </c>
      <c r="J526" s="466">
        <f t="shared" si="95"/>
        <v>180000</v>
      </c>
      <c r="K526" s="466">
        <f t="shared" si="95"/>
        <v>180000</v>
      </c>
      <c r="L526" s="436">
        <f t="shared" si="93"/>
        <v>0</v>
      </c>
      <c r="M526" s="498">
        <f t="shared" si="94"/>
        <v>100</v>
      </c>
    </row>
    <row r="527" spans="1:13" ht="84.9" outlineLevel="5" x14ac:dyDescent="0.3">
      <c r="A527" s="438" t="s">
        <v>11</v>
      </c>
      <c r="B527" s="439" t="s">
        <v>501</v>
      </c>
      <c r="C527" s="439" t="s">
        <v>109</v>
      </c>
      <c r="D527" s="539" t="s">
        <v>530</v>
      </c>
      <c r="E527" s="539" t="s">
        <v>12</v>
      </c>
      <c r="F527" s="540">
        <v>180000</v>
      </c>
      <c r="G527" s="465">
        <f t="shared" si="95"/>
        <v>180000</v>
      </c>
      <c r="H527" s="370">
        <v>135000</v>
      </c>
      <c r="I527" s="440">
        <f t="shared" si="95"/>
        <v>180000</v>
      </c>
      <c r="J527" s="466">
        <f t="shared" si="95"/>
        <v>180000</v>
      </c>
      <c r="K527" s="466">
        <f t="shared" si="95"/>
        <v>180000</v>
      </c>
      <c r="L527" s="436">
        <f t="shared" si="93"/>
        <v>0</v>
      </c>
      <c r="M527" s="498">
        <f t="shared" si="94"/>
        <v>100</v>
      </c>
    </row>
    <row r="528" spans="1:13" ht="45.7" customHeight="1" outlineLevel="6" x14ac:dyDescent="0.3">
      <c r="A528" s="438" t="s">
        <v>13</v>
      </c>
      <c r="B528" s="439" t="s">
        <v>501</v>
      </c>
      <c r="C528" s="439" t="s">
        <v>109</v>
      </c>
      <c r="D528" s="539" t="s">
        <v>530</v>
      </c>
      <c r="E528" s="539" t="s">
        <v>14</v>
      </c>
      <c r="F528" s="540">
        <v>180000</v>
      </c>
      <c r="G528" s="466">
        <v>180000</v>
      </c>
      <c r="H528" s="370">
        <v>135000</v>
      </c>
      <c r="I528" s="442">
        <f>'[2]прил 12'!F486</f>
        <v>180000</v>
      </c>
      <c r="J528" s="466">
        <v>180000</v>
      </c>
      <c r="K528" s="466">
        <v>180000</v>
      </c>
      <c r="L528" s="436">
        <f t="shared" si="93"/>
        <v>0</v>
      </c>
      <c r="M528" s="498">
        <f t="shared" si="94"/>
        <v>100</v>
      </c>
    </row>
    <row r="529" spans="1:13" ht="46.2" hidden="1" customHeight="1" outlineLevel="7" x14ac:dyDescent="0.3">
      <c r="A529" s="438" t="s">
        <v>9</v>
      </c>
      <c r="B529" s="439" t="s">
        <v>501</v>
      </c>
      <c r="C529" s="439" t="s">
        <v>10</v>
      </c>
      <c r="D529" s="539" t="s">
        <v>126</v>
      </c>
      <c r="E529" s="539" t="s">
        <v>6</v>
      </c>
      <c r="F529" s="540">
        <v>1105064.8999999999</v>
      </c>
      <c r="G529" s="465">
        <f t="shared" ref="G529:H532" si="96">G530</f>
        <v>0</v>
      </c>
      <c r="H529" s="440">
        <f t="shared" si="96"/>
        <v>0</v>
      </c>
      <c r="I529" s="440"/>
      <c r="J529" s="466"/>
      <c r="K529" s="466"/>
      <c r="L529" s="436">
        <f t="shared" si="93"/>
        <v>0</v>
      </c>
      <c r="M529" s="498"/>
    </row>
    <row r="530" spans="1:13" s="449" customFormat="1" ht="34" hidden="1" outlineLevel="7" x14ac:dyDescent="0.3">
      <c r="A530" s="438" t="s">
        <v>132</v>
      </c>
      <c r="B530" s="439" t="s">
        <v>501</v>
      </c>
      <c r="C530" s="439" t="s">
        <v>10</v>
      </c>
      <c r="D530" s="539" t="s">
        <v>127</v>
      </c>
      <c r="E530" s="539" t="s">
        <v>6</v>
      </c>
      <c r="F530" s="540">
        <v>1105064.8999999999</v>
      </c>
      <c r="G530" s="465">
        <f t="shared" si="96"/>
        <v>0</v>
      </c>
      <c r="H530" s="440">
        <f t="shared" si="96"/>
        <v>0</v>
      </c>
      <c r="I530" s="440"/>
      <c r="J530" s="507"/>
      <c r="K530" s="507"/>
      <c r="L530" s="436">
        <f t="shared" si="93"/>
        <v>0</v>
      </c>
      <c r="M530" s="498"/>
    </row>
    <row r="531" spans="1:13" hidden="1" outlineLevel="7" x14ac:dyDescent="0.3">
      <c r="A531" s="438" t="s">
        <v>120</v>
      </c>
      <c r="B531" s="439" t="s">
        <v>501</v>
      </c>
      <c r="C531" s="439" t="s">
        <v>10</v>
      </c>
      <c r="D531" s="539" t="s">
        <v>143</v>
      </c>
      <c r="E531" s="539" t="s">
        <v>6</v>
      </c>
      <c r="F531" s="540">
        <v>1105064.8999999999</v>
      </c>
      <c r="G531" s="465">
        <f t="shared" si="96"/>
        <v>0</v>
      </c>
      <c r="H531" s="440">
        <f t="shared" si="96"/>
        <v>0</v>
      </c>
      <c r="I531" s="440"/>
      <c r="J531" s="466"/>
      <c r="K531" s="466"/>
      <c r="L531" s="436">
        <f t="shared" si="93"/>
        <v>0</v>
      </c>
      <c r="M531" s="498"/>
    </row>
    <row r="532" spans="1:13" ht="84.9" hidden="1" outlineLevel="7" x14ac:dyDescent="0.3">
      <c r="A532" s="438" t="s">
        <v>11</v>
      </c>
      <c r="B532" s="439" t="s">
        <v>501</v>
      </c>
      <c r="C532" s="439" t="s">
        <v>10</v>
      </c>
      <c r="D532" s="539" t="s">
        <v>143</v>
      </c>
      <c r="E532" s="539" t="s">
        <v>12</v>
      </c>
      <c r="F532" s="540">
        <v>1105064.8999999999</v>
      </c>
      <c r="G532" s="465">
        <f t="shared" si="96"/>
        <v>0</v>
      </c>
      <c r="H532" s="440">
        <f t="shared" si="96"/>
        <v>0</v>
      </c>
      <c r="I532" s="440"/>
      <c r="J532" s="466"/>
      <c r="K532" s="466"/>
      <c r="L532" s="436">
        <f t="shared" si="93"/>
        <v>0</v>
      </c>
      <c r="M532" s="498"/>
    </row>
    <row r="533" spans="1:13" ht="21.25" hidden="1" customHeight="1" outlineLevel="7" x14ac:dyDescent="0.3">
      <c r="A533" s="438" t="s">
        <v>13</v>
      </c>
      <c r="B533" s="439" t="s">
        <v>501</v>
      </c>
      <c r="C533" s="439" t="s">
        <v>10</v>
      </c>
      <c r="D533" s="539" t="s">
        <v>143</v>
      </c>
      <c r="E533" s="539" t="s">
        <v>14</v>
      </c>
      <c r="F533" s="540">
        <v>1105064.8999999999</v>
      </c>
      <c r="G533" s="465">
        <v>0</v>
      </c>
      <c r="H533" s="441">
        <v>0</v>
      </c>
      <c r="I533" s="440"/>
      <c r="J533" s="466"/>
      <c r="K533" s="466"/>
      <c r="L533" s="436">
        <f t="shared" si="93"/>
        <v>0</v>
      </c>
      <c r="M533" s="498"/>
    </row>
    <row r="534" spans="1:13" s="437" customFormat="1" collapsed="1" x14ac:dyDescent="0.3">
      <c r="A534" s="438" t="s">
        <v>23</v>
      </c>
      <c r="B534" s="439" t="s">
        <v>501</v>
      </c>
      <c r="C534" s="439" t="s">
        <v>24</v>
      </c>
      <c r="D534" s="539" t="s">
        <v>126</v>
      </c>
      <c r="E534" s="539" t="s">
        <v>6</v>
      </c>
      <c r="F534" s="540">
        <v>0</v>
      </c>
      <c r="G534" s="465">
        <f>G535+G540</f>
        <v>137280</v>
      </c>
      <c r="H534" s="440">
        <f>H535+H540</f>
        <v>127918.5</v>
      </c>
      <c r="I534" s="440">
        <f>I535+I540</f>
        <v>137280</v>
      </c>
      <c r="J534" s="465">
        <f>J535+J540+J544</f>
        <v>250950</v>
      </c>
      <c r="K534" s="465">
        <f>K535+K540+K544</f>
        <v>250950</v>
      </c>
      <c r="L534" s="436">
        <f t="shared" si="93"/>
        <v>0</v>
      </c>
      <c r="M534" s="498">
        <f t="shared" si="94"/>
        <v>182.80157342657344</v>
      </c>
    </row>
    <row r="535" spans="1:13" s="449" customFormat="1" ht="50.95" outlineLevel="1" x14ac:dyDescent="0.3">
      <c r="A535" s="444" t="s">
        <v>830</v>
      </c>
      <c r="B535" s="445" t="s">
        <v>501</v>
      </c>
      <c r="C535" s="445" t="s">
        <v>24</v>
      </c>
      <c r="D535" s="541" t="s">
        <v>128</v>
      </c>
      <c r="E535" s="541" t="s">
        <v>6</v>
      </c>
      <c r="F535" s="540">
        <v>0</v>
      </c>
      <c r="G535" s="508">
        <f t="shared" ref="G535:K538" si="97">G536</f>
        <v>33280</v>
      </c>
      <c r="H535" s="447"/>
      <c r="I535" s="446">
        <f t="shared" si="97"/>
        <v>33280</v>
      </c>
      <c r="J535" s="507">
        <f t="shared" si="97"/>
        <v>33280</v>
      </c>
      <c r="K535" s="507">
        <f t="shared" si="97"/>
        <v>33280</v>
      </c>
      <c r="L535" s="436">
        <f t="shared" si="93"/>
        <v>0</v>
      </c>
      <c r="M535" s="498">
        <f t="shared" si="94"/>
        <v>100</v>
      </c>
    </row>
    <row r="536" spans="1:13" ht="50.95" outlineLevel="2" x14ac:dyDescent="0.3">
      <c r="A536" s="450" t="s">
        <v>835</v>
      </c>
      <c r="B536" s="439" t="s">
        <v>501</v>
      </c>
      <c r="C536" s="439" t="s">
        <v>24</v>
      </c>
      <c r="D536" s="539" t="s">
        <v>315</v>
      </c>
      <c r="E536" s="539" t="s">
        <v>6</v>
      </c>
      <c r="F536" s="540">
        <v>0</v>
      </c>
      <c r="G536" s="465">
        <f t="shared" si="97"/>
        <v>33280</v>
      </c>
      <c r="H536" s="441"/>
      <c r="I536" s="440">
        <f t="shared" si="97"/>
        <v>33280</v>
      </c>
      <c r="J536" s="466">
        <f t="shared" si="97"/>
        <v>33280</v>
      </c>
      <c r="K536" s="466">
        <f t="shared" si="97"/>
        <v>33280</v>
      </c>
      <c r="L536" s="436">
        <f t="shared" si="93"/>
        <v>0</v>
      </c>
      <c r="M536" s="498">
        <f t="shared" si="94"/>
        <v>100</v>
      </c>
    </row>
    <row r="537" spans="1:13" s="449" customFormat="1" outlineLevel="3" x14ac:dyDescent="0.3">
      <c r="A537" s="450" t="s">
        <v>321</v>
      </c>
      <c r="B537" s="439" t="s">
        <v>501</v>
      </c>
      <c r="C537" s="439" t="s">
        <v>24</v>
      </c>
      <c r="D537" s="539" t="s">
        <v>316</v>
      </c>
      <c r="E537" s="539" t="s">
        <v>6</v>
      </c>
      <c r="F537" s="542">
        <v>0</v>
      </c>
      <c r="G537" s="465">
        <f t="shared" si="97"/>
        <v>33280</v>
      </c>
      <c r="H537" s="441"/>
      <c r="I537" s="440">
        <f t="shared" si="97"/>
        <v>33280</v>
      </c>
      <c r="J537" s="507">
        <f t="shared" si="97"/>
        <v>33280</v>
      </c>
      <c r="K537" s="507">
        <f t="shared" si="97"/>
        <v>33280</v>
      </c>
      <c r="L537" s="436">
        <f t="shared" si="93"/>
        <v>0</v>
      </c>
      <c r="M537" s="498">
        <f t="shared" si="94"/>
        <v>100</v>
      </c>
    </row>
    <row r="538" spans="1:13" ht="34" outlineLevel="4" x14ac:dyDescent="0.3">
      <c r="A538" s="438" t="s">
        <v>15</v>
      </c>
      <c r="B538" s="439" t="s">
        <v>501</v>
      </c>
      <c r="C538" s="439" t="s">
        <v>24</v>
      </c>
      <c r="D538" s="539" t="s">
        <v>316</v>
      </c>
      <c r="E538" s="539" t="s">
        <v>16</v>
      </c>
      <c r="F538" s="540">
        <v>0</v>
      </c>
      <c r="G538" s="465">
        <f t="shared" si="97"/>
        <v>33280</v>
      </c>
      <c r="H538" s="441"/>
      <c r="I538" s="440">
        <f t="shared" si="97"/>
        <v>33280</v>
      </c>
      <c r="J538" s="466">
        <f t="shared" si="97"/>
        <v>33280</v>
      </c>
      <c r="K538" s="466">
        <f t="shared" si="97"/>
        <v>33280</v>
      </c>
      <c r="L538" s="436">
        <f t="shared" si="93"/>
        <v>0</v>
      </c>
      <c r="M538" s="498">
        <f t="shared" si="94"/>
        <v>100</v>
      </c>
    </row>
    <row r="539" spans="1:13" ht="34" outlineLevel="4" x14ac:dyDescent="0.3">
      <c r="A539" s="438" t="s">
        <v>17</v>
      </c>
      <c r="B539" s="439" t="s">
        <v>501</v>
      </c>
      <c r="C539" s="439" t="s">
        <v>24</v>
      </c>
      <c r="D539" s="539" t="s">
        <v>316</v>
      </c>
      <c r="E539" s="539" t="s">
        <v>18</v>
      </c>
      <c r="F539" s="540">
        <v>0</v>
      </c>
      <c r="G539" s="465">
        <v>33280</v>
      </c>
      <c r="H539" s="441"/>
      <c r="I539" s="440">
        <f>'[2]прил 12'!F497</f>
        <v>33280</v>
      </c>
      <c r="J539" s="466">
        <v>33280</v>
      </c>
      <c r="K539" s="466">
        <v>33280</v>
      </c>
      <c r="L539" s="436">
        <f t="shared" si="93"/>
        <v>0</v>
      </c>
      <c r="M539" s="498">
        <f t="shared" si="94"/>
        <v>100</v>
      </c>
    </row>
    <row r="540" spans="1:13" ht="34" outlineLevel="5" x14ac:dyDescent="0.3">
      <c r="A540" s="444" t="s">
        <v>132</v>
      </c>
      <c r="B540" s="445" t="s">
        <v>501</v>
      </c>
      <c r="C540" s="445" t="s">
        <v>24</v>
      </c>
      <c r="D540" s="541" t="s">
        <v>127</v>
      </c>
      <c r="E540" s="541" t="s">
        <v>6</v>
      </c>
      <c r="F540" s="540">
        <v>96161</v>
      </c>
      <c r="G540" s="507">
        <f t="shared" ref="G540:K542" si="98">G541</f>
        <v>104000</v>
      </c>
      <c r="H540" s="452">
        <f>H541</f>
        <v>127918.5</v>
      </c>
      <c r="I540" s="448">
        <f t="shared" si="98"/>
        <v>104000</v>
      </c>
      <c r="J540" s="466">
        <f t="shared" si="98"/>
        <v>104000</v>
      </c>
      <c r="K540" s="466">
        <f t="shared" si="98"/>
        <v>104000</v>
      </c>
      <c r="L540" s="436">
        <f t="shared" si="93"/>
        <v>0</v>
      </c>
      <c r="M540" s="498">
        <f t="shared" si="94"/>
        <v>100</v>
      </c>
    </row>
    <row r="541" spans="1:13" ht="34" outlineLevel="6" x14ac:dyDescent="0.3">
      <c r="A541" s="438" t="s">
        <v>532</v>
      </c>
      <c r="B541" s="439" t="s">
        <v>501</v>
      </c>
      <c r="C541" s="439" t="s">
        <v>24</v>
      </c>
      <c r="D541" s="552">
        <v>9909970201</v>
      </c>
      <c r="E541" s="539" t="s">
        <v>6</v>
      </c>
      <c r="F541" s="540">
        <v>96161</v>
      </c>
      <c r="G541" s="466">
        <f t="shared" si="98"/>
        <v>104000</v>
      </c>
      <c r="H541" s="373">
        <v>127918.5</v>
      </c>
      <c r="I541" s="442">
        <f t="shared" si="98"/>
        <v>104000</v>
      </c>
      <c r="J541" s="466">
        <f t="shared" si="98"/>
        <v>104000</v>
      </c>
      <c r="K541" s="466">
        <f t="shared" si="98"/>
        <v>104000</v>
      </c>
      <c r="L541" s="436">
        <f t="shared" si="93"/>
        <v>0</v>
      </c>
      <c r="M541" s="498">
        <f t="shared" si="94"/>
        <v>100</v>
      </c>
    </row>
    <row r="542" spans="1:13" ht="34" outlineLevel="7" x14ac:dyDescent="0.3">
      <c r="A542" s="438" t="s">
        <v>15</v>
      </c>
      <c r="B542" s="439" t="s">
        <v>501</v>
      </c>
      <c r="C542" s="439" t="s">
        <v>24</v>
      </c>
      <c r="D542" s="552">
        <v>9909970201</v>
      </c>
      <c r="E542" s="539" t="s">
        <v>16</v>
      </c>
      <c r="F542" s="540">
        <v>96161</v>
      </c>
      <c r="G542" s="466">
        <f t="shared" si="98"/>
        <v>104000</v>
      </c>
      <c r="H542" s="373">
        <v>127918.5</v>
      </c>
      <c r="I542" s="442">
        <f t="shared" si="98"/>
        <v>104000</v>
      </c>
      <c r="J542" s="466">
        <f t="shared" si="98"/>
        <v>104000</v>
      </c>
      <c r="K542" s="466">
        <f t="shared" si="98"/>
        <v>104000</v>
      </c>
      <c r="L542" s="436">
        <f t="shared" si="93"/>
        <v>0</v>
      </c>
      <c r="M542" s="498">
        <f t="shared" si="94"/>
        <v>100</v>
      </c>
    </row>
    <row r="543" spans="1:13" ht="45" customHeight="1" outlineLevel="7" x14ac:dyDescent="0.3">
      <c r="A543" s="438" t="s">
        <v>17</v>
      </c>
      <c r="B543" s="439" t="s">
        <v>501</v>
      </c>
      <c r="C543" s="439" t="s">
        <v>24</v>
      </c>
      <c r="D543" s="552">
        <v>9909970201</v>
      </c>
      <c r="E543" s="539" t="s">
        <v>18</v>
      </c>
      <c r="F543" s="543">
        <v>96161</v>
      </c>
      <c r="G543" s="465">
        <v>104000</v>
      </c>
      <c r="H543" s="373">
        <v>127918.5</v>
      </c>
      <c r="I543" s="440">
        <f>'[2]прил 12'!F501</f>
        <v>104000</v>
      </c>
      <c r="J543" s="466">
        <v>104000</v>
      </c>
      <c r="K543" s="466">
        <v>104000</v>
      </c>
      <c r="L543" s="436">
        <f t="shared" si="93"/>
        <v>0</v>
      </c>
      <c r="M543" s="498">
        <f t="shared" si="94"/>
        <v>100</v>
      </c>
    </row>
    <row r="544" spans="1:13" ht="50.95" outlineLevel="7" x14ac:dyDescent="0.3">
      <c r="A544" s="451" t="s">
        <v>829</v>
      </c>
      <c r="B544" s="445" t="s">
        <v>501</v>
      </c>
      <c r="C544" s="439" t="s">
        <v>24</v>
      </c>
      <c r="D544" s="541" t="s">
        <v>317</v>
      </c>
      <c r="E544" s="541" t="s">
        <v>6</v>
      </c>
      <c r="F544" s="552">
        <v>0</v>
      </c>
      <c r="G544" s="465">
        <v>0</v>
      </c>
      <c r="H544" s="441">
        <v>0</v>
      </c>
      <c r="I544" s="440">
        <v>0</v>
      </c>
      <c r="J544" s="466">
        <f t="shared" ref="J544:K547" si="99">J545</f>
        <v>113670</v>
      </c>
      <c r="K544" s="466">
        <f t="shared" si="99"/>
        <v>113670</v>
      </c>
      <c r="L544" s="436">
        <f t="shared" si="93"/>
        <v>0</v>
      </c>
      <c r="M544" s="498"/>
    </row>
    <row r="545" spans="1:13" ht="34" outlineLevel="7" x14ac:dyDescent="0.3">
      <c r="A545" s="450" t="s">
        <v>249</v>
      </c>
      <c r="B545" s="439" t="s">
        <v>501</v>
      </c>
      <c r="C545" s="439" t="s">
        <v>24</v>
      </c>
      <c r="D545" s="539" t="s">
        <v>318</v>
      </c>
      <c r="E545" s="539" t="s">
        <v>6</v>
      </c>
      <c r="F545" s="552">
        <v>0</v>
      </c>
      <c r="G545" s="465">
        <v>0</v>
      </c>
      <c r="H545" s="441">
        <v>0</v>
      </c>
      <c r="I545" s="440">
        <v>0</v>
      </c>
      <c r="J545" s="466">
        <f t="shared" si="99"/>
        <v>113670</v>
      </c>
      <c r="K545" s="466">
        <f t="shared" si="99"/>
        <v>113670</v>
      </c>
      <c r="L545" s="436">
        <f t="shared" si="93"/>
        <v>0</v>
      </c>
      <c r="M545" s="498"/>
    </row>
    <row r="546" spans="1:13" ht="18.7" customHeight="1" outlineLevel="7" x14ac:dyDescent="0.3">
      <c r="A546" s="438" t="s">
        <v>25</v>
      </c>
      <c r="B546" s="439" t="s">
        <v>501</v>
      </c>
      <c r="C546" s="439" t="s">
        <v>24</v>
      </c>
      <c r="D546" s="539" t="s">
        <v>329</v>
      </c>
      <c r="E546" s="539" t="s">
        <v>6</v>
      </c>
      <c r="F546" s="539" t="s">
        <v>976</v>
      </c>
      <c r="G546" s="465">
        <v>0</v>
      </c>
      <c r="H546" s="441">
        <v>0</v>
      </c>
      <c r="I546" s="440">
        <v>0</v>
      </c>
      <c r="J546" s="466">
        <f t="shared" si="99"/>
        <v>113670</v>
      </c>
      <c r="K546" s="466">
        <f t="shared" si="99"/>
        <v>113670</v>
      </c>
      <c r="L546" s="436">
        <f t="shared" si="93"/>
        <v>0</v>
      </c>
      <c r="M546" s="498"/>
    </row>
    <row r="547" spans="1:13" ht="34" outlineLevel="7" x14ac:dyDescent="0.3">
      <c r="A547" s="438" t="s">
        <v>15</v>
      </c>
      <c r="B547" s="439" t="s">
        <v>501</v>
      </c>
      <c r="C547" s="439" t="s">
        <v>24</v>
      </c>
      <c r="D547" s="539" t="s">
        <v>329</v>
      </c>
      <c r="E547" s="539" t="s">
        <v>16</v>
      </c>
      <c r="F547" s="539" t="s">
        <v>976</v>
      </c>
      <c r="G547" s="465">
        <v>0</v>
      </c>
      <c r="H547" s="441">
        <v>0</v>
      </c>
      <c r="I547" s="440">
        <v>0</v>
      </c>
      <c r="J547" s="466">
        <f t="shared" si="99"/>
        <v>113670</v>
      </c>
      <c r="K547" s="466">
        <f t="shared" si="99"/>
        <v>113670</v>
      </c>
      <c r="L547" s="436">
        <f t="shared" si="93"/>
        <v>0</v>
      </c>
      <c r="M547" s="498"/>
    </row>
    <row r="548" spans="1:13" ht="34" outlineLevel="7" x14ac:dyDescent="0.3">
      <c r="A548" s="438" t="s">
        <v>17</v>
      </c>
      <c r="B548" s="439" t="s">
        <v>501</v>
      </c>
      <c r="C548" s="439" t="s">
        <v>24</v>
      </c>
      <c r="D548" s="539" t="s">
        <v>329</v>
      </c>
      <c r="E548" s="539" t="s">
        <v>18</v>
      </c>
      <c r="F548" s="539" t="s">
        <v>976</v>
      </c>
      <c r="G548" s="465">
        <v>0</v>
      </c>
      <c r="H548" s="441">
        <v>0</v>
      </c>
      <c r="I548" s="440">
        <v>0</v>
      </c>
      <c r="J548" s="466">
        <v>113670</v>
      </c>
      <c r="K548" s="466">
        <v>113670</v>
      </c>
      <c r="L548" s="436">
        <f t="shared" si="93"/>
        <v>0</v>
      </c>
      <c r="M548" s="498"/>
    </row>
    <row r="549" spans="1:13" ht="50.95" outlineLevel="7" x14ac:dyDescent="0.3">
      <c r="A549" s="433" t="s">
        <v>546</v>
      </c>
      <c r="B549" s="434" t="s">
        <v>536</v>
      </c>
      <c r="C549" s="434" t="s">
        <v>5</v>
      </c>
      <c r="D549" s="537" t="s">
        <v>126</v>
      </c>
      <c r="E549" s="537" t="s">
        <v>6</v>
      </c>
      <c r="F549" s="538">
        <v>539922363.24000001</v>
      </c>
      <c r="G549" s="506">
        <f>G550+G701+G717</f>
        <v>645023103.13999999</v>
      </c>
      <c r="H549" s="435">
        <f>H550+H701+H717</f>
        <v>448686771.28000015</v>
      </c>
      <c r="I549" s="435">
        <f>I550+I701+I717</f>
        <v>585353722.39999998</v>
      </c>
      <c r="J549" s="506">
        <f>J550+J701+J717</f>
        <v>613913095.64999998</v>
      </c>
      <c r="K549" s="506">
        <f>K550+K701+K717</f>
        <v>604295595.64999998</v>
      </c>
      <c r="L549" s="436">
        <f t="shared" si="93"/>
        <v>-9617500</v>
      </c>
      <c r="M549" s="498">
        <f t="shared" si="94"/>
        <v>95.176915781999881</v>
      </c>
    </row>
    <row r="550" spans="1:13" outlineLevel="7" x14ac:dyDescent="0.3">
      <c r="A550" s="444" t="s">
        <v>69</v>
      </c>
      <c r="B550" s="445" t="s">
        <v>536</v>
      </c>
      <c r="C550" s="445" t="s">
        <v>70</v>
      </c>
      <c r="D550" s="541" t="s">
        <v>126</v>
      </c>
      <c r="E550" s="541" t="s">
        <v>6</v>
      </c>
      <c r="F550" s="540">
        <v>531585411.58999997</v>
      </c>
      <c r="G550" s="508">
        <f>G551+G587+G662+G681+G636</f>
        <v>638449559.35000002</v>
      </c>
      <c r="H550" s="446">
        <f>H551+H587+H662+H681+H636</f>
        <v>444707177.88000011</v>
      </c>
      <c r="I550" s="446">
        <f>I551+I587+I662+I681+I636</f>
        <v>580505853.39999998</v>
      </c>
      <c r="J550" s="508">
        <f>J551+J587+J662+J681+J636</f>
        <v>608077941.64999998</v>
      </c>
      <c r="K550" s="508">
        <f>K551+K587+K662+K681+K636</f>
        <v>598460441.64999998</v>
      </c>
      <c r="L550" s="436">
        <f t="shared" si="93"/>
        <v>-9617500</v>
      </c>
      <c r="M550" s="498">
        <f t="shared" si="94"/>
        <v>95.242910382627386</v>
      </c>
    </row>
    <row r="551" spans="1:13" outlineLevel="7" x14ac:dyDescent="0.3">
      <c r="A551" s="438" t="s">
        <v>110</v>
      </c>
      <c r="B551" s="439" t="s">
        <v>536</v>
      </c>
      <c r="C551" s="439" t="s">
        <v>111</v>
      </c>
      <c r="D551" s="539" t="s">
        <v>126</v>
      </c>
      <c r="E551" s="539" t="s">
        <v>6</v>
      </c>
      <c r="F551" s="540">
        <v>118364131.27</v>
      </c>
      <c r="G551" s="465">
        <f t="shared" ref="G551:K552" si="100">G552</f>
        <v>139928096.22</v>
      </c>
      <c r="H551" s="440">
        <f t="shared" si="100"/>
        <v>96923388.159999996</v>
      </c>
      <c r="I551" s="440">
        <f t="shared" si="100"/>
        <v>136647891</v>
      </c>
      <c r="J551" s="465">
        <f t="shared" si="100"/>
        <v>145117866.20000002</v>
      </c>
      <c r="K551" s="465">
        <f t="shared" si="100"/>
        <v>139600366.20000002</v>
      </c>
      <c r="L551" s="436">
        <f t="shared" si="93"/>
        <v>-5517500</v>
      </c>
      <c r="M551" s="498">
        <f t="shared" si="94"/>
        <v>103.70888343384625</v>
      </c>
    </row>
    <row r="552" spans="1:13" ht="34" outlineLevel="7" x14ac:dyDescent="0.3">
      <c r="A552" s="444" t="s">
        <v>825</v>
      </c>
      <c r="B552" s="445" t="s">
        <v>536</v>
      </c>
      <c r="C552" s="445" t="s">
        <v>111</v>
      </c>
      <c r="D552" s="541" t="s">
        <v>138</v>
      </c>
      <c r="E552" s="541" t="s">
        <v>6</v>
      </c>
      <c r="F552" s="542">
        <v>118364131.27</v>
      </c>
      <c r="G552" s="508">
        <f t="shared" si="100"/>
        <v>139928096.22</v>
      </c>
      <c r="H552" s="446">
        <f t="shared" si="100"/>
        <v>96923388.159999996</v>
      </c>
      <c r="I552" s="446">
        <f t="shared" si="100"/>
        <v>136647891</v>
      </c>
      <c r="J552" s="508">
        <f t="shared" si="100"/>
        <v>145117866.20000002</v>
      </c>
      <c r="K552" s="508">
        <f t="shared" si="100"/>
        <v>139600366.20000002</v>
      </c>
      <c r="L552" s="436">
        <f t="shared" si="93"/>
        <v>-5517500</v>
      </c>
      <c r="M552" s="498">
        <f t="shared" si="94"/>
        <v>103.70888343384625</v>
      </c>
    </row>
    <row r="553" spans="1:13" ht="34" outlineLevel="7" x14ac:dyDescent="0.3">
      <c r="A553" s="438" t="s">
        <v>834</v>
      </c>
      <c r="B553" s="439" t="s">
        <v>536</v>
      </c>
      <c r="C553" s="439" t="s">
        <v>111</v>
      </c>
      <c r="D553" s="539" t="s">
        <v>139</v>
      </c>
      <c r="E553" s="539" t="s">
        <v>6</v>
      </c>
      <c r="F553" s="542">
        <v>118364131.27</v>
      </c>
      <c r="G553" s="465">
        <f>G554+G561</f>
        <v>139928096.22</v>
      </c>
      <c r="H553" s="440">
        <f>H554+H561</f>
        <v>96923388.159999996</v>
      </c>
      <c r="I553" s="440">
        <f>I554+I561</f>
        <v>136647891</v>
      </c>
      <c r="J553" s="465">
        <f>J554+J561</f>
        <v>145117866.20000002</v>
      </c>
      <c r="K553" s="465">
        <f>K554+K561</f>
        <v>139600366.20000002</v>
      </c>
      <c r="L553" s="436">
        <f t="shared" si="93"/>
        <v>-5517500</v>
      </c>
      <c r="M553" s="498">
        <f t="shared" si="94"/>
        <v>103.70888343384625</v>
      </c>
    </row>
    <row r="554" spans="1:13" ht="50.95" outlineLevel="7" x14ac:dyDescent="0.3">
      <c r="A554" s="450" t="s">
        <v>202</v>
      </c>
      <c r="B554" s="439" t="s">
        <v>536</v>
      </c>
      <c r="C554" s="439" t="s">
        <v>111</v>
      </c>
      <c r="D554" s="539" t="s">
        <v>219</v>
      </c>
      <c r="E554" s="539" t="s">
        <v>6</v>
      </c>
      <c r="F554" s="540">
        <v>116865686.84</v>
      </c>
      <c r="G554" s="465">
        <f>G555+G558</f>
        <v>130093742.69</v>
      </c>
      <c r="H554" s="440">
        <f>H555+H558</f>
        <v>91675352.060000002</v>
      </c>
      <c r="I554" s="440">
        <f>I555+I558</f>
        <v>134240407.59999999</v>
      </c>
      <c r="J554" s="465">
        <f>J555+J558</f>
        <v>139653899.30000001</v>
      </c>
      <c r="K554" s="465">
        <f>K555+K558</f>
        <v>139153899.30000001</v>
      </c>
      <c r="L554" s="436">
        <f t="shared" si="93"/>
        <v>-500000</v>
      </c>
      <c r="M554" s="498">
        <f t="shared" si="94"/>
        <v>107.34866751645455</v>
      </c>
    </row>
    <row r="555" spans="1:13" ht="50.95" outlineLevel="7" x14ac:dyDescent="0.3">
      <c r="A555" s="438" t="s">
        <v>113</v>
      </c>
      <c r="B555" s="439" t="s">
        <v>536</v>
      </c>
      <c r="C555" s="439" t="s">
        <v>111</v>
      </c>
      <c r="D555" s="539" t="s">
        <v>144</v>
      </c>
      <c r="E555" s="539" t="s">
        <v>6</v>
      </c>
      <c r="F555" s="540">
        <v>41271815.840000004</v>
      </c>
      <c r="G555" s="465">
        <f t="shared" ref="G555:K556" si="101">G556</f>
        <v>45003324.689999998</v>
      </c>
      <c r="H555" s="440">
        <f t="shared" si="101"/>
        <v>31822280.059999999</v>
      </c>
      <c r="I555" s="440">
        <f t="shared" si="101"/>
        <v>48316977.600000001</v>
      </c>
      <c r="J555" s="465">
        <f t="shared" si="101"/>
        <v>50164655.299999997</v>
      </c>
      <c r="K555" s="465">
        <f t="shared" si="101"/>
        <v>49664655.299999997</v>
      </c>
      <c r="L555" s="436">
        <f t="shared" si="93"/>
        <v>-500000</v>
      </c>
      <c r="M555" s="498">
        <f t="shared" si="94"/>
        <v>111.4687762416515</v>
      </c>
    </row>
    <row r="556" spans="1:13" ht="34" outlineLevel="7" x14ac:dyDescent="0.3">
      <c r="A556" s="438" t="s">
        <v>37</v>
      </c>
      <c r="B556" s="439" t="s">
        <v>536</v>
      </c>
      <c r="C556" s="439" t="s">
        <v>111</v>
      </c>
      <c r="D556" s="539" t="s">
        <v>144</v>
      </c>
      <c r="E556" s="539" t="s">
        <v>38</v>
      </c>
      <c r="F556" s="540">
        <v>41271815.840000004</v>
      </c>
      <c r="G556" s="465">
        <f t="shared" si="101"/>
        <v>45003324.689999998</v>
      </c>
      <c r="H556" s="440">
        <f t="shared" si="101"/>
        <v>31822280.059999999</v>
      </c>
      <c r="I556" s="440">
        <f t="shared" si="101"/>
        <v>48316977.600000001</v>
      </c>
      <c r="J556" s="465">
        <f t="shared" si="101"/>
        <v>50164655.299999997</v>
      </c>
      <c r="K556" s="465">
        <f t="shared" si="101"/>
        <v>49664655.299999997</v>
      </c>
      <c r="L556" s="436">
        <f t="shared" si="93"/>
        <v>-500000</v>
      </c>
      <c r="M556" s="498">
        <f t="shared" si="94"/>
        <v>111.4687762416515</v>
      </c>
    </row>
    <row r="557" spans="1:13" outlineLevel="7" x14ac:dyDescent="0.3">
      <c r="A557" s="438" t="s">
        <v>74</v>
      </c>
      <c r="B557" s="439" t="s">
        <v>536</v>
      </c>
      <c r="C557" s="439" t="s">
        <v>111</v>
      </c>
      <c r="D557" s="539" t="s">
        <v>144</v>
      </c>
      <c r="E557" s="539" t="s">
        <v>75</v>
      </c>
      <c r="F557" s="540">
        <v>41271815.840000004</v>
      </c>
      <c r="G557" s="466">
        <f>[2]потребность!I504-3300000+556776+859477+84223.69</f>
        <v>45003324.689999998</v>
      </c>
      <c r="H557" s="443">
        <v>31822280.059999999</v>
      </c>
      <c r="I557" s="442">
        <v>48316977.600000001</v>
      </c>
      <c r="J557" s="466">
        <f>49664655.3+500000</f>
        <v>50164655.299999997</v>
      </c>
      <c r="K557" s="466">
        <f>49664655.3</f>
        <v>49664655.299999997</v>
      </c>
      <c r="L557" s="436">
        <f t="shared" si="93"/>
        <v>-500000</v>
      </c>
      <c r="M557" s="498">
        <f t="shared" si="94"/>
        <v>111.4687762416515</v>
      </c>
    </row>
    <row r="558" spans="1:13" ht="101.9" outlineLevel="7" x14ac:dyDescent="0.3">
      <c r="A558" s="450" t="s">
        <v>397</v>
      </c>
      <c r="B558" s="439" t="s">
        <v>536</v>
      </c>
      <c r="C558" s="439" t="s">
        <v>111</v>
      </c>
      <c r="D558" s="539" t="s">
        <v>145</v>
      </c>
      <c r="E558" s="539" t="s">
        <v>6</v>
      </c>
      <c r="F558" s="540">
        <v>75593871</v>
      </c>
      <c r="G558" s="465">
        <f t="shared" ref="G558:K559" si="102">G559</f>
        <v>85090418</v>
      </c>
      <c r="H558" s="440">
        <f t="shared" si="102"/>
        <v>59853072</v>
      </c>
      <c r="I558" s="440">
        <f t="shared" si="102"/>
        <v>85923430</v>
      </c>
      <c r="J558" s="513">
        <f t="shared" si="102"/>
        <v>89489244</v>
      </c>
      <c r="K558" s="513">
        <f t="shared" si="102"/>
        <v>89489244</v>
      </c>
      <c r="L558" s="436">
        <f t="shared" si="93"/>
        <v>0</v>
      </c>
      <c r="M558" s="498">
        <f t="shared" si="94"/>
        <v>105.16959030569106</v>
      </c>
    </row>
    <row r="559" spans="1:13" ht="34" outlineLevel="7" x14ac:dyDescent="0.3">
      <c r="A559" s="438" t="s">
        <v>37</v>
      </c>
      <c r="B559" s="439" t="s">
        <v>536</v>
      </c>
      <c r="C559" s="439" t="s">
        <v>111</v>
      </c>
      <c r="D559" s="539" t="s">
        <v>145</v>
      </c>
      <c r="E559" s="539" t="s">
        <v>38</v>
      </c>
      <c r="F559" s="540">
        <v>75593871</v>
      </c>
      <c r="G559" s="465">
        <f t="shared" si="102"/>
        <v>85090418</v>
      </c>
      <c r="H559" s="440">
        <f t="shared" si="102"/>
        <v>59853072</v>
      </c>
      <c r="I559" s="440">
        <f t="shared" si="102"/>
        <v>85923430</v>
      </c>
      <c r="J559" s="465">
        <f t="shared" si="102"/>
        <v>89489244</v>
      </c>
      <c r="K559" s="465">
        <f t="shared" si="102"/>
        <v>89489244</v>
      </c>
      <c r="L559" s="436">
        <f t="shared" si="93"/>
        <v>0</v>
      </c>
      <c r="M559" s="498">
        <f t="shared" si="94"/>
        <v>105.16959030569106</v>
      </c>
    </row>
    <row r="560" spans="1:13" ht="24.8" customHeight="1" outlineLevel="7" x14ac:dyDescent="0.3">
      <c r="A560" s="438" t="s">
        <v>74</v>
      </c>
      <c r="B560" s="439" t="s">
        <v>536</v>
      </c>
      <c r="C560" s="439" t="s">
        <v>111</v>
      </c>
      <c r="D560" s="539" t="s">
        <v>145</v>
      </c>
      <c r="E560" s="539" t="s">
        <v>75</v>
      </c>
      <c r="F560" s="540">
        <v>75593871</v>
      </c>
      <c r="G560" s="466">
        <f>81227204+3863214</f>
        <v>85090418</v>
      </c>
      <c r="H560" s="443">
        <v>59853072</v>
      </c>
      <c r="I560" s="442">
        <v>85923430</v>
      </c>
      <c r="J560" s="510">
        <v>89489244</v>
      </c>
      <c r="K560" s="510">
        <v>89489244</v>
      </c>
      <c r="L560" s="436">
        <f t="shared" si="93"/>
        <v>0</v>
      </c>
      <c r="M560" s="498">
        <f t="shared" si="94"/>
        <v>105.16959030569106</v>
      </c>
    </row>
    <row r="561" spans="1:13" ht="34" outlineLevel="7" x14ac:dyDescent="0.3">
      <c r="A561" s="450" t="s">
        <v>203</v>
      </c>
      <c r="B561" s="439" t="s">
        <v>536</v>
      </c>
      <c r="C561" s="439" t="s">
        <v>111</v>
      </c>
      <c r="D561" s="539" t="s">
        <v>221</v>
      </c>
      <c r="E561" s="539" t="s">
        <v>6</v>
      </c>
      <c r="F561" s="540">
        <v>1498444.43</v>
      </c>
      <c r="G561" s="466">
        <f>G580+G562+G565+G568+G571+G574</f>
        <v>9834353.5300000012</v>
      </c>
      <c r="H561" s="442">
        <f>H580+H562+H565+H568+H571+H574</f>
        <v>5248036.0999999996</v>
      </c>
      <c r="I561" s="442">
        <f>I580+I562+I565+I568+I571+I574</f>
        <v>2407483.4</v>
      </c>
      <c r="J561" s="466">
        <f>J580+J562+J565+J568+J571+J574</f>
        <v>5463966.9000000004</v>
      </c>
      <c r="K561" s="466">
        <f>K580+K562+K565+K568+K571+K574</f>
        <v>446466.9</v>
      </c>
      <c r="L561" s="436">
        <f t="shared" si="93"/>
        <v>-5017500</v>
      </c>
      <c r="M561" s="498">
        <f t="shared" si="94"/>
        <v>55.560000800581342</v>
      </c>
    </row>
    <row r="562" spans="1:13" ht="34" outlineLevel="7" x14ac:dyDescent="0.3">
      <c r="A562" s="438" t="s">
        <v>282</v>
      </c>
      <c r="B562" s="439" t="s">
        <v>536</v>
      </c>
      <c r="C562" s="439" t="s">
        <v>111</v>
      </c>
      <c r="D562" s="539" t="s">
        <v>283</v>
      </c>
      <c r="E562" s="539" t="s">
        <v>6</v>
      </c>
      <c r="F562" s="540">
        <v>97500</v>
      </c>
      <c r="G562" s="466">
        <f t="shared" ref="G562:K563" si="103">G563</f>
        <v>97500</v>
      </c>
      <c r="H562" s="442">
        <f t="shared" si="103"/>
        <v>0</v>
      </c>
      <c r="I562" s="442">
        <f t="shared" si="103"/>
        <v>97500</v>
      </c>
      <c r="J562" s="466">
        <f t="shared" si="103"/>
        <v>100000</v>
      </c>
      <c r="K562" s="466">
        <f t="shared" si="103"/>
        <v>100000</v>
      </c>
      <c r="L562" s="436">
        <f t="shared" si="93"/>
        <v>0</v>
      </c>
      <c r="M562" s="498">
        <f t="shared" si="94"/>
        <v>102.56410256410257</v>
      </c>
    </row>
    <row r="563" spans="1:13" ht="22.75" customHeight="1" outlineLevel="7" x14ac:dyDescent="0.3">
      <c r="A563" s="438" t="s">
        <v>37</v>
      </c>
      <c r="B563" s="439" t="s">
        <v>536</v>
      </c>
      <c r="C563" s="439" t="s">
        <v>111</v>
      </c>
      <c r="D563" s="539" t="s">
        <v>283</v>
      </c>
      <c r="E563" s="539" t="s">
        <v>38</v>
      </c>
      <c r="F563" s="540">
        <v>97500</v>
      </c>
      <c r="G563" s="466">
        <f t="shared" si="103"/>
        <v>97500</v>
      </c>
      <c r="H563" s="442">
        <f t="shared" si="103"/>
        <v>0</v>
      </c>
      <c r="I563" s="442">
        <f t="shared" si="103"/>
        <v>97500</v>
      </c>
      <c r="J563" s="466">
        <f t="shared" si="103"/>
        <v>100000</v>
      </c>
      <c r="K563" s="466">
        <f t="shared" si="103"/>
        <v>100000</v>
      </c>
      <c r="L563" s="436">
        <f t="shared" si="93"/>
        <v>0</v>
      </c>
      <c r="M563" s="498">
        <f t="shared" si="94"/>
        <v>102.56410256410257</v>
      </c>
    </row>
    <row r="564" spans="1:13" outlineLevel="7" x14ac:dyDescent="0.3">
      <c r="A564" s="438" t="s">
        <v>74</v>
      </c>
      <c r="B564" s="439" t="s">
        <v>536</v>
      </c>
      <c r="C564" s="439" t="s">
        <v>111</v>
      </c>
      <c r="D564" s="539" t="s">
        <v>283</v>
      </c>
      <c r="E564" s="539" t="s">
        <v>75</v>
      </c>
      <c r="F564" s="540">
        <v>97500</v>
      </c>
      <c r="G564" s="466">
        <v>97500</v>
      </c>
      <c r="H564" s="443"/>
      <c r="I564" s="442">
        <v>97500</v>
      </c>
      <c r="J564" s="466">
        <v>100000</v>
      </c>
      <c r="K564" s="466">
        <v>100000</v>
      </c>
      <c r="L564" s="436">
        <f t="shared" si="93"/>
        <v>0</v>
      </c>
      <c r="M564" s="498">
        <f t="shared" si="94"/>
        <v>102.56410256410257</v>
      </c>
    </row>
    <row r="565" spans="1:13" ht="34" outlineLevel="7" x14ac:dyDescent="0.3">
      <c r="A565" s="438" t="s">
        <v>268</v>
      </c>
      <c r="B565" s="439" t="s">
        <v>536</v>
      </c>
      <c r="C565" s="439" t="s">
        <v>111</v>
      </c>
      <c r="D565" s="539" t="s">
        <v>284</v>
      </c>
      <c r="E565" s="539" t="s">
        <v>6</v>
      </c>
      <c r="F565" s="540">
        <v>111181.43</v>
      </c>
      <c r="G565" s="466">
        <f>G566</f>
        <v>152000</v>
      </c>
      <c r="H565" s="442">
        <f>H566</f>
        <v>77979.91</v>
      </c>
      <c r="I565" s="442">
        <f>I566</f>
        <v>152000</v>
      </c>
      <c r="J565" s="466">
        <f>J566</f>
        <v>158000</v>
      </c>
      <c r="K565" s="466">
        <f>K566</f>
        <v>158000</v>
      </c>
      <c r="L565" s="436">
        <f t="shared" si="93"/>
        <v>0</v>
      </c>
      <c r="M565" s="498">
        <f t="shared" si="94"/>
        <v>103.94736842105263</v>
      </c>
    </row>
    <row r="566" spans="1:13" ht="34" outlineLevel="7" x14ac:dyDescent="0.3">
      <c r="A566" s="438" t="s">
        <v>37</v>
      </c>
      <c r="B566" s="439" t="s">
        <v>536</v>
      </c>
      <c r="C566" s="439" t="s">
        <v>111</v>
      </c>
      <c r="D566" s="539" t="s">
        <v>284</v>
      </c>
      <c r="E566" s="539" t="s">
        <v>38</v>
      </c>
      <c r="F566" s="540">
        <v>111181.43</v>
      </c>
      <c r="G566" s="466">
        <f>G567</f>
        <v>152000</v>
      </c>
      <c r="H566" s="442">
        <f>H567</f>
        <v>77979.91</v>
      </c>
      <c r="I566" s="442">
        <v>152000</v>
      </c>
      <c r="J566" s="466">
        <f>J567</f>
        <v>158000</v>
      </c>
      <c r="K566" s="466">
        <f>K567</f>
        <v>158000</v>
      </c>
      <c r="L566" s="436">
        <f t="shared" si="93"/>
        <v>0</v>
      </c>
      <c r="M566" s="498">
        <f t="shared" si="94"/>
        <v>103.94736842105263</v>
      </c>
    </row>
    <row r="567" spans="1:13" outlineLevel="7" x14ac:dyDescent="0.3">
      <c r="A567" s="438" t="s">
        <v>74</v>
      </c>
      <c r="B567" s="439" t="s">
        <v>536</v>
      </c>
      <c r="C567" s="439" t="s">
        <v>111</v>
      </c>
      <c r="D567" s="539" t="s">
        <v>284</v>
      </c>
      <c r="E567" s="539" t="s">
        <v>75</v>
      </c>
      <c r="F567" s="540">
        <v>111181.43</v>
      </c>
      <c r="G567" s="466">
        <v>152000</v>
      </c>
      <c r="H567" s="443">
        <v>77979.91</v>
      </c>
      <c r="I567" s="442">
        <v>152000</v>
      </c>
      <c r="J567" s="466">
        <v>158000</v>
      </c>
      <c r="K567" s="466">
        <v>158000</v>
      </c>
      <c r="L567" s="436">
        <f t="shared" si="93"/>
        <v>0</v>
      </c>
      <c r="M567" s="498">
        <f t="shared" si="94"/>
        <v>103.94736842105263</v>
      </c>
    </row>
    <row r="568" spans="1:13" outlineLevel="7" x14ac:dyDescent="0.3">
      <c r="A568" s="438" t="s">
        <v>311</v>
      </c>
      <c r="B568" s="439" t="s">
        <v>536</v>
      </c>
      <c r="C568" s="439" t="s">
        <v>111</v>
      </c>
      <c r="D568" s="539" t="s">
        <v>534</v>
      </c>
      <c r="E568" s="539" t="s">
        <v>6</v>
      </c>
      <c r="F568" s="540">
        <v>413306</v>
      </c>
      <c r="G568" s="466">
        <f t="shared" ref="G568:K569" si="104">G569</f>
        <v>92750</v>
      </c>
      <c r="H568" s="442">
        <f t="shared" si="104"/>
        <v>4700</v>
      </c>
      <c r="I568" s="442">
        <f t="shared" si="104"/>
        <v>400000</v>
      </c>
      <c r="J568" s="466">
        <f t="shared" si="104"/>
        <v>2200000</v>
      </c>
      <c r="K568" s="466">
        <f t="shared" si="104"/>
        <v>0</v>
      </c>
      <c r="L568" s="436">
        <f t="shared" si="93"/>
        <v>-2200000</v>
      </c>
      <c r="M568" s="498">
        <f t="shared" si="94"/>
        <v>2371.967654986523</v>
      </c>
    </row>
    <row r="569" spans="1:13" ht="34" outlineLevel="7" x14ac:dyDescent="0.3">
      <c r="A569" s="438" t="s">
        <v>37</v>
      </c>
      <c r="B569" s="439" t="s">
        <v>536</v>
      </c>
      <c r="C569" s="439" t="s">
        <v>111</v>
      </c>
      <c r="D569" s="539" t="s">
        <v>534</v>
      </c>
      <c r="E569" s="539" t="s">
        <v>38</v>
      </c>
      <c r="F569" s="540">
        <v>413306</v>
      </c>
      <c r="G569" s="466">
        <f t="shared" si="104"/>
        <v>92750</v>
      </c>
      <c r="H569" s="442">
        <f t="shared" si="104"/>
        <v>4700</v>
      </c>
      <c r="I569" s="442">
        <f t="shared" si="104"/>
        <v>400000</v>
      </c>
      <c r="J569" s="466">
        <f t="shared" si="104"/>
        <v>2200000</v>
      </c>
      <c r="K569" s="466">
        <f t="shared" si="104"/>
        <v>0</v>
      </c>
      <c r="L569" s="436">
        <f t="shared" si="93"/>
        <v>-2200000</v>
      </c>
      <c r="M569" s="498">
        <f t="shared" si="94"/>
        <v>2371.967654986523</v>
      </c>
    </row>
    <row r="570" spans="1:13" outlineLevel="7" x14ac:dyDescent="0.3">
      <c r="A570" s="438" t="s">
        <v>74</v>
      </c>
      <c r="B570" s="439" t="s">
        <v>536</v>
      </c>
      <c r="C570" s="439" t="s">
        <v>111</v>
      </c>
      <c r="D570" s="539" t="s">
        <v>534</v>
      </c>
      <c r="E570" s="539" t="s">
        <v>75</v>
      </c>
      <c r="F570" s="540">
        <v>413306</v>
      </c>
      <c r="G570" s="466">
        <f>273250-180500</f>
        <v>92750</v>
      </c>
      <c r="H570" s="443">
        <v>4700</v>
      </c>
      <c r="I570" s="442">
        <v>400000</v>
      </c>
      <c r="J570" s="466">
        <v>2200000</v>
      </c>
      <c r="K570" s="466">
        <f>2200000-2200000</f>
        <v>0</v>
      </c>
      <c r="L570" s="436">
        <f t="shared" si="93"/>
        <v>-2200000</v>
      </c>
      <c r="M570" s="498">
        <f t="shared" si="94"/>
        <v>2371.967654986523</v>
      </c>
    </row>
    <row r="571" spans="1:13" ht="50.95" outlineLevel="7" x14ac:dyDescent="0.3">
      <c r="A571" s="450" t="s">
        <v>458</v>
      </c>
      <c r="B571" s="439" t="s">
        <v>536</v>
      </c>
      <c r="C571" s="439" t="s">
        <v>111</v>
      </c>
      <c r="D571" s="539" t="s">
        <v>459</v>
      </c>
      <c r="E571" s="539" t="s">
        <v>6</v>
      </c>
      <c r="F571" s="540">
        <v>125600</v>
      </c>
      <c r="G571" s="466">
        <f t="shared" ref="G571:K572" si="105">G572</f>
        <v>6000000</v>
      </c>
      <c r="H571" s="442">
        <f t="shared" si="105"/>
        <v>1800000</v>
      </c>
      <c r="I571" s="442">
        <f t="shared" si="105"/>
        <v>1400000</v>
      </c>
      <c r="J571" s="466">
        <f t="shared" si="105"/>
        <v>2817500</v>
      </c>
      <c r="K571" s="466">
        <f t="shared" si="105"/>
        <v>0</v>
      </c>
      <c r="L571" s="436">
        <f t="shared" si="93"/>
        <v>-2817500</v>
      </c>
      <c r="M571" s="498">
        <f t="shared" si="94"/>
        <v>46.958333333333336</v>
      </c>
    </row>
    <row r="572" spans="1:13" ht="34" outlineLevel="7" x14ac:dyDescent="0.3">
      <c r="A572" s="438" t="s">
        <v>37</v>
      </c>
      <c r="B572" s="439" t="s">
        <v>536</v>
      </c>
      <c r="C572" s="439" t="s">
        <v>111</v>
      </c>
      <c r="D572" s="539" t="s">
        <v>459</v>
      </c>
      <c r="E572" s="539" t="s">
        <v>38</v>
      </c>
      <c r="F572" s="540">
        <v>125600</v>
      </c>
      <c r="G572" s="466">
        <f t="shared" si="105"/>
        <v>6000000</v>
      </c>
      <c r="H572" s="442">
        <f t="shared" si="105"/>
        <v>1800000</v>
      </c>
      <c r="I572" s="442">
        <f t="shared" si="105"/>
        <v>1400000</v>
      </c>
      <c r="J572" s="466">
        <f t="shared" si="105"/>
        <v>2817500</v>
      </c>
      <c r="K572" s="466">
        <f t="shared" si="105"/>
        <v>0</v>
      </c>
      <c r="L572" s="436">
        <f t="shared" si="93"/>
        <v>-2817500</v>
      </c>
      <c r="M572" s="498">
        <f t="shared" si="94"/>
        <v>46.958333333333336</v>
      </c>
    </row>
    <row r="573" spans="1:13" ht="17.7" outlineLevel="2" thickBot="1" x14ac:dyDescent="0.35">
      <c r="A573" s="438" t="s">
        <v>74</v>
      </c>
      <c r="B573" s="439" t="s">
        <v>536</v>
      </c>
      <c r="C573" s="439" t="s">
        <v>111</v>
      </c>
      <c r="D573" s="539" t="s">
        <v>459</v>
      </c>
      <c r="E573" s="539" t="s">
        <v>75</v>
      </c>
      <c r="F573" s="540">
        <v>125600</v>
      </c>
      <c r="G573" s="466">
        <f>[2]потребность!I520+3300000-3000000-400000+6000000</f>
        <v>6000000</v>
      </c>
      <c r="H573" s="443">
        <v>1800000</v>
      </c>
      <c r="I573" s="442">
        <v>1400000</v>
      </c>
      <c r="J573" s="466">
        <v>2817500</v>
      </c>
      <c r="K573" s="512">
        <f>2817500-2817500</f>
        <v>0</v>
      </c>
      <c r="L573" s="436">
        <f t="shared" si="93"/>
        <v>-2817500</v>
      </c>
      <c r="M573" s="498">
        <f t="shared" si="94"/>
        <v>46.958333333333336</v>
      </c>
    </row>
    <row r="574" spans="1:13" s="449" customFormat="1" ht="57.25" customHeight="1" outlineLevel="3" thickBot="1" x14ac:dyDescent="0.35">
      <c r="A574" s="470" t="s">
        <v>938</v>
      </c>
      <c r="B574" s="439" t="s">
        <v>536</v>
      </c>
      <c r="C574" s="439" t="s">
        <v>111</v>
      </c>
      <c r="D574" s="539" t="s">
        <v>726</v>
      </c>
      <c r="E574" s="539" t="s">
        <v>6</v>
      </c>
      <c r="F574" s="540">
        <v>343895</v>
      </c>
      <c r="G574" s="466">
        <f>G575</f>
        <v>3492103.5300000003</v>
      </c>
      <c r="H574" s="442">
        <f>H575</f>
        <v>3365356.19</v>
      </c>
      <c r="I574" s="442">
        <v>0</v>
      </c>
      <c r="J574" s="507">
        <v>0</v>
      </c>
      <c r="K574" s="507">
        <v>0</v>
      </c>
      <c r="L574" s="436">
        <f t="shared" si="93"/>
        <v>0</v>
      </c>
      <c r="M574" s="498">
        <f t="shared" si="94"/>
        <v>0</v>
      </c>
    </row>
    <row r="575" spans="1:13" ht="23.95" customHeight="1" outlineLevel="4" x14ac:dyDescent="0.3">
      <c r="A575" s="438" t="s">
        <v>37</v>
      </c>
      <c r="B575" s="439" t="s">
        <v>536</v>
      </c>
      <c r="C575" s="439" t="s">
        <v>111</v>
      </c>
      <c r="D575" s="539" t="s">
        <v>726</v>
      </c>
      <c r="E575" s="539" t="s">
        <v>38</v>
      </c>
      <c r="F575" s="540">
        <v>343895</v>
      </c>
      <c r="G575" s="466">
        <f>G576</f>
        <v>3492103.5300000003</v>
      </c>
      <c r="H575" s="442">
        <f>H576</f>
        <v>3365356.19</v>
      </c>
      <c r="I575" s="442">
        <v>0</v>
      </c>
      <c r="J575" s="466">
        <v>0</v>
      </c>
      <c r="K575" s="466">
        <v>0</v>
      </c>
      <c r="L575" s="436">
        <f t="shared" si="93"/>
        <v>0</v>
      </c>
      <c r="M575" s="498">
        <f t="shared" si="94"/>
        <v>0</v>
      </c>
    </row>
    <row r="576" spans="1:13" ht="22.75" customHeight="1" outlineLevel="4" x14ac:dyDescent="0.3">
      <c r="A576" s="438" t="s">
        <v>74</v>
      </c>
      <c r="B576" s="439" t="s">
        <v>536</v>
      </c>
      <c r="C576" s="439" t="s">
        <v>111</v>
      </c>
      <c r="D576" s="539" t="s">
        <v>726</v>
      </c>
      <c r="E576" s="539" t="s">
        <v>75</v>
      </c>
      <c r="F576" s="540">
        <v>343895</v>
      </c>
      <c r="G576" s="466">
        <f>[2]потребность!L521+340000+282103.53+400000+70000</f>
        <v>3492103.5300000003</v>
      </c>
      <c r="H576" s="443">
        <v>3365356.19</v>
      </c>
      <c r="I576" s="442">
        <v>0</v>
      </c>
      <c r="J576" s="466">
        <v>0</v>
      </c>
      <c r="K576" s="466">
        <v>0</v>
      </c>
      <c r="L576" s="436">
        <f t="shared" si="93"/>
        <v>0</v>
      </c>
      <c r="M576" s="498">
        <f t="shared" si="94"/>
        <v>0</v>
      </c>
    </row>
    <row r="577" spans="1:13" ht="73.400000000000006" hidden="1" customHeight="1" outlineLevel="4" x14ac:dyDescent="0.3">
      <c r="A577" s="393" t="s">
        <v>589</v>
      </c>
      <c r="B577" s="439" t="s">
        <v>536</v>
      </c>
      <c r="C577" s="439" t="s">
        <v>111</v>
      </c>
      <c r="D577" s="539" t="s">
        <v>590</v>
      </c>
      <c r="E577" s="539" t="s">
        <v>6</v>
      </c>
      <c r="F577" s="540">
        <v>394753.14</v>
      </c>
      <c r="G577" s="466">
        <f>G578</f>
        <v>0</v>
      </c>
      <c r="H577" s="442">
        <f>H578</f>
        <v>0</v>
      </c>
      <c r="I577" s="442">
        <v>0</v>
      </c>
      <c r="J577" s="509">
        <v>0</v>
      </c>
      <c r="K577" s="509">
        <v>0</v>
      </c>
      <c r="L577" s="436">
        <f t="shared" si="93"/>
        <v>0</v>
      </c>
      <c r="M577" s="498"/>
    </row>
    <row r="578" spans="1:13" ht="43.5" hidden="1" customHeight="1" outlineLevel="4" x14ac:dyDescent="0.3">
      <c r="A578" s="438" t="s">
        <v>37</v>
      </c>
      <c r="B578" s="439" t="s">
        <v>536</v>
      </c>
      <c r="C578" s="439" t="s">
        <v>111</v>
      </c>
      <c r="D578" s="539" t="s">
        <v>590</v>
      </c>
      <c r="E578" s="539" t="s">
        <v>38</v>
      </c>
      <c r="F578" s="540">
        <v>394753.14</v>
      </c>
      <c r="G578" s="466">
        <f>G579</f>
        <v>0</v>
      </c>
      <c r="H578" s="442">
        <f>H579</f>
        <v>0</v>
      </c>
      <c r="I578" s="442">
        <v>0</v>
      </c>
      <c r="J578" s="466">
        <v>0</v>
      </c>
      <c r="K578" s="466">
        <v>0</v>
      </c>
      <c r="L578" s="436">
        <f t="shared" si="93"/>
        <v>0</v>
      </c>
      <c r="M578" s="498"/>
    </row>
    <row r="579" spans="1:13" ht="30.75" hidden="1" customHeight="1" outlineLevel="4" x14ac:dyDescent="0.3">
      <c r="A579" s="438" t="s">
        <v>74</v>
      </c>
      <c r="B579" s="439" t="s">
        <v>536</v>
      </c>
      <c r="C579" s="439" t="s">
        <v>111</v>
      </c>
      <c r="D579" s="539" t="s">
        <v>590</v>
      </c>
      <c r="E579" s="539" t="s">
        <v>75</v>
      </c>
      <c r="F579" s="540">
        <v>394753.14</v>
      </c>
      <c r="G579" s="466">
        <v>0</v>
      </c>
      <c r="H579" s="442">
        <v>0</v>
      </c>
      <c r="I579" s="442">
        <v>0</v>
      </c>
      <c r="J579" s="466">
        <v>0</v>
      </c>
      <c r="K579" s="466">
        <v>0</v>
      </c>
      <c r="L579" s="436">
        <f t="shared" si="93"/>
        <v>0</v>
      </c>
      <c r="M579" s="498"/>
    </row>
    <row r="580" spans="1:13" ht="67.95" outlineLevel="5" x14ac:dyDescent="0.3">
      <c r="A580" s="438" t="s">
        <v>443</v>
      </c>
      <c r="B580" s="439" t="s">
        <v>536</v>
      </c>
      <c r="C580" s="439" t="s">
        <v>111</v>
      </c>
      <c r="D580" s="539" t="s">
        <v>444</v>
      </c>
      <c r="E580" s="539" t="s">
        <v>6</v>
      </c>
      <c r="F580" s="540">
        <v>12208.86</v>
      </c>
      <c r="G580" s="466">
        <f t="shared" ref="G580:K581" si="106">G581</f>
        <v>0</v>
      </c>
      <c r="H580" s="442">
        <f t="shared" si="106"/>
        <v>0</v>
      </c>
      <c r="I580" s="442">
        <f t="shared" si="106"/>
        <v>357983.4</v>
      </c>
      <c r="J580" s="466">
        <f t="shared" si="106"/>
        <v>188466.9</v>
      </c>
      <c r="K580" s="466">
        <f t="shared" si="106"/>
        <v>188466.9</v>
      </c>
      <c r="L580" s="436">
        <f t="shared" si="93"/>
        <v>0</v>
      </c>
      <c r="M580" s="498"/>
    </row>
    <row r="581" spans="1:13" ht="34" outlineLevel="6" x14ac:dyDescent="0.3">
      <c r="A581" s="438" t="s">
        <v>37</v>
      </c>
      <c r="B581" s="439" t="s">
        <v>536</v>
      </c>
      <c r="C581" s="439" t="s">
        <v>111</v>
      </c>
      <c r="D581" s="539" t="s">
        <v>444</v>
      </c>
      <c r="E581" s="539" t="s">
        <v>38</v>
      </c>
      <c r="F581" s="540">
        <v>12208.86</v>
      </c>
      <c r="G581" s="466">
        <f t="shared" si="106"/>
        <v>0</v>
      </c>
      <c r="H581" s="442">
        <f t="shared" si="106"/>
        <v>0</v>
      </c>
      <c r="I581" s="442">
        <f t="shared" si="106"/>
        <v>357983.4</v>
      </c>
      <c r="J581" s="466">
        <f t="shared" si="106"/>
        <v>188466.9</v>
      </c>
      <c r="K581" s="466">
        <f t="shared" si="106"/>
        <v>188466.9</v>
      </c>
      <c r="L581" s="436">
        <f t="shared" si="93"/>
        <v>0</v>
      </c>
      <c r="M581" s="498"/>
    </row>
    <row r="582" spans="1:13" ht="20.25" customHeight="1" outlineLevel="7" x14ac:dyDescent="0.3">
      <c r="A582" s="438" t="s">
        <v>74</v>
      </c>
      <c r="B582" s="439" t="s">
        <v>536</v>
      </c>
      <c r="C582" s="439" t="s">
        <v>111</v>
      </c>
      <c r="D582" s="539" t="s">
        <v>444</v>
      </c>
      <c r="E582" s="539" t="s">
        <v>75</v>
      </c>
      <c r="F582" s="540">
        <v>12208.86</v>
      </c>
      <c r="G582" s="466">
        <f>282103.53-282103.53</f>
        <v>0</v>
      </c>
      <c r="H582" s="442">
        <f>282103.53-282103.53</f>
        <v>0</v>
      </c>
      <c r="I582" s="442">
        <v>357983.4</v>
      </c>
      <c r="J582" s="466">
        <v>188466.9</v>
      </c>
      <c r="K582" s="466">
        <v>188466.9</v>
      </c>
      <c r="L582" s="436">
        <f t="shared" si="93"/>
        <v>0</v>
      </c>
      <c r="M582" s="498"/>
    </row>
    <row r="583" spans="1:13" ht="63.7" hidden="1" customHeight="1" outlineLevel="5" x14ac:dyDescent="0.3">
      <c r="A583" s="451" t="s">
        <v>591</v>
      </c>
      <c r="B583" s="439" t="s">
        <v>536</v>
      </c>
      <c r="C583" s="439" t="s">
        <v>111</v>
      </c>
      <c r="D583" s="539" t="s">
        <v>592</v>
      </c>
      <c r="E583" s="539" t="s">
        <v>6</v>
      </c>
      <c r="F583" s="539" t="s">
        <v>976</v>
      </c>
      <c r="G583" s="466">
        <f t="shared" ref="G583:H585" si="107">G584</f>
        <v>0</v>
      </c>
      <c r="H583" s="442">
        <f t="shared" si="107"/>
        <v>0</v>
      </c>
      <c r="I583" s="442">
        <v>0</v>
      </c>
      <c r="J583" s="466">
        <v>0</v>
      </c>
      <c r="K583" s="466">
        <v>0</v>
      </c>
      <c r="L583" s="436">
        <f t="shared" si="93"/>
        <v>0</v>
      </c>
      <c r="M583" s="498"/>
    </row>
    <row r="584" spans="1:13" ht="101.9" hidden="1" outlineLevel="5" x14ac:dyDescent="0.3">
      <c r="A584" s="450" t="s">
        <v>562</v>
      </c>
      <c r="B584" s="439" t="s">
        <v>536</v>
      </c>
      <c r="C584" s="439" t="s">
        <v>111</v>
      </c>
      <c r="D584" s="539" t="s">
        <v>675</v>
      </c>
      <c r="E584" s="539" t="s">
        <v>6</v>
      </c>
      <c r="F584" s="539" t="s">
        <v>976</v>
      </c>
      <c r="G584" s="466">
        <f t="shared" si="107"/>
        <v>0</v>
      </c>
      <c r="H584" s="442">
        <f t="shared" si="107"/>
        <v>0</v>
      </c>
      <c r="I584" s="442">
        <v>0</v>
      </c>
      <c r="J584" s="466">
        <v>0</v>
      </c>
      <c r="K584" s="466">
        <v>0</v>
      </c>
      <c r="L584" s="436">
        <f t="shared" ref="L584:L647" si="108">K584-J584</f>
        <v>0</v>
      </c>
      <c r="M584" s="498"/>
    </row>
    <row r="585" spans="1:13" ht="50.95" hidden="1" outlineLevel="5" x14ac:dyDescent="0.3">
      <c r="A585" s="438" t="s">
        <v>264</v>
      </c>
      <c r="B585" s="439" t="s">
        <v>536</v>
      </c>
      <c r="C585" s="439" t="s">
        <v>111</v>
      </c>
      <c r="D585" s="539" t="s">
        <v>675</v>
      </c>
      <c r="E585" s="539" t="s">
        <v>265</v>
      </c>
      <c r="F585" s="539" t="s">
        <v>976</v>
      </c>
      <c r="G585" s="466">
        <f t="shared" si="107"/>
        <v>0</v>
      </c>
      <c r="H585" s="442">
        <f t="shared" si="107"/>
        <v>0</v>
      </c>
      <c r="I585" s="442">
        <v>0</v>
      </c>
      <c r="J585" s="466">
        <v>0</v>
      </c>
      <c r="K585" s="466">
        <v>0</v>
      </c>
      <c r="L585" s="436">
        <f t="shared" si="108"/>
        <v>0</v>
      </c>
      <c r="M585" s="498"/>
    </row>
    <row r="586" spans="1:13" ht="24.8" hidden="1" customHeight="1" outlineLevel="5" x14ac:dyDescent="0.3">
      <c r="A586" s="438" t="s">
        <v>266</v>
      </c>
      <c r="B586" s="439" t="s">
        <v>536</v>
      </c>
      <c r="C586" s="439" t="s">
        <v>111</v>
      </c>
      <c r="D586" s="539" t="s">
        <v>675</v>
      </c>
      <c r="E586" s="539" t="s">
        <v>267</v>
      </c>
      <c r="F586" s="539" t="s">
        <v>976</v>
      </c>
      <c r="G586" s="466">
        <v>0</v>
      </c>
      <c r="H586" s="442">
        <v>0</v>
      </c>
      <c r="I586" s="442">
        <v>0</v>
      </c>
      <c r="J586" s="466">
        <v>0</v>
      </c>
      <c r="K586" s="466">
        <v>0</v>
      </c>
      <c r="L586" s="436">
        <f t="shared" si="108"/>
        <v>0</v>
      </c>
      <c r="M586" s="498"/>
    </row>
    <row r="587" spans="1:13" outlineLevel="5" x14ac:dyDescent="0.3">
      <c r="A587" s="438" t="s">
        <v>71</v>
      </c>
      <c r="B587" s="439" t="s">
        <v>536</v>
      </c>
      <c r="C587" s="439" t="s">
        <v>72</v>
      </c>
      <c r="D587" s="539" t="s">
        <v>126</v>
      </c>
      <c r="E587" s="539" t="s">
        <v>6</v>
      </c>
      <c r="F587" s="540">
        <v>367630079.58999997</v>
      </c>
      <c r="G587" s="465">
        <f t="shared" ref="G587:K588" si="109">G588</f>
        <v>448315829.87</v>
      </c>
      <c r="H587" s="440">
        <f t="shared" si="109"/>
        <v>311413061.14000005</v>
      </c>
      <c r="I587" s="440">
        <f t="shared" si="109"/>
        <v>391756723.39999998</v>
      </c>
      <c r="J587" s="465">
        <f t="shared" si="109"/>
        <v>408602891.19999999</v>
      </c>
      <c r="K587" s="465">
        <f t="shared" si="109"/>
        <v>404502891.19999999</v>
      </c>
      <c r="L587" s="436">
        <f t="shared" si="108"/>
        <v>-4100000</v>
      </c>
      <c r="M587" s="498">
        <f t="shared" ref="M587:M646" si="110">J587/G587%</f>
        <v>91.141749627374139</v>
      </c>
    </row>
    <row r="588" spans="1:13" ht="34" outlineLevel="5" x14ac:dyDescent="0.3">
      <c r="A588" s="444" t="s">
        <v>825</v>
      </c>
      <c r="B588" s="445" t="s">
        <v>536</v>
      </c>
      <c r="C588" s="445" t="s">
        <v>72</v>
      </c>
      <c r="D588" s="541" t="s">
        <v>138</v>
      </c>
      <c r="E588" s="541" t="s">
        <v>6</v>
      </c>
      <c r="F588" s="542">
        <v>367630079.58999997</v>
      </c>
      <c r="G588" s="508">
        <f t="shared" si="109"/>
        <v>448315829.87</v>
      </c>
      <c r="H588" s="446">
        <f t="shared" si="109"/>
        <v>311413061.14000005</v>
      </c>
      <c r="I588" s="446">
        <f t="shared" si="109"/>
        <v>391756723.39999998</v>
      </c>
      <c r="J588" s="508">
        <f t="shared" si="109"/>
        <v>408602891.19999999</v>
      </c>
      <c r="K588" s="508">
        <f t="shared" si="109"/>
        <v>404502891.19999999</v>
      </c>
      <c r="L588" s="436">
        <f t="shared" si="108"/>
        <v>-4100000</v>
      </c>
      <c r="M588" s="498">
        <f t="shared" si="110"/>
        <v>91.141749627374139</v>
      </c>
    </row>
    <row r="589" spans="1:13" ht="45" customHeight="1" outlineLevel="5" x14ac:dyDescent="0.3">
      <c r="A589" s="438" t="s">
        <v>831</v>
      </c>
      <c r="B589" s="439" t="s">
        <v>536</v>
      </c>
      <c r="C589" s="439" t="s">
        <v>72</v>
      </c>
      <c r="D589" s="539" t="s">
        <v>146</v>
      </c>
      <c r="E589" s="539" t="s">
        <v>6</v>
      </c>
      <c r="F589" s="542">
        <v>367630079.58999997</v>
      </c>
      <c r="G589" s="465">
        <f>G590+G606+G625+G629</f>
        <v>448315829.87</v>
      </c>
      <c r="H589" s="440">
        <f>H590+H606+H625+H629</f>
        <v>311413061.14000005</v>
      </c>
      <c r="I589" s="440">
        <f>I590+I606+I625+I629</f>
        <v>391756723.39999998</v>
      </c>
      <c r="J589" s="465">
        <f>J590+J606+J625+J629</f>
        <v>408602891.19999999</v>
      </c>
      <c r="K589" s="465">
        <f>K590+K606+K625+K629</f>
        <v>404502891.19999999</v>
      </c>
      <c r="L589" s="436">
        <f t="shared" si="108"/>
        <v>-4100000</v>
      </c>
      <c r="M589" s="498">
        <f t="shared" si="110"/>
        <v>91.141749627374139</v>
      </c>
    </row>
    <row r="590" spans="1:13" ht="45.7" customHeight="1" outlineLevel="5" x14ac:dyDescent="0.3">
      <c r="A590" s="450" t="s">
        <v>205</v>
      </c>
      <c r="B590" s="439" t="s">
        <v>536</v>
      </c>
      <c r="C590" s="439" t="s">
        <v>72</v>
      </c>
      <c r="D590" s="539" t="s">
        <v>222</v>
      </c>
      <c r="E590" s="539" t="s">
        <v>6</v>
      </c>
      <c r="F590" s="540">
        <v>351510244.41000003</v>
      </c>
      <c r="G590" s="465">
        <f>G591+G594+G597+G600+G603</f>
        <v>376463222.84000003</v>
      </c>
      <c r="H590" s="440">
        <f>H591+H594+H597+H600+H603</f>
        <v>270640249.52000004</v>
      </c>
      <c r="I590" s="440">
        <f>I591+I594+I597+I600+I603</f>
        <v>380525659.37</v>
      </c>
      <c r="J590" s="465">
        <f>J591+J594+J597+J600+J603</f>
        <v>394199532.56</v>
      </c>
      <c r="K590" s="465">
        <f>K591+K594+K597+K600+K603</f>
        <v>393099532.56</v>
      </c>
      <c r="L590" s="436">
        <f t="shared" si="108"/>
        <v>-1100000</v>
      </c>
      <c r="M590" s="498">
        <f t="shared" si="110"/>
        <v>104.71129944279791</v>
      </c>
    </row>
    <row r="591" spans="1:13" ht="67.95" outlineLevel="5" x14ac:dyDescent="0.3">
      <c r="A591" s="397" t="s">
        <v>593</v>
      </c>
      <c r="B591" s="439" t="s">
        <v>536</v>
      </c>
      <c r="C591" s="439" t="s">
        <v>72</v>
      </c>
      <c r="D591" s="539" t="s">
        <v>594</v>
      </c>
      <c r="E591" s="539" t="s">
        <v>6</v>
      </c>
      <c r="F591" s="540">
        <v>19603028.300000001</v>
      </c>
      <c r="G591" s="465">
        <f t="shared" ref="G591:K592" si="111">G592</f>
        <v>20475000</v>
      </c>
      <c r="H591" s="440">
        <f t="shared" si="111"/>
        <v>15369721.029999999</v>
      </c>
      <c r="I591" s="440">
        <f t="shared" si="111"/>
        <v>20475000</v>
      </c>
      <c r="J591" s="513">
        <f t="shared" si="111"/>
        <v>21060000</v>
      </c>
      <c r="K591" s="513">
        <f t="shared" si="111"/>
        <v>21060000</v>
      </c>
      <c r="L591" s="436">
        <f t="shared" si="108"/>
        <v>0</v>
      </c>
      <c r="M591" s="498">
        <f t="shared" si="110"/>
        <v>102.85714285714286</v>
      </c>
    </row>
    <row r="592" spans="1:13" ht="34" outlineLevel="5" x14ac:dyDescent="0.3">
      <c r="A592" s="438" t="s">
        <v>37</v>
      </c>
      <c r="B592" s="439" t="s">
        <v>536</v>
      </c>
      <c r="C592" s="439" t="s">
        <v>72</v>
      </c>
      <c r="D592" s="539" t="s">
        <v>594</v>
      </c>
      <c r="E592" s="539" t="s">
        <v>38</v>
      </c>
      <c r="F592" s="540">
        <v>19603028.300000001</v>
      </c>
      <c r="G592" s="465">
        <f t="shared" si="111"/>
        <v>20475000</v>
      </c>
      <c r="H592" s="440">
        <f t="shared" si="111"/>
        <v>15369721.029999999</v>
      </c>
      <c r="I592" s="440">
        <f t="shared" si="111"/>
        <v>20475000</v>
      </c>
      <c r="J592" s="465">
        <f t="shared" si="111"/>
        <v>21060000</v>
      </c>
      <c r="K592" s="465">
        <f t="shared" si="111"/>
        <v>21060000</v>
      </c>
      <c r="L592" s="436">
        <f t="shared" si="108"/>
        <v>0</v>
      </c>
      <c r="M592" s="498">
        <f t="shared" si="110"/>
        <v>102.85714285714286</v>
      </c>
    </row>
    <row r="593" spans="1:13" outlineLevel="5" x14ac:dyDescent="0.3">
      <c r="A593" s="438" t="s">
        <v>74</v>
      </c>
      <c r="B593" s="439" t="s">
        <v>536</v>
      </c>
      <c r="C593" s="439" t="s">
        <v>72</v>
      </c>
      <c r="D593" s="539" t="s">
        <v>594</v>
      </c>
      <c r="E593" s="539" t="s">
        <v>75</v>
      </c>
      <c r="F593" s="540">
        <v>19603028.300000001</v>
      </c>
      <c r="G593" s="465">
        <v>20475000</v>
      </c>
      <c r="H593" s="441">
        <v>15369721.029999999</v>
      </c>
      <c r="I593" s="440">
        <v>20475000</v>
      </c>
      <c r="J593" s="517">
        <v>21060000</v>
      </c>
      <c r="K593" s="517">
        <v>21060000</v>
      </c>
      <c r="L593" s="436">
        <f t="shared" si="108"/>
        <v>0</v>
      </c>
      <c r="M593" s="498">
        <f t="shared" si="110"/>
        <v>102.85714285714286</v>
      </c>
    </row>
    <row r="594" spans="1:13" ht="50.95" outlineLevel="5" x14ac:dyDescent="0.3">
      <c r="A594" s="438" t="s">
        <v>114</v>
      </c>
      <c r="B594" s="439" t="s">
        <v>536</v>
      </c>
      <c r="C594" s="439" t="s">
        <v>72</v>
      </c>
      <c r="D594" s="539" t="s">
        <v>147</v>
      </c>
      <c r="E594" s="539" t="s">
        <v>6</v>
      </c>
      <c r="F594" s="540">
        <v>90019549.159999996</v>
      </c>
      <c r="G594" s="465">
        <f t="shared" ref="G594:K595" si="112">G595</f>
        <v>98033803.840000004</v>
      </c>
      <c r="H594" s="440">
        <f t="shared" si="112"/>
        <v>68707267.829999998</v>
      </c>
      <c r="I594" s="440">
        <f t="shared" si="112"/>
        <v>95919169.370000005</v>
      </c>
      <c r="J594" s="465">
        <f t="shared" si="112"/>
        <v>103354924.56</v>
      </c>
      <c r="K594" s="465">
        <f t="shared" si="112"/>
        <v>102254924.56</v>
      </c>
      <c r="L594" s="436">
        <f t="shared" si="108"/>
        <v>-1100000</v>
      </c>
      <c r="M594" s="498">
        <f t="shared" si="110"/>
        <v>105.42784275583608</v>
      </c>
    </row>
    <row r="595" spans="1:13" ht="34" outlineLevel="5" x14ac:dyDescent="0.3">
      <c r="A595" s="438" t="s">
        <v>37</v>
      </c>
      <c r="B595" s="439" t="s">
        <v>536</v>
      </c>
      <c r="C595" s="439" t="s">
        <v>72</v>
      </c>
      <c r="D595" s="539" t="s">
        <v>147</v>
      </c>
      <c r="E595" s="539" t="s">
        <v>38</v>
      </c>
      <c r="F595" s="540">
        <v>90019549.159999996</v>
      </c>
      <c r="G595" s="465">
        <f t="shared" si="112"/>
        <v>98033803.840000004</v>
      </c>
      <c r="H595" s="440">
        <f t="shared" si="112"/>
        <v>68707267.829999998</v>
      </c>
      <c r="I595" s="440">
        <f t="shared" si="112"/>
        <v>95919169.370000005</v>
      </c>
      <c r="J595" s="465">
        <f t="shared" si="112"/>
        <v>103354924.56</v>
      </c>
      <c r="K595" s="465">
        <f t="shared" si="112"/>
        <v>102254924.56</v>
      </c>
      <c r="L595" s="436">
        <f t="shared" si="108"/>
        <v>-1100000</v>
      </c>
      <c r="M595" s="498">
        <f t="shared" si="110"/>
        <v>105.42784275583608</v>
      </c>
    </row>
    <row r="596" spans="1:13" outlineLevel="5" x14ac:dyDescent="0.3">
      <c r="A596" s="438" t="s">
        <v>74</v>
      </c>
      <c r="B596" s="439" t="s">
        <v>536</v>
      </c>
      <c r="C596" s="439" t="s">
        <v>72</v>
      </c>
      <c r="D596" s="539" t="s">
        <v>147</v>
      </c>
      <c r="E596" s="539" t="s">
        <v>75</v>
      </c>
      <c r="F596" s="540">
        <v>90019549.159999996</v>
      </c>
      <c r="G596" s="466">
        <f>[2]потребность!I543-4490000+1689516+590000+85160-50000+1454727+1150987.84</f>
        <v>98033803.840000004</v>
      </c>
      <c r="H596" s="443">
        <v>68707267.829999998</v>
      </c>
      <c r="I596" s="442">
        <v>95919169.370000005</v>
      </c>
      <c r="J596" s="466">
        <f>102159299.14+1100000+95625.42</f>
        <v>103354924.56</v>
      </c>
      <c r="K596" s="466">
        <f>102159299.14+1100000+95625.42-1100000</f>
        <v>102254924.56</v>
      </c>
      <c r="L596" s="436">
        <f t="shared" si="108"/>
        <v>-1100000</v>
      </c>
      <c r="M596" s="498">
        <f t="shared" si="110"/>
        <v>105.42784275583608</v>
      </c>
    </row>
    <row r="597" spans="1:13" ht="135.85" outlineLevel="5" x14ac:dyDescent="0.3">
      <c r="A597" s="450" t="s">
        <v>400</v>
      </c>
      <c r="B597" s="439" t="s">
        <v>536</v>
      </c>
      <c r="C597" s="439" t="s">
        <v>72</v>
      </c>
      <c r="D597" s="539" t="s">
        <v>148</v>
      </c>
      <c r="E597" s="539" t="s">
        <v>6</v>
      </c>
      <c r="F597" s="540">
        <v>232256540</v>
      </c>
      <c r="G597" s="465">
        <f t="shared" ref="G597:K598" si="113">G598</f>
        <v>247077819</v>
      </c>
      <c r="H597" s="440">
        <f t="shared" si="113"/>
        <v>179186292</v>
      </c>
      <c r="I597" s="440">
        <f t="shared" si="113"/>
        <v>253254890</v>
      </c>
      <c r="J597" s="513">
        <f t="shared" si="113"/>
        <v>256548408</v>
      </c>
      <c r="K597" s="513">
        <f t="shared" si="113"/>
        <v>256548408</v>
      </c>
      <c r="L597" s="436">
        <f t="shared" si="108"/>
        <v>0</v>
      </c>
      <c r="M597" s="498">
        <f t="shared" si="110"/>
        <v>103.83303893418292</v>
      </c>
    </row>
    <row r="598" spans="1:13" ht="34" outlineLevel="5" x14ac:dyDescent="0.3">
      <c r="A598" s="438" t="s">
        <v>37</v>
      </c>
      <c r="B598" s="439" t="s">
        <v>536</v>
      </c>
      <c r="C598" s="439" t="s">
        <v>72</v>
      </c>
      <c r="D598" s="539" t="s">
        <v>148</v>
      </c>
      <c r="E598" s="539" t="s">
        <v>38</v>
      </c>
      <c r="F598" s="540">
        <v>232256540</v>
      </c>
      <c r="G598" s="465">
        <f t="shared" si="113"/>
        <v>247077819</v>
      </c>
      <c r="H598" s="440">
        <f t="shared" si="113"/>
        <v>179186292</v>
      </c>
      <c r="I598" s="440">
        <f t="shared" si="113"/>
        <v>253254890</v>
      </c>
      <c r="J598" s="465">
        <f t="shared" si="113"/>
        <v>256548408</v>
      </c>
      <c r="K598" s="465">
        <f t="shared" si="113"/>
        <v>256548408</v>
      </c>
      <c r="L598" s="436">
        <f t="shared" si="108"/>
        <v>0</v>
      </c>
      <c r="M598" s="498">
        <f t="shared" si="110"/>
        <v>103.83303893418292</v>
      </c>
    </row>
    <row r="599" spans="1:13" outlineLevel="5" x14ac:dyDescent="0.3">
      <c r="A599" s="438" t="s">
        <v>74</v>
      </c>
      <c r="B599" s="439" t="s">
        <v>536</v>
      </c>
      <c r="C599" s="439" t="s">
        <v>72</v>
      </c>
      <c r="D599" s="539" t="s">
        <v>148</v>
      </c>
      <c r="E599" s="539" t="s">
        <v>75</v>
      </c>
      <c r="F599" s="540">
        <v>232256540</v>
      </c>
      <c r="G599" s="466">
        <f>238943015.2+8134803.8</f>
        <v>247077819</v>
      </c>
      <c r="H599" s="443">
        <v>179186292</v>
      </c>
      <c r="I599" s="442">
        <v>253254890</v>
      </c>
      <c r="J599" s="510">
        <v>256548408</v>
      </c>
      <c r="K599" s="510">
        <v>256548408</v>
      </c>
      <c r="L599" s="436">
        <f t="shared" si="108"/>
        <v>0</v>
      </c>
      <c r="M599" s="498">
        <f t="shared" si="110"/>
        <v>103.83303893418292</v>
      </c>
    </row>
    <row r="600" spans="1:13" ht="135.85" hidden="1" outlineLevel="5" x14ac:dyDescent="0.3">
      <c r="A600" s="397" t="s">
        <v>470</v>
      </c>
      <c r="B600" s="439" t="s">
        <v>536</v>
      </c>
      <c r="C600" s="439" t="s">
        <v>72</v>
      </c>
      <c r="D600" s="539" t="s">
        <v>471</v>
      </c>
      <c r="E600" s="539" t="s">
        <v>6</v>
      </c>
      <c r="F600" s="540">
        <v>9631126.9499999993</v>
      </c>
      <c r="G600" s="466">
        <f>G601</f>
        <v>0</v>
      </c>
      <c r="H600" s="442">
        <f>H601</f>
        <v>0</v>
      </c>
      <c r="I600" s="442"/>
      <c r="J600" s="466">
        <v>0</v>
      </c>
      <c r="K600" s="466">
        <v>0</v>
      </c>
      <c r="L600" s="436">
        <f t="shared" si="108"/>
        <v>0</v>
      </c>
      <c r="M600" s="498"/>
    </row>
    <row r="601" spans="1:13" ht="34" hidden="1" outlineLevel="5" x14ac:dyDescent="0.3">
      <c r="A601" s="438" t="s">
        <v>37</v>
      </c>
      <c r="B601" s="439" t="s">
        <v>536</v>
      </c>
      <c r="C601" s="439" t="s">
        <v>72</v>
      </c>
      <c r="D601" s="539" t="s">
        <v>471</v>
      </c>
      <c r="E601" s="539" t="s">
        <v>38</v>
      </c>
      <c r="F601" s="540">
        <v>9631126.9499999993</v>
      </c>
      <c r="G601" s="466">
        <v>0</v>
      </c>
      <c r="H601" s="442">
        <v>0</v>
      </c>
      <c r="I601" s="442"/>
      <c r="J601" s="466">
        <v>0</v>
      </c>
      <c r="K601" s="466">
        <v>0</v>
      </c>
      <c r="L601" s="436">
        <f t="shared" si="108"/>
        <v>0</v>
      </c>
      <c r="M601" s="498"/>
    </row>
    <row r="602" spans="1:13" hidden="1" outlineLevel="5" x14ac:dyDescent="0.3">
      <c r="A602" s="438" t="s">
        <v>74</v>
      </c>
      <c r="B602" s="439" t="s">
        <v>536</v>
      </c>
      <c r="C602" s="439" t="s">
        <v>72</v>
      </c>
      <c r="D602" s="539" t="s">
        <v>471</v>
      </c>
      <c r="E602" s="539" t="s">
        <v>75</v>
      </c>
      <c r="F602" s="540">
        <v>9631126.9499999993</v>
      </c>
      <c r="G602" s="466">
        <v>0</v>
      </c>
      <c r="H602" s="442">
        <v>0</v>
      </c>
      <c r="I602" s="442"/>
      <c r="J602" s="466">
        <v>0</v>
      </c>
      <c r="K602" s="466">
        <v>0</v>
      </c>
      <c r="L602" s="436">
        <f t="shared" si="108"/>
        <v>0</v>
      </c>
      <c r="M602" s="498"/>
    </row>
    <row r="603" spans="1:13" ht="135.85" outlineLevel="5" x14ac:dyDescent="0.3">
      <c r="A603" s="397" t="s">
        <v>470</v>
      </c>
      <c r="B603" s="439" t="s">
        <v>536</v>
      </c>
      <c r="C603" s="439" t="s">
        <v>72</v>
      </c>
      <c r="D603" s="539" t="s">
        <v>922</v>
      </c>
      <c r="E603" s="539" t="s">
        <v>6</v>
      </c>
      <c r="F603" s="539"/>
      <c r="G603" s="466">
        <f t="shared" ref="G603:K604" si="114">G604</f>
        <v>10876600</v>
      </c>
      <c r="H603" s="442">
        <f t="shared" si="114"/>
        <v>7376968.6600000001</v>
      </c>
      <c r="I603" s="442">
        <f t="shared" si="114"/>
        <v>10876600</v>
      </c>
      <c r="J603" s="509">
        <f t="shared" si="114"/>
        <v>13236200</v>
      </c>
      <c r="K603" s="509">
        <f t="shared" si="114"/>
        <v>13236200</v>
      </c>
      <c r="L603" s="436">
        <f t="shared" si="108"/>
        <v>0</v>
      </c>
      <c r="M603" s="498">
        <f t="shared" si="110"/>
        <v>121.69427946233198</v>
      </c>
    </row>
    <row r="604" spans="1:13" ht="34" outlineLevel="5" x14ac:dyDescent="0.3">
      <c r="A604" s="438" t="s">
        <v>37</v>
      </c>
      <c r="B604" s="439" t="s">
        <v>536</v>
      </c>
      <c r="C604" s="439" t="s">
        <v>72</v>
      </c>
      <c r="D604" s="539" t="s">
        <v>922</v>
      </c>
      <c r="E604" s="539" t="s">
        <v>38</v>
      </c>
      <c r="F604" s="539"/>
      <c r="G604" s="466">
        <f t="shared" si="114"/>
        <v>10876600</v>
      </c>
      <c r="H604" s="442">
        <f t="shared" si="114"/>
        <v>7376968.6600000001</v>
      </c>
      <c r="I604" s="442">
        <f t="shared" si="114"/>
        <v>10876600</v>
      </c>
      <c r="J604" s="466">
        <f t="shared" si="114"/>
        <v>13236200</v>
      </c>
      <c r="K604" s="466">
        <f t="shared" si="114"/>
        <v>13236200</v>
      </c>
      <c r="L604" s="436">
        <f t="shared" si="108"/>
        <v>0</v>
      </c>
      <c r="M604" s="498">
        <f t="shared" si="110"/>
        <v>121.69427946233198</v>
      </c>
    </row>
    <row r="605" spans="1:13" outlineLevel="5" x14ac:dyDescent="0.3">
      <c r="A605" s="438" t="s">
        <v>74</v>
      </c>
      <c r="B605" s="439" t="s">
        <v>536</v>
      </c>
      <c r="C605" s="439" t="s">
        <v>72</v>
      </c>
      <c r="D605" s="539" t="s">
        <v>922</v>
      </c>
      <c r="E605" s="539" t="s">
        <v>75</v>
      </c>
      <c r="F605" s="539"/>
      <c r="G605" s="466">
        <v>10876600</v>
      </c>
      <c r="H605" s="443">
        <v>7376968.6600000001</v>
      </c>
      <c r="I605" s="442">
        <v>10876600</v>
      </c>
      <c r="J605" s="510">
        <v>13236200</v>
      </c>
      <c r="K605" s="510">
        <v>13236200</v>
      </c>
      <c r="L605" s="436">
        <f t="shared" si="108"/>
        <v>0</v>
      </c>
      <c r="M605" s="498">
        <f t="shared" si="110"/>
        <v>121.69427946233198</v>
      </c>
    </row>
    <row r="606" spans="1:13" ht="34" outlineLevel="5" x14ac:dyDescent="0.3">
      <c r="A606" s="450" t="s">
        <v>206</v>
      </c>
      <c r="B606" s="439" t="s">
        <v>536</v>
      </c>
      <c r="C606" s="439" t="s">
        <v>72</v>
      </c>
      <c r="D606" s="539" t="s">
        <v>220</v>
      </c>
      <c r="E606" s="539" t="s">
        <v>6</v>
      </c>
      <c r="F606" s="540">
        <v>8008436.3600000003</v>
      </c>
      <c r="G606" s="466">
        <f>G619+G607+G610+G616+G613+G622+G633</f>
        <v>65735157.030000001</v>
      </c>
      <c r="H606" s="442">
        <f>H619+H607+H610+H616+H613+H622+H633</f>
        <v>36949732.850000001</v>
      </c>
      <c r="I606" s="442">
        <f>I619+I607+I610+I616+I613+I622+I633</f>
        <v>2356579.52</v>
      </c>
      <c r="J606" s="466">
        <f>J619+J607+J610+J616+J613+J622+J633</f>
        <v>4214979.5199999996</v>
      </c>
      <c r="K606" s="466">
        <f>K619+K607+K610+K616+K613+K622+K633</f>
        <v>1214979.52</v>
      </c>
      <c r="L606" s="436">
        <f t="shared" si="108"/>
        <v>-2999999.9999999995</v>
      </c>
      <c r="M606" s="498">
        <f t="shared" si="110"/>
        <v>6.4120627536895984</v>
      </c>
    </row>
    <row r="607" spans="1:13" ht="34" outlineLevel="5" x14ac:dyDescent="0.3">
      <c r="A607" s="438" t="s">
        <v>268</v>
      </c>
      <c r="B607" s="439" t="s">
        <v>536</v>
      </c>
      <c r="C607" s="439" t="s">
        <v>72</v>
      </c>
      <c r="D607" s="539" t="s">
        <v>269</v>
      </c>
      <c r="E607" s="539" t="s">
        <v>6</v>
      </c>
      <c r="F607" s="540">
        <v>147686.07</v>
      </c>
      <c r="G607" s="466">
        <f t="shared" ref="G607:K608" si="115">G608</f>
        <v>212800</v>
      </c>
      <c r="H607" s="442">
        <f t="shared" si="115"/>
        <v>124850.48</v>
      </c>
      <c r="I607" s="442">
        <f t="shared" si="115"/>
        <v>212800</v>
      </c>
      <c r="J607" s="466">
        <f t="shared" si="115"/>
        <v>221200</v>
      </c>
      <c r="K607" s="466">
        <f t="shared" si="115"/>
        <v>221200</v>
      </c>
      <c r="L607" s="436">
        <f t="shared" si="108"/>
        <v>0</v>
      </c>
      <c r="M607" s="498">
        <f t="shared" si="110"/>
        <v>103.94736842105263</v>
      </c>
    </row>
    <row r="608" spans="1:13" ht="34" outlineLevel="5" x14ac:dyDescent="0.3">
      <c r="A608" s="438" t="s">
        <v>37</v>
      </c>
      <c r="B608" s="439" t="s">
        <v>536</v>
      </c>
      <c r="C608" s="439" t="s">
        <v>72</v>
      </c>
      <c r="D608" s="539" t="s">
        <v>269</v>
      </c>
      <c r="E608" s="539" t="s">
        <v>38</v>
      </c>
      <c r="F608" s="540">
        <v>147686.07</v>
      </c>
      <c r="G608" s="466">
        <f t="shared" si="115"/>
        <v>212800</v>
      </c>
      <c r="H608" s="442">
        <f t="shared" si="115"/>
        <v>124850.48</v>
      </c>
      <c r="I608" s="442">
        <f t="shared" si="115"/>
        <v>212800</v>
      </c>
      <c r="J608" s="466">
        <f t="shared" si="115"/>
        <v>221200</v>
      </c>
      <c r="K608" s="466">
        <f t="shared" si="115"/>
        <v>221200</v>
      </c>
      <c r="L608" s="436">
        <f t="shared" si="108"/>
        <v>0</v>
      </c>
      <c r="M608" s="498">
        <f t="shared" si="110"/>
        <v>103.94736842105263</v>
      </c>
    </row>
    <row r="609" spans="1:13" outlineLevel="5" x14ac:dyDescent="0.3">
      <c r="A609" s="438" t="s">
        <v>74</v>
      </c>
      <c r="B609" s="439" t="s">
        <v>536</v>
      </c>
      <c r="C609" s="439" t="s">
        <v>72</v>
      </c>
      <c r="D609" s="539" t="s">
        <v>269</v>
      </c>
      <c r="E609" s="539" t="s">
        <v>75</v>
      </c>
      <c r="F609" s="540">
        <v>147686.07</v>
      </c>
      <c r="G609" s="466">
        <v>212800</v>
      </c>
      <c r="H609" s="443">
        <v>124850.48</v>
      </c>
      <c r="I609" s="442">
        <v>212800</v>
      </c>
      <c r="J609" s="466">
        <v>221200</v>
      </c>
      <c r="K609" s="466">
        <v>221200</v>
      </c>
      <c r="L609" s="436">
        <f t="shared" si="108"/>
        <v>0</v>
      </c>
      <c r="M609" s="498">
        <f t="shared" si="110"/>
        <v>103.94736842105263</v>
      </c>
    </row>
    <row r="610" spans="1:13" outlineLevel="5" x14ac:dyDescent="0.3">
      <c r="A610" s="450" t="s">
        <v>311</v>
      </c>
      <c r="B610" s="439" t="s">
        <v>536</v>
      </c>
      <c r="C610" s="439" t="s">
        <v>72</v>
      </c>
      <c r="D610" s="539" t="s">
        <v>312</v>
      </c>
      <c r="E610" s="539" t="s">
        <v>6</v>
      </c>
      <c r="F610" s="540">
        <v>631535</v>
      </c>
      <c r="G610" s="466">
        <f t="shared" ref="G610:K611" si="116">G611</f>
        <v>881000</v>
      </c>
      <c r="H610" s="442">
        <f t="shared" si="116"/>
        <v>874250</v>
      </c>
      <c r="I610" s="442">
        <f t="shared" si="116"/>
        <v>350000</v>
      </c>
      <c r="J610" s="466">
        <f t="shared" si="116"/>
        <v>3000000</v>
      </c>
      <c r="K610" s="466">
        <f t="shared" si="116"/>
        <v>0</v>
      </c>
      <c r="L610" s="436">
        <f t="shared" si="108"/>
        <v>-3000000</v>
      </c>
      <c r="M610" s="498">
        <f t="shared" si="110"/>
        <v>340.52213393870602</v>
      </c>
    </row>
    <row r="611" spans="1:13" ht="34" outlineLevel="5" x14ac:dyDescent="0.3">
      <c r="A611" s="438" t="s">
        <v>37</v>
      </c>
      <c r="B611" s="439" t="s">
        <v>536</v>
      </c>
      <c r="C611" s="439" t="s">
        <v>72</v>
      </c>
      <c r="D611" s="539" t="s">
        <v>312</v>
      </c>
      <c r="E611" s="539" t="s">
        <v>38</v>
      </c>
      <c r="F611" s="540">
        <v>631535</v>
      </c>
      <c r="G611" s="466">
        <f t="shared" si="116"/>
        <v>881000</v>
      </c>
      <c r="H611" s="442">
        <f t="shared" si="116"/>
        <v>874250</v>
      </c>
      <c r="I611" s="442">
        <f t="shared" si="116"/>
        <v>350000</v>
      </c>
      <c r="J611" s="466">
        <f t="shared" si="116"/>
        <v>3000000</v>
      </c>
      <c r="K611" s="466">
        <f t="shared" si="116"/>
        <v>0</v>
      </c>
      <c r="L611" s="436">
        <f t="shared" si="108"/>
        <v>-3000000</v>
      </c>
      <c r="M611" s="498">
        <f t="shared" si="110"/>
        <v>340.52213393870602</v>
      </c>
    </row>
    <row r="612" spans="1:13" outlineLevel="5" x14ac:dyDescent="0.3">
      <c r="A612" s="438" t="s">
        <v>74</v>
      </c>
      <c r="B612" s="439" t="s">
        <v>536</v>
      </c>
      <c r="C612" s="439" t="s">
        <v>72</v>
      </c>
      <c r="D612" s="539" t="s">
        <v>312</v>
      </c>
      <c r="E612" s="539" t="s">
        <v>75</v>
      </c>
      <c r="F612" s="540">
        <v>631535</v>
      </c>
      <c r="G612" s="466">
        <f>350000+350500+180500</f>
        <v>881000</v>
      </c>
      <c r="H612" s="443">
        <v>874250</v>
      </c>
      <c r="I612" s="442">
        <v>350000</v>
      </c>
      <c r="J612" s="466">
        <v>3000000</v>
      </c>
      <c r="K612" s="512">
        <f>3000000-3000000</f>
        <v>0</v>
      </c>
      <c r="L612" s="436">
        <f t="shared" si="108"/>
        <v>-3000000</v>
      </c>
      <c r="M612" s="498">
        <f t="shared" si="110"/>
        <v>340.52213393870602</v>
      </c>
    </row>
    <row r="613" spans="1:13" ht="39.75" customHeight="1" outlineLevel="5" x14ac:dyDescent="0.3">
      <c r="A613" s="450" t="s">
        <v>458</v>
      </c>
      <c r="B613" s="439" t="s">
        <v>536</v>
      </c>
      <c r="C613" s="439" t="s">
        <v>72</v>
      </c>
      <c r="D613" s="539" t="s">
        <v>720</v>
      </c>
      <c r="E613" s="539" t="s">
        <v>6</v>
      </c>
      <c r="F613" s="540">
        <v>1876201</v>
      </c>
      <c r="G613" s="466">
        <f t="shared" ref="G613:K614" si="117">G614</f>
        <v>193200</v>
      </c>
      <c r="H613" s="442">
        <f t="shared" si="117"/>
        <v>193200</v>
      </c>
      <c r="I613" s="442">
        <f t="shared" si="117"/>
        <v>800000</v>
      </c>
      <c r="J613" s="466">
        <f t="shared" si="117"/>
        <v>0</v>
      </c>
      <c r="K613" s="466">
        <f t="shared" si="117"/>
        <v>0</v>
      </c>
      <c r="L613" s="436">
        <f t="shared" si="108"/>
        <v>0</v>
      </c>
      <c r="M613" s="498">
        <f t="shared" si="110"/>
        <v>0</v>
      </c>
    </row>
    <row r="614" spans="1:13" ht="34" outlineLevel="5" x14ac:dyDescent="0.3">
      <c r="A614" s="438" t="s">
        <v>37</v>
      </c>
      <c r="B614" s="439" t="s">
        <v>536</v>
      </c>
      <c r="C614" s="439" t="s">
        <v>72</v>
      </c>
      <c r="D614" s="539" t="s">
        <v>720</v>
      </c>
      <c r="E614" s="539" t="s">
        <v>38</v>
      </c>
      <c r="F614" s="540">
        <v>1876201</v>
      </c>
      <c r="G614" s="466">
        <f t="shared" si="117"/>
        <v>193200</v>
      </c>
      <c r="H614" s="442">
        <f t="shared" si="117"/>
        <v>193200</v>
      </c>
      <c r="I614" s="442">
        <f t="shared" si="117"/>
        <v>800000</v>
      </c>
      <c r="J614" s="466">
        <f t="shared" si="117"/>
        <v>0</v>
      </c>
      <c r="K614" s="466">
        <f t="shared" si="117"/>
        <v>0</v>
      </c>
      <c r="L614" s="436">
        <f t="shared" si="108"/>
        <v>0</v>
      </c>
      <c r="M614" s="498">
        <f t="shared" si="110"/>
        <v>0</v>
      </c>
    </row>
    <row r="615" spans="1:13" outlineLevel="5" x14ac:dyDescent="0.3">
      <c r="A615" s="438" t="s">
        <v>74</v>
      </c>
      <c r="B615" s="439" t="s">
        <v>536</v>
      </c>
      <c r="C615" s="439" t="s">
        <v>72</v>
      </c>
      <c r="D615" s="539" t="s">
        <v>720</v>
      </c>
      <c r="E615" s="539" t="s">
        <v>75</v>
      </c>
      <c r="F615" s="540">
        <v>1876201</v>
      </c>
      <c r="G615" s="466">
        <f>[2]потребность!I559+5490000-5000000-590000+193200</f>
        <v>193200</v>
      </c>
      <c r="H615" s="443">
        <v>193200</v>
      </c>
      <c r="I615" s="442">
        <v>800000</v>
      </c>
      <c r="J615" s="466">
        <v>0</v>
      </c>
      <c r="K615" s="466">
        <v>0</v>
      </c>
      <c r="L615" s="436">
        <f t="shared" si="108"/>
        <v>0</v>
      </c>
      <c r="M615" s="498">
        <f t="shared" si="110"/>
        <v>0</v>
      </c>
    </row>
    <row r="616" spans="1:13" ht="67.95" outlineLevel="5" x14ac:dyDescent="0.3">
      <c r="A616" s="397" t="s">
        <v>595</v>
      </c>
      <c r="B616" s="439" t="s">
        <v>536</v>
      </c>
      <c r="C616" s="439" t="s">
        <v>72</v>
      </c>
      <c r="D616" s="539" t="s">
        <v>596</v>
      </c>
      <c r="E616" s="539" t="s">
        <v>6</v>
      </c>
      <c r="F616" s="540">
        <v>5192423.8600000003</v>
      </c>
      <c r="G616" s="466">
        <f t="shared" ref="G616:K617" si="118">G617</f>
        <v>19325166.399999999</v>
      </c>
      <c r="H616" s="442">
        <f t="shared" si="118"/>
        <v>12158531.359999999</v>
      </c>
      <c r="I616" s="442">
        <f t="shared" si="118"/>
        <v>0</v>
      </c>
      <c r="J616" s="509">
        <f t="shared" si="118"/>
        <v>0</v>
      </c>
      <c r="K616" s="509">
        <f t="shared" si="118"/>
        <v>0</v>
      </c>
      <c r="L616" s="436">
        <f t="shared" si="108"/>
        <v>0</v>
      </c>
      <c r="M616" s="498">
        <f t="shared" si="110"/>
        <v>0</v>
      </c>
    </row>
    <row r="617" spans="1:13" s="449" customFormat="1" ht="34" outlineLevel="5" x14ac:dyDescent="0.3">
      <c r="A617" s="438" t="s">
        <v>37</v>
      </c>
      <c r="B617" s="439" t="s">
        <v>536</v>
      </c>
      <c r="C617" s="439" t="s">
        <v>72</v>
      </c>
      <c r="D617" s="539" t="s">
        <v>596</v>
      </c>
      <c r="E617" s="539" t="s">
        <v>38</v>
      </c>
      <c r="F617" s="540">
        <v>5192423.8600000003</v>
      </c>
      <c r="G617" s="466">
        <f t="shared" si="118"/>
        <v>19325166.399999999</v>
      </c>
      <c r="H617" s="442">
        <f t="shared" si="118"/>
        <v>12158531.359999999</v>
      </c>
      <c r="I617" s="442">
        <f t="shared" si="118"/>
        <v>0</v>
      </c>
      <c r="J617" s="466">
        <f t="shared" si="118"/>
        <v>0</v>
      </c>
      <c r="K617" s="466">
        <f t="shared" si="118"/>
        <v>0</v>
      </c>
      <c r="L617" s="436">
        <f t="shared" si="108"/>
        <v>0</v>
      </c>
      <c r="M617" s="498">
        <f t="shared" si="110"/>
        <v>0</v>
      </c>
    </row>
    <row r="618" spans="1:13" ht="23.3" customHeight="1" outlineLevel="4" x14ac:dyDescent="0.3">
      <c r="A618" s="438" t="s">
        <v>74</v>
      </c>
      <c r="B618" s="439" t="s">
        <v>536</v>
      </c>
      <c r="C618" s="439" t="s">
        <v>72</v>
      </c>
      <c r="D618" s="539" t="s">
        <v>596</v>
      </c>
      <c r="E618" s="539" t="s">
        <v>75</v>
      </c>
      <c r="F618" s="540">
        <v>5192423.8600000003</v>
      </c>
      <c r="G618" s="466">
        <f>36003230.04-16678063.64</f>
        <v>19325166.399999999</v>
      </c>
      <c r="H618" s="443">
        <v>12158531.359999999</v>
      </c>
      <c r="I618" s="442">
        <v>0</v>
      </c>
      <c r="J618" s="466">
        <v>0</v>
      </c>
      <c r="K618" s="466">
        <v>0</v>
      </c>
      <c r="L618" s="436">
        <f t="shared" si="108"/>
        <v>0</v>
      </c>
      <c r="M618" s="498">
        <f t="shared" si="110"/>
        <v>0</v>
      </c>
    </row>
    <row r="619" spans="1:13" ht="34" outlineLevel="4" x14ac:dyDescent="0.3">
      <c r="A619" s="438" t="s">
        <v>445</v>
      </c>
      <c r="B619" s="439" t="s">
        <v>536</v>
      </c>
      <c r="C619" s="439" t="s">
        <v>72</v>
      </c>
      <c r="D619" s="539" t="s">
        <v>446</v>
      </c>
      <c r="E619" s="539" t="s">
        <v>6</v>
      </c>
      <c r="F619" s="540">
        <v>160590.43</v>
      </c>
      <c r="G619" s="466">
        <f t="shared" ref="G619:K620" si="119">G620</f>
        <v>597685.56000000006</v>
      </c>
      <c r="H619" s="442">
        <f t="shared" si="119"/>
        <v>364162.07</v>
      </c>
      <c r="I619" s="442">
        <f t="shared" si="119"/>
        <v>993779.52</v>
      </c>
      <c r="J619" s="466">
        <f t="shared" si="119"/>
        <v>993779.52</v>
      </c>
      <c r="K619" s="466">
        <f t="shared" si="119"/>
        <v>993779.52</v>
      </c>
      <c r="L619" s="436">
        <f t="shared" si="108"/>
        <v>0</v>
      </c>
      <c r="M619" s="498">
        <f t="shared" si="110"/>
        <v>166.27129489291994</v>
      </c>
    </row>
    <row r="620" spans="1:13" ht="34" outlineLevel="5" x14ac:dyDescent="0.3">
      <c r="A620" s="438" t="s">
        <v>37</v>
      </c>
      <c r="B620" s="439" t="s">
        <v>536</v>
      </c>
      <c r="C620" s="439" t="s">
        <v>72</v>
      </c>
      <c r="D620" s="539" t="s">
        <v>446</v>
      </c>
      <c r="E620" s="539" t="s">
        <v>38</v>
      </c>
      <c r="F620" s="540">
        <v>160590.43</v>
      </c>
      <c r="G620" s="466">
        <f t="shared" si="119"/>
        <v>597685.56000000006</v>
      </c>
      <c r="H620" s="442">
        <f t="shared" si="119"/>
        <v>364162.07</v>
      </c>
      <c r="I620" s="442">
        <f t="shared" si="119"/>
        <v>993779.52</v>
      </c>
      <c r="J620" s="466">
        <f t="shared" si="119"/>
        <v>993779.52</v>
      </c>
      <c r="K620" s="466">
        <f t="shared" si="119"/>
        <v>993779.52</v>
      </c>
      <c r="L620" s="436">
        <f t="shared" si="108"/>
        <v>0</v>
      </c>
      <c r="M620" s="498">
        <f t="shared" si="110"/>
        <v>166.27129489291994</v>
      </c>
    </row>
    <row r="621" spans="1:13" outlineLevel="6" x14ac:dyDescent="0.3">
      <c r="A621" s="438" t="s">
        <v>74</v>
      </c>
      <c r="B621" s="439" t="s">
        <v>536</v>
      </c>
      <c r="C621" s="439" t="s">
        <v>72</v>
      </c>
      <c r="D621" s="539" t="s">
        <v>446</v>
      </c>
      <c r="E621" s="539" t="s">
        <v>75</v>
      </c>
      <c r="F621" s="540">
        <v>160590.43</v>
      </c>
      <c r="G621" s="466">
        <f>1730960-617458+50000-565816.44</f>
        <v>597685.56000000006</v>
      </c>
      <c r="H621" s="443">
        <v>364162.07</v>
      </c>
      <c r="I621" s="442">
        <v>993779.52</v>
      </c>
      <c r="J621" s="466">
        <v>993779.52</v>
      </c>
      <c r="K621" s="466">
        <v>993779.52</v>
      </c>
      <c r="L621" s="436">
        <f t="shared" si="108"/>
        <v>0</v>
      </c>
      <c r="M621" s="498">
        <f t="shared" si="110"/>
        <v>166.27129489291994</v>
      </c>
    </row>
    <row r="622" spans="1:13" ht="34" outlineLevel="6" x14ac:dyDescent="0.3">
      <c r="A622" s="438" t="s">
        <v>923</v>
      </c>
      <c r="B622" s="439" t="s">
        <v>536</v>
      </c>
      <c r="C622" s="439" t="s">
        <v>72</v>
      </c>
      <c r="D622" s="539" t="s">
        <v>924</v>
      </c>
      <c r="E622" s="539" t="s">
        <v>6</v>
      </c>
      <c r="F622" s="539" t="s">
        <v>976</v>
      </c>
      <c r="G622" s="466">
        <f>G623</f>
        <v>41911341.160000004</v>
      </c>
      <c r="H622" s="442">
        <f>H623</f>
        <v>21307038.940000001</v>
      </c>
      <c r="I622" s="442">
        <v>0</v>
      </c>
      <c r="J622" s="466">
        <v>0</v>
      </c>
      <c r="K622" s="466">
        <v>0</v>
      </c>
      <c r="L622" s="436">
        <f t="shared" si="108"/>
        <v>0</v>
      </c>
      <c r="M622" s="498">
        <f t="shared" si="110"/>
        <v>0</v>
      </c>
    </row>
    <row r="623" spans="1:13" ht="34" outlineLevel="6" x14ac:dyDescent="0.3">
      <c r="A623" s="438" t="s">
        <v>37</v>
      </c>
      <c r="B623" s="439" t="s">
        <v>536</v>
      </c>
      <c r="C623" s="439" t="s">
        <v>72</v>
      </c>
      <c r="D623" s="539" t="s">
        <v>924</v>
      </c>
      <c r="E623" s="539" t="s">
        <v>38</v>
      </c>
      <c r="F623" s="539" t="s">
        <v>976</v>
      </c>
      <c r="G623" s="466">
        <f>G624</f>
        <v>41911341.160000004</v>
      </c>
      <c r="H623" s="442">
        <f>H624</f>
        <v>21307038.940000001</v>
      </c>
      <c r="I623" s="442">
        <v>0</v>
      </c>
      <c r="J623" s="466">
        <v>0</v>
      </c>
      <c r="K623" s="466">
        <v>0</v>
      </c>
      <c r="L623" s="436">
        <f t="shared" si="108"/>
        <v>0</v>
      </c>
      <c r="M623" s="498">
        <f t="shared" si="110"/>
        <v>0</v>
      </c>
    </row>
    <row r="624" spans="1:13" outlineLevel="6" x14ac:dyDescent="0.3">
      <c r="A624" s="438" t="s">
        <v>74</v>
      </c>
      <c r="B624" s="439" t="s">
        <v>536</v>
      </c>
      <c r="C624" s="439" t="s">
        <v>72</v>
      </c>
      <c r="D624" s="539" t="s">
        <v>924</v>
      </c>
      <c r="E624" s="539" t="s">
        <v>75</v>
      </c>
      <c r="F624" s="539" t="s">
        <v>976</v>
      </c>
      <c r="G624" s="466">
        <f>'[2]прил 7 динамика2023'!C58+180149.71+2700000+1500000</f>
        <v>41911341.160000004</v>
      </c>
      <c r="H624" s="443">
        <v>21307038.940000001</v>
      </c>
      <c r="I624" s="442">
        <v>0</v>
      </c>
      <c r="J624" s="466">
        <v>0</v>
      </c>
      <c r="K624" s="466">
        <v>0</v>
      </c>
      <c r="L624" s="436">
        <f t="shared" si="108"/>
        <v>0</v>
      </c>
      <c r="M624" s="498">
        <f t="shared" si="110"/>
        <v>0</v>
      </c>
    </row>
    <row r="625" spans="1:13" ht="34" outlineLevel="7" x14ac:dyDescent="0.3">
      <c r="A625" s="450" t="s">
        <v>275</v>
      </c>
      <c r="B625" s="439" t="s">
        <v>536</v>
      </c>
      <c r="C625" s="439" t="s">
        <v>72</v>
      </c>
      <c r="D625" s="539" t="s">
        <v>223</v>
      </c>
      <c r="E625" s="539" t="s">
        <v>6</v>
      </c>
      <c r="F625" s="540">
        <v>5101292.82</v>
      </c>
      <c r="G625" s="466">
        <f t="shared" ref="G625:K627" si="120">G626</f>
        <v>6117450</v>
      </c>
      <c r="H625" s="442">
        <f t="shared" si="120"/>
        <v>3823078.77</v>
      </c>
      <c r="I625" s="442">
        <f t="shared" si="120"/>
        <v>6188850</v>
      </c>
      <c r="J625" s="466">
        <f t="shared" si="120"/>
        <v>7109400</v>
      </c>
      <c r="K625" s="466">
        <f t="shared" si="120"/>
        <v>7109400</v>
      </c>
      <c r="L625" s="436">
        <f t="shared" si="108"/>
        <v>0</v>
      </c>
      <c r="M625" s="498">
        <f t="shared" si="110"/>
        <v>116.21508962067529</v>
      </c>
    </row>
    <row r="626" spans="1:13" ht="101.9" outlineLevel="7" x14ac:dyDescent="0.3">
      <c r="A626" s="397" t="s">
        <v>658</v>
      </c>
      <c r="B626" s="439" t="s">
        <v>536</v>
      </c>
      <c r="C626" s="439" t="s">
        <v>72</v>
      </c>
      <c r="D626" s="539" t="s">
        <v>659</v>
      </c>
      <c r="E626" s="539" t="s">
        <v>6</v>
      </c>
      <c r="F626" s="540">
        <v>5101292.82</v>
      </c>
      <c r="G626" s="466">
        <f t="shared" si="120"/>
        <v>6117450</v>
      </c>
      <c r="H626" s="442">
        <f t="shared" si="120"/>
        <v>3823078.77</v>
      </c>
      <c r="I626" s="442">
        <f t="shared" si="120"/>
        <v>6188850</v>
      </c>
      <c r="J626" s="509">
        <f t="shared" si="120"/>
        <v>7109400</v>
      </c>
      <c r="K626" s="509">
        <f t="shared" si="120"/>
        <v>7109400</v>
      </c>
      <c r="L626" s="436">
        <f t="shared" si="108"/>
        <v>0</v>
      </c>
      <c r="M626" s="498">
        <f t="shared" si="110"/>
        <v>116.21508962067529</v>
      </c>
    </row>
    <row r="627" spans="1:13" ht="34" outlineLevel="7" x14ac:dyDescent="0.3">
      <c r="A627" s="438" t="s">
        <v>37</v>
      </c>
      <c r="B627" s="439" t="s">
        <v>536</v>
      </c>
      <c r="C627" s="439" t="s">
        <v>72</v>
      </c>
      <c r="D627" s="539" t="s">
        <v>659</v>
      </c>
      <c r="E627" s="539" t="s">
        <v>38</v>
      </c>
      <c r="F627" s="540">
        <v>5101292.82</v>
      </c>
      <c r="G627" s="466">
        <f t="shared" si="120"/>
        <v>6117450</v>
      </c>
      <c r="H627" s="442">
        <f t="shared" si="120"/>
        <v>3823078.77</v>
      </c>
      <c r="I627" s="442">
        <f t="shared" si="120"/>
        <v>6188850</v>
      </c>
      <c r="J627" s="466">
        <f t="shared" si="120"/>
        <v>7109400</v>
      </c>
      <c r="K627" s="466">
        <f t="shared" si="120"/>
        <v>7109400</v>
      </c>
      <c r="L627" s="436">
        <f t="shared" si="108"/>
        <v>0</v>
      </c>
      <c r="M627" s="498">
        <f t="shared" si="110"/>
        <v>116.21508962067529</v>
      </c>
    </row>
    <row r="628" spans="1:13" ht="22.75" customHeight="1" outlineLevel="7" x14ac:dyDescent="0.3">
      <c r="A628" s="438" t="s">
        <v>74</v>
      </c>
      <c r="B628" s="439" t="s">
        <v>536</v>
      </c>
      <c r="C628" s="439" t="s">
        <v>72</v>
      </c>
      <c r="D628" s="539" t="s">
        <v>659</v>
      </c>
      <c r="E628" s="539" t="s">
        <v>75</v>
      </c>
      <c r="F628" s="540">
        <v>5101292.82</v>
      </c>
      <c r="G628" s="466">
        <v>6117450</v>
      </c>
      <c r="H628" s="443">
        <v>3823078.77</v>
      </c>
      <c r="I628" s="442">
        <v>6188850</v>
      </c>
      <c r="J628" s="510">
        <v>7109400</v>
      </c>
      <c r="K628" s="510">
        <v>7109400</v>
      </c>
      <c r="L628" s="436">
        <f t="shared" si="108"/>
        <v>0</v>
      </c>
      <c r="M628" s="498">
        <f t="shared" si="110"/>
        <v>116.21508962067529</v>
      </c>
    </row>
    <row r="629" spans="1:13" outlineLevel="7" x14ac:dyDescent="0.3">
      <c r="A629" s="397" t="s">
        <v>468</v>
      </c>
      <c r="B629" s="439" t="s">
        <v>536</v>
      </c>
      <c r="C629" s="439" t="s">
        <v>72</v>
      </c>
      <c r="D629" s="539" t="s">
        <v>313</v>
      </c>
      <c r="E629" s="539" t="s">
        <v>6</v>
      </c>
      <c r="F629" s="540">
        <v>3010106</v>
      </c>
      <c r="G629" s="466">
        <f t="shared" ref="G629:K631" si="121">G630</f>
        <v>0</v>
      </c>
      <c r="H629" s="442">
        <f t="shared" si="121"/>
        <v>0</v>
      </c>
      <c r="I629" s="442">
        <f t="shared" si="121"/>
        <v>2685634.51</v>
      </c>
      <c r="J629" s="509">
        <f t="shared" si="121"/>
        <v>3078979.12</v>
      </c>
      <c r="K629" s="509">
        <f t="shared" si="121"/>
        <v>3078979.12</v>
      </c>
      <c r="L629" s="436">
        <f t="shared" si="108"/>
        <v>0</v>
      </c>
      <c r="M629" s="498"/>
    </row>
    <row r="630" spans="1:13" ht="50.95" outlineLevel="7" x14ac:dyDescent="0.3">
      <c r="A630" s="438" t="s">
        <v>469</v>
      </c>
      <c r="B630" s="439" t="s">
        <v>536</v>
      </c>
      <c r="C630" s="439" t="s">
        <v>72</v>
      </c>
      <c r="D630" s="551" t="s">
        <v>654</v>
      </c>
      <c r="E630" s="539" t="s">
        <v>6</v>
      </c>
      <c r="F630" s="540">
        <v>3010106</v>
      </c>
      <c r="G630" s="466">
        <f t="shared" si="121"/>
        <v>0</v>
      </c>
      <c r="H630" s="442">
        <f t="shared" si="121"/>
        <v>0</v>
      </c>
      <c r="I630" s="442">
        <f t="shared" si="121"/>
        <v>2685634.51</v>
      </c>
      <c r="J630" s="466">
        <f t="shared" si="121"/>
        <v>3078979.12</v>
      </c>
      <c r="K630" s="466">
        <f t="shared" si="121"/>
        <v>3078979.12</v>
      </c>
      <c r="L630" s="436">
        <f t="shared" si="108"/>
        <v>0</v>
      </c>
      <c r="M630" s="498"/>
    </row>
    <row r="631" spans="1:13" ht="34" outlineLevel="7" x14ac:dyDescent="0.3">
      <c r="A631" s="438" t="s">
        <v>37</v>
      </c>
      <c r="B631" s="439" t="s">
        <v>536</v>
      </c>
      <c r="C631" s="439" t="s">
        <v>72</v>
      </c>
      <c r="D631" s="551" t="s">
        <v>654</v>
      </c>
      <c r="E631" s="539" t="s">
        <v>38</v>
      </c>
      <c r="F631" s="540">
        <v>3010106</v>
      </c>
      <c r="G631" s="466">
        <f t="shared" si="121"/>
        <v>0</v>
      </c>
      <c r="H631" s="442">
        <f t="shared" si="121"/>
        <v>0</v>
      </c>
      <c r="I631" s="442">
        <f t="shared" si="121"/>
        <v>2685634.51</v>
      </c>
      <c r="J631" s="466">
        <f t="shared" si="121"/>
        <v>3078979.12</v>
      </c>
      <c r="K631" s="466">
        <f t="shared" si="121"/>
        <v>3078979.12</v>
      </c>
      <c r="L631" s="436">
        <f t="shared" si="108"/>
        <v>0</v>
      </c>
      <c r="M631" s="498"/>
    </row>
    <row r="632" spans="1:13" ht="17.7" outlineLevel="7" thickBot="1" x14ac:dyDescent="0.35">
      <c r="A632" s="438" t="s">
        <v>74</v>
      </c>
      <c r="B632" s="439" t="s">
        <v>536</v>
      </c>
      <c r="C632" s="439" t="s">
        <v>72</v>
      </c>
      <c r="D632" s="551" t="s">
        <v>968</v>
      </c>
      <c r="E632" s="539" t="s">
        <v>75</v>
      </c>
      <c r="F632" s="540">
        <v>3010106</v>
      </c>
      <c r="G632" s="466">
        <v>0</v>
      </c>
      <c r="H632" s="442">
        <v>0</v>
      </c>
      <c r="I632" s="442">
        <v>2685634.51</v>
      </c>
      <c r="J632" s="466">
        <f>186904.51+2892074.61</f>
        <v>3078979.12</v>
      </c>
      <c r="K632" s="466">
        <f>186904.51+2892074.61</f>
        <v>3078979.12</v>
      </c>
      <c r="L632" s="436">
        <f t="shared" si="108"/>
        <v>0</v>
      </c>
      <c r="M632" s="498"/>
    </row>
    <row r="633" spans="1:13" ht="51.65" outlineLevel="7" thickBot="1" x14ac:dyDescent="0.35">
      <c r="A633" s="470" t="s">
        <v>938</v>
      </c>
      <c r="B633" s="439" t="s">
        <v>536</v>
      </c>
      <c r="C633" s="439" t="s">
        <v>72</v>
      </c>
      <c r="D633" s="539" t="s">
        <v>939</v>
      </c>
      <c r="E633" s="539" t="s">
        <v>6</v>
      </c>
      <c r="F633" s="539" t="s">
        <v>976</v>
      </c>
      <c r="G633" s="466">
        <f>G634</f>
        <v>2613963.91</v>
      </c>
      <c r="H633" s="442">
        <f>H634</f>
        <v>1927700</v>
      </c>
      <c r="I633" s="442">
        <v>0</v>
      </c>
      <c r="J633" s="466">
        <v>0</v>
      </c>
      <c r="K633" s="466">
        <v>0</v>
      </c>
      <c r="L633" s="436">
        <f t="shared" si="108"/>
        <v>0</v>
      </c>
      <c r="M633" s="498">
        <f t="shared" si="110"/>
        <v>0</v>
      </c>
    </row>
    <row r="634" spans="1:13" ht="34" outlineLevel="7" x14ac:dyDescent="0.3">
      <c r="A634" s="438" t="s">
        <v>37</v>
      </c>
      <c r="B634" s="439" t="s">
        <v>536</v>
      </c>
      <c r="C634" s="439" t="s">
        <v>72</v>
      </c>
      <c r="D634" s="539" t="s">
        <v>939</v>
      </c>
      <c r="E634" s="539" t="s">
        <v>38</v>
      </c>
      <c r="F634" s="539" t="s">
        <v>976</v>
      </c>
      <c r="G634" s="466">
        <f>G635</f>
        <v>2613963.91</v>
      </c>
      <c r="H634" s="442">
        <f>H635</f>
        <v>1927700</v>
      </c>
      <c r="I634" s="442">
        <v>0</v>
      </c>
      <c r="J634" s="466">
        <v>0</v>
      </c>
      <c r="K634" s="466">
        <v>0</v>
      </c>
      <c r="L634" s="436">
        <f t="shared" si="108"/>
        <v>0</v>
      </c>
      <c r="M634" s="498">
        <f t="shared" si="110"/>
        <v>0</v>
      </c>
    </row>
    <row r="635" spans="1:13" outlineLevel="7" x14ac:dyDescent="0.3">
      <c r="A635" s="438" t="s">
        <v>74</v>
      </c>
      <c r="B635" s="439" t="s">
        <v>536</v>
      </c>
      <c r="C635" s="439" t="s">
        <v>72</v>
      </c>
      <c r="D635" s="539" t="s">
        <v>939</v>
      </c>
      <c r="E635" s="539" t="s">
        <v>75</v>
      </c>
      <c r="F635" s="539" t="s">
        <v>976</v>
      </c>
      <c r="G635" s="466">
        <f>1000000+1613963.91</f>
        <v>2613963.91</v>
      </c>
      <c r="H635" s="443">
        <v>1927700</v>
      </c>
      <c r="I635" s="442">
        <v>0</v>
      </c>
      <c r="J635" s="466">
        <v>0</v>
      </c>
      <c r="K635" s="466">
        <v>0</v>
      </c>
      <c r="L635" s="436">
        <f t="shared" si="108"/>
        <v>0</v>
      </c>
      <c r="M635" s="498">
        <f t="shared" si="110"/>
        <v>0</v>
      </c>
    </row>
    <row r="636" spans="1:13" outlineLevel="5" x14ac:dyDescent="0.3">
      <c r="A636" s="438" t="s">
        <v>257</v>
      </c>
      <c r="B636" s="439" t="s">
        <v>536</v>
      </c>
      <c r="C636" s="439" t="s">
        <v>256</v>
      </c>
      <c r="D636" s="539" t="s">
        <v>126</v>
      </c>
      <c r="E636" s="539" t="s">
        <v>6</v>
      </c>
      <c r="F636" s="540">
        <v>23253055.059999999</v>
      </c>
      <c r="G636" s="466">
        <f t="shared" ref="G636:K637" si="122">G637</f>
        <v>24263029.260000002</v>
      </c>
      <c r="H636" s="442">
        <f t="shared" si="122"/>
        <v>17264875.789999999</v>
      </c>
      <c r="I636" s="442">
        <f t="shared" si="122"/>
        <v>28310464</v>
      </c>
      <c r="J636" s="466">
        <f t="shared" si="122"/>
        <v>27710552</v>
      </c>
      <c r="K636" s="466">
        <f t="shared" si="122"/>
        <v>27710552</v>
      </c>
      <c r="L636" s="436">
        <f t="shared" si="108"/>
        <v>0</v>
      </c>
      <c r="M636" s="498">
        <f t="shared" si="110"/>
        <v>114.20895430268297</v>
      </c>
    </row>
    <row r="637" spans="1:13" ht="34" outlineLevel="6" x14ac:dyDescent="0.3">
      <c r="A637" s="444" t="s">
        <v>825</v>
      </c>
      <c r="B637" s="445" t="s">
        <v>536</v>
      </c>
      <c r="C637" s="445" t="s">
        <v>256</v>
      </c>
      <c r="D637" s="541" t="s">
        <v>138</v>
      </c>
      <c r="E637" s="541" t="s">
        <v>6</v>
      </c>
      <c r="F637" s="542">
        <v>23253055.059999999</v>
      </c>
      <c r="G637" s="507">
        <f t="shared" si="122"/>
        <v>24263029.260000002</v>
      </c>
      <c r="H637" s="448">
        <f t="shared" si="122"/>
        <v>17264875.789999999</v>
      </c>
      <c r="I637" s="448">
        <f t="shared" si="122"/>
        <v>28310464</v>
      </c>
      <c r="J637" s="507">
        <f t="shared" si="122"/>
        <v>27710552</v>
      </c>
      <c r="K637" s="507">
        <f t="shared" si="122"/>
        <v>27710552</v>
      </c>
      <c r="L637" s="436">
        <f t="shared" si="108"/>
        <v>0</v>
      </c>
      <c r="M637" s="498">
        <f t="shared" si="110"/>
        <v>114.20895430268297</v>
      </c>
    </row>
    <row r="638" spans="1:13" ht="49.75" customHeight="1" outlineLevel="7" x14ac:dyDescent="0.3">
      <c r="A638" s="438" t="s">
        <v>832</v>
      </c>
      <c r="B638" s="439" t="s">
        <v>536</v>
      </c>
      <c r="C638" s="439" t="s">
        <v>256</v>
      </c>
      <c r="D638" s="539" t="s">
        <v>149</v>
      </c>
      <c r="E638" s="539" t="s">
        <v>6</v>
      </c>
      <c r="F638" s="542">
        <v>23253055.059999999</v>
      </c>
      <c r="G638" s="465">
        <f>G639+G643+G653</f>
        <v>24263029.260000002</v>
      </c>
      <c r="H638" s="440">
        <f>H639+H643+H653</f>
        <v>17264875.789999999</v>
      </c>
      <c r="I638" s="440">
        <f>I639+I643+I653</f>
        <v>28310464</v>
      </c>
      <c r="J638" s="465">
        <f>J639+J643+J653</f>
        <v>27710552</v>
      </c>
      <c r="K638" s="465">
        <f>K639+K643+K653</f>
        <v>27710552</v>
      </c>
      <c r="L638" s="436">
        <f t="shared" si="108"/>
        <v>0</v>
      </c>
      <c r="M638" s="498">
        <f t="shared" si="110"/>
        <v>114.20895430268297</v>
      </c>
    </row>
    <row r="639" spans="1:13" ht="42.45" customHeight="1" outlineLevel="7" x14ac:dyDescent="0.3">
      <c r="A639" s="450" t="s">
        <v>207</v>
      </c>
      <c r="B639" s="439" t="s">
        <v>536</v>
      </c>
      <c r="C639" s="439" t="s">
        <v>256</v>
      </c>
      <c r="D639" s="539" t="s">
        <v>224</v>
      </c>
      <c r="E639" s="539" t="s">
        <v>6</v>
      </c>
      <c r="F639" s="540">
        <v>22721588.399999999</v>
      </c>
      <c r="G639" s="465">
        <f t="shared" ref="G639:K641" si="123">G640</f>
        <v>22949529.260000002</v>
      </c>
      <c r="H639" s="440">
        <f t="shared" si="123"/>
        <v>16567468.119999999</v>
      </c>
      <c r="I639" s="440">
        <f t="shared" si="123"/>
        <v>26996964</v>
      </c>
      <c r="J639" s="465">
        <f t="shared" si="123"/>
        <v>25942762</v>
      </c>
      <c r="K639" s="465">
        <f t="shared" si="123"/>
        <v>25942762</v>
      </c>
      <c r="L639" s="436">
        <f t="shared" si="108"/>
        <v>0</v>
      </c>
      <c r="M639" s="498">
        <f t="shared" si="110"/>
        <v>113.04267597861831</v>
      </c>
    </row>
    <row r="640" spans="1:13" ht="22.75" customHeight="1" outlineLevel="7" x14ac:dyDescent="0.3">
      <c r="A640" s="438" t="s">
        <v>115</v>
      </c>
      <c r="B640" s="439" t="s">
        <v>536</v>
      </c>
      <c r="C640" s="439" t="s">
        <v>256</v>
      </c>
      <c r="D640" s="539" t="s">
        <v>151</v>
      </c>
      <c r="E640" s="539" t="s">
        <v>6</v>
      </c>
      <c r="F640" s="540">
        <v>22721588.399999999</v>
      </c>
      <c r="G640" s="465">
        <f t="shared" si="123"/>
        <v>22949529.260000002</v>
      </c>
      <c r="H640" s="440">
        <f t="shared" si="123"/>
        <v>16567468.119999999</v>
      </c>
      <c r="I640" s="440">
        <f t="shared" si="123"/>
        <v>26996964</v>
      </c>
      <c r="J640" s="465">
        <f t="shared" si="123"/>
        <v>25942762</v>
      </c>
      <c r="K640" s="465">
        <f t="shared" si="123"/>
        <v>25942762</v>
      </c>
      <c r="L640" s="436">
        <f t="shared" si="108"/>
        <v>0</v>
      </c>
      <c r="M640" s="498">
        <f t="shared" si="110"/>
        <v>113.04267597861831</v>
      </c>
    </row>
    <row r="641" spans="1:13" ht="24.8" customHeight="1" outlineLevel="7" x14ac:dyDescent="0.3">
      <c r="A641" s="438" t="s">
        <v>37</v>
      </c>
      <c r="B641" s="439" t="s">
        <v>536</v>
      </c>
      <c r="C641" s="439" t="s">
        <v>256</v>
      </c>
      <c r="D641" s="539" t="s">
        <v>151</v>
      </c>
      <c r="E641" s="539" t="s">
        <v>38</v>
      </c>
      <c r="F641" s="540">
        <v>22721588.399999999</v>
      </c>
      <c r="G641" s="465">
        <f t="shared" si="123"/>
        <v>22949529.260000002</v>
      </c>
      <c r="H641" s="440">
        <f t="shared" si="123"/>
        <v>16567468.119999999</v>
      </c>
      <c r="I641" s="440">
        <f t="shared" si="123"/>
        <v>26996964</v>
      </c>
      <c r="J641" s="465">
        <f t="shared" si="123"/>
        <v>25942762</v>
      </c>
      <c r="K641" s="465">
        <f t="shared" si="123"/>
        <v>25942762</v>
      </c>
      <c r="L641" s="436">
        <f t="shared" si="108"/>
        <v>0</v>
      </c>
      <c r="M641" s="498">
        <f t="shared" si="110"/>
        <v>113.04267597861831</v>
      </c>
    </row>
    <row r="642" spans="1:13" ht="27" customHeight="1" outlineLevel="7" x14ac:dyDescent="0.3">
      <c r="A642" s="438" t="s">
        <v>74</v>
      </c>
      <c r="B642" s="439" t="s">
        <v>536</v>
      </c>
      <c r="C642" s="439" t="s">
        <v>256</v>
      </c>
      <c r="D642" s="539" t="s">
        <v>151</v>
      </c>
      <c r="E642" s="539" t="s">
        <v>75</v>
      </c>
      <c r="F642" s="540">
        <v>22721588.399999999</v>
      </c>
      <c r="G642" s="466">
        <f>[2]потребность!I580-1000000-1177656.74+130222</f>
        <v>22949529.260000002</v>
      </c>
      <c r="H642" s="443">
        <v>16567468.119999999</v>
      </c>
      <c r="I642" s="442">
        <v>26996964</v>
      </c>
      <c r="J642" s="466">
        <v>25942762</v>
      </c>
      <c r="K642" s="512">
        <v>25942762</v>
      </c>
      <c r="L642" s="436">
        <f t="shared" si="108"/>
        <v>0</v>
      </c>
      <c r="M642" s="498">
        <f t="shared" si="110"/>
        <v>113.04267597861831</v>
      </c>
    </row>
    <row r="643" spans="1:13" ht="34" outlineLevel="7" x14ac:dyDescent="0.3">
      <c r="A643" s="450" t="s">
        <v>402</v>
      </c>
      <c r="B643" s="439" t="s">
        <v>536</v>
      </c>
      <c r="C643" s="439" t="s">
        <v>256</v>
      </c>
      <c r="D643" s="539" t="s">
        <v>225</v>
      </c>
      <c r="E643" s="539" t="s">
        <v>6</v>
      </c>
      <c r="F643" s="540">
        <v>273051.64</v>
      </c>
      <c r="G643" s="466">
        <f>G644+G650</f>
        <v>110500</v>
      </c>
      <c r="H643" s="442">
        <f>H644+H650+H659</f>
        <v>187954.08000000002</v>
      </c>
      <c r="I643" s="442">
        <f>I644+I650</f>
        <v>110500</v>
      </c>
      <c r="J643" s="466">
        <f>J644+J650</f>
        <v>31600</v>
      </c>
      <c r="K643" s="466">
        <f>K644+K650</f>
        <v>31600</v>
      </c>
      <c r="L643" s="436">
        <f t="shared" si="108"/>
        <v>0</v>
      </c>
      <c r="M643" s="498">
        <f t="shared" si="110"/>
        <v>28.597285067873305</v>
      </c>
    </row>
    <row r="644" spans="1:13" ht="34" outlineLevel="7" x14ac:dyDescent="0.3">
      <c r="A644" s="438" t="s">
        <v>268</v>
      </c>
      <c r="B644" s="439" t="s">
        <v>536</v>
      </c>
      <c r="C644" s="439" t="s">
        <v>256</v>
      </c>
      <c r="D644" s="539" t="s">
        <v>288</v>
      </c>
      <c r="E644" s="539" t="s">
        <v>6</v>
      </c>
      <c r="F644" s="540">
        <v>19201.89</v>
      </c>
      <c r="G644" s="466">
        <f t="shared" ref="G644:K645" si="124">G645</f>
        <v>25000</v>
      </c>
      <c r="H644" s="442">
        <f t="shared" si="124"/>
        <v>15994.08</v>
      </c>
      <c r="I644" s="442">
        <f t="shared" si="124"/>
        <v>25000</v>
      </c>
      <c r="J644" s="466">
        <f t="shared" si="124"/>
        <v>31600</v>
      </c>
      <c r="K644" s="466">
        <f t="shared" si="124"/>
        <v>31600</v>
      </c>
      <c r="L644" s="436">
        <f t="shared" si="108"/>
        <v>0</v>
      </c>
      <c r="M644" s="498">
        <f t="shared" si="110"/>
        <v>126.4</v>
      </c>
    </row>
    <row r="645" spans="1:13" ht="34" outlineLevel="7" x14ac:dyDescent="0.3">
      <c r="A645" s="438" t="s">
        <v>37</v>
      </c>
      <c r="B645" s="439" t="s">
        <v>536</v>
      </c>
      <c r="C645" s="439" t="s">
        <v>256</v>
      </c>
      <c r="D645" s="539" t="s">
        <v>288</v>
      </c>
      <c r="E645" s="539" t="s">
        <v>38</v>
      </c>
      <c r="F645" s="540">
        <v>19201.89</v>
      </c>
      <c r="G645" s="466">
        <f t="shared" si="124"/>
        <v>25000</v>
      </c>
      <c r="H645" s="442">
        <f t="shared" si="124"/>
        <v>15994.08</v>
      </c>
      <c r="I645" s="442">
        <f t="shared" si="124"/>
        <v>25000</v>
      </c>
      <c r="J645" s="466">
        <f t="shared" si="124"/>
        <v>31600</v>
      </c>
      <c r="K645" s="466">
        <f t="shared" si="124"/>
        <v>31600</v>
      </c>
      <c r="L645" s="436">
        <f t="shared" si="108"/>
        <v>0</v>
      </c>
      <c r="M645" s="498">
        <f t="shared" si="110"/>
        <v>126.4</v>
      </c>
    </row>
    <row r="646" spans="1:13" outlineLevel="2" x14ac:dyDescent="0.3">
      <c r="A646" s="438" t="s">
        <v>74</v>
      </c>
      <c r="B646" s="439" t="s">
        <v>536</v>
      </c>
      <c r="C646" s="439" t="s">
        <v>256</v>
      </c>
      <c r="D646" s="539" t="s">
        <v>288</v>
      </c>
      <c r="E646" s="539" t="s">
        <v>75</v>
      </c>
      <c r="F646" s="540">
        <v>19201.89</v>
      </c>
      <c r="G646" s="466">
        <v>25000</v>
      </c>
      <c r="H646" s="443">
        <v>15994.08</v>
      </c>
      <c r="I646" s="442">
        <v>25000</v>
      </c>
      <c r="J646" s="466">
        <v>31600</v>
      </c>
      <c r="K646" s="466">
        <v>31600</v>
      </c>
      <c r="L646" s="436">
        <f t="shared" si="108"/>
        <v>0</v>
      </c>
      <c r="M646" s="498">
        <f t="shared" si="110"/>
        <v>126.4</v>
      </c>
    </row>
    <row r="647" spans="1:13" s="449" customFormat="1" ht="28.2" customHeight="1" outlineLevel="3" x14ac:dyDescent="0.3">
      <c r="A647" s="450" t="s">
        <v>311</v>
      </c>
      <c r="B647" s="439" t="s">
        <v>536</v>
      </c>
      <c r="C647" s="439" t="s">
        <v>256</v>
      </c>
      <c r="D647" s="539" t="s">
        <v>735</v>
      </c>
      <c r="E647" s="539" t="s">
        <v>6</v>
      </c>
      <c r="F647" s="540">
        <v>124350</v>
      </c>
      <c r="G647" s="466">
        <f>G648</f>
        <v>0</v>
      </c>
      <c r="H647" s="442">
        <f>H648</f>
        <v>0</v>
      </c>
      <c r="I647" s="442">
        <v>0</v>
      </c>
      <c r="J647" s="466">
        <v>0</v>
      </c>
      <c r="K647" s="466">
        <v>0</v>
      </c>
      <c r="L647" s="436">
        <f t="shared" si="108"/>
        <v>0</v>
      </c>
      <c r="M647" s="498"/>
    </row>
    <row r="648" spans="1:13" ht="34" hidden="1" outlineLevel="3" x14ac:dyDescent="0.3">
      <c r="A648" s="438" t="s">
        <v>37</v>
      </c>
      <c r="B648" s="439" t="s">
        <v>536</v>
      </c>
      <c r="C648" s="439" t="s">
        <v>256</v>
      </c>
      <c r="D648" s="539" t="s">
        <v>735</v>
      </c>
      <c r="E648" s="539" t="s">
        <v>38</v>
      </c>
      <c r="F648" s="540">
        <v>124350</v>
      </c>
      <c r="G648" s="466">
        <f>G649</f>
        <v>0</v>
      </c>
      <c r="H648" s="442">
        <f>H649</f>
        <v>0</v>
      </c>
      <c r="I648" s="442">
        <v>0</v>
      </c>
      <c r="J648" s="466">
        <v>0</v>
      </c>
      <c r="K648" s="466">
        <v>0</v>
      </c>
      <c r="L648" s="436">
        <f t="shared" ref="L648:L711" si="125">K648-J648</f>
        <v>0</v>
      </c>
      <c r="M648" s="498"/>
    </row>
    <row r="649" spans="1:13" ht="19.55" hidden="1" customHeight="1" outlineLevel="3" x14ac:dyDescent="0.3">
      <c r="A649" s="438" t="s">
        <v>74</v>
      </c>
      <c r="B649" s="439" t="s">
        <v>536</v>
      </c>
      <c r="C649" s="439" t="s">
        <v>256</v>
      </c>
      <c r="D649" s="539" t="s">
        <v>735</v>
      </c>
      <c r="E649" s="539" t="s">
        <v>75</v>
      </c>
      <c r="F649" s="540">
        <v>124350</v>
      </c>
      <c r="G649" s="466">
        <v>0</v>
      </c>
      <c r="H649" s="443">
        <v>0</v>
      </c>
      <c r="I649" s="442">
        <v>0</v>
      </c>
      <c r="J649" s="466">
        <v>0</v>
      </c>
      <c r="K649" s="466">
        <v>0</v>
      </c>
      <c r="L649" s="436">
        <f t="shared" si="125"/>
        <v>0</v>
      </c>
      <c r="M649" s="498"/>
    </row>
    <row r="650" spans="1:13" ht="21.25" customHeight="1" outlineLevel="3" x14ac:dyDescent="0.3">
      <c r="A650" s="438" t="s">
        <v>112</v>
      </c>
      <c r="B650" s="439" t="s">
        <v>536</v>
      </c>
      <c r="C650" s="439" t="s">
        <v>256</v>
      </c>
      <c r="D650" s="539" t="s">
        <v>150</v>
      </c>
      <c r="E650" s="539" t="s">
        <v>6</v>
      </c>
      <c r="F650" s="540">
        <v>77499.75</v>
      </c>
      <c r="G650" s="465">
        <f t="shared" ref="G650:K651" si="126">G651</f>
        <v>85500</v>
      </c>
      <c r="H650" s="440">
        <f t="shared" si="126"/>
        <v>39360</v>
      </c>
      <c r="I650" s="440">
        <f t="shared" si="126"/>
        <v>85500</v>
      </c>
      <c r="J650" s="518">
        <f t="shared" si="126"/>
        <v>0</v>
      </c>
      <c r="K650" s="518">
        <f t="shared" si="126"/>
        <v>0</v>
      </c>
      <c r="L650" s="436">
        <f t="shared" si="125"/>
        <v>0</v>
      </c>
      <c r="M650" s="498">
        <f t="shared" ref="M650:M711" si="127">J650/G650%</f>
        <v>0</v>
      </c>
    </row>
    <row r="651" spans="1:13" ht="34" outlineLevel="3" x14ac:dyDescent="0.3">
      <c r="A651" s="438" t="s">
        <v>37</v>
      </c>
      <c r="B651" s="439" t="s">
        <v>536</v>
      </c>
      <c r="C651" s="439" t="s">
        <v>256</v>
      </c>
      <c r="D651" s="539" t="s">
        <v>150</v>
      </c>
      <c r="E651" s="539" t="s">
        <v>38</v>
      </c>
      <c r="F651" s="540">
        <v>77499.75</v>
      </c>
      <c r="G651" s="465">
        <f t="shared" si="126"/>
        <v>85500</v>
      </c>
      <c r="H651" s="440">
        <f t="shared" si="126"/>
        <v>39360</v>
      </c>
      <c r="I651" s="440">
        <f t="shared" si="126"/>
        <v>85500</v>
      </c>
      <c r="J651" s="518">
        <f t="shared" si="126"/>
        <v>0</v>
      </c>
      <c r="K651" s="518">
        <f t="shared" si="126"/>
        <v>0</v>
      </c>
      <c r="L651" s="436">
        <f t="shared" si="125"/>
        <v>0</v>
      </c>
      <c r="M651" s="498">
        <f t="shared" si="127"/>
        <v>0</v>
      </c>
    </row>
    <row r="652" spans="1:13" ht="21.25" customHeight="1" outlineLevel="3" x14ac:dyDescent="0.3">
      <c r="A652" s="438" t="s">
        <v>74</v>
      </c>
      <c r="B652" s="439" t="s">
        <v>536</v>
      </c>
      <c r="C652" s="439" t="s">
        <v>256</v>
      </c>
      <c r="D652" s="539" t="s">
        <v>150</v>
      </c>
      <c r="E652" s="539" t="s">
        <v>75</v>
      </c>
      <c r="F652" s="540">
        <v>77499.75</v>
      </c>
      <c r="G652" s="466">
        <v>85500</v>
      </c>
      <c r="H652" s="443">
        <v>39360</v>
      </c>
      <c r="I652" s="442">
        <v>85500</v>
      </c>
      <c r="J652" s="519">
        <v>0</v>
      </c>
      <c r="K652" s="519">
        <v>0</v>
      </c>
      <c r="L652" s="436">
        <f t="shared" si="125"/>
        <v>0</v>
      </c>
      <c r="M652" s="498">
        <f t="shared" si="127"/>
        <v>0</v>
      </c>
    </row>
    <row r="653" spans="1:13" ht="50.95" outlineLevel="3" x14ac:dyDescent="0.3">
      <c r="A653" s="438" t="s">
        <v>754</v>
      </c>
      <c r="B653" s="439" t="s">
        <v>536</v>
      </c>
      <c r="C653" s="439" t="s">
        <v>256</v>
      </c>
      <c r="D653" s="539" t="s">
        <v>755</v>
      </c>
      <c r="E653" s="539" t="s">
        <v>6</v>
      </c>
      <c r="F653" s="540">
        <v>258415.02</v>
      </c>
      <c r="G653" s="466">
        <f t="shared" ref="G653:K654" si="128">G654</f>
        <v>1203000</v>
      </c>
      <c r="H653" s="442">
        <f t="shared" si="128"/>
        <v>509453.59</v>
      </c>
      <c r="I653" s="442">
        <f t="shared" si="128"/>
        <v>1203000</v>
      </c>
      <c r="J653" s="466">
        <f t="shared" si="128"/>
        <v>1736190</v>
      </c>
      <c r="K653" s="466">
        <f t="shared" si="128"/>
        <v>1736190</v>
      </c>
      <c r="L653" s="436">
        <f t="shared" si="125"/>
        <v>0</v>
      </c>
      <c r="M653" s="498">
        <f t="shared" si="127"/>
        <v>144.32169576059852</v>
      </c>
    </row>
    <row r="654" spans="1:13" ht="34" outlineLevel="3" x14ac:dyDescent="0.3">
      <c r="A654" s="438" t="s">
        <v>37</v>
      </c>
      <c r="B654" s="439" t="s">
        <v>536</v>
      </c>
      <c r="C654" s="439" t="s">
        <v>256</v>
      </c>
      <c r="D654" s="539" t="s">
        <v>756</v>
      </c>
      <c r="E654" s="539" t="s">
        <v>38</v>
      </c>
      <c r="F654" s="540">
        <v>258415.02</v>
      </c>
      <c r="G654" s="466">
        <f t="shared" si="128"/>
        <v>1203000</v>
      </c>
      <c r="H654" s="442">
        <f t="shared" si="128"/>
        <v>509453.59</v>
      </c>
      <c r="I654" s="442">
        <f t="shared" si="128"/>
        <v>1203000</v>
      </c>
      <c r="J654" s="466">
        <f t="shared" si="128"/>
        <v>1736190</v>
      </c>
      <c r="K654" s="466">
        <f t="shared" si="128"/>
        <v>1736190</v>
      </c>
      <c r="L654" s="436">
        <f t="shared" si="125"/>
        <v>0</v>
      </c>
      <c r="M654" s="498">
        <f t="shared" si="127"/>
        <v>144.32169576059852</v>
      </c>
    </row>
    <row r="655" spans="1:13" ht="21.75" customHeight="1" outlineLevel="3" x14ac:dyDescent="0.3">
      <c r="A655" s="438" t="s">
        <v>74</v>
      </c>
      <c r="B655" s="439" t="s">
        <v>536</v>
      </c>
      <c r="C655" s="439" t="s">
        <v>256</v>
      </c>
      <c r="D655" s="539" t="s">
        <v>756</v>
      </c>
      <c r="E655" s="539" t="s">
        <v>75</v>
      </c>
      <c r="F655" s="540">
        <v>258415.02</v>
      </c>
      <c r="G655" s="466">
        <v>1203000</v>
      </c>
      <c r="H655" s="443">
        <v>509453.59</v>
      </c>
      <c r="I655" s="442">
        <v>1203000</v>
      </c>
      <c r="J655" s="466">
        <v>1736190</v>
      </c>
      <c r="K655" s="466">
        <v>1736190</v>
      </c>
      <c r="L655" s="436">
        <f t="shared" si="125"/>
        <v>0</v>
      </c>
      <c r="M655" s="498">
        <f t="shared" si="127"/>
        <v>144.32169576059852</v>
      </c>
    </row>
    <row r="656" spans="1:13" ht="50.95" hidden="1" outlineLevel="3" x14ac:dyDescent="0.3">
      <c r="A656" s="450" t="s">
        <v>458</v>
      </c>
      <c r="B656" s="439" t="s">
        <v>536</v>
      </c>
      <c r="C656" s="439" t="s">
        <v>256</v>
      </c>
      <c r="D656" s="539" t="s">
        <v>727</v>
      </c>
      <c r="E656" s="539" t="s">
        <v>6</v>
      </c>
      <c r="F656" s="540">
        <v>52000</v>
      </c>
      <c r="G656" s="466">
        <f t="shared" ref="G656:I657" si="129">G657</f>
        <v>0</v>
      </c>
      <c r="H656" s="442">
        <f t="shared" si="129"/>
        <v>0</v>
      </c>
      <c r="I656" s="442">
        <f t="shared" si="129"/>
        <v>100000</v>
      </c>
      <c r="J656" s="466">
        <v>0</v>
      </c>
      <c r="K656" s="466">
        <v>0</v>
      </c>
      <c r="L656" s="436">
        <f t="shared" si="125"/>
        <v>0</v>
      </c>
      <c r="M656" s="498"/>
    </row>
    <row r="657" spans="1:13" ht="34" hidden="1" outlineLevel="3" x14ac:dyDescent="0.3">
      <c r="A657" s="438" t="s">
        <v>37</v>
      </c>
      <c r="B657" s="439" t="s">
        <v>536</v>
      </c>
      <c r="C657" s="439" t="s">
        <v>256</v>
      </c>
      <c r="D657" s="539" t="s">
        <v>727</v>
      </c>
      <c r="E657" s="539" t="s">
        <v>38</v>
      </c>
      <c r="F657" s="540">
        <v>52000</v>
      </c>
      <c r="G657" s="466">
        <f t="shared" si="129"/>
        <v>0</v>
      </c>
      <c r="H657" s="442">
        <f t="shared" si="129"/>
        <v>0</v>
      </c>
      <c r="I657" s="442">
        <f t="shared" si="129"/>
        <v>100000</v>
      </c>
      <c r="J657" s="466">
        <v>0</v>
      </c>
      <c r="K657" s="466">
        <v>0</v>
      </c>
      <c r="L657" s="436">
        <f t="shared" si="125"/>
        <v>0</v>
      </c>
      <c r="M657" s="498"/>
    </row>
    <row r="658" spans="1:13" ht="17.7" hidden="1" outlineLevel="3" thickBot="1" x14ac:dyDescent="0.35">
      <c r="A658" s="438" t="s">
        <v>74</v>
      </c>
      <c r="B658" s="439" t="s">
        <v>536</v>
      </c>
      <c r="C658" s="439" t="s">
        <v>256</v>
      </c>
      <c r="D658" s="539" t="s">
        <v>727</v>
      </c>
      <c r="E658" s="539" t="s">
        <v>75</v>
      </c>
      <c r="F658" s="540">
        <v>52000</v>
      </c>
      <c r="G658" s="466">
        <v>0</v>
      </c>
      <c r="H658" s="442">
        <v>0</v>
      </c>
      <c r="I658" s="442">
        <v>100000</v>
      </c>
      <c r="J658" s="466">
        <v>0</v>
      </c>
      <c r="K658" s="466">
        <v>0</v>
      </c>
      <c r="L658" s="436">
        <f t="shared" si="125"/>
        <v>0</v>
      </c>
      <c r="M658" s="498"/>
    </row>
    <row r="659" spans="1:13" ht="51.65" hidden="1" outlineLevel="3" thickBot="1" x14ac:dyDescent="0.35">
      <c r="A659" s="470" t="s">
        <v>938</v>
      </c>
      <c r="B659" s="439" t="s">
        <v>536</v>
      </c>
      <c r="C659" s="439" t="s">
        <v>72</v>
      </c>
      <c r="D659" s="539" t="s">
        <v>980</v>
      </c>
      <c r="E659" s="539" t="s">
        <v>6</v>
      </c>
      <c r="F659" s="553"/>
      <c r="G659" s="466"/>
      <c r="H659" s="442">
        <f>H660</f>
        <v>132600</v>
      </c>
      <c r="I659" s="459"/>
      <c r="J659" s="466"/>
      <c r="K659" s="466"/>
      <c r="L659" s="436">
        <f t="shared" si="125"/>
        <v>0</v>
      </c>
      <c r="M659" s="498"/>
    </row>
    <row r="660" spans="1:13" ht="34" hidden="1" outlineLevel="3" x14ac:dyDescent="0.3">
      <c r="A660" s="438" t="s">
        <v>37</v>
      </c>
      <c r="B660" s="439" t="s">
        <v>536</v>
      </c>
      <c r="C660" s="439" t="s">
        <v>72</v>
      </c>
      <c r="D660" s="539" t="s">
        <v>981</v>
      </c>
      <c r="E660" s="539" t="s">
        <v>38</v>
      </c>
      <c r="F660" s="553"/>
      <c r="G660" s="466"/>
      <c r="H660" s="442">
        <f>H661</f>
        <v>132600</v>
      </c>
      <c r="I660" s="459"/>
      <c r="J660" s="466"/>
      <c r="K660" s="466"/>
      <c r="L660" s="436">
        <f t="shared" si="125"/>
        <v>0</v>
      </c>
      <c r="M660" s="498"/>
    </row>
    <row r="661" spans="1:13" hidden="1" outlineLevel="3" x14ac:dyDescent="0.3">
      <c r="A661" s="438" t="s">
        <v>74</v>
      </c>
      <c r="B661" s="439" t="s">
        <v>536</v>
      </c>
      <c r="C661" s="439" t="s">
        <v>72</v>
      </c>
      <c r="D661" s="539" t="s">
        <v>981</v>
      </c>
      <c r="E661" s="539" t="s">
        <v>75</v>
      </c>
      <c r="F661" s="553"/>
      <c r="G661" s="466"/>
      <c r="H661" s="442">
        <v>132600</v>
      </c>
      <c r="I661" s="459"/>
      <c r="J661" s="466"/>
      <c r="K661" s="466"/>
      <c r="L661" s="436">
        <f t="shared" si="125"/>
        <v>0</v>
      </c>
      <c r="M661" s="498"/>
    </row>
    <row r="662" spans="1:13" outlineLevel="3" x14ac:dyDescent="0.3">
      <c r="A662" s="438" t="s">
        <v>76</v>
      </c>
      <c r="B662" s="439" t="s">
        <v>536</v>
      </c>
      <c r="C662" s="439" t="s">
        <v>77</v>
      </c>
      <c r="D662" s="539" t="s">
        <v>126</v>
      </c>
      <c r="E662" s="539" t="s">
        <v>6</v>
      </c>
      <c r="F662" s="540">
        <v>1754985.46</v>
      </c>
      <c r="G662" s="465">
        <f>G663</f>
        <v>2041369</v>
      </c>
      <c r="H662" s="440">
        <f>H663</f>
        <v>1919444.25</v>
      </c>
      <c r="I662" s="440">
        <f>I663</f>
        <v>2042300</v>
      </c>
      <c r="J662" s="465">
        <f>J663</f>
        <v>2803119.25</v>
      </c>
      <c r="K662" s="465">
        <f>K663</f>
        <v>2803119.25</v>
      </c>
      <c r="L662" s="436">
        <f t="shared" si="125"/>
        <v>0</v>
      </c>
      <c r="M662" s="498">
        <f t="shared" si="127"/>
        <v>137.31565679698281</v>
      </c>
    </row>
    <row r="663" spans="1:13" ht="34" outlineLevel="3" x14ac:dyDescent="0.3">
      <c r="A663" s="444" t="s">
        <v>825</v>
      </c>
      <c r="B663" s="445" t="s">
        <v>536</v>
      </c>
      <c r="C663" s="445" t="s">
        <v>77</v>
      </c>
      <c r="D663" s="541" t="s">
        <v>138</v>
      </c>
      <c r="E663" s="541" t="s">
        <v>6</v>
      </c>
      <c r="F663" s="540">
        <v>1754985.46</v>
      </c>
      <c r="G663" s="508">
        <f>G664+G678</f>
        <v>2041369</v>
      </c>
      <c r="H663" s="446">
        <f>H664+H678</f>
        <v>1919444.25</v>
      </c>
      <c r="I663" s="446">
        <f>I664+I678</f>
        <v>2042300</v>
      </c>
      <c r="J663" s="508">
        <f>J664+J678</f>
        <v>2803119.25</v>
      </c>
      <c r="K663" s="508">
        <f>K664+K678</f>
        <v>2803119.25</v>
      </c>
      <c r="L663" s="436">
        <f t="shared" si="125"/>
        <v>0</v>
      </c>
      <c r="M663" s="498">
        <f t="shared" si="127"/>
        <v>137.31565679698281</v>
      </c>
    </row>
    <row r="664" spans="1:13" ht="50.95" outlineLevel="3" x14ac:dyDescent="0.3">
      <c r="A664" s="438" t="s">
        <v>833</v>
      </c>
      <c r="B664" s="439" t="s">
        <v>536</v>
      </c>
      <c r="C664" s="439" t="s">
        <v>77</v>
      </c>
      <c r="D664" s="539" t="s">
        <v>146</v>
      </c>
      <c r="E664" s="539" t="s">
        <v>6</v>
      </c>
      <c r="F664" s="540">
        <v>69978.509999999995</v>
      </c>
      <c r="G664" s="465">
        <f>G665+G669</f>
        <v>1916369</v>
      </c>
      <c r="H664" s="440">
        <f>H665+H669</f>
        <v>1858488.25</v>
      </c>
      <c r="I664" s="440">
        <f>I665+I669</f>
        <v>1917300</v>
      </c>
      <c r="J664" s="465">
        <f>J665+J669</f>
        <v>2678119.25</v>
      </c>
      <c r="K664" s="465">
        <f>K665+K669</f>
        <v>2678119.25</v>
      </c>
      <c r="L664" s="436">
        <f t="shared" si="125"/>
        <v>0</v>
      </c>
      <c r="M664" s="498">
        <f t="shared" si="127"/>
        <v>139.74966460008486</v>
      </c>
    </row>
    <row r="665" spans="1:13" ht="34" outlineLevel="7" x14ac:dyDescent="0.3">
      <c r="A665" s="450" t="s">
        <v>206</v>
      </c>
      <c r="B665" s="439" t="s">
        <v>536</v>
      </c>
      <c r="C665" s="439" t="s">
        <v>77</v>
      </c>
      <c r="D665" s="539" t="s">
        <v>220</v>
      </c>
      <c r="E665" s="539" t="s">
        <v>6</v>
      </c>
      <c r="F665" s="540">
        <v>69978.509999999995</v>
      </c>
      <c r="G665" s="465">
        <f t="shared" ref="G665:K667" si="130">G666</f>
        <v>70000</v>
      </c>
      <c r="H665" s="440">
        <f t="shared" si="130"/>
        <v>53268</v>
      </c>
      <c r="I665" s="440">
        <f t="shared" si="130"/>
        <v>70000</v>
      </c>
      <c r="J665" s="465">
        <f t="shared" si="130"/>
        <v>70000</v>
      </c>
      <c r="K665" s="465">
        <f t="shared" si="130"/>
        <v>70000</v>
      </c>
      <c r="L665" s="436">
        <f t="shared" si="125"/>
        <v>0</v>
      </c>
      <c r="M665" s="498">
        <f t="shared" si="127"/>
        <v>100</v>
      </c>
    </row>
    <row r="666" spans="1:13" outlineLevel="7" x14ac:dyDescent="0.3">
      <c r="A666" s="438" t="s">
        <v>424</v>
      </c>
      <c r="B666" s="439" t="s">
        <v>536</v>
      </c>
      <c r="C666" s="439" t="s">
        <v>77</v>
      </c>
      <c r="D666" s="539" t="s">
        <v>235</v>
      </c>
      <c r="E666" s="539" t="s">
        <v>6</v>
      </c>
      <c r="F666" s="540">
        <v>69978.509999999995</v>
      </c>
      <c r="G666" s="465">
        <f t="shared" si="130"/>
        <v>70000</v>
      </c>
      <c r="H666" s="440">
        <f t="shared" si="130"/>
        <v>53268</v>
      </c>
      <c r="I666" s="440">
        <f t="shared" si="130"/>
        <v>70000</v>
      </c>
      <c r="J666" s="465">
        <f t="shared" si="130"/>
        <v>70000</v>
      </c>
      <c r="K666" s="465">
        <f t="shared" si="130"/>
        <v>70000</v>
      </c>
      <c r="L666" s="436">
        <f t="shared" si="125"/>
        <v>0</v>
      </c>
      <c r="M666" s="498">
        <f t="shared" si="127"/>
        <v>100</v>
      </c>
    </row>
    <row r="667" spans="1:13" ht="23.3" customHeight="1" outlineLevel="7" x14ac:dyDescent="0.3">
      <c r="A667" s="438" t="s">
        <v>15</v>
      </c>
      <c r="B667" s="439" t="s">
        <v>536</v>
      </c>
      <c r="C667" s="439" t="s">
        <v>77</v>
      </c>
      <c r="D667" s="539" t="s">
        <v>235</v>
      </c>
      <c r="E667" s="539" t="s">
        <v>16</v>
      </c>
      <c r="F667" s="540">
        <v>69978.509999999995</v>
      </c>
      <c r="G667" s="465">
        <f t="shared" si="130"/>
        <v>70000</v>
      </c>
      <c r="H667" s="440">
        <f t="shared" si="130"/>
        <v>53268</v>
      </c>
      <c r="I667" s="440">
        <f t="shared" si="130"/>
        <v>70000</v>
      </c>
      <c r="J667" s="465">
        <f t="shared" si="130"/>
        <v>70000</v>
      </c>
      <c r="K667" s="465">
        <f t="shared" si="130"/>
        <v>70000</v>
      </c>
      <c r="L667" s="436">
        <f t="shared" si="125"/>
        <v>0</v>
      </c>
      <c r="M667" s="498">
        <f t="shared" si="127"/>
        <v>100</v>
      </c>
    </row>
    <row r="668" spans="1:13" ht="34" outlineLevel="2" x14ac:dyDescent="0.3">
      <c r="A668" s="438" t="s">
        <v>17</v>
      </c>
      <c r="B668" s="439" t="s">
        <v>536</v>
      </c>
      <c r="C668" s="439" t="s">
        <v>77</v>
      </c>
      <c r="D668" s="539" t="s">
        <v>235</v>
      </c>
      <c r="E668" s="539" t="s">
        <v>18</v>
      </c>
      <c r="F668" s="540">
        <v>69978.509999999995</v>
      </c>
      <c r="G668" s="466">
        <v>70000</v>
      </c>
      <c r="H668" s="443">
        <v>53268</v>
      </c>
      <c r="I668" s="442">
        <v>70000</v>
      </c>
      <c r="J668" s="466">
        <v>70000</v>
      </c>
      <c r="K668" s="466">
        <v>70000</v>
      </c>
      <c r="L668" s="436">
        <f t="shared" si="125"/>
        <v>0</v>
      </c>
      <c r="M668" s="498">
        <f t="shared" si="127"/>
        <v>100</v>
      </c>
    </row>
    <row r="669" spans="1:13" s="449" customFormat="1" ht="34" outlineLevel="3" x14ac:dyDescent="0.3">
      <c r="A669" s="450" t="s">
        <v>275</v>
      </c>
      <c r="B669" s="439" t="s">
        <v>536</v>
      </c>
      <c r="C669" s="439" t="s">
        <v>77</v>
      </c>
      <c r="D669" s="539" t="s">
        <v>223</v>
      </c>
      <c r="E669" s="539" t="s">
        <v>6</v>
      </c>
      <c r="F669" s="540">
        <v>1561006.95</v>
      </c>
      <c r="G669" s="466">
        <f>G670</f>
        <v>1846369</v>
      </c>
      <c r="H669" s="442">
        <f>H670</f>
        <v>1805220.25</v>
      </c>
      <c r="I669" s="442">
        <f>I670</f>
        <v>1847300</v>
      </c>
      <c r="J669" s="466">
        <f>J670</f>
        <v>2608119.25</v>
      </c>
      <c r="K669" s="466">
        <f>K670</f>
        <v>2608119.25</v>
      </c>
      <c r="L669" s="436">
        <f t="shared" si="125"/>
        <v>0</v>
      </c>
      <c r="M669" s="498">
        <f t="shared" si="127"/>
        <v>141.25666375464493</v>
      </c>
    </row>
    <row r="670" spans="1:13" s="449" customFormat="1" ht="84.9" outlineLevel="3" x14ac:dyDescent="0.3">
      <c r="A670" s="393" t="s">
        <v>403</v>
      </c>
      <c r="B670" s="439" t="s">
        <v>536</v>
      </c>
      <c r="C670" s="439" t="s">
        <v>77</v>
      </c>
      <c r="D670" s="539" t="s">
        <v>152</v>
      </c>
      <c r="E670" s="539" t="s">
        <v>6</v>
      </c>
      <c r="F670" s="540">
        <v>1561006.95</v>
      </c>
      <c r="G670" s="465">
        <f>G671+G675+G673</f>
        <v>1846369</v>
      </c>
      <c r="H670" s="440">
        <f>H671+H675+H673</f>
        <v>1805220.25</v>
      </c>
      <c r="I670" s="440">
        <f>I671+I675+I673</f>
        <v>1847300</v>
      </c>
      <c r="J670" s="513">
        <v>2608119.25</v>
      </c>
      <c r="K670" s="513">
        <v>2608119.25</v>
      </c>
      <c r="L670" s="436">
        <f t="shared" si="125"/>
        <v>0</v>
      </c>
      <c r="M670" s="498">
        <f t="shared" si="127"/>
        <v>141.25666375464493</v>
      </c>
    </row>
    <row r="671" spans="1:13" ht="34" outlineLevel="5" x14ac:dyDescent="0.3">
      <c r="A671" s="438" t="s">
        <v>15</v>
      </c>
      <c r="B671" s="439" t="s">
        <v>536</v>
      </c>
      <c r="C671" s="439" t="s">
        <v>77</v>
      </c>
      <c r="D671" s="539" t="s">
        <v>152</v>
      </c>
      <c r="E671" s="539" t="s">
        <v>16</v>
      </c>
      <c r="F671" s="540">
        <v>0</v>
      </c>
      <c r="G671" s="465">
        <f>G672</f>
        <v>2000</v>
      </c>
      <c r="H671" s="440">
        <f>H672</f>
        <v>0</v>
      </c>
      <c r="I671" s="440">
        <f>I672</f>
        <v>2000</v>
      </c>
      <c r="J671" s="465">
        <f>J672</f>
        <v>2608119.25</v>
      </c>
      <c r="K671" s="465">
        <f>K672</f>
        <v>2608119.25</v>
      </c>
      <c r="L671" s="436">
        <f t="shared" si="125"/>
        <v>0</v>
      </c>
      <c r="M671" s="498"/>
    </row>
    <row r="672" spans="1:13" ht="34" outlineLevel="6" x14ac:dyDescent="0.3">
      <c r="A672" s="438" t="s">
        <v>17</v>
      </c>
      <c r="B672" s="439" t="s">
        <v>536</v>
      </c>
      <c r="C672" s="439" t="s">
        <v>77</v>
      </c>
      <c r="D672" s="539" t="s">
        <v>152</v>
      </c>
      <c r="E672" s="539" t="s">
        <v>18</v>
      </c>
      <c r="F672" s="540">
        <v>0</v>
      </c>
      <c r="G672" s="466">
        <v>2000</v>
      </c>
      <c r="H672" s="442">
        <v>0</v>
      </c>
      <c r="I672" s="442">
        <v>2000</v>
      </c>
      <c r="J672" s="510">
        <v>2608119.25</v>
      </c>
      <c r="K672" s="510">
        <v>2608119.25</v>
      </c>
      <c r="L672" s="436">
        <f t="shared" si="125"/>
        <v>0</v>
      </c>
      <c r="M672" s="498"/>
    </row>
    <row r="673" spans="1:13" outlineLevel="7" x14ac:dyDescent="0.3">
      <c r="A673" s="438" t="s">
        <v>90</v>
      </c>
      <c r="B673" s="439" t="s">
        <v>536</v>
      </c>
      <c r="C673" s="439" t="s">
        <v>77</v>
      </c>
      <c r="D673" s="539" t="s">
        <v>152</v>
      </c>
      <c r="E673" s="539" t="s">
        <v>91</v>
      </c>
      <c r="F673" s="540">
        <v>194977.5</v>
      </c>
      <c r="G673" s="465">
        <f>G674</f>
        <v>320000</v>
      </c>
      <c r="H673" s="440">
        <f>H674</f>
        <v>280851.25</v>
      </c>
      <c r="I673" s="440">
        <f>I674</f>
        <v>320000</v>
      </c>
      <c r="J673" s="465">
        <f>J674</f>
        <v>0</v>
      </c>
      <c r="K673" s="465">
        <f>K674</f>
        <v>0</v>
      </c>
      <c r="L673" s="436">
        <f t="shared" si="125"/>
        <v>0</v>
      </c>
      <c r="M673" s="498">
        <f t="shared" si="127"/>
        <v>0</v>
      </c>
    </row>
    <row r="674" spans="1:13" ht="34" outlineLevel="6" x14ac:dyDescent="0.3">
      <c r="A674" s="438" t="s">
        <v>97</v>
      </c>
      <c r="B674" s="439" t="s">
        <v>536</v>
      </c>
      <c r="C674" s="439" t="s">
        <v>77</v>
      </c>
      <c r="D674" s="539" t="s">
        <v>152</v>
      </c>
      <c r="E674" s="539" t="s">
        <v>98</v>
      </c>
      <c r="F674" s="540">
        <v>194977.5</v>
      </c>
      <c r="G674" s="466">
        <v>320000</v>
      </c>
      <c r="H674" s="443">
        <v>280851.25</v>
      </c>
      <c r="I674" s="442">
        <v>320000</v>
      </c>
      <c r="J674" s="510">
        <v>0</v>
      </c>
      <c r="K674" s="510">
        <v>0</v>
      </c>
      <c r="L674" s="436">
        <f t="shared" si="125"/>
        <v>0</v>
      </c>
      <c r="M674" s="498">
        <f t="shared" si="127"/>
        <v>0</v>
      </c>
    </row>
    <row r="675" spans="1:13" ht="21.25" customHeight="1" outlineLevel="7" x14ac:dyDescent="0.3">
      <c r="A675" s="438" t="s">
        <v>37</v>
      </c>
      <c r="B675" s="439" t="s">
        <v>536</v>
      </c>
      <c r="C675" s="439" t="s">
        <v>77</v>
      </c>
      <c r="D675" s="539" t="s">
        <v>152</v>
      </c>
      <c r="E675" s="539" t="s">
        <v>38</v>
      </c>
      <c r="F675" s="540">
        <v>1366029.45</v>
      </c>
      <c r="G675" s="465">
        <v>1524369</v>
      </c>
      <c r="H675" s="441">
        <v>1524369</v>
      </c>
      <c r="I675" s="440">
        <f>I676</f>
        <v>1525300</v>
      </c>
      <c r="J675" s="465">
        <f>J676</f>
        <v>0</v>
      </c>
      <c r="K675" s="465">
        <f>K676</f>
        <v>0</v>
      </c>
      <c r="L675" s="436">
        <f t="shared" si="125"/>
        <v>0</v>
      </c>
      <c r="M675" s="498">
        <f t="shared" si="127"/>
        <v>0</v>
      </c>
    </row>
    <row r="676" spans="1:13" outlineLevel="7" x14ac:dyDescent="0.3">
      <c r="A676" s="438" t="s">
        <v>74</v>
      </c>
      <c r="B676" s="439" t="s">
        <v>536</v>
      </c>
      <c r="C676" s="439" t="s">
        <v>77</v>
      </c>
      <c r="D676" s="539" t="s">
        <v>152</v>
      </c>
      <c r="E676" s="539" t="s">
        <v>75</v>
      </c>
      <c r="F676" s="540">
        <v>1366029.45</v>
      </c>
      <c r="G676" s="466">
        <v>1525300</v>
      </c>
      <c r="H676" s="443">
        <v>1524369</v>
      </c>
      <c r="I676" s="442">
        <v>1525300</v>
      </c>
      <c r="J676" s="510">
        <v>0</v>
      </c>
      <c r="K676" s="510">
        <v>0</v>
      </c>
      <c r="L676" s="436">
        <f t="shared" si="125"/>
        <v>0</v>
      </c>
      <c r="M676" s="498">
        <f t="shared" si="127"/>
        <v>0</v>
      </c>
    </row>
    <row r="677" spans="1:13" ht="34" outlineLevel="7" x14ac:dyDescent="0.3">
      <c r="A677" s="397" t="s">
        <v>238</v>
      </c>
      <c r="B677" s="439" t="s">
        <v>536</v>
      </c>
      <c r="C677" s="439" t="s">
        <v>77</v>
      </c>
      <c r="D677" s="539" t="s">
        <v>237</v>
      </c>
      <c r="E677" s="539" t="s">
        <v>6</v>
      </c>
      <c r="F677" s="540">
        <v>124000</v>
      </c>
      <c r="G677" s="466">
        <f t="shared" ref="G677:K679" si="131">G678</f>
        <v>125000</v>
      </c>
      <c r="H677" s="442">
        <f t="shared" si="131"/>
        <v>60956</v>
      </c>
      <c r="I677" s="442">
        <f t="shared" si="131"/>
        <v>125000</v>
      </c>
      <c r="J677" s="466">
        <f t="shared" si="131"/>
        <v>125000</v>
      </c>
      <c r="K677" s="466">
        <f t="shared" si="131"/>
        <v>125000</v>
      </c>
      <c r="L677" s="436">
        <f t="shared" si="125"/>
        <v>0</v>
      </c>
      <c r="M677" s="498">
        <f t="shared" si="127"/>
        <v>100</v>
      </c>
    </row>
    <row r="678" spans="1:13" outlineLevel="5" x14ac:dyDescent="0.3">
      <c r="A678" s="438" t="s">
        <v>78</v>
      </c>
      <c r="B678" s="439" t="s">
        <v>536</v>
      </c>
      <c r="C678" s="439" t="s">
        <v>77</v>
      </c>
      <c r="D678" s="539" t="s">
        <v>153</v>
      </c>
      <c r="E678" s="539" t="s">
        <v>6</v>
      </c>
      <c r="F678" s="540">
        <v>124000</v>
      </c>
      <c r="G678" s="465">
        <f t="shared" si="131"/>
        <v>125000</v>
      </c>
      <c r="H678" s="440">
        <f t="shared" si="131"/>
        <v>60956</v>
      </c>
      <c r="I678" s="440">
        <f t="shared" si="131"/>
        <v>125000</v>
      </c>
      <c r="J678" s="465">
        <f t="shared" si="131"/>
        <v>125000</v>
      </c>
      <c r="K678" s="465">
        <f t="shared" si="131"/>
        <v>125000</v>
      </c>
      <c r="L678" s="436">
        <f t="shared" si="125"/>
        <v>0</v>
      </c>
      <c r="M678" s="498">
        <f t="shared" si="127"/>
        <v>100</v>
      </c>
    </row>
    <row r="679" spans="1:13" ht="34" outlineLevel="6" x14ac:dyDescent="0.3">
      <c r="A679" s="438" t="s">
        <v>15</v>
      </c>
      <c r="B679" s="439" t="s">
        <v>536</v>
      </c>
      <c r="C679" s="439" t="s">
        <v>77</v>
      </c>
      <c r="D679" s="539" t="s">
        <v>153</v>
      </c>
      <c r="E679" s="539" t="s">
        <v>16</v>
      </c>
      <c r="F679" s="540">
        <v>124000</v>
      </c>
      <c r="G679" s="465">
        <f t="shared" si="131"/>
        <v>125000</v>
      </c>
      <c r="H679" s="440">
        <f t="shared" si="131"/>
        <v>60956</v>
      </c>
      <c r="I679" s="440">
        <f t="shared" si="131"/>
        <v>125000</v>
      </c>
      <c r="J679" s="465">
        <f t="shared" si="131"/>
        <v>125000</v>
      </c>
      <c r="K679" s="465">
        <f t="shared" si="131"/>
        <v>125000</v>
      </c>
      <c r="L679" s="436">
        <f t="shared" si="125"/>
        <v>0</v>
      </c>
      <c r="M679" s="498">
        <f t="shared" si="127"/>
        <v>100</v>
      </c>
    </row>
    <row r="680" spans="1:13" ht="34" outlineLevel="7" x14ac:dyDescent="0.3">
      <c r="A680" s="438" t="s">
        <v>17</v>
      </c>
      <c r="B680" s="439" t="s">
        <v>536</v>
      </c>
      <c r="C680" s="439" t="s">
        <v>77</v>
      </c>
      <c r="D680" s="539" t="s">
        <v>153</v>
      </c>
      <c r="E680" s="539" t="s">
        <v>18</v>
      </c>
      <c r="F680" s="540">
        <v>124000</v>
      </c>
      <c r="G680" s="466">
        <v>125000</v>
      </c>
      <c r="H680" s="443">
        <v>60956</v>
      </c>
      <c r="I680" s="442">
        <v>125000</v>
      </c>
      <c r="J680" s="466">
        <v>125000</v>
      </c>
      <c r="K680" s="466">
        <v>125000</v>
      </c>
      <c r="L680" s="436">
        <f t="shared" si="125"/>
        <v>0</v>
      </c>
      <c r="M680" s="498">
        <f t="shared" si="127"/>
        <v>100</v>
      </c>
    </row>
    <row r="681" spans="1:13" outlineLevel="6" x14ac:dyDescent="0.3">
      <c r="A681" s="438" t="s">
        <v>116</v>
      </c>
      <c r="B681" s="439" t="s">
        <v>536</v>
      </c>
      <c r="C681" s="439" t="s">
        <v>117</v>
      </c>
      <c r="D681" s="539" t="s">
        <v>126</v>
      </c>
      <c r="E681" s="539" t="s">
        <v>6</v>
      </c>
      <c r="F681" s="540">
        <v>20583160.210000001</v>
      </c>
      <c r="G681" s="465">
        <f t="shared" ref="G681:K682" si="132">G682</f>
        <v>23901235</v>
      </c>
      <c r="H681" s="440">
        <f t="shared" si="132"/>
        <v>17186408.539999999</v>
      </c>
      <c r="I681" s="440">
        <f t="shared" si="132"/>
        <v>21748475</v>
      </c>
      <c r="J681" s="465">
        <f t="shared" si="132"/>
        <v>23843513</v>
      </c>
      <c r="K681" s="465">
        <f t="shared" si="132"/>
        <v>23843513</v>
      </c>
      <c r="L681" s="436">
        <f t="shared" si="125"/>
        <v>0</v>
      </c>
      <c r="M681" s="498">
        <f t="shared" si="127"/>
        <v>99.758497834944507</v>
      </c>
    </row>
    <row r="682" spans="1:13" ht="46.55" customHeight="1" outlineLevel="7" x14ac:dyDescent="0.3">
      <c r="A682" s="444" t="s">
        <v>827</v>
      </c>
      <c r="B682" s="445" t="s">
        <v>536</v>
      </c>
      <c r="C682" s="445" t="s">
        <v>117</v>
      </c>
      <c r="D682" s="541" t="s">
        <v>138</v>
      </c>
      <c r="E682" s="541" t="s">
        <v>6</v>
      </c>
      <c r="F682" s="542">
        <v>20583160.210000001</v>
      </c>
      <c r="G682" s="520">
        <f t="shared" si="132"/>
        <v>23901235</v>
      </c>
      <c r="H682" s="471">
        <f t="shared" si="132"/>
        <v>17186408.539999999</v>
      </c>
      <c r="I682" s="471">
        <f t="shared" si="132"/>
        <v>21748475</v>
      </c>
      <c r="J682" s="520">
        <f t="shared" si="132"/>
        <v>23843513</v>
      </c>
      <c r="K682" s="520">
        <f t="shared" si="132"/>
        <v>23843513</v>
      </c>
      <c r="L682" s="436">
        <f t="shared" si="125"/>
        <v>0</v>
      </c>
      <c r="M682" s="498">
        <f t="shared" si="127"/>
        <v>99.758497834944507</v>
      </c>
    </row>
    <row r="683" spans="1:13" ht="34" outlineLevel="6" x14ac:dyDescent="0.3">
      <c r="A683" s="450" t="s">
        <v>209</v>
      </c>
      <c r="B683" s="439" t="s">
        <v>536</v>
      </c>
      <c r="C683" s="439" t="s">
        <v>117</v>
      </c>
      <c r="D683" s="539" t="s">
        <v>226</v>
      </c>
      <c r="E683" s="539" t="s">
        <v>6</v>
      </c>
      <c r="F683" s="540">
        <v>20583160.210000001</v>
      </c>
      <c r="G683" s="508">
        <f>G684+G691+G698</f>
        <v>23901235</v>
      </c>
      <c r="H683" s="446">
        <f>H684+H691+H698</f>
        <v>17186408.539999999</v>
      </c>
      <c r="I683" s="446">
        <f>I684+I691+I698</f>
        <v>21748475</v>
      </c>
      <c r="J683" s="508">
        <f>J684+J691+J698</f>
        <v>23843513</v>
      </c>
      <c r="K683" s="508">
        <f>K684+K691+K698</f>
        <v>23843513</v>
      </c>
      <c r="L683" s="436">
        <f t="shared" si="125"/>
        <v>0</v>
      </c>
      <c r="M683" s="498">
        <f t="shared" si="127"/>
        <v>99.758497834944507</v>
      </c>
    </row>
    <row r="684" spans="1:13" ht="39.75" customHeight="1" outlineLevel="7" x14ac:dyDescent="0.3">
      <c r="A684" s="438" t="s">
        <v>494</v>
      </c>
      <c r="B684" s="439" t="s">
        <v>536</v>
      </c>
      <c r="C684" s="439" t="s">
        <v>117</v>
      </c>
      <c r="D684" s="539" t="s">
        <v>535</v>
      </c>
      <c r="E684" s="539" t="s">
        <v>6</v>
      </c>
      <c r="F684" s="540">
        <v>4679801.09</v>
      </c>
      <c r="G684" s="465">
        <f>G685+G687+G689</f>
        <v>6389242</v>
      </c>
      <c r="H684" s="440">
        <f>H685+H687+H689</f>
        <v>4957074.93</v>
      </c>
      <c r="I684" s="440">
        <f>I685+I687+I689</f>
        <v>5189242</v>
      </c>
      <c r="J684" s="465">
        <f>J685+J687+J689</f>
        <v>5880410</v>
      </c>
      <c r="K684" s="465">
        <f>K685+K687+K689</f>
        <v>5880410</v>
      </c>
      <c r="L684" s="436">
        <f t="shared" si="125"/>
        <v>0</v>
      </c>
      <c r="M684" s="498">
        <f t="shared" si="127"/>
        <v>92.036113204038912</v>
      </c>
    </row>
    <row r="685" spans="1:13" ht="84.9" outlineLevel="3" x14ac:dyDescent="0.3">
      <c r="A685" s="438" t="s">
        <v>11</v>
      </c>
      <c r="B685" s="439" t="s">
        <v>536</v>
      </c>
      <c r="C685" s="439" t="s">
        <v>117</v>
      </c>
      <c r="D685" s="539" t="s">
        <v>535</v>
      </c>
      <c r="E685" s="539" t="s">
        <v>12</v>
      </c>
      <c r="F685" s="540">
        <v>4322530.09</v>
      </c>
      <c r="G685" s="465">
        <f>G686</f>
        <v>5089242</v>
      </c>
      <c r="H685" s="440">
        <f>H686</f>
        <v>3737020.13</v>
      </c>
      <c r="I685" s="440">
        <f>I686</f>
        <v>5089242</v>
      </c>
      <c r="J685" s="465">
        <f>J686</f>
        <v>5300410</v>
      </c>
      <c r="K685" s="465">
        <f>K686</f>
        <v>5300410</v>
      </c>
      <c r="L685" s="436">
        <f t="shared" si="125"/>
        <v>0</v>
      </c>
      <c r="M685" s="498">
        <f t="shared" si="127"/>
        <v>104.14930160522923</v>
      </c>
    </row>
    <row r="686" spans="1:13" ht="34" outlineLevel="3" x14ac:dyDescent="0.3">
      <c r="A686" s="438" t="s">
        <v>13</v>
      </c>
      <c r="B686" s="439" t="s">
        <v>536</v>
      </c>
      <c r="C686" s="439" t="s">
        <v>117</v>
      </c>
      <c r="D686" s="539" t="s">
        <v>535</v>
      </c>
      <c r="E686" s="539" t="s">
        <v>14</v>
      </c>
      <c r="F686" s="540">
        <v>4322530.09</v>
      </c>
      <c r="G686" s="466">
        <f>[2]потребность!I621</f>
        <v>5089242</v>
      </c>
      <c r="H686" s="443">
        <v>3737020.13</v>
      </c>
      <c r="I686" s="442">
        <v>5089242</v>
      </c>
      <c r="J686" s="466">
        <v>5300410</v>
      </c>
      <c r="K686" s="466">
        <v>5300410</v>
      </c>
      <c r="L686" s="436">
        <f t="shared" si="125"/>
        <v>0</v>
      </c>
      <c r="M686" s="498">
        <f t="shared" si="127"/>
        <v>104.14930160522923</v>
      </c>
    </row>
    <row r="687" spans="1:13" ht="34" outlineLevel="3" x14ac:dyDescent="0.3">
      <c r="A687" s="438" t="s">
        <v>15</v>
      </c>
      <c r="B687" s="439" t="s">
        <v>536</v>
      </c>
      <c r="C687" s="439" t="s">
        <v>117</v>
      </c>
      <c r="D687" s="539" t="s">
        <v>535</v>
      </c>
      <c r="E687" s="539" t="s">
        <v>16</v>
      </c>
      <c r="F687" s="540">
        <v>310400</v>
      </c>
      <c r="G687" s="465">
        <f>G688</f>
        <v>1300000</v>
      </c>
      <c r="H687" s="440">
        <f>H688</f>
        <v>1220054.8</v>
      </c>
      <c r="I687" s="440">
        <f>I688</f>
        <v>100000</v>
      </c>
      <c r="J687" s="465">
        <f>J688</f>
        <v>580000</v>
      </c>
      <c r="K687" s="465">
        <f>K688</f>
        <v>580000</v>
      </c>
      <c r="L687" s="436">
        <f t="shared" si="125"/>
        <v>0</v>
      </c>
      <c r="M687" s="498">
        <f t="shared" si="127"/>
        <v>44.615384615384613</v>
      </c>
    </row>
    <row r="688" spans="1:13" s="449" customFormat="1" ht="46.2" customHeight="1" outlineLevel="3" x14ac:dyDescent="0.3">
      <c r="A688" s="438" t="s">
        <v>17</v>
      </c>
      <c r="B688" s="439" t="s">
        <v>536</v>
      </c>
      <c r="C688" s="439" t="s">
        <v>117</v>
      </c>
      <c r="D688" s="539" t="s">
        <v>535</v>
      </c>
      <c r="E688" s="539" t="s">
        <v>18</v>
      </c>
      <c r="F688" s="540">
        <v>310400</v>
      </c>
      <c r="G688" s="466">
        <f>[2]потребность!I623+1200000</f>
        <v>1300000</v>
      </c>
      <c r="H688" s="443">
        <v>1220054.8</v>
      </c>
      <c r="I688" s="442">
        <v>100000</v>
      </c>
      <c r="J688" s="466">
        <v>580000</v>
      </c>
      <c r="K688" s="466">
        <v>580000</v>
      </c>
      <c r="L688" s="436">
        <f t="shared" si="125"/>
        <v>0</v>
      </c>
      <c r="M688" s="498">
        <f t="shared" si="127"/>
        <v>44.615384615384613</v>
      </c>
    </row>
    <row r="689" spans="1:13" hidden="1" outlineLevel="3" x14ac:dyDescent="0.3">
      <c r="A689" s="438" t="s">
        <v>19</v>
      </c>
      <c r="B689" s="439" t="s">
        <v>536</v>
      </c>
      <c r="C689" s="439" t="s">
        <v>117</v>
      </c>
      <c r="D689" s="539" t="s">
        <v>535</v>
      </c>
      <c r="E689" s="539" t="s">
        <v>20</v>
      </c>
      <c r="F689" s="540">
        <v>46871</v>
      </c>
      <c r="G689" s="466">
        <f>G690</f>
        <v>0</v>
      </c>
      <c r="H689" s="442">
        <f>H690</f>
        <v>0</v>
      </c>
      <c r="I689" s="442">
        <f>I690</f>
        <v>0</v>
      </c>
      <c r="J689" s="466">
        <v>0</v>
      </c>
      <c r="K689" s="466">
        <v>0</v>
      </c>
      <c r="L689" s="436">
        <f t="shared" si="125"/>
        <v>0</v>
      </c>
      <c r="M689" s="498"/>
    </row>
    <row r="690" spans="1:13" s="449" customFormat="1" hidden="1" outlineLevel="3" x14ac:dyDescent="0.3">
      <c r="A690" s="438" t="s">
        <v>21</v>
      </c>
      <c r="B690" s="439" t="s">
        <v>536</v>
      </c>
      <c r="C690" s="439" t="s">
        <v>117</v>
      </c>
      <c r="D690" s="539" t="s">
        <v>535</v>
      </c>
      <c r="E690" s="539" t="s">
        <v>22</v>
      </c>
      <c r="F690" s="540">
        <v>46871</v>
      </c>
      <c r="G690" s="466">
        <v>0</v>
      </c>
      <c r="H690" s="442">
        <v>0</v>
      </c>
      <c r="I690" s="442">
        <v>0</v>
      </c>
      <c r="J690" s="507">
        <v>0</v>
      </c>
      <c r="K690" s="507">
        <v>0</v>
      </c>
      <c r="L690" s="436">
        <f t="shared" si="125"/>
        <v>0</v>
      </c>
      <c r="M690" s="498"/>
    </row>
    <row r="691" spans="1:13" ht="34" outlineLevel="3" x14ac:dyDescent="0.3">
      <c r="A691" s="438" t="s">
        <v>33</v>
      </c>
      <c r="B691" s="439" t="s">
        <v>536</v>
      </c>
      <c r="C691" s="439" t="s">
        <v>117</v>
      </c>
      <c r="D691" s="539" t="s">
        <v>154</v>
      </c>
      <c r="E691" s="539" t="s">
        <v>6</v>
      </c>
      <c r="F691" s="540">
        <v>13829667.76</v>
      </c>
      <c r="G691" s="465">
        <f>G692+G694+G696</f>
        <v>15354732</v>
      </c>
      <c r="H691" s="440">
        <f>H692+H694+H696</f>
        <v>10604991.219999999</v>
      </c>
      <c r="I691" s="440">
        <f>I692+I694+I696</f>
        <v>14477700</v>
      </c>
      <c r="J691" s="465">
        <f>J692+J694+J696</f>
        <v>15696868</v>
      </c>
      <c r="K691" s="465">
        <f>K692+K694+K696</f>
        <v>15696868</v>
      </c>
      <c r="L691" s="436">
        <f t="shared" si="125"/>
        <v>0</v>
      </c>
      <c r="M691" s="498">
        <f t="shared" si="127"/>
        <v>102.2282121237935</v>
      </c>
    </row>
    <row r="692" spans="1:13" ht="84.9" outlineLevel="3" x14ac:dyDescent="0.3">
      <c r="A692" s="438" t="s">
        <v>11</v>
      </c>
      <c r="B692" s="439" t="s">
        <v>536</v>
      </c>
      <c r="C692" s="439" t="s">
        <v>117</v>
      </c>
      <c r="D692" s="539" t="s">
        <v>154</v>
      </c>
      <c r="E692" s="539" t="s">
        <v>12</v>
      </c>
      <c r="F692" s="540">
        <v>11317918.75</v>
      </c>
      <c r="G692" s="465">
        <f>G693</f>
        <v>12224586</v>
      </c>
      <c r="H692" s="440">
        <f>H693</f>
        <v>8887451.2799999993</v>
      </c>
      <c r="I692" s="440">
        <f>I693</f>
        <v>11638500</v>
      </c>
      <c r="J692" s="465">
        <f>J693</f>
        <v>12652855</v>
      </c>
      <c r="K692" s="465">
        <f>K693</f>
        <v>12652855</v>
      </c>
      <c r="L692" s="436">
        <f t="shared" si="125"/>
        <v>0</v>
      </c>
      <c r="M692" s="498">
        <f t="shared" si="127"/>
        <v>103.50334154465435</v>
      </c>
    </row>
    <row r="693" spans="1:13" outlineLevel="3" x14ac:dyDescent="0.3">
      <c r="A693" s="438" t="s">
        <v>34</v>
      </c>
      <c r="B693" s="439" t="s">
        <v>536</v>
      </c>
      <c r="C693" s="439" t="s">
        <v>117</v>
      </c>
      <c r="D693" s="539" t="s">
        <v>154</v>
      </c>
      <c r="E693" s="539" t="s">
        <v>35</v>
      </c>
      <c r="F693" s="540">
        <v>11317918.75</v>
      </c>
      <c r="G693" s="466">
        <f>11638500-64022+650000+108</f>
        <v>12224586</v>
      </c>
      <c r="H693" s="443">
        <v>8887451.2799999993</v>
      </c>
      <c r="I693" s="442">
        <v>11638500</v>
      </c>
      <c r="J693" s="466">
        <v>12652855</v>
      </c>
      <c r="K693" s="466">
        <v>12652855</v>
      </c>
      <c r="L693" s="436">
        <f t="shared" si="125"/>
        <v>0</v>
      </c>
      <c r="M693" s="498">
        <f t="shared" si="127"/>
        <v>103.50334154465435</v>
      </c>
    </row>
    <row r="694" spans="1:13" ht="34" outlineLevel="3" x14ac:dyDescent="0.3">
      <c r="A694" s="438" t="s">
        <v>15</v>
      </c>
      <c r="B694" s="439" t="s">
        <v>536</v>
      </c>
      <c r="C694" s="439" t="s">
        <v>117</v>
      </c>
      <c r="D694" s="539" t="s">
        <v>154</v>
      </c>
      <c r="E694" s="539" t="s">
        <v>16</v>
      </c>
      <c r="F694" s="540">
        <v>2478211.0099999998</v>
      </c>
      <c r="G694" s="465">
        <f>G695</f>
        <v>3090946</v>
      </c>
      <c r="H694" s="440">
        <f>H695</f>
        <v>1695350.94</v>
      </c>
      <c r="I694" s="440">
        <f>I695</f>
        <v>2800000</v>
      </c>
      <c r="J694" s="465">
        <f>J695</f>
        <v>3005948</v>
      </c>
      <c r="K694" s="465">
        <f>K695</f>
        <v>3005948</v>
      </c>
      <c r="L694" s="436">
        <f t="shared" si="125"/>
        <v>0</v>
      </c>
      <c r="M694" s="498">
        <f t="shared" si="127"/>
        <v>97.250097542952872</v>
      </c>
    </row>
    <row r="695" spans="1:13" ht="34" outlineLevel="3" x14ac:dyDescent="0.3">
      <c r="A695" s="438" t="s">
        <v>17</v>
      </c>
      <c r="B695" s="439" t="s">
        <v>536</v>
      </c>
      <c r="C695" s="439" t="s">
        <v>117</v>
      </c>
      <c r="D695" s="539" t="s">
        <v>154</v>
      </c>
      <c r="E695" s="539" t="s">
        <v>18</v>
      </c>
      <c r="F695" s="540">
        <v>2478211.0099999998</v>
      </c>
      <c r="G695" s="466">
        <f>[2]потребность!I630+7425+240000</f>
        <v>3090946</v>
      </c>
      <c r="H695" s="443">
        <v>1695350.94</v>
      </c>
      <c r="I695" s="442">
        <v>2800000</v>
      </c>
      <c r="J695" s="466">
        <v>3005948</v>
      </c>
      <c r="K695" s="466">
        <v>3005948</v>
      </c>
      <c r="L695" s="436">
        <f t="shared" si="125"/>
        <v>0</v>
      </c>
      <c r="M695" s="498">
        <f t="shared" si="127"/>
        <v>97.250097542952872</v>
      </c>
    </row>
    <row r="696" spans="1:13" s="449" customFormat="1" outlineLevel="3" x14ac:dyDescent="0.3">
      <c r="A696" s="438" t="s">
        <v>19</v>
      </c>
      <c r="B696" s="439" t="s">
        <v>536</v>
      </c>
      <c r="C696" s="439" t="s">
        <v>117</v>
      </c>
      <c r="D696" s="539" t="s">
        <v>154</v>
      </c>
      <c r="E696" s="539" t="s">
        <v>20</v>
      </c>
      <c r="F696" s="540">
        <v>33538</v>
      </c>
      <c r="G696" s="465">
        <f>G697</f>
        <v>39200</v>
      </c>
      <c r="H696" s="440">
        <f>H697</f>
        <v>22189</v>
      </c>
      <c r="I696" s="440">
        <f>I697</f>
        <v>39200</v>
      </c>
      <c r="J696" s="465">
        <f>J697</f>
        <v>38065</v>
      </c>
      <c r="K696" s="465">
        <f>K697</f>
        <v>38065</v>
      </c>
      <c r="L696" s="436">
        <f t="shared" si="125"/>
        <v>0</v>
      </c>
      <c r="M696" s="498">
        <f t="shared" si="127"/>
        <v>97.104591836734699</v>
      </c>
    </row>
    <row r="697" spans="1:13" outlineLevel="3" x14ac:dyDescent="0.3">
      <c r="A697" s="438" t="s">
        <v>21</v>
      </c>
      <c r="B697" s="439" t="s">
        <v>536</v>
      </c>
      <c r="C697" s="439" t="s">
        <v>117</v>
      </c>
      <c r="D697" s="539" t="s">
        <v>154</v>
      </c>
      <c r="E697" s="539" t="s">
        <v>22</v>
      </c>
      <c r="F697" s="540">
        <v>33538</v>
      </c>
      <c r="G697" s="466">
        <v>39200</v>
      </c>
      <c r="H697" s="443">
        <v>22189</v>
      </c>
      <c r="I697" s="442">
        <v>39200</v>
      </c>
      <c r="J697" s="466">
        <v>38065</v>
      </c>
      <c r="K697" s="466">
        <v>38065</v>
      </c>
      <c r="L697" s="436">
        <f t="shared" si="125"/>
        <v>0</v>
      </c>
      <c r="M697" s="498">
        <f t="shared" si="127"/>
        <v>97.104591836734699</v>
      </c>
    </row>
    <row r="698" spans="1:13" ht="23.3" customHeight="1" outlineLevel="3" x14ac:dyDescent="0.3">
      <c r="A698" s="397" t="s">
        <v>36</v>
      </c>
      <c r="B698" s="439" t="s">
        <v>536</v>
      </c>
      <c r="C698" s="439" t="s">
        <v>117</v>
      </c>
      <c r="D698" s="539" t="s">
        <v>155</v>
      </c>
      <c r="E698" s="539" t="s">
        <v>6</v>
      </c>
      <c r="F698" s="540">
        <v>2073691.36</v>
      </c>
      <c r="G698" s="465">
        <f t="shared" ref="G698:K699" si="133">G699</f>
        <v>2157261</v>
      </c>
      <c r="H698" s="440">
        <f t="shared" si="133"/>
        <v>1624342.39</v>
      </c>
      <c r="I698" s="440">
        <f t="shared" si="133"/>
        <v>2081533</v>
      </c>
      <c r="J698" s="466">
        <f t="shared" si="133"/>
        <v>2266235</v>
      </c>
      <c r="K698" s="466">
        <f t="shared" si="133"/>
        <v>2266235</v>
      </c>
      <c r="L698" s="436">
        <f t="shared" si="125"/>
        <v>0</v>
      </c>
      <c r="M698" s="498">
        <f t="shared" si="127"/>
        <v>105.05149817291463</v>
      </c>
    </row>
    <row r="699" spans="1:13" ht="45.7" customHeight="1" outlineLevel="3" x14ac:dyDescent="0.3">
      <c r="A699" s="438" t="s">
        <v>37</v>
      </c>
      <c r="B699" s="439" t="s">
        <v>536</v>
      </c>
      <c r="C699" s="439" t="s">
        <v>117</v>
      </c>
      <c r="D699" s="539" t="s">
        <v>155</v>
      </c>
      <c r="E699" s="539" t="s">
        <v>38</v>
      </c>
      <c r="F699" s="540">
        <v>2073691.36</v>
      </c>
      <c r="G699" s="465">
        <f t="shared" si="133"/>
        <v>2157261</v>
      </c>
      <c r="H699" s="440">
        <f t="shared" si="133"/>
        <v>1624342.39</v>
      </c>
      <c r="I699" s="440">
        <f t="shared" si="133"/>
        <v>2081533</v>
      </c>
      <c r="J699" s="466">
        <f t="shared" si="133"/>
        <v>2266235</v>
      </c>
      <c r="K699" s="466">
        <f t="shared" si="133"/>
        <v>2266235</v>
      </c>
      <c r="L699" s="436">
        <f t="shared" si="125"/>
        <v>0</v>
      </c>
      <c r="M699" s="498">
        <f t="shared" si="127"/>
        <v>105.05149817291463</v>
      </c>
    </row>
    <row r="700" spans="1:13" ht="22.75" customHeight="1" outlineLevel="3" x14ac:dyDescent="0.3">
      <c r="A700" s="438" t="s">
        <v>39</v>
      </c>
      <c r="B700" s="439" t="s">
        <v>536</v>
      </c>
      <c r="C700" s="439" t="s">
        <v>117</v>
      </c>
      <c r="D700" s="539" t="s">
        <v>155</v>
      </c>
      <c r="E700" s="539" t="s">
        <v>40</v>
      </c>
      <c r="F700" s="540">
        <v>2073691.36</v>
      </c>
      <c r="G700" s="466">
        <f>2081533+64022+11706</f>
        <v>2157261</v>
      </c>
      <c r="H700" s="443">
        <v>1624342.39</v>
      </c>
      <c r="I700" s="442">
        <v>2081533</v>
      </c>
      <c r="J700" s="466">
        <v>2266235</v>
      </c>
      <c r="K700" s="466">
        <v>2266235</v>
      </c>
      <c r="L700" s="436">
        <f t="shared" si="125"/>
        <v>0</v>
      </c>
      <c r="M700" s="498">
        <f t="shared" si="127"/>
        <v>105.05149817291463</v>
      </c>
    </row>
    <row r="701" spans="1:13" ht="23.3" customHeight="1" outlineLevel="3" x14ac:dyDescent="0.3">
      <c r="A701" s="444" t="s">
        <v>85</v>
      </c>
      <c r="B701" s="445" t="s">
        <v>536</v>
      </c>
      <c r="C701" s="445" t="s">
        <v>86</v>
      </c>
      <c r="D701" s="541" t="s">
        <v>126</v>
      </c>
      <c r="E701" s="541" t="s">
        <v>6</v>
      </c>
      <c r="F701" s="540">
        <v>4717600.49</v>
      </c>
      <c r="G701" s="508">
        <f>G702+G708</f>
        <v>4489069</v>
      </c>
      <c r="H701" s="446">
        <f>H702+H708</f>
        <v>2535444.17</v>
      </c>
      <c r="I701" s="446">
        <f>I702+I708</f>
        <v>4489069</v>
      </c>
      <c r="J701" s="508">
        <f>J702+J708</f>
        <v>5476354</v>
      </c>
      <c r="K701" s="508">
        <f>K702+K708</f>
        <v>5476354</v>
      </c>
      <c r="L701" s="436">
        <f t="shared" si="125"/>
        <v>0</v>
      </c>
      <c r="M701" s="498">
        <f t="shared" si="127"/>
        <v>121.99309032674704</v>
      </c>
    </row>
    <row r="702" spans="1:13" outlineLevel="3" x14ac:dyDescent="0.3">
      <c r="A702" s="438" t="s">
        <v>94</v>
      </c>
      <c r="B702" s="439" t="s">
        <v>536</v>
      </c>
      <c r="C702" s="439" t="s">
        <v>95</v>
      </c>
      <c r="D702" s="539" t="s">
        <v>126</v>
      </c>
      <c r="E702" s="539" t="s">
        <v>6</v>
      </c>
      <c r="F702" s="540">
        <v>1640454.55</v>
      </c>
      <c r="G702" s="465">
        <f t="shared" ref="G702:K706" si="134">G703</f>
        <v>1310000</v>
      </c>
      <c r="H702" s="440">
        <f t="shared" si="134"/>
        <v>566956.52</v>
      </c>
      <c r="I702" s="440">
        <f t="shared" si="134"/>
        <v>1310000</v>
      </c>
      <c r="J702" s="465">
        <f t="shared" si="134"/>
        <v>1685000</v>
      </c>
      <c r="K702" s="465">
        <f t="shared" si="134"/>
        <v>1685000</v>
      </c>
      <c r="L702" s="436">
        <f t="shared" si="125"/>
        <v>0</v>
      </c>
      <c r="M702" s="498">
        <f t="shared" si="127"/>
        <v>128.62595419847329</v>
      </c>
    </row>
    <row r="703" spans="1:13" ht="34" outlineLevel="3" x14ac:dyDescent="0.3">
      <c r="A703" s="444" t="s">
        <v>825</v>
      </c>
      <c r="B703" s="445" t="s">
        <v>536</v>
      </c>
      <c r="C703" s="445" t="s">
        <v>95</v>
      </c>
      <c r="D703" s="541" t="s">
        <v>138</v>
      </c>
      <c r="E703" s="541" t="s">
        <v>6</v>
      </c>
      <c r="F703" s="542">
        <v>1640454.55</v>
      </c>
      <c r="G703" s="508">
        <f t="shared" si="134"/>
        <v>1310000</v>
      </c>
      <c r="H703" s="446">
        <f t="shared" si="134"/>
        <v>566956.52</v>
      </c>
      <c r="I703" s="446">
        <f t="shared" si="134"/>
        <v>1310000</v>
      </c>
      <c r="J703" s="508">
        <f t="shared" si="134"/>
        <v>1685000</v>
      </c>
      <c r="K703" s="508">
        <f t="shared" si="134"/>
        <v>1685000</v>
      </c>
      <c r="L703" s="436">
        <f t="shared" si="125"/>
        <v>0</v>
      </c>
      <c r="M703" s="498">
        <f t="shared" si="127"/>
        <v>128.62595419847329</v>
      </c>
    </row>
    <row r="704" spans="1:13" outlineLevel="3" x14ac:dyDescent="0.3">
      <c r="A704" s="450" t="s">
        <v>738</v>
      </c>
      <c r="B704" s="439" t="s">
        <v>536</v>
      </c>
      <c r="C704" s="439" t="s">
        <v>95</v>
      </c>
      <c r="D704" s="539" t="s">
        <v>736</v>
      </c>
      <c r="E704" s="539" t="s">
        <v>6</v>
      </c>
      <c r="F704" s="540">
        <v>1640454.55</v>
      </c>
      <c r="G704" s="465">
        <f t="shared" si="134"/>
        <v>1310000</v>
      </c>
      <c r="H704" s="440">
        <f t="shared" si="134"/>
        <v>566956.52</v>
      </c>
      <c r="I704" s="440">
        <f t="shared" si="134"/>
        <v>1310000</v>
      </c>
      <c r="J704" s="465">
        <f t="shared" si="134"/>
        <v>1685000</v>
      </c>
      <c r="K704" s="465">
        <f t="shared" si="134"/>
        <v>1685000</v>
      </c>
      <c r="L704" s="436">
        <f t="shared" si="125"/>
        <v>0</v>
      </c>
      <c r="M704" s="498">
        <f t="shared" si="127"/>
        <v>128.62595419847329</v>
      </c>
    </row>
    <row r="705" spans="1:13" ht="101.9" outlineLevel="3" x14ac:dyDescent="0.3">
      <c r="A705" s="393" t="s">
        <v>405</v>
      </c>
      <c r="B705" s="439" t="s">
        <v>536</v>
      </c>
      <c r="C705" s="439" t="s">
        <v>95</v>
      </c>
      <c r="D705" s="539" t="s">
        <v>737</v>
      </c>
      <c r="E705" s="539" t="s">
        <v>6</v>
      </c>
      <c r="F705" s="540">
        <v>1640454.55</v>
      </c>
      <c r="G705" s="465">
        <f t="shared" si="134"/>
        <v>1310000</v>
      </c>
      <c r="H705" s="440">
        <f t="shared" si="134"/>
        <v>566956.52</v>
      </c>
      <c r="I705" s="440">
        <f t="shared" si="134"/>
        <v>1310000</v>
      </c>
      <c r="J705" s="513">
        <f t="shared" si="134"/>
        <v>1685000</v>
      </c>
      <c r="K705" s="513">
        <f t="shared" si="134"/>
        <v>1685000</v>
      </c>
      <c r="L705" s="436">
        <f t="shared" si="125"/>
        <v>0</v>
      </c>
      <c r="M705" s="498">
        <f t="shared" si="127"/>
        <v>128.62595419847329</v>
      </c>
    </row>
    <row r="706" spans="1:13" ht="23.3" customHeight="1" outlineLevel="3" x14ac:dyDescent="0.3">
      <c r="A706" s="438" t="s">
        <v>90</v>
      </c>
      <c r="B706" s="439" t="s">
        <v>536</v>
      </c>
      <c r="C706" s="439" t="s">
        <v>95</v>
      </c>
      <c r="D706" s="539" t="s">
        <v>737</v>
      </c>
      <c r="E706" s="539" t="s">
        <v>91</v>
      </c>
      <c r="F706" s="540">
        <v>1640454.55</v>
      </c>
      <c r="G706" s="465">
        <f t="shared" si="134"/>
        <v>1310000</v>
      </c>
      <c r="H706" s="440">
        <f t="shared" si="134"/>
        <v>566956.52</v>
      </c>
      <c r="I706" s="440">
        <f t="shared" si="134"/>
        <v>1310000</v>
      </c>
      <c r="J706" s="465">
        <f t="shared" si="134"/>
        <v>1685000</v>
      </c>
      <c r="K706" s="465">
        <f t="shared" si="134"/>
        <v>1685000</v>
      </c>
      <c r="L706" s="436">
        <f t="shared" si="125"/>
        <v>0</v>
      </c>
      <c r="M706" s="498">
        <f t="shared" si="127"/>
        <v>128.62595419847329</v>
      </c>
    </row>
    <row r="707" spans="1:13" ht="34" outlineLevel="3" x14ac:dyDescent="0.3">
      <c r="A707" s="438" t="s">
        <v>97</v>
      </c>
      <c r="B707" s="439" t="s">
        <v>536</v>
      </c>
      <c r="C707" s="439" t="s">
        <v>95</v>
      </c>
      <c r="D707" s="539" t="s">
        <v>737</v>
      </c>
      <c r="E707" s="539" t="s">
        <v>98</v>
      </c>
      <c r="F707" s="540">
        <v>1640454.55</v>
      </c>
      <c r="G707" s="466">
        <v>1310000</v>
      </c>
      <c r="H707" s="443">
        <v>566956.52</v>
      </c>
      <c r="I707" s="442">
        <v>1310000</v>
      </c>
      <c r="J707" s="510">
        <v>1685000</v>
      </c>
      <c r="K707" s="510">
        <v>1685000</v>
      </c>
      <c r="L707" s="436">
        <f t="shared" si="125"/>
        <v>0</v>
      </c>
      <c r="M707" s="498">
        <f t="shared" si="127"/>
        <v>128.62595419847329</v>
      </c>
    </row>
    <row r="708" spans="1:13" outlineLevel="3" x14ac:dyDescent="0.3">
      <c r="A708" s="438" t="s">
        <v>123</v>
      </c>
      <c r="B708" s="439" t="s">
        <v>536</v>
      </c>
      <c r="C708" s="439" t="s">
        <v>124</v>
      </c>
      <c r="D708" s="539" t="s">
        <v>126</v>
      </c>
      <c r="E708" s="539" t="s">
        <v>6</v>
      </c>
      <c r="F708" s="540">
        <v>3077145.94</v>
      </c>
      <c r="G708" s="465">
        <f t="shared" ref="G708:K711" si="135">G709</f>
        <v>3179069</v>
      </c>
      <c r="H708" s="440">
        <f t="shared" si="135"/>
        <v>1968487.6500000001</v>
      </c>
      <c r="I708" s="440">
        <f t="shared" si="135"/>
        <v>3179069</v>
      </c>
      <c r="J708" s="465">
        <f t="shared" si="135"/>
        <v>3791354</v>
      </c>
      <c r="K708" s="465">
        <f t="shared" si="135"/>
        <v>3791354</v>
      </c>
      <c r="L708" s="436">
        <f t="shared" si="125"/>
        <v>0</v>
      </c>
      <c r="M708" s="498">
        <f t="shared" si="127"/>
        <v>119.2598839471556</v>
      </c>
    </row>
    <row r="709" spans="1:13" ht="39.75" customHeight="1" outlineLevel="3" x14ac:dyDescent="0.3">
      <c r="A709" s="444" t="s">
        <v>827</v>
      </c>
      <c r="B709" s="445" t="s">
        <v>536</v>
      </c>
      <c r="C709" s="445" t="s">
        <v>124</v>
      </c>
      <c r="D709" s="541" t="s">
        <v>138</v>
      </c>
      <c r="E709" s="541" t="s">
        <v>6</v>
      </c>
      <c r="F709" s="542">
        <v>3077145.94</v>
      </c>
      <c r="G709" s="508">
        <f t="shared" si="135"/>
        <v>3179069</v>
      </c>
      <c r="H709" s="446">
        <f t="shared" si="135"/>
        <v>1968487.6500000001</v>
      </c>
      <c r="I709" s="446">
        <f t="shared" si="135"/>
        <v>3179069</v>
      </c>
      <c r="J709" s="508">
        <f t="shared" si="135"/>
        <v>3791354</v>
      </c>
      <c r="K709" s="508">
        <f t="shared" si="135"/>
        <v>3791354</v>
      </c>
      <c r="L709" s="436">
        <f t="shared" si="125"/>
        <v>0</v>
      </c>
      <c r="M709" s="498">
        <f t="shared" si="127"/>
        <v>119.2598839471556</v>
      </c>
    </row>
    <row r="710" spans="1:13" ht="34" outlineLevel="3" x14ac:dyDescent="0.3">
      <c r="A710" s="438" t="s">
        <v>396</v>
      </c>
      <c r="B710" s="439" t="s">
        <v>536</v>
      </c>
      <c r="C710" s="439" t="s">
        <v>124</v>
      </c>
      <c r="D710" s="539" t="s">
        <v>139</v>
      </c>
      <c r="E710" s="539" t="s">
        <v>6</v>
      </c>
      <c r="F710" s="540">
        <v>3077145.94</v>
      </c>
      <c r="G710" s="465">
        <f t="shared" si="135"/>
        <v>3179069</v>
      </c>
      <c r="H710" s="440">
        <f t="shared" si="135"/>
        <v>1968487.6500000001</v>
      </c>
      <c r="I710" s="440">
        <f t="shared" si="135"/>
        <v>3179069</v>
      </c>
      <c r="J710" s="465">
        <f t="shared" si="135"/>
        <v>3791354</v>
      </c>
      <c r="K710" s="465">
        <f t="shared" si="135"/>
        <v>3791354</v>
      </c>
      <c r="L710" s="436">
        <f t="shared" si="125"/>
        <v>0</v>
      </c>
      <c r="M710" s="498">
        <f t="shared" si="127"/>
        <v>119.2598839471556</v>
      </c>
    </row>
    <row r="711" spans="1:13" ht="24.8" customHeight="1" outlineLevel="3" x14ac:dyDescent="0.3">
      <c r="A711" s="450" t="s">
        <v>204</v>
      </c>
      <c r="B711" s="439" t="s">
        <v>536</v>
      </c>
      <c r="C711" s="439" t="s">
        <v>124</v>
      </c>
      <c r="D711" s="539" t="s">
        <v>234</v>
      </c>
      <c r="E711" s="539" t="s">
        <v>6</v>
      </c>
      <c r="F711" s="540">
        <v>3077145.94</v>
      </c>
      <c r="G711" s="465">
        <f t="shared" si="135"/>
        <v>3179069</v>
      </c>
      <c r="H711" s="440">
        <f t="shared" si="135"/>
        <v>1968487.6500000001</v>
      </c>
      <c r="I711" s="440">
        <f t="shared" si="135"/>
        <v>3179069</v>
      </c>
      <c r="J711" s="465">
        <f t="shared" si="135"/>
        <v>3791354</v>
      </c>
      <c r="K711" s="465">
        <f t="shared" si="135"/>
        <v>3791354</v>
      </c>
      <c r="L711" s="436">
        <f t="shared" si="125"/>
        <v>0</v>
      </c>
      <c r="M711" s="498">
        <f t="shared" si="127"/>
        <v>119.2598839471556</v>
      </c>
    </row>
    <row r="712" spans="1:13" s="437" customFormat="1" ht="137.25" customHeight="1" x14ac:dyDescent="0.3">
      <c r="A712" s="393" t="s">
        <v>657</v>
      </c>
      <c r="B712" s="439" t="s">
        <v>536</v>
      </c>
      <c r="C712" s="439" t="s">
        <v>124</v>
      </c>
      <c r="D712" s="539" t="s">
        <v>156</v>
      </c>
      <c r="E712" s="539" t="s">
        <v>6</v>
      </c>
      <c r="F712" s="540">
        <v>3077145.94</v>
      </c>
      <c r="G712" s="465">
        <f>G715+G713</f>
        <v>3179069</v>
      </c>
      <c r="H712" s="440">
        <f>H715+H713</f>
        <v>1968487.6500000001</v>
      </c>
      <c r="I712" s="440">
        <f>I715+I713</f>
        <v>3179069</v>
      </c>
      <c r="J712" s="513">
        <f>J715+J713</f>
        <v>3791354</v>
      </c>
      <c r="K712" s="513">
        <f>K715+K713</f>
        <v>3791354</v>
      </c>
      <c r="L712" s="436">
        <f t="shared" ref="L712:L761" si="136">K712-J712</f>
        <v>0</v>
      </c>
      <c r="M712" s="498">
        <f t="shared" ref="M712:M748" si="137">J712/G712%</f>
        <v>119.2598839471556</v>
      </c>
    </row>
    <row r="713" spans="1:13" s="437" customFormat="1" ht="34" x14ac:dyDescent="0.3">
      <c r="A713" s="438" t="s">
        <v>15</v>
      </c>
      <c r="B713" s="439" t="s">
        <v>536</v>
      </c>
      <c r="C713" s="439" t="s">
        <v>124</v>
      </c>
      <c r="D713" s="539" t="s">
        <v>156</v>
      </c>
      <c r="E713" s="539" t="s">
        <v>16</v>
      </c>
      <c r="F713" s="540">
        <v>19534.14</v>
      </c>
      <c r="G713" s="465">
        <f>G714</f>
        <v>27000</v>
      </c>
      <c r="H713" s="440">
        <f>H714</f>
        <v>12323.04</v>
      </c>
      <c r="I713" s="440">
        <v>0</v>
      </c>
      <c r="J713" s="465">
        <f>J714</f>
        <v>0</v>
      </c>
      <c r="K713" s="465">
        <f>K714</f>
        <v>0</v>
      </c>
      <c r="L713" s="436">
        <f t="shared" si="136"/>
        <v>0</v>
      </c>
      <c r="M713" s="498">
        <f t="shared" si="137"/>
        <v>0</v>
      </c>
    </row>
    <row r="714" spans="1:13" s="437" customFormat="1" ht="34" x14ac:dyDescent="0.3">
      <c r="A714" s="438" t="s">
        <v>17</v>
      </c>
      <c r="B714" s="439" t="s">
        <v>536</v>
      </c>
      <c r="C714" s="439" t="s">
        <v>124</v>
      </c>
      <c r="D714" s="539" t="s">
        <v>156</v>
      </c>
      <c r="E714" s="539" t="s">
        <v>18</v>
      </c>
      <c r="F714" s="540">
        <v>19534.14</v>
      </c>
      <c r="G714" s="465">
        <f>22000+5000</f>
        <v>27000</v>
      </c>
      <c r="H714" s="441">
        <v>12323.04</v>
      </c>
      <c r="I714" s="440">
        <v>0</v>
      </c>
      <c r="J714" s="517">
        <v>0</v>
      </c>
      <c r="K714" s="517">
        <v>0</v>
      </c>
      <c r="L714" s="436">
        <f t="shared" si="136"/>
        <v>0</v>
      </c>
      <c r="M714" s="498">
        <f t="shared" si="137"/>
        <v>0</v>
      </c>
    </row>
    <row r="715" spans="1:13" s="437" customFormat="1" x14ac:dyDescent="0.3">
      <c r="A715" s="438" t="s">
        <v>90</v>
      </c>
      <c r="B715" s="439" t="s">
        <v>536</v>
      </c>
      <c r="C715" s="439" t="s">
        <v>124</v>
      </c>
      <c r="D715" s="539" t="s">
        <v>156</v>
      </c>
      <c r="E715" s="539" t="s">
        <v>91</v>
      </c>
      <c r="F715" s="540">
        <v>3057611.8</v>
      </c>
      <c r="G715" s="465">
        <f>G716</f>
        <v>3152069</v>
      </c>
      <c r="H715" s="440">
        <f>H716</f>
        <v>1956164.61</v>
      </c>
      <c r="I715" s="440">
        <f>I716</f>
        <v>3179069</v>
      </c>
      <c r="J715" s="465">
        <f>J716</f>
        <v>3791354</v>
      </c>
      <c r="K715" s="465">
        <f>K716</f>
        <v>3791354</v>
      </c>
      <c r="L715" s="436">
        <f t="shared" si="136"/>
        <v>0</v>
      </c>
      <c r="M715" s="498">
        <f t="shared" si="137"/>
        <v>120.28144053953135</v>
      </c>
    </row>
    <row r="716" spans="1:13" s="437" customFormat="1" ht="39.25" customHeight="1" x14ac:dyDescent="0.3">
      <c r="A716" s="438" t="s">
        <v>97</v>
      </c>
      <c r="B716" s="439" t="s">
        <v>536</v>
      </c>
      <c r="C716" s="439" t="s">
        <v>124</v>
      </c>
      <c r="D716" s="539" t="s">
        <v>156</v>
      </c>
      <c r="E716" s="539" t="s">
        <v>98</v>
      </c>
      <c r="F716" s="540">
        <v>3057611.8</v>
      </c>
      <c r="G716" s="466">
        <f>3179069-22000-5000</f>
        <v>3152069</v>
      </c>
      <c r="H716" s="443">
        <v>1956164.61</v>
      </c>
      <c r="I716" s="442">
        <v>3179069</v>
      </c>
      <c r="J716" s="510">
        <v>3791354</v>
      </c>
      <c r="K716" s="510">
        <v>3791354</v>
      </c>
      <c r="L716" s="436">
        <f t="shared" si="136"/>
        <v>0</v>
      </c>
      <c r="M716" s="498">
        <f t="shared" si="137"/>
        <v>120.28144053953135</v>
      </c>
    </row>
    <row r="717" spans="1:13" s="437" customFormat="1" x14ac:dyDescent="0.3">
      <c r="A717" s="444" t="s">
        <v>100</v>
      </c>
      <c r="B717" s="439" t="s">
        <v>536</v>
      </c>
      <c r="C717" s="439" t="s">
        <v>101</v>
      </c>
      <c r="D717" s="541" t="s">
        <v>126</v>
      </c>
      <c r="E717" s="539" t="s">
        <v>6</v>
      </c>
      <c r="F717" s="540">
        <v>3619351.16</v>
      </c>
      <c r="G717" s="466">
        <f t="shared" ref="G717:K725" si="138">G718</f>
        <v>2084474.79</v>
      </c>
      <c r="H717" s="442">
        <f t="shared" si="138"/>
        <v>1444149.23</v>
      </c>
      <c r="I717" s="442">
        <f t="shared" si="138"/>
        <v>358800</v>
      </c>
      <c r="J717" s="466">
        <f t="shared" si="138"/>
        <v>358800</v>
      </c>
      <c r="K717" s="466">
        <f t="shared" si="138"/>
        <v>358800</v>
      </c>
      <c r="L717" s="436">
        <f t="shared" si="136"/>
        <v>0</v>
      </c>
      <c r="M717" s="498">
        <f t="shared" si="137"/>
        <v>17.212969028039911</v>
      </c>
    </row>
    <row r="718" spans="1:13" x14ac:dyDescent="0.3">
      <c r="A718" s="438" t="s">
        <v>301</v>
      </c>
      <c r="B718" s="439" t="s">
        <v>536</v>
      </c>
      <c r="C718" s="439" t="s">
        <v>300</v>
      </c>
      <c r="D718" s="541" t="s">
        <v>126</v>
      </c>
      <c r="E718" s="539" t="s">
        <v>6</v>
      </c>
      <c r="F718" s="540">
        <v>3619351.16</v>
      </c>
      <c r="G718" s="466">
        <f t="shared" si="138"/>
        <v>2084474.79</v>
      </c>
      <c r="H718" s="442">
        <f t="shared" si="138"/>
        <v>1444149.23</v>
      </c>
      <c r="I718" s="442">
        <f t="shared" si="138"/>
        <v>358800</v>
      </c>
      <c r="J718" s="466">
        <f t="shared" si="138"/>
        <v>358800</v>
      </c>
      <c r="K718" s="466">
        <f t="shared" si="138"/>
        <v>358800</v>
      </c>
      <c r="L718" s="436">
        <f t="shared" si="136"/>
        <v>0</v>
      </c>
      <c r="M718" s="498">
        <f t="shared" si="137"/>
        <v>17.212969028039911</v>
      </c>
    </row>
    <row r="719" spans="1:13" ht="44.5" customHeight="1" x14ac:dyDescent="0.3">
      <c r="A719" s="444" t="s">
        <v>377</v>
      </c>
      <c r="B719" s="439" t="s">
        <v>536</v>
      </c>
      <c r="C719" s="439" t="s">
        <v>300</v>
      </c>
      <c r="D719" s="541" t="s">
        <v>200</v>
      </c>
      <c r="E719" s="539" t="s">
        <v>6</v>
      </c>
      <c r="F719" s="542">
        <v>3619351.16</v>
      </c>
      <c r="G719" s="466">
        <f t="shared" si="138"/>
        <v>2084474.79</v>
      </c>
      <c r="H719" s="442">
        <f t="shared" si="138"/>
        <v>1444149.23</v>
      </c>
      <c r="I719" s="442">
        <f t="shared" si="138"/>
        <v>358800</v>
      </c>
      <c r="J719" s="466">
        <f t="shared" si="138"/>
        <v>358800</v>
      </c>
      <c r="K719" s="466">
        <f t="shared" si="138"/>
        <v>358800</v>
      </c>
      <c r="L719" s="436">
        <f t="shared" si="136"/>
        <v>0</v>
      </c>
      <c r="M719" s="498">
        <f t="shared" si="137"/>
        <v>17.212969028039911</v>
      </c>
    </row>
    <row r="720" spans="1:13" ht="50.95" x14ac:dyDescent="0.3">
      <c r="A720" s="438" t="s">
        <v>213</v>
      </c>
      <c r="B720" s="439" t="s">
        <v>536</v>
      </c>
      <c r="C720" s="439" t="s">
        <v>300</v>
      </c>
      <c r="D720" s="539" t="s">
        <v>674</v>
      </c>
      <c r="E720" s="539" t="s">
        <v>6</v>
      </c>
      <c r="F720" s="540">
        <v>3619351.16</v>
      </c>
      <c r="G720" s="466">
        <f>G721+G734</f>
        <v>2084474.79</v>
      </c>
      <c r="H720" s="442">
        <f>H721+H734</f>
        <v>1444149.23</v>
      </c>
      <c r="I720" s="442">
        <f>I724</f>
        <v>358800</v>
      </c>
      <c r="J720" s="466">
        <f>J724</f>
        <v>358800</v>
      </c>
      <c r="K720" s="466">
        <f>K724</f>
        <v>358800</v>
      </c>
      <c r="L720" s="436">
        <f t="shared" si="136"/>
        <v>0</v>
      </c>
      <c r="M720" s="498">
        <f t="shared" si="137"/>
        <v>17.212969028039911</v>
      </c>
    </row>
    <row r="721" spans="1:13" ht="45.7" customHeight="1" x14ac:dyDescent="0.3">
      <c r="A721" s="438" t="s">
        <v>925</v>
      </c>
      <c r="B721" s="439" t="s">
        <v>536</v>
      </c>
      <c r="C721" s="439" t="s">
        <v>300</v>
      </c>
      <c r="D721" s="539" t="s">
        <v>926</v>
      </c>
      <c r="E721" s="539" t="s">
        <v>6</v>
      </c>
      <c r="F721" s="539"/>
      <c r="G721" s="466">
        <f>G722</f>
        <v>1677418.74</v>
      </c>
      <c r="H721" s="442">
        <f>H722</f>
        <v>1128718.53</v>
      </c>
      <c r="I721" s="442">
        <v>0</v>
      </c>
      <c r="J721" s="466">
        <v>0</v>
      </c>
      <c r="K721" s="466">
        <v>0</v>
      </c>
      <c r="L721" s="436">
        <f t="shared" si="136"/>
        <v>0</v>
      </c>
      <c r="M721" s="498">
        <f t="shared" si="137"/>
        <v>0</v>
      </c>
    </row>
    <row r="722" spans="1:13" ht="34" x14ac:dyDescent="0.3">
      <c r="A722" s="438" t="s">
        <v>37</v>
      </c>
      <c r="B722" s="439" t="s">
        <v>536</v>
      </c>
      <c r="C722" s="439" t="s">
        <v>300</v>
      </c>
      <c r="D722" s="539" t="s">
        <v>926</v>
      </c>
      <c r="E722" s="539" t="s">
        <v>38</v>
      </c>
      <c r="F722" s="539"/>
      <c r="G722" s="466">
        <f>G723</f>
        <v>1677418.74</v>
      </c>
      <c r="H722" s="442">
        <f>H723</f>
        <v>1128718.53</v>
      </c>
      <c r="I722" s="442">
        <v>0</v>
      </c>
      <c r="J722" s="466">
        <v>0</v>
      </c>
      <c r="K722" s="466">
        <v>0</v>
      </c>
      <c r="L722" s="436">
        <f t="shared" si="136"/>
        <v>0</v>
      </c>
      <c r="M722" s="498">
        <f t="shared" si="137"/>
        <v>0</v>
      </c>
    </row>
    <row r="723" spans="1:13" ht="19.55" customHeight="1" x14ac:dyDescent="0.3">
      <c r="A723" s="438" t="s">
        <v>74</v>
      </c>
      <c r="B723" s="439" t="s">
        <v>536</v>
      </c>
      <c r="C723" s="439" t="s">
        <v>300</v>
      </c>
      <c r="D723" s="539" t="s">
        <v>926</v>
      </c>
      <c r="E723" s="539" t="s">
        <v>75</v>
      </c>
      <c r="F723" s="539"/>
      <c r="G723" s="466">
        <v>1677418.74</v>
      </c>
      <c r="H723" s="443">
        <v>1128718.53</v>
      </c>
      <c r="I723" s="442">
        <v>0</v>
      </c>
      <c r="J723" s="466">
        <v>0</v>
      </c>
      <c r="K723" s="466">
        <v>0</v>
      </c>
      <c r="L723" s="436">
        <f t="shared" si="136"/>
        <v>0</v>
      </c>
      <c r="M723" s="498">
        <f t="shared" si="137"/>
        <v>0</v>
      </c>
    </row>
    <row r="724" spans="1:13" x14ac:dyDescent="0.3">
      <c r="A724" s="438" t="s">
        <v>378</v>
      </c>
      <c r="B724" s="439" t="s">
        <v>536</v>
      </c>
      <c r="C724" s="439" t="s">
        <v>300</v>
      </c>
      <c r="D724" s="539" t="s">
        <v>303</v>
      </c>
      <c r="E724" s="539" t="s">
        <v>6</v>
      </c>
      <c r="F724" s="539"/>
      <c r="G724" s="466">
        <f>G725+G728+G731</f>
        <v>0</v>
      </c>
      <c r="H724" s="442">
        <f>H725+H728+H731</f>
        <v>0</v>
      </c>
      <c r="I724" s="442">
        <f t="shared" ref="I724:K726" si="139">I725</f>
        <v>358800</v>
      </c>
      <c r="J724" s="466">
        <f t="shared" si="139"/>
        <v>358800</v>
      </c>
      <c r="K724" s="466">
        <f t="shared" si="139"/>
        <v>358800</v>
      </c>
      <c r="L724" s="436">
        <f t="shared" si="136"/>
        <v>0</v>
      </c>
      <c r="M724" s="498"/>
    </row>
    <row r="725" spans="1:13" ht="34" x14ac:dyDescent="0.3">
      <c r="A725" s="438" t="s">
        <v>281</v>
      </c>
      <c r="B725" s="439" t="s">
        <v>536</v>
      </c>
      <c r="C725" s="439" t="s">
        <v>300</v>
      </c>
      <c r="D725" s="539" t="s">
        <v>302</v>
      </c>
      <c r="E725" s="539" t="s">
        <v>6</v>
      </c>
      <c r="F725" s="539"/>
      <c r="G725" s="466">
        <f t="shared" si="138"/>
        <v>0</v>
      </c>
      <c r="H725" s="442">
        <f t="shared" si="138"/>
        <v>0</v>
      </c>
      <c r="I725" s="442">
        <f t="shared" si="139"/>
        <v>358800</v>
      </c>
      <c r="J725" s="466">
        <f t="shared" si="139"/>
        <v>358800</v>
      </c>
      <c r="K725" s="466">
        <f t="shared" si="139"/>
        <v>358800</v>
      </c>
      <c r="L725" s="436">
        <f t="shared" si="136"/>
        <v>0</v>
      </c>
      <c r="M725" s="498"/>
    </row>
    <row r="726" spans="1:13" ht="34" x14ac:dyDescent="0.3">
      <c r="A726" s="438" t="s">
        <v>37</v>
      </c>
      <c r="B726" s="439" t="s">
        <v>536</v>
      </c>
      <c r="C726" s="439" t="s">
        <v>300</v>
      </c>
      <c r="D726" s="539" t="s">
        <v>302</v>
      </c>
      <c r="E726" s="539" t="s">
        <v>38</v>
      </c>
      <c r="F726" s="539"/>
      <c r="G726" s="466">
        <f>G727</f>
        <v>0</v>
      </c>
      <c r="H726" s="442">
        <f>H727</f>
        <v>0</v>
      </c>
      <c r="I726" s="442">
        <f t="shared" si="139"/>
        <v>358800</v>
      </c>
      <c r="J726" s="466">
        <f t="shared" si="139"/>
        <v>358800</v>
      </c>
      <c r="K726" s="466">
        <f t="shared" si="139"/>
        <v>358800</v>
      </c>
      <c r="L726" s="436">
        <f t="shared" si="136"/>
        <v>0</v>
      </c>
      <c r="M726" s="498"/>
    </row>
    <row r="727" spans="1:13" ht="18" customHeight="1" x14ac:dyDescent="0.3">
      <c r="A727" s="438" t="s">
        <v>74</v>
      </c>
      <c r="B727" s="439" t="s">
        <v>536</v>
      </c>
      <c r="C727" s="439" t="s">
        <v>300</v>
      </c>
      <c r="D727" s="539" t="s">
        <v>302</v>
      </c>
      <c r="E727" s="539" t="s">
        <v>75</v>
      </c>
      <c r="F727" s="539"/>
      <c r="G727" s="466">
        <f>[2]потребность!I659</f>
        <v>0</v>
      </c>
      <c r="H727" s="442">
        <v>0</v>
      </c>
      <c r="I727" s="442">
        <v>358800</v>
      </c>
      <c r="J727" s="466">
        <v>358800</v>
      </c>
      <c r="K727" s="466">
        <v>358800</v>
      </c>
      <c r="L727" s="436">
        <f t="shared" si="136"/>
        <v>0</v>
      </c>
      <c r="M727" s="498"/>
    </row>
    <row r="728" spans="1:13" ht="50.95" hidden="1" x14ac:dyDescent="0.3">
      <c r="A728" s="438" t="s">
        <v>788</v>
      </c>
      <c r="B728" s="439" t="s">
        <v>536</v>
      </c>
      <c r="C728" s="439" t="s">
        <v>300</v>
      </c>
      <c r="D728" s="539" t="s">
        <v>764</v>
      </c>
      <c r="E728" s="539" t="s">
        <v>6</v>
      </c>
      <c r="F728" s="539"/>
      <c r="G728" s="466">
        <f>G729</f>
        <v>0</v>
      </c>
      <c r="H728" s="442">
        <f>H729</f>
        <v>0</v>
      </c>
      <c r="I728" s="442">
        <v>0</v>
      </c>
      <c r="J728" s="509">
        <v>0</v>
      </c>
      <c r="K728" s="509">
        <v>0</v>
      </c>
      <c r="L728" s="436">
        <f t="shared" si="136"/>
        <v>0</v>
      </c>
      <c r="M728" s="498"/>
    </row>
    <row r="729" spans="1:13" ht="34" hidden="1" x14ac:dyDescent="0.3">
      <c r="A729" s="438" t="s">
        <v>37</v>
      </c>
      <c r="B729" s="439" t="s">
        <v>536</v>
      </c>
      <c r="C729" s="439" t="s">
        <v>300</v>
      </c>
      <c r="D729" s="539" t="s">
        <v>764</v>
      </c>
      <c r="E729" s="539" t="s">
        <v>38</v>
      </c>
      <c r="F729" s="539"/>
      <c r="G729" s="466">
        <f>G730</f>
        <v>0</v>
      </c>
      <c r="H729" s="442">
        <f>H730</f>
        <v>0</v>
      </c>
      <c r="I729" s="442">
        <v>0</v>
      </c>
      <c r="J729" s="466">
        <v>0</v>
      </c>
      <c r="K729" s="466">
        <v>0</v>
      </c>
      <c r="L729" s="436">
        <f t="shared" si="136"/>
        <v>0</v>
      </c>
      <c r="M729" s="498"/>
    </row>
    <row r="730" spans="1:13" hidden="1" x14ac:dyDescent="0.3">
      <c r="A730" s="438" t="s">
        <v>74</v>
      </c>
      <c r="B730" s="439" t="s">
        <v>536</v>
      </c>
      <c r="C730" s="439" t="s">
        <v>300</v>
      </c>
      <c r="D730" s="539" t="s">
        <v>764</v>
      </c>
      <c r="E730" s="539" t="s">
        <v>75</v>
      </c>
      <c r="F730" s="539"/>
      <c r="G730" s="466">
        <v>0</v>
      </c>
      <c r="H730" s="442">
        <v>0</v>
      </c>
      <c r="I730" s="442">
        <v>0</v>
      </c>
      <c r="J730" s="466">
        <v>0</v>
      </c>
      <c r="K730" s="466">
        <v>0</v>
      </c>
      <c r="L730" s="436">
        <f t="shared" si="136"/>
        <v>0</v>
      </c>
      <c r="M730" s="498"/>
    </row>
    <row r="731" spans="1:13" ht="67.95" hidden="1" x14ac:dyDescent="0.3">
      <c r="A731" s="438" t="s">
        <v>911</v>
      </c>
      <c r="B731" s="439" t="s">
        <v>536</v>
      </c>
      <c r="C731" s="439" t="s">
        <v>300</v>
      </c>
      <c r="D731" s="539" t="s">
        <v>769</v>
      </c>
      <c r="E731" s="539" t="s">
        <v>6</v>
      </c>
      <c r="F731" s="539"/>
      <c r="G731" s="466">
        <f>G732</f>
        <v>0</v>
      </c>
      <c r="H731" s="442">
        <f>H732</f>
        <v>0</v>
      </c>
      <c r="I731" s="442">
        <v>0</v>
      </c>
      <c r="J731" s="466">
        <v>0</v>
      </c>
      <c r="K731" s="466">
        <v>0</v>
      </c>
      <c r="L731" s="436">
        <f t="shared" si="136"/>
        <v>0</v>
      </c>
      <c r="M731" s="498"/>
    </row>
    <row r="732" spans="1:13" ht="34" hidden="1" x14ac:dyDescent="0.3">
      <c r="A732" s="438" t="s">
        <v>37</v>
      </c>
      <c r="B732" s="439" t="s">
        <v>536</v>
      </c>
      <c r="C732" s="439" t="s">
        <v>300</v>
      </c>
      <c r="D732" s="539" t="s">
        <v>769</v>
      </c>
      <c r="E732" s="539" t="s">
        <v>38</v>
      </c>
      <c r="F732" s="539"/>
      <c r="G732" s="466">
        <f>G733</f>
        <v>0</v>
      </c>
      <c r="H732" s="442">
        <f>H733</f>
        <v>0</v>
      </c>
      <c r="I732" s="442">
        <v>0</v>
      </c>
      <c r="J732" s="466">
        <v>0</v>
      </c>
      <c r="K732" s="466">
        <v>0</v>
      </c>
      <c r="L732" s="436">
        <f t="shared" si="136"/>
        <v>0</v>
      </c>
      <c r="M732" s="498"/>
    </row>
    <row r="733" spans="1:13" hidden="1" x14ac:dyDescent="0.3">
      <c r="A733" s="438" t="s">
        <v>74</v>
      </c>
      <c r="B733" s="439" t="s">
        <v>536</v>
      </c>
      <c r="C733" s="439" t="s">
        <v>300</v>
      </c>
      <c r="D733" s="539" t="s">
        <v>769</v>
      </c>
      <c r="E733" s="539" t="s">
        <v>75</v>
      </c>
      <c r="F733" s="539"/>
      <c r="G733" s="466">
        <v>0</v>
      </c>
      <c r="H733" s="442">
        <v>0</v>
      </c>
      <c r="I733" s="442">
        <v>0</v>
      </c>
      <c r="J733" s="466">
        <v>0</v>
      </c>
      <c r="K733" s="466">
        <v>0</v>
      </c>
      <c r="L733" s="436">
        <f t="shared" si="136"/>
        <v>0</v>
      </c>
      <c r="M733" s="498"/>
    </row>
    <row r="734" spans="1:13" ht="27" customHeight="1" x14ac:dyDescent="0.3">
      <c r="A734" s="438" t="s">
        <v>102</v>
      </c>
      <c r="B734" s="439" t="s">
        <v>536</v>
      </c>
      <c r="C734" s="439" t="s">
        <v>300</v>
      </c>
      <c r="D734" s="539" t="s">
        <v>201</v>
      </c>
      <c r="E734" s="539" t="s">
        <v>6</v>
      </c>
      <c r="F734" s="539"/>
      <c r="G734" s="466">
        <f>G735</f>
        <v>407056.05</v>
      </c>
      <c r="H734" s="442">
        <f>H735</f>
        <v>315430.7</v>
      </c>
      <c r="I734" s="442">
        <v>0</v>
      </c>
      <c r="J734" s="466">
        <v>0</v>
      </c>
      <c r="K734" s="466">
        <v>0</v>
      </c>
      <c r="L734" s="436">
        <f t="shared" si="136"/>
        <v>0</v>
      </c>
      <c r="M734" s="498">
        <f t="shared" si="137"/>
        <v>0</v>
      </c>
    </row>
    <row r="735" spans="1:13" ht="34" x14ac:dyDescent="0.3">
      <c r="A735" s="438" t="s">
        <v>37</v>
      </c>
      <c r="B735" s="439" t="s">
        <v>536</v>
      </c>
      <c r="C735" s="439" t="s">
        <v>300</v>
      </c>
      <c r="D735" s="539" t="s">
        <v>201</v>
      </c>
      <c r="E735" s="539" t="s">
        <v>38</v>
      </c>
      <c r="F735" s="539"/>
      <c r="G735" s="466">
        <f>G736</f>
        <v>407056.05</v>
      </c>
      <c r="H735" s="442">
        <f>H736</f>
        <v>315430.7</v>
      </c>
      <c r="I735" s="442">
        <v>0</v>
      </c>
      <c r="J735" s="466">
        <v>0</v>
      </c>
      <c r="K735" s="466">
        <v>0</v>
      </c>
      <c r="L735" s="436">
        <f t="shared" si="136"/>
        <v>0</v>
      </c>
      <c r="M735" s="498">
        <f t="shared" si="137"/>
        <v>0</v>
      </c>
    </row>
    <row r="736" spans="1:13" x14ac:dyDescent="0.3">
      <c r="A736" s="438" t="s">
        <v>74</v>
      </c>
      <c r="B736" s="439" t="s">
        <v>536</v>
      </c>
      <c r="C736" s="439" t="s">
        <v>300</v>
      </c>
      <c r="D736" s="539" t="s">
        <v>201</v>
      </c>
      <c r="E736" s="539" t="s">
        <v>75</v>
      </c>
      <c r="F736" s="539"/>
      <c r="G736" s="466">
        <v>407056.05</v>
      </c>
      <c r="H736" s="443">
        <v>315430.7</v>
      </c>
      <c r="I736" s="442">
        <v>0</v>
      </c>
      <c r="J736" s="466">
        <v>0</v>
      </c>
      <c r="K736" s="466">
        <v>0</v>
      </c>
      <c r="L736" s="436">
        <f t="shared" si="136"/>
        <v>0</v>
      </c>
      <c r="M736" s="498">
        <f t="shared" si="137"/>
        <v>0</v>
      </c>
    </row>
    <row r="737" spans="1:13" ht="34" x14ac:dyDescent="0.3">
      <c r="A737" s="394" t="s">
        <v>750</v>
      </c>
      <c r="B737" s="472">
        <v>959</v>
      </c>
      <c r="C737" s="434" t="s">
        <v>5</v>
      </c>
      <c r="D737" s="537" t="s">
        <v>126</v>
      </c>
      <c r="E737" s="537" t="s">
        <v>6</v>
      </c>
      <c r="F737" s="538">
        <v>300218.82</v>
      </c>
      <c r="G737" s="521">
        <f>G738</f>
        <v>1627772</v>
      </c>
      <c r="H737" s="473">
        <f>H738</f>
        <v>1140137.2000000002</v>
      </c>
      <c r="I737" s="473">
        <f>I738</f>
        <v>1510000</v>
      </c>
      <c r="J737" s="521">
        <f>J738</f>
        <v>1745512</v>
      </c>
      <c r="K737" s="521">
        <f>K738</f>
        <v>1745512</v>
      </c>
      <c r="L737" s="436">
        <f t="shared" si="136"/>
        <v>0</v>
      </c>
      <c r="M737" s="498">
        <f t="shared" si="137"/>
        <v>107.23319973558951</v>
      </c>
    </row>
    <row r="738" spans="1:13" x14ac:dyDescent="0.3">
      <c r="A738" s="438" t="s">
        <v>7</v>
      </c>
      <c r="B738" s="439" t="s">
        <v>751</v>
      </c>
      <c r="C738" s="439" t="s">
        <v>8</v>
      </c>
      <c r="D738" s="539" t="s">
        <v>126</v>
      </c>
      <c r="E738" s="539" t="s">
        <v>6</v>
      </c>
      <c r="F738" s="540">
        <v>300218.82</v>
      </c>
      <c r="G738" s="466">
        <f t="shared" ref="G738:I739" si="140">G739</f>
        <v>1627772</v>
      </c>
      <c r="H738" s="442">
        <f t="shared" si="140"/>
        <v>1140137.2000000002</v>
      </c>
      <c r="I738" s="442">
        <f t="shared" si="140"/>
        <v>1510000</v>
      </c>
      <c r="J738" s="466">
        <f>J739+J751</f>
        <v>1745512</v>
      </c>
      <c r="K738" s="466">
        <f>K739+K751</f>
        <v>1745512</v>
      </c>
      <c r="L738" s="436">
        <f t="shared" si="136"/>
        <v>0</v>
      </c>
      <c r="M738" s="498">
        <f t="shared" si="137"/>
        <v>107.23319973558951</v>
      </c>
    </row>
    <row r="739" spans="1:13" ht="50.95" x14ac:dyDescent="0.3">
      <c r="A739" s="438" t="s">
        <v>9</v>
      </c>
      <c r="B739" s="439" t="s">
        <v>751</v>
      </c>
      <c r="C739" s="439" t="s">
        <v>10</v>
      </c>
      <c r="D739" s="539" t="s">
        <v>126</v>
      </c>
      <c r="E739" s="539" t="s">
        <v>6</v>
      </c>
      <c r="F739" s="540">
        <v>300218.82</v>
      </c>
      <c r="G739" s="465">
        <f t="shared" si="140"/>
        <v>1627772</v>
      </c>
      <c r="H739" s="440">
        <f t="shared" si="140"/>
        <v>1140137.2000000002</v>
      </c>
      <c r="I739" s="440">
        <f t="shared" si="140"/>
        <v>1510000</v>
      </c>
      <c r="J739" s="465">
        <f>J740</f>
        <v>1688872</v>
      </c>
      <c r="K739" s="465">
        <f>K740</f>
        <v>1688872</v>
      </c>
      <c r="L739" s="436">
        <f t="shared" si="136"/>
        <v>0</v>
      </c>
      <c r="M739" s="498">
        <f t="shared" si="137"/>
        <v>103.75359694109495</v>
      </c>
    </row>
    <row r="740" spans="1:13" ht="34" x14ac:dyDescent="0.3">
      <c r="A740" s="438" t="s">
        <v>132</v>
      </c>
      <c r="B740" s="439" t="s">
        <v>751</v>
      </c>
      <c r="C740" s="439" t="s">
        <v>10</v>
      </c>
      <c r="D740" s="539" t="s">
        <v>127</v>
      </c>
      <c r="E740" s="539" t="s">
        <v>6</v>
      </c>
      <c r="F740" s="540">
        <v>300218.82</v>
      </c>
      <c r="G740" s="465">
        <f>G741+G744</f>
        <v>1627772</v>
      </c>
      <c r="H740" s="440">
        <f>H741+H744</f>
        <v>1140137.2000000002</v>
      </c>
      <c r="I740" s="440">
        <f>I741+I744</f>
        <v>1510000</v>
      </c>
      <c r="J740" s="465">
        <f>J741+J744</f>
        <v>1688872</v>
      </c>
      <c r="K740" s="465">
        <f>K741+K744</f>
        <v>1688872</v>
      </c>
      <c r="L740" s="436">
        <f t="shared" si="136"/>
        <v>0</v>
      </c>
      <c r="M740" s="498">
        <f t="shared" si="137"/>
        <v>103.75359694109495</v>
      </c>
    </row>
    <row r="741" spans="1:13" x14ac:dyDescent="0.3">
      <c r="A741" s="438" t="s">
        <v>752</v>
      </c>
      <c r="B741" s="439" t="s">
        <v>751</v>
      </c>
      <c r="C741" s="439" t="s">
        <v>10</v>
      </c>
      <c r="D741" s="539" t="s">
        <v>143</v>
      </c>
      <c r="E741" s="539" t="s">
        <v>6</v>
      </c>
      <c r="F741" s="540">
        <v>174318.55</v>
      </c>
      <c r="G741" s="465">
        <f t="shared" ref="G741:K742" si="141">G742</f>
        <v>1347772</v>
      </c>
      <c r="H741" s="440">
        <f t="shared" si="141"/>
        <v>981643.31</v>
      </c>
      <c r="I741" s="440">
        <f t="shared" si="141"/>
        <v>1220000</v>
      </c>
      <c r="J741" s="466">
        <f t="shared" si="141"/>
        <v>1384096</v>
      </c>
      <c r="K741" s="466">
        <f t="shared" si="141"/>
        <v>1384096</v>
      </c>
      <c r="L741" s="436">
        <f t="shared" si="136"/>
        <v>0</v>
      </c>
      <c r="M741" s="498">
        <f t="shared" si="137"/>
        <v>102.69511460395378</v>
      </c>
    </row>
    <row r="742" spans="1:13" ht="84.9" x14ac:dyDescent="0.3">
      <c r="A742" s="438" t="s">
        <v>11</v>
      </c>
      <c r="B742" s="439" t="s">
        <v>751</v>
      </c>
      <c r="C742" s="439" t="s">
        <v>10</v>
      </c>
      <c r="D742" s="539" t="s">
        <v>143</v>
      </c>
      <c r="E742" s="539" t="s">
        <v>12</v>
      </c>
      <c r="F742" s="540">
        <v>174318.55</v>
      </c>
      <c r="G742" s="465">
        <f t="shared" si="141"/>
        <v>1347772</v>
      </c>
      <c r="H742" s="440">
        <f t="shared" si="141"/>
        <v>981643.31</v>
      </c>
      <c r="I742" s="440">
        <f t="shared" si="141"/>
        <v>1220000</v>
      </c>
      <c r="J742" s="466">
        <f t="shared" si="141"/>
        <v>1384096</v>
      </c>
      <c r="K742" s="466">
        <f t="shared" si="141"/>
        <v>1384096</v>
      </c>
      <c r="L742" s="436">
        <f t="shared" si="136"/>
        <v>0</v>
      </c>
      <c r="M742" s="498">
        <f t="shared" si="137"/>
        <v>102.69511460395378</v>
      </c>
    </row>
    <row r="743" spans="1:13" ht="34" x14ac:dyDescent="0.3">
      <c r="A743" s="438" t="s">
        <v>13</v>
      </c>
      <c r="B743" s="439" t="s">
        <v>751</v>
      </c>
      <c r="C743" s="439" t="s">
        <v>10</v>
      </c>
      <c r="D743" s="539" t="s">
        <v>143</v>
      </c>
      <c r="E743" s="539" t="s">
        <v>14</v>
      </c>
      <c r="F743" s="540">
        <v>174318.55</v>
      </c>
      <c r="G743" s="466">
        <f>[2]потребность!I672+248000-40228</f>
        <v>1347772</v>
      </c>
      <c r="H743" s="443">
        <v>981643.31</v>
      </c>
      <c r="I743" s="442">
        <f>'[2]прил 12'!F678</f>
        <v>1220000</v>
      </c>
      <c r="J743" s="466">
        <v>1384096</v>
      </c>
      <c r="K743" s="466">
        <v>1384096</v>
      </c>
      <c r="L743" s="436">
        <f t="shared" si="136"/>
        <v>0</v>
      </c>
      <c r="M743" s="498">
        <f t="shared" si="137"/>
        <v>102.69511460395378</v>
      </c>
    </row>
    <row r="744" spans="1:13" ht="45.7" customHeight="1" x14ac:dyDescent="0.3">
      <c r="A744" s="438" t="s">
        <v>494</v>
      </c>
      <c r="B744" s="439" t="s">
        <v>751</v>
      </c>
      <c r="C744" s="439" t="s">
        <v>10</v>
      </c>
      <c r="D744" s="539" t="s">
        <v>495</v>
      </c>
      <c r="E744" s="539" t="s">
        <v>6</v>
      </c>
      <c r="F744" s="540">
        <v>125900.27</v>
      </c>
      <c r="G744" s="466">
        <f>G745+G747</f>
        <v>280000</v>
      </c>
      <c r="H744" s="442">
        <f>H745+H747</f>
        <v>158493.89000000001</v>
      </c>
      <c r="I744" s="442">
        <f>I745+I747</f>
        <v>290000</v>
      </c>
      <c r="J744" s="466">
        <f>J745+J747+J749</f>
        <v>304776</v>
      </c>
      <c r="K744" s="466">
        <f>K745+K747+K749</f>
        <v>304776</v>
      </c>
      <c r="L744" s="436">
        <f t="shared" si="136"/>
        <v>0</v>
      </c>
      <c r="M744" s="498">
        <f t="shared" si="137"/>
        <v>108.84857142857143</v>
      </c>
    </row>
    <row r="745" spans="1:13" ht="84.9" x14ac:dyDescent="0.3">
      <c r="A745" s="438" t="s">
        <v>11</v>
      </c>
      <c r="B745" s="439" t="s">
        <v>751</v>
      </c>
      <c r="C745" s="439" t="s">
        <v>10</v>
      </c>
      <c r="D745" s="539" t="s">
        <v>495</v>
      </c>
      <c r="E745" s="539" t="s">
        <v>12</v>
      </c>
      <c r="F745" s="540">
        <v>14739.19</v>
      </c>
      <c r="G745" s="466">
        <f>G746</f>
        <v>200000</v>
      </c>
      <c r="H745" s="442">
        <f>H746</f>
        <v>148323.89000000001</v>
      </c>
      <c r="I745" s="442">
        <f>I746</f>
        <v>210000</v>
      </c>
      <c r="J745" s="466">
        <f>J746</f>
        <v>212776</v>
      </c>
      <c r="K745" s="466">
        <f>K746</f>
        <v>212776</v>
      </c>
      <c r="L745" s="436">
        <f t="shared" si="136"/>
        <v>0</v>
      </c>
      <c r="M745" s="498">
        <f t="shared" si="137"/>
        <v>106.38800000000001</v>
      </c>
    </row>
    <row r="746" spans="1:13" ht="34" x14ac:dyDescent="0.3">
      <c r="A746" s="438" t="s">
        <v>13</v>
      </c>
      <c r="B746" s="439" t="s">
        <v>751</v>
      </c>
      <c r="C746" s="439" t="s">
        <v>10</v>
      </c>
      <c r="D746" s="539" t="s">
        <v>495</v>
      </c>
      <c r="E746" s="539" t="s">
        <v>14</v>
      </c>
      <c r="F746" s="540">
        <v>14739.19</v>
      </c>
      <c r="G746" s="466">
        <f>[2]потребность!I675</f>
        <v>200000</v>
      </c>
      <c r="H746" s="443">
        <v>148323.89000000001</v>
      </c>
      <c r="I746" s="442">
        <f>'[2]прил 12'!F681</f>
        <v>210000</v>
      </c>
      <c r="J746" s="466">
        <v>212776</v>
      </c>
      <c r="K746" s="466">
        <v>212776</v>
      </c>
      <c r="L746" s="436">
        <f t="shared" si="136"/>
        <v>0</v>
      </c>
      <c r="M746" s="498">
        <f t="shared" si="137"/>
        <v>106.38800000000001</v>
      </c>
    </row>
    <row r="747" spans="1:13" ht="34" x14ac:dyDescent="0.3">
      <c r="A747" s="438" t="s">
        <v>15</v>
      </c>
      <c r="B747" s="439" t="s">
        <v>751</v>
      </c>
      <c r="C747" s="439" t="s">
        <v>10</v>
      </c>
      <c r="D747" s="539" t="s">
        <v>495</v>
      </c>
      <c r="E747" s="539" t="s">
        <v>16</v>
      </c>
      <c r="F747" s="540">
        <v>111161.08</v>
      </c>
      <c r="G747" s="466">
        <f>G748</f>
        <v>80000</v>
      </c>
      <c r="H747" s="442">
        <f>H748</f>
        <v>10170</v>
      </c>
      <c r="I747" s="442">
        <f>I748</f>
        <v>80000</v>
      </c>
      <c r="J747" s="466">
        <f>J748</f>
        <v>91500</v>
      </c>
      <c r="K747" s="466">
        <f>K748</f>
        <v>91500</v>
      </c>
      <c r="L747" s="436">
        <f t="shared" si="136"/>
        <v>0</v>
      </c>
      <c r="M747" s="498">
        <f t="shared" si="137"/>
        <v>114.375</v>
      </c>
    </row>
    <row r="748" spans="1:13" ht="42.8" customHeight="1" x14ac:dyDescent="0.3">
      <c r="A748" s="438" t="s">
        <v>17</v>
      </c>
      <c r="B748" s="439" t="s">
        <v>751</v>
      </c>
      <c r="C748" s="439" t="s">
        <v>10</v>
      </c>
      <c r="D748" s="539" t="s">
        <v>495</v>
      </c>
      <c r="E748" s="539" t="s">
        <v>18</v>
      </c>
      <c r="F748" s="540">
        <v>111161.08</v>
      </c>
      <c r="G748" s="466">
        <f>[2]потребность!I677</f>
        <v>80000</v>
      </c>
      <c r="H748" s="443">
        <v>10170</v>
      </c>
      <c r="I748" s="442">
        <f>'[2]прил 12'!F683</f>
        <v>80000</v>
      </c>
      <c r="J748" s="466">
        <v>91500</v>
      </c>
      <c r="K748" s="466">
        <v>91500</v>
      </c>
      <c r="L748" s="436">
        <f t="shared" si="136"/>
        <v>0</v>
      </c>
      <c r="M748" s="498">
        <f t="shared" si="137"/>
        <v>114.375</v>
      </c>
    </row>
    <row r="749" spans="1:13" ht="29.25" customHeight="1" x14ac:dyDescent="0.3">
      <c r="A749" s="438" t="s">
        <v>19</v>
      </c>
      <c r="B749" s="439" t="s">
        <v>751</v>
      </c>
      <c r="C749" s="439" t="s">
        <v>10</v>
      </c>
      <c r="D749" s="539" t="s">
        <v>495</v>
      </c>
      <c r="E749" s="539" t="s">
        <v>20</v>
      </c>
      <c r="F749" s="539"/>
      <c r="G749" s="466">
        <v>0</v>
      </c>
      <c r="H749" s="442">
        <v>0</v>
      </c>
      <c r="I749" s="442">
        <v>0</v>
      </c>
      <c r="J749" s="466">
        <f>J750</f>
        <v>500</v>
      </c>
      <c r="K749" s="466">
        <f>K750</f>
        <v>500</v>
      </c>
      <c r="L749" s="436">
        <f t="shared" si="136"/>
        <v>0</v>
      </c>
      <c r="M749" s="498"/>
    </row>
    <row r="750" spans="1:13" ht="27.2" customHeight="1" x14ac:dyDescent="0.3">
      <c r="A750" s="438" t="s">
        <v>21</v>
      </c>
      <c r="B750" s="439" t="s">
        <v>751</v>
      </c>
      <c r="C750" s="439" t="s">
        <v>10</v>
      </c>
      <c r="D750" s="539" t="s">
        <v>495</v>
      </c>
      <c r="E750" s="539" t="s">
        <v>22</v>
      </c>
      <c r="F750" s="539"/>
      <c r="G750" s="466">
        <v>0</v>
      </c>
      <c r="H750" s="442">
        <v>0</v>
      </c>
      <c r="I750" s="442">
        <v>0</v>
      </c>
      <c r="J750" s="466">
        <v>500</v>
      </c>
      <c r="K750" s="466">
        <v>500</v>
      </c>
      <c r="L750" s="436">
        <f t="shared" si="136"/>
        <v>0</v>
      </c>
      <c r="M750" s="498"/>
    </row>
    <row r="751" spans="1:13" ht="31.75" customHeight="1" x14ac:dyDescent="0.3">
      <c r="A751" s="438" t="s">
        <v>23</v>
      </c>
      <c r="B751" s="439" t="s">
        <v>751</v>
      </c>
      <c r="C751" s="439" t="s">
        <v>24</v>
      </c>
      <c r="D751" s="539" t="s">
        <v>126</v>
      </c>
      <c r="E751" s="539" t="s">
        <v>6</v>
      </c>
      <c r="F751" s="539"/>
      <c r="G751" s="466">
        <v>0</v>
      </c>
      <c r="H751" s="442">
        <v>0</v>
      </c>
      <c r="I751" s="442">
        <v>0</v>
      </c>
      <c r="J751" s="466">
        <f>J752+J757</f>
        <v>56640</v>
      </c>
      <c r="K751" s="466">
        <f>K752+K757</f>
        <v>56640</v>
      </c>
      <c r="L751" s="436">
        <f t="shared" si="136"/>
        <v>0</v>
      </c>
      <c r="M751" s="498"/>
    </row>
    <row r="752" spans="1:13" ht="42.8" customHeight="1" x14ac:dyDescent="0.3">
      <c r="A752" s="444" t="s">
        <v>830</v>
      </c>
      <c r="B752" s="445" t="s">
        <v>751</v>
      </c>
      <c r="C752" s="445" t="s">
        <v>24</v>
      </c>
      <c r="D752" s="541" t="s">
        <v>128</v>
      </c>
      <c r="E752" s="541" t="s">
        <v>6</v>
      </c>
      <c r="F752" s="541"/>
      <c r="G752" s="466">
        <v>0</v>
      </c>
      <c r="H752" s="442">
        <v>0</v>
      </c>
      <c r="I752" s="442">
        <v>0</v>
      </c>
      <c r="J752" s="466">
        <f t="shared" ref="J752:K755" si="142">J753</f>
        <v>10000</v>
      </c>
      <c r="K752" s="466">
        <f t="shared" si="142"/>
        <v>10000</v>
      </c>
      <c r="L752" s="436">
        <f t="shared" si="136"/>
        <v>0</v>
      </c>
      <c r="M752" s="498"/>
    </row>
    <row r="753" spans="1:14" ht="38.049999999999997" customHeight="1" x14ac:dyDescent="0.3">
      <c r="A753" s="450" t="s">
        <v>835</v>
      </c>
      <c r="B753" s="439" t="s">
        <v>751</v>
      </c>
      <c r="C753" s="439" t="s">
        <v>24</v>
      </c>
      <c r="D753" s="539" t="s">
        <v>315</v>
      </c>
      <c r="E753" s="539" t="s">
        <v>6</v>
      </c>
      <c r="F753" s="539"/>
      <c r="G753" s="466">
        <v>0</v>
      </c>
      <c r="H753" s="442">
        <v>0</v>
      </c>
      <c r="I753" s="442">
        <v>0</v>
      </c>
      <c r="J753" s="466">
        <f t="shared" si="142"/>
        <v>10000</v>
      </c>
      <c r="K753" s="466">
        <f t="shared" si="142"/>
        <v>10000</v>
      </c>
      <c r="L753" s="436">
        <f t="shared" si="136"/>
        <v>0</v>
      </c>
      <c r="M753" s="498"/>
    </row>
    <row r="754" spans="1:14" ht="23.8" customHeight="1" x14ac:dyDescent="0.3">
      <c r="A754" s="450" t="s">
        <v>321</v>
      </c>
      <c r="B754" s="439" t="s">
        <v>751</v>
      </c>
      <c r="C754" s="439" t="s">
        <v>24</v>
      </c>
      <c r="D754" s="539" t="s">
        <v>316</v>
      </c>
      <c r="E754" s="539" t="s">
        <v>6</v>
      </c>
      <c r="F754" s="539"/>
      <c r="G754" s="466">
        <v>0</v>
      </c>
      <c r="H754" s="442">
        <v>0</v>
      </c>
      <c r="I754" s="442">
        <v>0</v>
      </c>
      <c r="J754" s="466">
        <f t="shared" si="142"/>
        <v>10000</v>
      </c>
      <c r="K754" s="466">
        <f t="shared" si="142"/>
        <v>10000</v>
      </c>
      <c r="L754" s="436">
        <f t="shared" si="136"/>
        <v>0</v>
      </c>
      <c r="M754" s="498"/>
    </row>
    <row r="755" spans="1:14" ht="42.8" customHeight="1" x14ac:dyDescent="0.3">
      <c r="A755" s="438" t="s">
        <v>15</v>
      </c>
      <c r="B755" s="439" t="s">
        <v>751</v>
      </c>
      <c r="C755" s="439" t="s">
        <v>24</v>
      </c>
      <c r="D755" s="539" t="s">
        <v>316</v>
      </c>
      <c r="E755" s="539" t="s">
        <v>16</v>
      </c>
      <c r="F755" s="539"/>
      <c r="G755" s="466">
        <v>0</v>
      </c>
      <c r="H755" s="442">
        <v>0</v>
      </c>
      <c r="I755" s="442">
        <v>0</v>
      </c>
      <c r="J755" s="466">
        <f t="shared" si="142"/>
        <v>10000</v>
      </c>
      <c r="K755" s="466">
        <f t="shared" si="142"/>
        <v>10000</v>
      </c>
      <c r="L755" s="436">
        <f t="shared" si="136"/>
        <v>0</v>
      </c>
      <c r="M755" s="498"/>
    </row>
    <row r="756" spans="1:14" ht="42.8" customHeight="1" x14ac:dyDescent="0.3">
      <c r="A756" s="438" t="s">
        <v>17</v>
      </c>
      <c r="B756" s="439" t="s">
        <v>751</v>
      </c>
      <c r="C756" s="439" t="s">
        <v>24</v>
      </c>
      <c r="D756" s="539" t="s">
        <v>316</v>
      </c>
      <c r="E756" s="539" t="s">
        <v>18</v>
      </c>
      <c r="F756" s="539"/>
      <c r="G756" s="466">
        <v>0</v>
      </c>
      <c r="H756" s="442">
        <v>0</v>
      </c>
      <c r="I756" s="442">
        <v>0</v>
      </c>
      <c r="J756" s="466">
        <v>10000</v>
      </c>
      <c r="K756" s="466">
        <v>10000</v>
      </c>
      <c r="L756" s="436">
        <f t="shared" si="136"/>
        <v>0</v>
      </c>
      <c r="M756" s="498"/>
    </row>
    <row r="757" spans="1:14" ht="44.15" customHeight="1" x14ac:dyDescent="0.3">
      <c r="A757" s="451" t="s">
        <v>829</v>
      </c>
      <c r="B757" s="445" t="s">
        <v>751</v>
      </c>
      <c r="C757" s="439" t="s">
        <v>24</v>
      </c>
      <c r="D757" s="541" t="s">
        <v>317</v>
      </c>
      <c r="E757" s="541" t="s">
        <v>6</v>
      </c>
      <c r="F757" s="541"/>
      <c r="G757" s="466">
        <v>0</v>
      </c>
      <c r="H757" s="442">
        <v>0</v>
      </c>
      <c r="I757" s="442">
        <v>0</v>
      </c>
      <c r="J757" s="466">
        <f t="shared" ref="J757:K760" si="143">J758</f>
        <v>46640</v>
      </c>
      <c r="K757" s="466">
        <f t="shared" si="143"/>
        <v>46640</v>
      </c>
      <c r="L757" s="436">
        <f t="shared" si="136"/>
        <v>0</v>
      </c>
      <c r="M757" s="498"/>
    </row>
    <row r="758" spans="1:14" ht="19.2" customHeight="1" x14ac:dyDescent="0.3">
      <c r="A758" s="450" t="s">
        <v>249</v>
      </c>
      <c r="B758" s="439" t="s">
        <v>751</v>
      </c>
      <c r="C758" s="439" t="s">
        <v>24</v>
      </c>
      <c r="D758" s="539" t="s">
        <v>318</v>
      </c>
      <c r="E758" s="539" t="s">
        <v>6</v>
      </c>
      <c r="F758" s="539"/>
      <c r="G758" s="466">
        <v>0</v>
      </c>
      <c r="H758" s="442">
        <v>0</v>
      </c>
      <c r="I758" s="442">
        <v>0</v>
      </c>
      <c r="J758" s="466">
        <f t="shared" si="143"/>
        <v>46640</v>
      </c>
      <c r="K758" s="466">
        <f t="shared" si="143"/>
        <v>46640</v>
      </c>
      <c r="L758" s="436">
        <f t="shared" si="136"/>
        <v>0</v>
      </c>
      <c r="M758" s="498"/>
    </row>
    <row r="759" spans="1:14" ht="23.8" customHeight="1" x14ac:dyDescent="0.3">
      <c r="A759" s="438" t="s">
        <v>25</v>
      </c>
      <c r="B759" s="439" t="s">
        <v>751</v>
      </c>
      <c r="C759" s="439" t="s">
        <v>24</v>
      </c>
      <c r="D759" s="539" t="s">
        <v>329</v>
      </c>
      <c r="E759" s="539" t="s">
        <v>6</v>
      </c>
      <c r="F759" s="539"/>
      <c r="G759" s="466">
        <v>0</v>
      </c>
      <c r="H759" s="442">
        <v>0</v>
      </c>
      <c r="I759" s="442">
        <v>0</v>
      </c>
      <c r="J759" s="466">
        <f t="shared" si="143"/>
        <v>46640</v>
      </c>
      <c r="K759" s="466">
        <f t="shared" si="143"/>
        <v>46640</v>
      </c>
      <c r="L759" s="436">
        <f t="shared" si="136"/>
        <v>0</v>
      </c>
      <c r="M759" s="498"/>
    </row>
    <row r="760" spans="1:14" ht="23.8" customHeight="1" x14ac:dyDescent="0.3">
      <c r="A760" s="438" t="s">
        <v>15</v>
      </c>
      <c r="B760" s="439" t="s">
        <v>751</v>
      </c>
      <c r="C760" s="439" t="s">
        <v>24</v>
      </c>
      <c r="D760" s="539" t="s">
        <v>329</v>
      </c>
      <c r="E760" s="539" t="s">
        <v>16</v>
      </c>
      <c r="F760" s="539"/>
      <c r="G760" s="466">
        <v>0</v>
      </c>
      <c r="H760" s="442">
        <v>0</v>
      </c>
      <c r="I760" s="442">
        <v>0</v>
      </c>
      <c r="J760" s="466">
        <f t="shared" si="143"/>
        <v>46640</v>
      </c>
      <c r="K760" s="466">
        <f t="shared" si="143"/>
        <v>46640</v>
      </c>
      <c r="L760" s="436">
        <f t="shared" si="136"/>
        <v>0</v>
      </c>
      <c r="M760" s="498"/>
    </row>
    <row r="761" spans="1:14" ht="22.75" customHeight="1" x14ac:dyDescent="0.3">
      <c r="A761" s="438" t="s">
        <v>17</v>
      </c>
      <c r="B761" s="439" t="s">
        <v>751</v>
      </c>
      <c r="C761" s="439" t="s">
        <v>24</v>
      </c>
      <c r="D761" s="539" t="s">
        <v>329</v>
      </c>
      <c r="E761" s="539" t="s">
        <v>18</v>
      </c>
      <c r="F761" s="539"/>
      <c r="G761" s="466">
        <v>0</v>
      </c>
      <c r="H761" s="442">
        <v>0</v>
      </c>
      <c r="I761" s="442">
        <v>0</v>
      </c>
      <c r="J761" s="466">
        <v>46640</v>
      </c>
      <c r="K761" s="466">
        <v>46640</v>
      </c>
      <c r="L761" s="436">
        <f t="shared" si="136"/>
        <v>0</v>
      </c>
      <c r="M761" s="498"/>
    </row>
    <row r="762" spans="1:14" x14ac:dyDescent="0.3">
      <c r="A762" s="399" t="s">
        <v>768</v>
      </c>
      <c r="B762" s="469"/>
      <c r="C762" s="469"/>
      <c r="D762" s="554"/>
      <c r="E762" s="552"/>
      <c r="F762" s="521">
        <v>988413094.71000004</v>
      </c>
      <c r="G762" s="506">
        <f>G7+G29+G512+G549+G737</f>
        <v>1057478517.41</v>
      </c>
      <c r="H762" s="435">
        <f>H7+H29+H512+H549+H737</f>
        <v>721773772.18000019</v>
      </c>
      <c r="I762" s="435">
        <f>I7+I29+I512+I549+I737</f>
        <v>898231865.89999998</v>
      </c>
      <c r="J762" s="506">
        <f>J7+J29+J512+J549+J737</f>
        <v>1010902906.0700001</v>
      </c>
      <c r="K762" s="506">
        <f>K7+K29+K512+K549+K737</f>
        <v>982985311.99000001</v>
      </c>
      <c r="L762" s="387">
        <f>J762-K762</f>
        <v>27917594.080000043</v>
      </c>
      <c r="M762" s="499"/>
    </row>
    <row r="763" spans="1:14" x14ac:dyDescent="0.3">
      <c r="A763" s="475"/>
      <c r="B763" s="476"/>
      <c r="C763" s="476"/>
      <c r="D763" s="555"/>
      <c r="E763" s="556"/>
      <c r="F763" s="524"/>
      <c r="G763" s="522"/>
      <c r="H763" s="478"/>
      <c r="I763" s="477"/>
      <c r="J763" s="522"/>
      <c r="K763" s="523">
        <v>973877103.89999998</v>
      </c>
      <c r="L763" s="479"/>
    </row>
    <row r="764" spans="1:14" x14ac:dyDescent="0.3">
      <c r="A764" s="475"/>
      <c r="B764" s="476"/>
      <c r="C764" s="476"/>
      <c r="D764" s="555" t="s">
        <v>798</v>
      </c>
      <c r="E764" s="556"/>
      <c r="F764" s="556"/>
      <c r="G764" s="522">
        <v>422970631.79000002</v>
      </c>
      <c r="H764" s="478"/>
      <c r="I764" s="477">
        <f>'[2]прил 12'!F685</f>
        <v>426818000</v>
      </c>
      <c r="J764" s="524">
        <v>452526957</v>
      </c>
      <c r="K764" s="525">
        <f>K762-K765</f>
        <v>461540165.08999997</v>
      </c>
      <c r="L764" s="480">
        <f>K764-J764</f>
        <v>9013208.0899999738</v>
      </c>
      <c r="N764" s="391">
        <f>L764/K764*100</f>
        <v>1.9528545447918721</v>
      </c>
    </row>
    <row r="765" spans="1:14" x14ac:dyDescent="0.3">
      <c r="A765" s="475"/>
      <c r="B765" s="476"/>
      <c r="C765" s="476"/>
      <c r="D765" s="555" t="s">
        <v>970</v>
      </c>
      <c r="E765" s="556"/>
      <c r="F765" s="556"/>
      <c r="G765" s="522">
        <v>616907493.53999996</v>
      </c>
      <c r="H765" s="478"/>
      <c r="I765" s="477">
        <f>'[2]прил 12'!F686</f>
        <v>482120951.43599993</v>
      </c>
      <c r="J765" s="524">
        <f>J46+J134+J139+J142+J147+J152+J157+J166+J187+J193+J207+J262+J269+J298+J307+J315+J327+J359+J367+J377+J408+J415+J418+J434+J445+J452+J455+J472+J478+J488+J494+J558+J577+J591+J597+J603+J616+J626+J629+J670+J705+J712+J728-135113.43-173500-32776.18-69324.76-33081.95-186904.51</f>
        <v>521445146.90000004</v>
      </c>
      <c r="K765" s="524">
        <f>K46+K134+K139+K142+K147+K152+K157+K166+K187+K193+K207+K262+K269+K298+K307+K315+K327+K359+K367+K377+K408+K415+K418+K434+K445+K452+K455+K472+K478+K488+K494+K558+K577+K591+K597+K603+K616+K626+K629+K670+K705+K712+K728-135113.43-173500-32776.18-69324.76-33081.95-186904.51</f>
        <v>521445146.90000004</v>
      </c>
      <c r="L765" s="480"/>
    </row>
    <row r="766" spans="1:14" x14ac:dyDescent="0.3">
      <c r="A766" s="475"/>
      <c r="B766" s="476"/>
      <c r="C766" s="476"/>
      <c r="D766" s="555" t="s">
        <v>978</v>
      </c>
      <c r="E766" s="556"/>
      <c r="F766" s="556"/>
      <c r="G766" s="522"/>
      <c r="H766" s="478"/>
      <c r="I766" s="477">
        <f>'[2]прил 12'!F687</f>
        <v>10670450</v>
      </c>
      <c r="J766" s="526"/>
      <c r="K766" s="527"/>
      <c r="L766" s="479"/>
    </row>
    <row r="767" spans="1:14" x14ac:dyDescent="0.3">
      <c r="A767" s="475"/>
      <c r="B767" s="476"/>
      <c r="C767" s="476"/>
      <c r="D767" s="555" t="s">
        <v>971</v>
      </c>
      <c r="E767" s="556"/>
      <c r="F767" s="556"/>
      <c r="G767" s="522">
        <f>G764+G765</f>
        <v>1039878125.3299999</v>
      </c>
      <c r="H767" s="478"/>
      <c r="I767" s="477">
        <f>I764+I765</f>
        <v>908938951.43599987</v>
      </c>
      <c r="J767" s="524">
        <f>J764+J765</f>
        <v>973972103.9000001</v>
      </c>
      <c r="K767" s="527"/>
      <c r="L767" s="479">
        <v>973877103.89999998</v>
      </c>
    </row>
    <row r="768" spans="1:14" x14ac:dyDescent="0.3">
      <c r="A768" s="475"/>
      <c r="B768" s="476"/>
      <c r="C768" s="476"/>
      <c r="D768" s="555"/>
      <c r="E768" s="556"/>
      <c r="F768" s="556"/>
      <c r="G768" s="522"/>
      <c r="H768" s="478"/>
      <c r="I768" s="477"/>
      <c r="J768" s="526">
        <v>164499000</v>
      </c>
      <c r="K768" s="527"/>
      <c r="L768" s="479"/>
    </row>
    <row r="769" spans="1:12" x14ac:dyDescent="0.3">
      <c r="A769" s="475"/>
      <c r="B769" s="476"/>
      <c r="C769" s="476"/>
      <c r="D769" s="555"/>
      <c r="E769" s="556"/>
      <c r="F769" s="556"/>
      <c r="G769" s="522"/>
      <c r="H769" s="478"/>
      <c r="I769" s="477"/>
      <c r="J769" s="526">
        <v>250588957</v>
      </c>
      <c r="K769" s="527"/>
      <c r="L769" s="479"/>
    </row>
    <row r="770" spans="1:12" x14ac:dyDescent="0.3">
      <c r="A770" s="475"/>
      <c r="B770" s="476"/>
      <c r="C770" s="476"/>
      <c r="D770" s="555"/>
      <c r="E770" s="556"/>
      <c r="F770" s="556"/>
      <c r="G770" s="522"/>
      <c r="H770" s="478"/>
      <c r="I770" s="477"/>
      <c r="J770" s="526">
        <v>37439000</v>
      </c>
      <c r="K770" s="527"/>
      <c r="L770" s="479"/>
    </row>
    <row r="771" spans="1:12" x14ac:dyDescent="0.3">
      <c r="D771" s="557"/>
    </row>
    <row r="772" spans="1:12" x14ac:dyDescent="0.3">
      <c r="D772" s="558" t="s">
        <v>875</v>
      </c>
      <c r="G772" s="528" t="e">
        <f>'[2]прил 7'!C14+'[2]прил 7'!C43</f>
        <v>#REF!</v>
      </c>
      <c r="I772" s="481">
        <f>'[2]прил 7'!D14+'[2]прил 7'!D43</f>
        <v>0</v>
      </c>
      <c r="J772" s="528">
        <f>'[2]прил 7'!E14+'[2]прил 7'!E43</f>
        <v>0</v>
      </c>
    </row>
    <row r="773" spans="1:12" x14ac:dyDescent="0.3">
      <c r="D773" s="557"/>
      <c r="G773" s="529" t="e">
        <f>G772-G762</f>
        <v>#REF!</v>
      </c>
      <c r="H773" s="484"/>
      <c r="I773" s="483">
        <f>I772-I762</f>
        <v>-898231865.89999998</v>
      </c>
      <c r="J773" s="529">
        <f>J772-J762</f>
        <v>-1010902906.0700001</v>
      </c>
    </row>
    <row r="774" spans="1:12" x14ac:dyDescent="0.3">
      <c r="D774" s="557"/>
      <c r="G774" s="529" t="e">
        <f>'[2]прил 7'!C73-G762</f>
        <v>#REF!</v>
      </c>
      <c r="H774" s="484"/>
      <c r="I774" s="483">
        <f>'[2]прил 7'!D73-I762</f>
        <v>-898231865.89999998</v>
      </c>
      <c r="J774" s="529">
        <f>'[2]прил 7'!E73-J762</f>
        <v>-1010902906.0700001</v>
      </c>
    </row>
    <row r="775" spans="1:12" x14ac:dyDescent="0.3">
      <c r="C775" s="474" t="s">
        <v>8</v>
      </c>
      <c r="D775" s="557"/>
      <c r="G775" s="528">
        <f>G8+G30++G513+G738</f>
        <v>123659726.01000001</v>
      </c>
      <c r="I775" s="481">
        <f>I8+I30++I513+I738</f>
        <v>114096497.84</v>
      </c>
      <c r="J775" s="528">
        <f>J8+J30++J513+J738</f>
        <v>146411626.30000001</v>
      </c>
    </row>
    <row r="776" spans="1:12" x14ac:dyDescent="0.3">
      <c r="C776" s="474" t="s">
        <v>26</v>
      </c>
      <c r="D776" s="557"/>
      <c r="G776" s="528">
        <f>G162</f>
        <v>1626656</v>
      </c>
      <c r="I776" s="481">
        <f>I162</f>
        <v>1700240</v>
      </c>
      <c r="J776" s="528">
        <f>J162</f>
        <v>1951380</v>
      </c>
    </row>
    <row r="777" spans="1:12" x14ac:dyDescent="0.3">
      <c r="C777" s="474" t="s">
        <v>42</v>
      </c>
      <c r="D777" s="557"/>
      <c r="G777" s="528">
        <f>G172</f>
        <v>991747.04</v>
      </c>
      <c r="I777" s="481">
        <f>I172</f>
        <v>400000</v>
      </c>
      <c r="J777" s="528">
        <f>J172</f>
        <v>1805000</v>
      </c>
    </row>
    <row r="778" spans="1:12" x14ac:dyDescent="0.3">
      <c r="C778" s="474" t="s">
        <v>46</v>
      </c>
      <c r="D778" s="557"/>
      <c r="G778" s="528">
        <f>G183</f>
        <v>29220883.93</v>
      </c>
      <c r="I778" s="481">
        <f>I183</f>
        <v>14114514.17</v>
      </c>
      <c r="J778" s="528">
        <f>J183</f>
        <v>16168133.93</v>
      </c>
    </row>
    <row r="779" spans="1:12" x14ac:dyDescent="0.3">
      <c r="C779" s="474" t="s">
        <v>55</v>
      </c>
      <c r="D779" s="557"/>
      <c r="G779" s="528">
        <f>G228</f>
        <v>126974379.52000001</v>
      </c>
      <c r="I779" s="481">
        <f>I228</f>
        <v>48705734.209999993</v>
      </c>
      <c r="J779" s="528">
        <f>J228</f>
        <v>62901864.480000004</v>
      </c>
    </row>
    <row r="780" spans="1:12" x14ac:dyDescent="0.3">
      <c r="C780" s="474" t="s">
        <v>65</v>
      </c>
      <c r="D780" s="557"/>
      <c r="G780" s="528">
        <f>G333</f>
        <v>555000</v>
      </c>
      <c r="I780" s="481">
        <f>I333</f>
        <v>515000</v>
      </c>
      <c r="J780" s="528">
        <f>J333</f>
        <v>515000</v>
      </c>
    </row>
    <row r="781" spans="1:12" x14ac:dyDescent="0.3">
      <c r="C781" s="474" t="s">
        <v>70</v>
      </c>
      <c r="D781" s="557"/>
      <c r="G781" s="528">
        <f>G349+G550</f>
        <v>657541021.93000007</v>
      </c>
      <c r="I781" s="481">
        <f>I349+I550</f>
        <v>604016307.83999991</v>
      </c>
      <c r="J781" s="528">
        <f>J349+J550</f>
        <v>633374359.88999999</v>
      </c>
    </row>
    <row r="782" spans="1:12" x14ac:dyDescent="0.3">
      <c r="C782" s="474" t="s">
        <v>80</v>
      </c>
      <c r="D782" s="557"/>
      <c r="G782" s="528">
        <f>G370</f>
        <v>41452318.13000001</v>
      </c>
      <c r="I782" s="481">
        <f>I370</f>
        <v>39865848.490000002</v>
      </c>
      <c r="J782" s="528">
        <f>J370</f>
        <v>43853738.420000002</v>
      </c>
    </row>
    <row r="783" spans="1:12" x14ac:dyDescent="0.3">
      <c r="C783" s="474" t="s">
        <v>86</v>
      </c>
      <c r="D783" s="557"/>
      <c r="G783" s="530">
        <f>G421+G701</f>
        <v>58858914.619999997</v>
      </c>
      <c r="H783" s="486"/>
      <c r="I783" s="485">
        <f>I421+I701</f>
        <v>69985693.950000003</v>
      </c>
      <c r="J783" s="530">
        <f>J421+J701</f>
        <v>96001620.789999992</v>
      </c>
    </row>
    <row r="784" spans="1:12" x14ac:dyDescent="0.3">
      <c r="C784" s="474" t="s">
        <v>101</v>
      </c>
      <c r="D784" s="557"/>
      <c r="G784" s="528">
        <f>G457+G717</f>
        <v>13240870.23</v>
      </c>
      <c r="I784" s="481">
        <f>I457+I717</f>
        <v>2332029.4</v>
      </c>
      <c r="J784" s="528">
        <f>J457+J717</f>
        <v>4563182.26</v>
      </c>
    </row>
    <row r="785" spans="1:13" x14ac:dyDescent="0.3">
      <c r="C785" s="474" t="s">
        <v>104</v>
      </c>
      <c r="G785" s="528">
        <f>G505</f>
        <v>3357000</v>
      </c>
      <c r="I785" s="481">
        <f>I505</f>
        <v>2500000</v>
      </c>
      <c r="J785" s="528">
        <f>J505</f>
        <v>3357000</v>
      </c>
    </row>
    <row r="786" spans="1:13" x14ac:dyDescent="0.3">
      <c r="A786" s="487"/>
      <c r="G786" s="531">
        <f>SUBTOTAL(9,G775:G785)</f>
        <v>1057478517.4100001</v>
      </c>
      <c r="H786" s="489"/>
      <c r="I786" s="488">
        <f>SUBTOTAL(9,I775:I785)</f>
        <v>898231865.89999998</v>
      </c>
      <c r="J786" s="531">
        <f>SUBTOTAL(9,J775:J785)</f>
        <v>1010902906.0699999</v>
      </c>
    </row>
    <row r="788" spans="1:13" x14ac:dyDescent="0.3">
      <c r="D788" s="554" t="s">
        <v>876</v>
      </c>
      <c r="G788" s="528">
        <f>G552+G588+G637+G663+G682+G703+G709</f>
        <v>642938628.35000002</v>
      </c>
      <c r="I788" s="481">
        <f>I552+I588+I637+I663+I682+I703+I709</f>
        <v>584994922.39999998</v>
      </c>
      <c r="J788" s="528">
        <f>J552+J588+J637+J663+J682+J703+J709</f>
        <v>613554295.64999998</v>
      </c>
    </row>
    <row r="789" spans="1:13" x14ac:dyDescent="0.3">
      <c r="D789" s="554" t="s">
        <v>877</v>
      </c>
      <c r="G789" s="532">
        <f>G351+G372+G402</f>
        <v>58376849.760000005</v>
      </c>
      <c r="H789" s="491"/>
      <c r="I789" s="490">
        <f>I351+I372+I402</f>
        <v>59972938.369999997</v>
      </c>
      <c r="J789" s="532">
        <f>J351+J372+J402</f>
        <v>66883507.259999998</v>
      </c>
    </row>
    <row r="790" spans="1:13" x14ac:dyDescent="0.3">
      <c r="D790" s="554" t="s">
        <v>878</v>
      </c>
      <c r="G790" s="532">
        <f>G335</f>
        <v>470000</v>
      </c>
      <c r="H790" s="491"/>
      <c r="I790" s="490">
        <f>I335</f>
        <v>470000</v>
      </c>
      <c r="J790" s="532">
        <f>J335</f>
        <v>470000</v>
      </c>
    </row>
    <row r="791" spans="1:13" x14ac:dyDescent="0.3">
      <c r="D791" s="554" t="s">
        <v>879</v>
      </c>
      <c r="G791" s="528">
        <f>G459+G719</f>
        <v>13190870.23</v>
      </c>
      <c r="I791" s="481">
        <f>I459+I719</f>
        <v>2282029.4</v>
      </c>
      <c r="J791" s="528">
        <f>J459+J719</f>
        <v>4513182.26</v>
      </c>
    </row>
    <row r="792" spans="1:13" x14ac:dyDescent="0.3">
      <c r="D792" s="554" t="s">
        <v>880</v>
      </c>
      <c r="G792" s="528">
        <f>G428</f>
        <v>150000</v>
      </c>
      <c r="I792" s="481">
        <f>I428</f>
        <v>150000</v>
      </c>
      <c r="J792" s="528">
        <f>J428</f>
        <v>150000</v>
      </c>
    </row>
    <row r="793" spans="1:13" x14ac:dyDescent="0.3">
      <c r="D793" s="554" t="s">
        <v>881</v>
      </c>
      <c r="G793" s="528">
        <f>G19+G60+G535</f>
        <v>23565855</v>
      </c>
      <c r="I793" s="481">
        <f>I19+I60+I535</f>
        <v>25122401.030000001</v>
      </c>
      <c r="J793" s="528">
        <f>J19+J60+J535</f>
        <v>26677664</v>
      </c>
    </row>
    <row r="794" spans="1:13" x14ac:dyDescent="0.3">
      <c r="D794" s="554" t="s">
        <v>882</v>
      </c>
      <c r="G794" s="528">
        <f>G241+G273+G325</f>
        <v>69475792.460000008</v>
      </c>
      <c r="I794" s="481">
        <f>I241+I273+I325</f>
        <v>17293288.939999998</v>
      </c>
      <c r="J794" s="528">
        <f>J241+J273+J325</f>
        <v>37812108.920000002</v>
      </c>
    </row>
    <row r="795" spans="1:13" x14ac:dyDescent="0.3">
      <c r="D795" s="554" t="s">
        <v>883</v>
      </c>
      <c r="G795" s="528">
        <f>G85</f>
        <v>50000</v>
      </c>
      <c r="I795" s="481">
        <f>I85</f>
        <v>50000</v>
      </c>
      <c r="J795" s="528">
        <f>J85</f>
        <v>50000</v>
      </c>
    </row>
    <row r="796" spans="1:13" x14ac:dyDescent="0.3">
      <c r="D796" s="554" t="s">
        <v>884</v>
      </c>
      <c r="G796" s="528">
        <f>G214</f>
        <v>100000</v>
      </c>
      <c r="I796" s="481">
        <f>I214</f>
        <v>100000</v>
      </c>
      <c r="J796" s="528">
        <f>J214</f>
        <v>100000</v>
      </c>
    </row>
    <row r="797" spans="1:13" s="392" customFormat="1" x14ac:dyDescent="0.3">
      <c r="A797" s="419"/>
      <c r="B797" s="420"/>
      <c r="C797" s="420"/>
      <c r="D797" s="554" t="s">
        <v>885</v>
      </c>
      <c r="E797" s="500"/>
      <c r="F797" s="500"/>
      <c r="G797" s="528">
        <f>G433</f>
        <v>1276800</v>
      </c>
      <c r="H797" s="482"/>
      <c r="I797" s="481">
        <f>I433</f>
        <v>735609.95</v>
      </c>
      <c r="J797" s="528">
        <f>J433</f>
        <v>734438.26</v>
      </c>
      <c r="K797" s="501"/>
      <c r="L797" s="391"/>
      <c r="M797" s="495"/>
    </row>
    <row r="798" spans="1:13" s="392" customFormat="1" x14ac:dyDescent="0.3">
      <c r="A798" s="419"/>
      <c r="B798" s="420"/>
      <c r="C798" s="420"/>
      <c r="D798" s="554" t="s">
        <v>886</v>
      </c>
      <c r="E798" s="500"/>
      <c r="F798" s="500"/>
      <c r="G798" s="528">
        <f>G24+G90+G507</f>
        <v>5979054</v>
      </c>
      <c r="H798" s="482"/>
      <c r="I798" s="481">
        <f>I24+I90+I507</f>
        <v>4521373.5</v>
      </c>
      <c r="J798" s="528">
        <f>J24+J90+J507</f>
        <v>11050226</v>
      </c>
      <c r="K798" s="501"/>
      <c r="L798" s="391"/>
      <c r="M798" s="495"/>
    </row>
    <row r="799" spans="1:13" s="392" customFormat="1" x14ac:dyDescent="0.3">
      <c r="A799" s="419"/>
      <c r="B799" s="420"/>
      <c r="C799" s="420"/>
      <c r="D799" s="554" t="s">
        <v>887</v>
      </c>
      <c r="E799" s="500"/>
      <c r="F799" s="500"/>
      <c r="G799" s="528">
        <f>G202</f>
        <v>24051150</v>
      </c>
      <c r="H799" s="482"/>
      <c r="I799" s="481">
        <f>I202</f>
        <v>13157000</v>
      </c>
      <c r="J799" s="528">
        <f>J202</f>
        <v>13057000</v>
      </c>
      <c r="K799" s="501"/>
      <c r="L799" s="391"/>
      <c r="M799" s="495"/>
    </row>
    <row r="800" spans="1:13" s="392" customFormat="1" x14ac:dyDescent="0.3">
      <c r="A800" s="419"/>
      <c r="B800" s="420"/>
      <c r="C800" s="420"/>
      <c r="D800" s="554" t="s">
        <v>888</v>
      </c>
      <c r="E800" s="500"/>
      <c r="F800" s="500"/>
      <c r="G800" s="528">
        <f>G344</f>
        <v>85000</v>
      </c>
      <c r="H800" s="482"/>
      <c r="I800" s="481">
        <f>I344</f>
        <v>45000</v>
      </c>
      <c r="J800" s="528">
        <f>J344</f>
        <v>45000</v>
      </c>
      <c r="K800" s="501"/>
      <c r="L800" s="391"/>
      <c r="M800" s="495"/>
    </row>
    <row r="801" spans="1:13" s="392" customFormat="1" x14ac:dyDescent="0.3">
      <c r="A801" s="419"/>
      <c r="B801" s="420"/>
      <c r="C801" s="420"/>
      <c r="D801" s="554" t="s">
        <v>889</v>
      </c>
      <c r="E801" s="500"/>
      <c r="F801" s="500"/>
      <c r="G801" s="528">
        <f>G219</f>
        <v>3843600</v>
      </c>
      <c r="H801" s="482"/>
      <c r="I801" s="481">
        <f>I219</f>
        <v>430000</v>
      </c>
      <c r="J801" s="528">
        <f>J219</f>
        <v>1785000</v>
      </c>
      <c r="K801" s="501"/>
      <c r="L801" s="391"/>
      <c r="M801" s="495"/>
    </row>
    <row r="802" spans="1:13" s="392" customFormat="1" x14ac:dyDescent="0.3">
      <c r="A802" s="419"/>
      <c r="B802" s="420"/>
      <c r="C802" s="420"/>
      <c r="D802" s="554" t="s">
        <v>890</v>
      </c>
      <c r="E802" s="500"/>
      <c r="F802" s="500"/>
      <c r="G802" s="528">
        <f>G98+G230+G413</f>
        <v>10156930.949999999</v>
      </c>
      <c r="H802" s="482"/>
      <c r="I802" s="481">
        <f>I98+I230+I413</f>
        <v>7503364.5600000005</v>
      </c>
      <c r="J802" s="528">
        <f>J98+J230+J413</f>
        <v>8483649.4000000004</v>
      </c>
      <c r="K802" s="501"/>
      <c r="L802" s="391"/>
      <c r="M802" s="495"/>
    </row>
    <row r="803" spans="1:13" s="392" customFormat="1" x14ac:dyDescent="0.3">
      <c r="A803" s="419"/>
      <c r="B803" s="420"/>
      <c r="C803" s="420"/>
      <c r="D803" s="554" t="s">
        <v>895</v>
      </c>
      <c r="E803" s="500"/>
      <c r="F803" s="500"/>
      <c r="G803" s="528">
        <f>G196</f>
        <v>100000</v>
      </c>
      <c r="H803" s="482"/>
      <c r="I803" s="481">
        <f>I196</f>
        <v>100000</v>
      </c>
      <c r="J803" s="528">
        <f>J196</f>
        <v>100000</v>
      </c>
      <c r="K803" s="501"/>
      <c r="L803" s="391"/>
      <c r="M803" s="495"/>
    </row>
    <row r="804" spans="1:13" s="392" customFormat="1" x14ac:dyDescent="0.3">
      <c r="A804" s="419"/>
      <c r="B804" s="420"/>
      <c r="C804" s="420"/>
      <c r="D804" s="554" t="s">
        <v>891</v>
      </c>
      <c r="E804" s="500"/>
      <c r="F804" s="500"/>
      <c r="G804" s="528">
        <f>G500</f>
        <v>50000</v>
      </c>
      <c r="H804" s="482"/>
      <c r="I804" s="481">
        <f>I500</f>
        <v>50000</v>
      </c>
      <c r="J804" s="528">
        <f>J500</f>
        <v>50000</v>
      </c>
      <c r="K804" s="501"/>
      <c r="L804" s="391"/>
      <c r="M804" s="495"/>
    </row>
    <row r="805" spans="1:13" s="392" customFormat="1" x14ac:dyDescent="0.3">
      <c r="A805" s="419"/>
      <c r="B805" s="420"/>
      <c r="C805" s="420"/>
      <c r="D805" s="554" t="s">
        <v>892</v>
      </c>
      <c r="E805" s="500"/>
      <c r="F805" s="500"/>
      <c r="G805" s="528">
        <f>G287</f>
        <v>37602759.850000001</v>
      </c>
      <c r="H805" s="482"/>
      <c r="I805" s="481">
        <f>I287</f>
        <v>8938369</v>
      </c>
      <c r="J805" s="528">
        <f>J287</f>
        <v>9414506.0600000005</v>
      </c>
      <c r="K805" s="501"/>
      <c r="L805" s="391"/>
      <c r="M805" s="495"/>
    </row>
    <row r="806" spans="1:13" s="392" customFormat="1" x14ac:dyDescent="0.3">
      <c r="A806" s="419"/>
      <c r="B806" s="420"/>
      <c r="C806" s="420"/>
      <c r="D806" s="554" t="s">
        <v>893</v>
      </c>
      <c r="E806" s="500"/>
      <c r="F806" s="500"/>
      <c r="G806" s="528">
        <f>G304</f>
        <v>15345827.210000001</v>
      </c>
      <c r="H806" s="482"/>
      <c r="I806" s="481">
        <f>I304</f>
        <v>19974076.27</v>
      </c>
      <c r="J806" s="528">
        <f>J304</f>
        <v>13175249.5</v>
      </c>
      <c r="K806" s="501"/>
      <c r="L806" s="391"/>
      <c r="M806" s="495"/>
    </row>
    <row r="807" spans="1:13" s="392" customFormat="1" x14ac:dyDescent="0.3">
      <c r="A807" s="419"/>
      <c r="B807" s="420"/>
      <c r="C807" s="420"/>
      <c r="D807" s="554" t="s">
        <v>977</v>
      </c>
      <c r="E807" s="500"/>
      <c r="F807" s="500"/>
      <c r="G807" s="528">
        <v>50000</v>
      </c>
      <c r="H807" s="482"/>
      <c r="I807" s="481"/>
      <c r="J807" s="528"/>
      <c r="K807" s="501"/>
      <c r="L807" s="391"/>
      <c r="M807" s="495"/>
    </row>
    <row r="808" spans="1:13" s="392" customFormat="1" x14ac:dyDescent="0.3">
      <c r="A808" s="419"/>
      <c r="B808" s="420"/>
      <c r="C808" s="420"/>
      <c r="D808" s="554" t="s">
        <v>894</v>
      </c>
      <c r="E808" s="500"/>
      <c r="F808" s="500"/>
      <c r="G808" s="528">
        <f>G10+G32+G37+G44+G50+G55+G110+G164+G174+G179+G185+G191+G235+G423+G438+G443+G515+G530+G540+G740</f>
        <v>150619399.59999999</v>
      </c>
      <c r="H808" s="482"/>
      <c r="I808" s="481">
        <f>I10+I32+I37+I44+I50+I55+I110+I164+I174+I179+I185+I191+I235+I423+I438+I443+I515+I530+I540+I740</f>
        <v>152341492.47999999</v>
      </c>
      <c r="J808" s="528">
        <f>J10+J32+J37+J44+J50+J55+J110+J164+J174+J179+J185+J191+J235+J423+J438+J443+J515+J530+J540+J740</f>
        <v>202526768.75999999</v>
      </c>
      <c r="K808" s="501"/>
      <c r="L808" s="391"/>
      <c r="M808" s="495"/>
    </row>
    <row r="809" spans="1:13" s="392" customFormat="1" x14ac:dyDescent="0.3">
      <c r="A809" s="419"/>
      <c r="B809" s="420"/>
      <c r="C809" s="420"/>
      <c r="D809" s="500"/>
      <c r="E809" s="500"/>
      <c r="F809" s="500"/>
      <c r="G809" s="531">
        <f>SUBTOTAL(9,G788:G808)</f>
        <v>1057478517.4100002</v>
      </c>
      <c r="H809" s="489"/>
      <c r="I809" s="488">
        <f>SUBTOTAL(9,I788:I808)</f>
        <v>898231865.89999986</v>
      </c>
      <c r="J809" s="531">
        <f>SUBTOTAL(9,J788:J808)</f>
        <v>1010632596.0699998</v>
      </c>
      <c r="K809" s="501"/>
      <c r="L809" s="391"/>
      <c r="M809" s="495"/>
    </row>
    <row r="810" spans="1:13" s="392" customFormat="1" x14ac:dyDescent="0.3">
      <c r="A810" s="419"/>
      <c r="B810" s="420" t="s">
        <v>896</v>
      </c>
      <c r="C810" s="420"/>
      <c r="D810" s="500"/>
      <c r="E810" s="500"/>
      <c r="F810" s="500"/>
      <c r="G810" s="531">
        <f>G426+G449</f>
        <v>25582766.18</v>
      </c>
      <c r="H810" s="489"/>
      <c r="I810" s="488">
        <f>I426+I449</f>
        <v>25861130.34</v>
      </c>
      <c r="J810" s="531">
        <f>J426+J449</f>
        <v>39431638.340000004</v>
      </c>
      <c r="K810" s="501"/>
      <c r="L810" s="391"/>
      <c r="M810" s="495"/>
    </row>
    <row r="812" spans="1:13" s="392" customFormat="1" x14ac:dyDescent="0.3">
      <c r="A812" s="419"/>
      <c r="B812" s="420" t="s">
        <v>774</v>
      </c>
      <c r="C812" s="420"/>
      <c r="D812" s="500"/>
      <c r="E812" s="500"/>
      <c r="F812" s="500"/>
      <c r="G812" s="528">
        <f>G11+G33+G38+G51+G114+G516+G519+G526+G684+G741+G744</f>
        <v>79038115.810000002</v>
      </c>
      <c r="H812" s="482"/>
      <c r="I812" s="481"/>
      <c r="J812" s="528"/>
      <c r="K812" s="501"/>
      <c r="L812" s="391"/>
      <c r="M812" s="495"/>
    </row>
    <row r="813" spans="1:13" s="482" customFormat="1" x14ac:dyDescent="0.3">
      <c r="A813" s="487" t="s">
        <v>775</v>
      </c>
      <c r="B813" s="420"/>
      <c r="C813" s="492">
        <v>25.55</v>
      </c>
      <c r="D813" s="500"/>
      <c r="E813" s="500"/>
      <c r="F813" s="500"/>
      <c r="G813" s="528">
        <f>'[2]прил 7'!C14*25.55%</f>
        <v>108068996.42234501</v>
      </c>
      <c r="I813" s="481"/>
      <c r="J813" s="528"/>
      <c r="K813" s="501"/>
      <c r="L813" s="391"/>
      <c r="M813" s="497"/>
    </row>
    <row r="814" spans="1:13" s="482" customFormat="1" x14ac:dyDescent="0.3">
      <c r="A814" s="487" t="s">
        <v>776</v>
      </c>
      <c r="B814" s="420"/>
      <c r="C814" s="420"/>
      <c r="D814" s="500"/>
      <c r="E814" s="500"/>
      <c r="F814" s="500"/>
      <c r="G814" s="528">
        <v>2136400</v>
      </c>
      <c r="I814" s="481"/>
      <c r="J814" s="528"/>
      <c r="K814" s="501"/>
      <c r="L814" s="391"/>
      <c r="M814" s="497"/>
    </row>
    <row r="815" spans="1:13" s="482" customFormat="1" x14ac:dyDescent="0.3">
      <c r="A815" s="487" t="s">
        <v>969</v>
      </c>
      <c r="B815" s="420"/>
      <c r="C815" s="420"/>
      <c r="D815" s="500"/>
      <c r="E815" s="500"/>
      <c r="F815" s="500"/>
      <c r="G815" s="528">
        <v>2136400</v>
      </c>
      <c r="I815" s="481"/>
      <c r="J815" s="528"/>
      <c r="K815" s="501"/>
      <c r="L815" s="391"/>
      <c r="M815" s="497"/>
    </row>
  </sheetData>
  <autoFilter ref="A6:M770"/>
  <mergeCells count="3">
    <mergeCell ref="A2:G2"/>
    <mergeCell ref="A3:G3"/>
    <mergeCell ref="A4:G4"/>
  </mergeCells>
  <pageMargins left="0.25" right="0.25" top="0.75" bottom="0.75" header="0.3" footer="0.3"/>
  <pageSetup paperSize="9" scale="54" fitToHeight="0" orientation="portrait" r:id="rId1"/>
  <rowBreaks count="3" manualBreakCount="3">
    <brk id="110" max="12" man="1"/>
    <brk id="170" max="12" man="1"/>
    <brk id="542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815"/>
  <sheetViews>
    <sheetView topLeftCell="A755" zoomScaleNormal="100" zoomScaleSheetLayoutView="90" workbookViewId="0">
      <selection activeCell="D227" sqref="D227:E227"/>
    </sheetView>
  </sheetViews>
  <sheetFormatPr defaultRowHeight="17" outlineLevelRow="7" x14ac:dyDescent="0.3"/>
  <cols>
    <col min="1" max="1" width="59.625" style="419" customWidth="1"/>
    <col min="2" max="2" width="6.375" style="420" customWidth="1"/>
    <col min="3" max="3" width="8" style="420" customWidth="1"/>
    <col min="4" max="4" width="15.875" style="500" customWidth="1"/>
    <col min="5" max="5" width="6.875" style="500" customWidth="1"/>
    <col min="6" max="6" width="19.75" style="500" hidden="1" customWidth="1"/>
    <col min="7" max="7" width="17" style="528" customWidth="1"/>
    <col min="8" max="8" width="18.75" style="482" hidden="1" customWidth="1"/>
    <col min="9" max="9" width="20" style="481" hidden="1" customWidth="1"/>
    <col min="10" max="10" width="17.75" style="528" customWidth="1"/>
    <col min="11" max="11" width="21.375" style="501" customWidth="1"/>
    <col min="12" max="12" width="16.375" style="391" customWidth="1"/>
    <col min="13" max="13" width="11.125" style="495" customWidth="1"/>
    <col min="14" max="239" width="9" style="391"/>
    <col min="240" max="240" width="75.875" style="391" customWidth="1"/>
    <col min="241" max="242" width="7.625" style="391" customWidth="1"/>
    <col min="243" max="243" width="9.625" style="391" customWidth="1"/>
    <col min="244" max="244" width="7.625" style="391" customWidth="1"/>
    <col min="245" max="248" width="0" style="391" hidden="1" customWidth="1"/>
    <col min="249" max="249" width="14.375" style="391" customWidth="1"/>
    <col min="250" max="255" width="0" style="391" hidden="1" customWidth="1"/>
    <col min="256" max="256" width="10.125" style="391" bestFit="1" customWidth="1"/>
    <col min="257" max="495" width="9" style="391"/>
    <col min="496" max="496" width="75.875" style="391" customWidth="1"/>
    <col min="497" max="498" width="7.625" style="391" customWidth="1"/>
    <col min="499" max="499" width="9.625" style="391" customWidth="1"/>
    <col min="500" max="500" width="7.625" style="391" customWidth="1"/>
    <col min="501" max="504" width="0" style="391" hidden="1" customWidth="1"/>
    <col min="505" max="505" width="14.375" style="391" customWidth="1"/>
    <col min="506" max="511" width="0" style="391" hidden="1" customWidth="1"/>
    <col min="512" max="512" width="10.125" style="391" bestFit="1" customWidth="1"/>
    <col min="513" max="751" width="9" style="391"/>
    <col min="752" max="752" width="75.875" style="391" customWidth="1"/>
    <col min="753" max="754" width="7.625" style="391" customWidth="1"/>
    <col min="755" max="755" width="9.625" style="391" customWidth="1"/>
    <col min="756" max="756" width="7.625" style="391" customWidth="1"/>
    <col min="757" max="760" width="0" style="391" hidden="1" customWidth="1"/>
    <col min="761" max="761" width="14.375" style="391" customWidth="1"/>
    <col min="762" max="767" width="0" style="391" hidden="1" customWidth="1"/>
    <col min="768" max="768" width="10.125" style="391" bestFit="1" customWidth="1"/>
    <col min="769" max="1007" width="9" style="391"/>
    <col min="1008" max="1008" width="75.875" style="391" customWidth="1"/>
    <col min="1009" max="1010" width="7.625" style="391" customWidth="1"/>
    <col min="1011" max="1011" width="9.625" style="391" customWidth="1"/>
    <col min="1012" max="1012" width="7.625" style="391" customWidth="1"/>
    <col min="1013" max="1016" width="0" style="391" hidden="1" customWidth="1"/>
    <col min="1017" max="1017" width="14.375" style="391" customWidth="1"/>
    <col min="1018" max="1023" width="0" style="391" hidden="1" customWidth="1"/>
    <col min="1024" max="1024" width="10.125" style="391" bestFit="1" customWidth="1"/>
    <col min="1025" max="1263" width="9" style="391"/>
    <col min="1264" max="1264" width="75.875" style="391" customWidth="1"/>
    <col min="1265" max="1266" width="7.625" style="391" customWidth="1"/>
    <col min="1267" max="1267" width="9.625" style="391" customWidth="1"/>
    <col min="1268" max="1268" width="7.625" style="391" customWidth="1"/>
    <col min="1269" max="1272" width="0" style="391" hidden="1" customWidth="1"/>
    <col min="1273" max="1273" width="14.375" style="391" customWidth="1"/>
    <col min="1274" max="1279" width="0" style="391" hidden="1" customWidth="1"/>
    <col min="1280" max="1280" width="10.125" style="391" bestFit="1" customWidth="1"/>
    <col min="1281" max="1519" width="9" style="391"/>
    <col min="1520" max="1520" width="75.875" style="391" customWidth="1"/>
    <col min="1521" max="1522" width="7.625" style="391" customWidth="1"/>
    <col min="1523" max="1523" width="9.625" style="391" customWidth="1"/>
    <col min="1524" max="1524" width="7.625" style="391" customWidth="1"/>
    <col min="1525" max="1528" width="0" style="391" hidden="1" customWidth="1"/>
    <col min="1529" max="1529" width="14.375" style="391" customWidth="1"/>
    <col min="1530" max="1535" width="0" style="391" hidden="1" customWidth="1"/>
    <col min="1536" max="1536" width="10.125" style="391" bestFit="1" customWidth="1"/>
    <col min="1537" max="1775" width="9" style="391"/>
    <col min="1776" max="1776" width="75.875" style="391" customWidth="1"/>
    <col min="1777" max="1778" width="7.625" style="391" customWidth="1"/>
    <col min="1779" max="1779" width="9.625" style="391" customWidth="1"/>
    <col min="1780" max="1780" width="7.625" style="391" customWidth="1"/>
    <col min="1781" max="1784" width="0" style="391" hidden="1" customWidth="1"/>
    <col min="1785" max="1785" width="14.375" style="391" customWidth="1"/>
    <col min="1786" max="1791" width="0" style="391" hidden="1" customWidth="1"/>
    <col min="1792" max="1792" width="10.125" style="391" bestFit="1" customWidth="1"/>
    <col min="1793" max="2031" width="9" style="391"/>
    <col min="2032" max="2032" width="75.875" style="391" customWidth="1"/>
    <col min="2033" max="2034" width="7.625" style="391" customWidth="1"/>
    <col min="2035" max="2035" width="9.625" style="391" customWidth="1"/>
    <col min="2036" max="2036" width="7.625" style="391" customWidth="1"/>
    <col min="2037" max="2040" width="0" style="391" hidden="1" customWidth="1"/>
    <col min="2041" max="2041" width="14.375" style="391" customWidth="1"/>
    <col min="2042" max="2047" width="0" style="391" hidden="1" customWidth="1"/>
    <col min="2048" max="2048" width="10.125" style="391" bestFit="1" customWidth="1"/>
    <col min="2049" max="2287" width="9" style="391"/>
    <col min="2288" max="2288" width="75.875" style="391" customWidth="1"/>
    <col min="2289" max="2290" width="7.625" style="391" customWidth="1"/>
    <col min="2291" max="2291" width="9.625" style="391" customWidth="1"/>
    <col min="2292" max="2292" width="7.625" style="391" customWidth="1"/>
    <col min="2293" max="2296" width="0" style="391" hidden="1" customWidth="1"/>
    <col min="2297" max="2297" width="14.375" style="391" customWidth="1"/>
    <col min="2298" max="2303" width="0" style="391" hidden="1" customWidth="1"/>
    <col min="2304" max="2304" width="10.125" style="391" bestFit="1" customWidth="1"/>
    <col min="2305" max="2543" width="9" style="391"/>
    <col min="2544" max="2544" width="75.875" style="391" customWidth="1"/>
    <col min="2545" max="2546" width="7.625" style="391" customWidth="1"/>
    <col min="2547" max="2547" width="9.625" style="391" customWidth="1"/>
    <col min="2548" max="2548" width="7.625" style="391" customWidth="1"/>
    <col min="2549" max="2552" width="0" style="391" hidden="1" customWidth="1"/>
    <col min="2553" max="2553" width="14.375" style="391" customWidth="1"/>
    <col min="2554" max="2559" width="0" style="391" hidden="1" customWidth="1"/>
    <col min="2560" max="2560" width="10.125" style="391" bestFit="1" customWidth="1"/>
    <col min="2561" max="2799" width="9" style="391"/>
    <col min="2800" max="2800" width="75.875" style="391" customWidth="1"/>
    <col min="2801" max="2802" width="7.625" style="391" customWidth="1"/>
    <col min="2803" max="2803" width="9.625" style="391" customWidth="1"/>
    <col min="2804" max="2804" width="7.625" style="391" customWidth="1"/>
    <col min="2805" max="2808" width="0" style="391" hidden="1" customWidth="1"/>
    <col min="2809" max="2809" width="14.375" style="391" customWidth="1"/>
    <col min="2810" max="2815" width="0" style="391" hidden="1" customWidth="1"/>
    <col min="2816" max="2816" width="10.125" style="391" bestFit="1" customWidth="1"/>
    <col min="2817" max="3055" width="9" style="391"/>
    <col min="3056" max="3056" width="75.875" style="391" customWidth="1"/>
    <col min="3057" max="3058" width="7.625" style="391" customWidth="1"/>
    <col min="3059" max="3059" width="9.625" style="391" customWidth="1"/>
    <col min="3060" max="3060" width="7.625" style="391" customWidth="1"/>
    <col min="3061" max="3064" width="0" style="391" hidden="1" customWidth="1"/>
    <col min="3065" max="3065" width="14.375" style="391" customWidth="1"/>
    <col min="3066" max="3071" width="0" style="391" hidden="1" customWidth="1"/>
    <col min="3072" max="3072" width="10.125" style="391" bestFit="1" customWidth="1"/>
    <col min="3073" max="3311" width="9" style="391"/>
    <col min="3312" max="3312" width="75.875" style="391" customWidth="1"/>
    <col min="3313" max="3314" width="7.625" style="391" customWidth="1"/>
    <col min="3315" max="3315" width="9.625" style="391" customWidth="1"/>
    <col min="3316" max="3316" width="7.625" style="391" customWidth="1"/>
    <col min="3317" max="3320" width="0" style="391" hidden="1" customWidth="1"/>
    <col min="3321" max="3321" width="14.375" style="391" customWidth="1"/>
    <col min="3322" max="3327" width="0" style="391" hidden="1" customWidth="1"/>
    <col min="3328" max="3328" width="10.125" style="391" bestFit="1" customWidth="1"/>
    <col min="3329" max="3567" width="9" style="391"/>
    <col min="3568" max="3568" width="75.875" style="391" customWidth="1"/>
    <col min="3569" max="3570" width="7.625" style="391" customWidth="1"/>
    <col min="3571" max="3571" width="9.625" style="391" customWidth="1"/>
    <col min="3572" max="3572" width="7.625" style="391" customWidth="1"/>
    <col min="3573" max="3576" width="0" style="391" hidden="1" customWidth="1"/>
    <col min="3577" max="3577" width="14.375" style="391" customWidth="1"/>
    <col min="3578" max="3583" width="0" style="391" hidden="1" customWidth="1"/>
    <col min="3584" max="3584" width="10.125" style="391" bestFit="1" customWidth="1"/>
    <col min="3585" max="3823" width="9" style="391"/>
    <col min="3824" max="3824" width="75.875" style="391" customWidth="1"/>
    <col min="3825" max="3826" width="7.625" style="391" customWidth="1"/>
    <col min="3827" max="3827" width="9.625" style="391" customWidth="1"/>
    <col min="3828" max="3828" width="7.625" style="391" customWidth="1"/>
    <col min="3829" max="3832" width="0" style="391" hidden="1" customWidth="1"/>
    <col min="3833" max="3833" width="14.375" style="391" customWidth="1"/>
    <col min="3834" max="3839" width="0" style="391" hidden="1" customWidth="1"/>
    <col min="3840" max="3840" width="10.125" style="391" bestFit="1" customWidth="1"/>
    <col min="3841" max="4079" width="9" style="391"/>
    <col min="4080" max="4080" width="75.875" style="391" customWidth="1"/>
    <col min="4081" max="4082" width="7.625" style="391" customWidth="1"/>
    <col min="4083" max="4083" width="9.625" style="391" customWidth="1"/>
    <col min="4084" max="4084" width="7.625" style="391" customWidth="1"/>
    <col min="4085" max="4088" width="0" style="391" hidden="1" customWidth="1"/>
    <col min="4089" max="4089" width="14.375" style="391" customWidth="1"/>
    <col min="4090" max="4095" width="0" style="391" hidden="1" customWidth="1"/>
    <col min="4096" max="4096" width="10.125" style="391" bestFit="1" customWidth="1"/>
    <col min="4097" max="4335" width="9" style="391"/>
    <col min="4336" max="4336" width="75.875" style="391" customWidth="1"/>
    <col min="4337" max="4338" width="7.625" style="391" customWidth="1"/>
    <col min="4339" max="4339" width="9.625" style="391" customWidth="1"/>
    <col min="4340" max="4340" width="7.625" style="391" customWidth="1"/>
    <col min="4341" max="4344" width="0" style="391" hidden="1" customWidth="1"/>
    <col min="4345" max="4345" width="14.375" style="391" customWidth="1"/>
    <col min="4346" max="4351" width="0" style="391" hidden="1" customWidth="1"/>
    <col min="4352" max="4352" width="10.125" style="391" bestFit="1" customWidth="1"/>
    <col min="4353" max="4591" width="9" style="391"/>
    <col min="4592" max="4592" width="75.875" style="391" customWidth="1"/>
    <col min="4593" max="4594" width="7.625" style="391" customWidth="1"/>
    <col min="4595" max="4595" width="9.625" style="391" customWidth="1"/>
    <col min="4596" max="4596" width="7.625" style="391" customWidth="1"/>
    <col min="4597" max="4600" width="0" style="391" hidden="1" customWidth="1"/>
    <col min="4601" max="4601" width="14.375" style="391" customWidth="1"/>
    <col min="4602" max="4607" width="0" style="391" hidden="1" customWidth="1"/>
    <col min="4608" max="4608" width="10.125" style="391" bestFit="1" customWidth="1"/>
    <col min="4609" max="4847" width="9" style="391"/>
    <col min="4848" max="4848" width="75.875" style="391" customWidth="1"/>
    <col min="4849" max="4850" width="7.625" style="391" customWidth="1"/>
    <col min="4851" max="4851" width="9.625" style="391" customWidth="1"/>
    <col min="4852" max="4852" width="7.625" style="391" customWidth="1"/>
    <col min="4853" max="4856" width="0" style="391" hidden="1" customWidth="1"/>
    <col min="4857" max="4857" width="14.375" style="391" customWidth="1"/>
    <col min="4858" max="4863" width="0" style="391" hidden="1" customWidth="1"/>
    <col min="4864" max="4864" width="10.125" style="391" bestFit="1" customWidth="1"/>
    <col min="4865" max="5103" width="9" style="391"/>
    <col min="5104" max="5104" width="75.875" style="391" customWidth="1"/>
    <col min="5105" max="5106" width="7.625" style="391" customWidth="1"/>
    <col min="5107" max="5107" width="9.625" style="391" customWidth="1"/>
    <col min="5108" max="5108" width="7.625" style="391" customWidth="1"/>
    <col min="5109" max="5112" width="0" style="391" hidden="1" customWidth="1"/>
    <col min="5113" max="5113" width="14.375" style="391" customWidth="1"/>
    <col min="5114" max="5119" width="0" style="391" hidden="1" customWidth="1"/>
    <col min="5120" max="5120" width="10.125" style="391" bestFit="1" customWidth="1"/>
    <col min="5121" max="5359" width="9" style="391"/>
    <col min="5360" max="5360" width="75.875" style="391" customWidth="1"/>
    <col min="5361" max="5362" width="7.625" style="391" customWidth="1"/>
    <col min="5363" max="5363" width="9.625" style="391" customWidth="1"/>
    <col min="5364" max="5364" width="7.625" style="391" customWidth="1"/>
    <col min="5365" max="5368" width="0" style="391" hidden="1" customWidth="1"/>
    <col min="5369" max="5369" width="14.375" style="391" customWidth="1"/>
    <col min="5370" max="5375" width="0" style="391" hidden="1" customWidth="1"/>
    <col min="5376" max="5376" width="10.125" style="391" bestFit="1" customWidth="1"/>
    <col min="5377" max="5615" width="9" style="391"/>
    <col min="5616" max="5616" width="75.875" style="391" customWidth="1"/>
    <col min="5617" max="5618" width="7.625" style="391" customWidth="1"/>
    <col min="5619" max="5619" width="9.625" style="391" customWidth="1"/>
    <col min="5620" max="5620" width="7.625" style="391" customWidth="1"/>
    <col min="5621" max="5624" width="0" style="391" hidden="1" customWidth="1"/>
    <col min="5625" max="5625" width="14.375" style="391" customWidth="1"/>
    <col min="5626" max="5631" width="0" style="391" hidden="1" customWidth="1"/>
    <col min="5632" max="5632" width="10.125" style="391" bestFit="1" customWidth="1"/>
    <col min="5633" max="5871" width="9" style="391"/>
    <col min="5872" max="5872" width="75.875" style="391" customWidth="1"/>
    <col min="5873" max="5874" width="7.625" style="391" customWidth="1"/>
    <col min="5875" max="5875" width="9.625" style="391" customWidth="1"/>
    <col min="5876" max="5876" width="7.625" style="391" customWidth="1"/>
    <col min="5877" max="5880" width="0" style="391" hidden="1" customWidth="1"/>
    <col min="5881" max="5881" width="14.375" style="391" customWidth="1"/>
    <col min="5882" max="5887" width="0" style="391" hidden="1" customWidth="1"/>
    <col min="5888" max="5888" width="10.125" style="391" bestFit="1" customWidth="1"/>
    <col min="5889" max="6127" width="9" style="391"/>
    <col min="6128" max="6128" width="75.875" style="391" customWidth="1"/>
    <col min="6129" max="6130" width="7.625" style="391" customWidth="1"/>
    <col min="6131" max="6131" width="9.625" style="391" customWidth="1"/>
    <col min="6132" max="6132" width="7.625" style="391" customWidth="1"/>
    <col min="6133" max="6136" width="0" style="391" hidden="1" customWidth="1"/>
    <col min="6137" max="6137" width="14.375" style="391" customWidth="1"/>
    <col min="6138" max="6143" width="0" style="391" hidden="1" customWidth="1"/>
    <col min="6144" max="6144" width="10.125" style="391" bestFit="1" customWidth="1"/>
    <col min="6145" max="6383" width="9" style="391"/>
    <col min="6384" max="6384" width="75.875" style="391" customWidth="1"/>
    <col min="6385" max="6386" width="7.625" style="391" customWidth="1"/>
    <col min="6387" max="6387" width="9.625" style="391" customWidth="1"/>
    <col min="6388" max="6388" width="7.625" style="391" customWidth="1"/>
    <col min="6389" max="6392" width="0" style="391" hidden="1" customWidth="1"/>
    <col min="6393" max="6393" width="14.375" style="391" customWidth="1"/>
    <col min="6394" max="6399" width="0" style="391" hidden="1" customWidth="1"/>
    <col min="6400" max="6400" width="10.125" style="391" bestFit="1" customWidth="1"/>
    <col min="6401" max="6639" width="9" style="391"/>
    <col min="6640" max="6640" width="75.875" style="391" customWidth="1"/>
    <col min="6641" max="6642" width="7.625" style="391" customWidth="1"/>
    <col min="6643" max="6643" width="9.625" style="391" customWidth="1"/>
    <col min="6644" max="6644" width="7.625" style="391" customWidth="1"/>
    <col min="6645" max="6648" width="0" style="391" hidden="1" customWidth="1"/>
    <col min="6649" max="6649" width="14.375" style="391" customWidth="1"/>
    <col min="6650" max="6655" width="0" style="391" hidden="1" customWidth="1"/>
    <col min="6656" max="6656" width="10.125" style="391" bestFit="1" customWidth="1"/>
    <col min="6657" max="6895" width="9" style="391"/>
    <col min="6896" max="6896" width="75.875" style="391" customWidth="1"/>
    <col min="6897" max="6898" width="7.625" style="391" customWidth="1"/>
    <col min="6899" max="6899" width="9.625" style="391" customWidth="1"/>
    <col min="6900" max="6900" width="7.625" style="391" customWidth="1"/>
    <col min="6901" max="6904" width="0" style="391" hidden="1" customWidth="1"/>
    <col min="6905" max="6905" width="14.375" style="391" customWidth="1"/>
    <col min="6906" max="6911" width="0" style="391" hidden="1" customWidth="1"/>
    <col min="6912" max="6912" width="10.125" style="391" bestFit="1" customWidth="1"/>
    <col min="6913" max="7151" width="9" style="391"/>
    <col min="7152" max="7152" width="75.875" style="391" customWidth="1"/>
    <col min="7153" max="7154" width="7.625" style="391" customWidth="1"/>
    <col min="7155" max="7155" width="9.625" style="391" customWidth="1"/>
    <col min="7156" max="7156" width="7.625" style="391" customWidth="1"/>
    <col min="7157" max="7160" width="0" style="391" hidden="1" customWidth="1"/>
    <col min="7161" max="7161" width="14.375" style="391" customWidth="1"/>
    <col min="7162" max="7167" width="0" style="391" hidden="1" customWidth="1"/>
    <col min="7168" max="7168" width="10.125" style="391" bestFit="1" customWidth="1"/>
    <col min="7169" max="7407" width="9" style="391"/>
    <col min="7408" max="7408" width="75.875" style="391" customWidth="1"/>
    <col min="7409" max="7410" width="7.625" style="391" customWidth="1"/>
    <col min="7411" max="7411" width="9.625" style="391" customWidth="1"/>
    <col min="7412" max="7412" width="7.625" style="391" customWidth="1"/>
    <col min="7413" max="7416" width="0" style="391" hidden="1" customWidth="1"/>
    <col min="7417" max="7417" width="14.375" style="391" customWidth="1"/>
    <col min="7418" max="7423" width="0" style="391" hidden="1" customWidth="1"/>
    <col min="7424" max="7424" width="10.125" style="391" bestFit="1" customWidth="1"/>
    <col min="7425" max="7663" width="9" style="391"/>
    <col min="7664" max="7664" width="75.875" style="391" customWidth="1"/>
    <col min="7665" max="7666" width="7.625" style="391" customWidth="1"/>
    <col min="7667" max="7667" width="9.625" style="391" customWidth="1"/>
    <col min="7668" max="7668" width="7.625" style="391" customWidth="1"/>
    <col min="7669" max="7672" width="0" style="391" hidden="1" customWidth="1"/>
    <col min="7673" max="7673" width="14.375" style="391" customWidth="1"/>
    <col min="7674" max="7679" width="0" style="391" hidden="1" customWidth="1"/>
    <col min="7680" max="7680" width="10.125" style="391" bestFit="1" customWidth="1"/>
    <col min="7681" max="7919" width="9" style="391"/>
    <col min="7920" max="7920" width="75.875" style="391" customWidth="1"/>
    <col min="7921" max="7922" width="7.625" style="391" customWidth="1"/>
    <col min="7923" max="7923" width="9.625" style="391" customWidth="1"/>
    <col min="7924" max="7924" width="7.625" style="391" customWidth="1"/>
    <col min="7925" max="7928" width="0" style="391" hidden="1" customWidth="1"/>
    <col min="7929" max="7929" width="14.375" style="391" customWidth="1"/>
    <col min="7930" max="7935" width="0" style="391" hidden="1" customWidth="1"/>
    <col min="7936" max="7936" width="10.125" style="391" bestFit="1" customWidth="1"/>
    <col min="7937" max="8175" width="9" style="391"/>
    <col min="8176" max="8176" width="75.875" style="391" customWidth="1"/>
    <col min="8177" max="8178" width="7.625" style="391" customWidth="1"/>
    <col min="8179" max="8179" width="9.625" style="391" customWidth="1"/>
    <col min="8180" max="8180" width="7.625" style="391" customWidth="1"/>
    <col min="8181" max="8184" width="0" style="391" hidden="1" customWidth="1"/>
    <col min="8185" max="8185" width="14.375" style="391" customWidth="1"/>
    <col min="8186" max="8191" width="0" style="391" hidden="1" customWidth="1"/>
    <col min="8192" max="8192" width="10.125" style="391" bestFit="1" customWidth="1"/>
    <col min="8193" max="8431" width="9" style="391"/>
    <col min="8432" max="8432" width="75.875" style="391" customWidth="1"/>
    <col min="8433" max="8434" width="7.625" style="391" customWidth="1"/>
    <col min="8435" max="8435" width="9.625" style="391" customWidth="1"/>
    <col min="8436" max="8436" width="7.625" style="391" customWidth="1"/>
    <col min="8437" max="8440" width="0" style="391" hidden="1" customWidth="1"/>
    <col min="8441" max="8441" width="14.375" style="391" customWidth="1"/>
    <col min="8442" max="8447" width="0" style="391" hidden="1" customWidth="1"/>
    <col min="8448" max="8448" width="10.125" style="391" bestFit="1" customWidth="1"/>
    <col min="8449" max="8687" width="9" style="391"/>
    <col min="8688" max="8688" width="75.875" style="391" customWidth="1"/>
    <col min="8689" max="8690" width="7.625" style="391" customWidth="1"/>
    <col min="8691" max="8691" width="9.625" style="391" customWidth="1"/>
    <col min="8692" max="8692" width="7.625" style="391" customWidth="1"/>
    <col min="8693" max="8696" width="0" style="391" hidden="1" customWidth="1"/>
    <col min="8697" max="8697" width="14.375" style="391" customWidth="1"/>
    <col min="8698" max="8703" width="0" style="391" hidden="1" customWidth="1"/>
    <col min="8704" max="8704" width="10.125" style="391" bestFit="1" customWidth="1"/>
    <col min="8705" max="8943" width="9" style="391"/>
    <col min="8944" max="8944" width="75.875" style="391" customWidth="1"/>
    <col min="8945" max="8946" width="7.625" style="391" customWidth="1"/>
    <col min="8947" max="8947" width="9.625" style="391" customWidth="1"/>
    <col min="8948" max="8948" width="7.625" style="391" customWidth="1"/>
    <col min="8949" max="8952" width="0" style="391" hidden="1" customWidth="1"/>
    <col min="8953" max="8953" width="14.375" style="391" customWidth="1"/>
    <col min="8954" max="8959" width="0" style="391" hidden="1" customWidth="1"/>
    <col min="8960" max="8960" width="10.125" style="391" bestFit="1" customWidth="1"/>
    <col min="8961" max="9199" width="9" style="391"/>
    <col min="9200" max="9200" width="75.875" style="391" customWidth="1"/>
    <col min="9201" max="9202" width="7.625" style="391" customWidth="1"/>
    <col min="9203" max="9203" width="9.625" style="391" customWidth="1"/>
    <col min="9204" max="9204" width="7.625" style="391" customWidth="1"/>
    <col min="9205" max="9208" width="0" style="391" hidden="1" customWidth="1"/>
    <col min="9209" max="9209" width="14.375" style="391" customWidth="1"/>
    <col min="9210" max="9215" width="0" style="391" hidden="1" customWidth="1"/>
    <col min="9216" max="9216" width="10.125" style="391" bestFit="1" customWidth="1"/>
    <col min="9217" max="9455" width="9" style="391"/>
    <col min="9456" max="9456" width="75.875" style="391" customWidth="1"/>
    <col min="9457" max="9458" width="7.625" style="391" customWidth="1"/>
    <col min="9459" max="9459" width="9.625" style="391" customWidth="1"/>
    <col min="9460" max="9460" width="7.625" style="391" customWidth="1"/>
    <col min="9461" max="9464" width="0" style="391" hidden="1" customWidth="1"/>
    <col min="9465" max="9465" width="14.375" style="391" customWidth="1"/>
    <col min="9466" max="9471" width="0" style="391" hidden="1" customWidth="1"/>
    <col min="9472" max="9472" width="10.125" style="391" bestFit="1" customWidth="1"/>
    <col min="9473" max="9711" width="9" style="391"/>
    <col min="9712" max="9712" width="75.875" style="391" customWidth="1"/>
    <col min="9713" max="9714" width="7.625" style="391" customWidth="1"/>
    <col min="9715" max="9715" width="9.625" style="391" customWidth="1"/>
    <col min="9716" max="9716" width="7.625" style="391" customWidth="1"/>
    <col min="9717" max="9720" width="0" style="391" hidden="1" customWidth="1"/>
    <col min="9721" max="9721" width="14.375" style="391" customWidth="1"/>
    <col min="9722" max="9727" width="0" style="391" hidden="1" customWidth="1"/>
    <col min="9728" max="9728" width="10.125" style="391" bestFit="1" customWidth="1"/>
    <col min="9729" max="9967" width="9" style="391"/>
    <col min="9968" max="9968" width="75.875" style="391" customWidth="1"/>
    <col min="9969" max="9970" width="7.625" style="391" customWidth="1"/>
    <col min="9971" max="9971" width="9.625" style="391" customWidth="1"/>
    <col min="9972" max="9972" width="7.625" style="391" customWidth="1"/>
    <col min="9973" max="9976" width="0" style="391" hidden="1" customWidth="1"/>
    <col min="9977" max="9977" width="14.375" style="391" customWidth="1"/>
    <col min="9978" max="9983" width="0" style="391" hidden="1" customWidth="1"/>
    <col min="9984" max="9984" width="10.125" style="391" bestFit="1" customWidth="1"/>
    <col min="9985" max="10223" width="9" style="391"/>
    <col min="10224" max="10224" width="75.875" style="391" customWidth="1"/>
    <col min="10225" max="10226" width="7.625" style="391" customWidth="1"/>
    <col min="10227" max="10227" width="9.625" style="391" customWidth="1"/>
    <col min="10228" max="10228" width="7.625" style="391" customWidth="1"/>
    <col min="10229" max="10232" width="0" style="391" hidden="1" customWidth="1"/>
    <col min="10233" max="10233" width="14.375" style="391" customWidth="1"/>
    <col min="10234" max="10239" width="0" style="391" hidden="1" customWidth="1"/>
    <col min="10240" max="10240" width="10.125" style="391" bestFit="1" customWidth="1"/>
    <col min="10241" max="10479" width="9" style="391"/>
    <col min="10480" max="10480" width="75.875" style="391" customWidth="1"/>
    <col min="10481" max="10482" width="7.625" style="391" customWidth="1"/>
    <col min="10483" max="10483" width="9.625" style="391" customWidth="1"/>
    <col min="10484" max="10484" width="7.625" style="391" customWidth="1"/>
    <col min="10485" max="10488" width="0" style="391" hidden="1" customWidth="1"/>
    <col min="10489" max="10489" width="14.375" style="391" customWidth="1"/>
    <col min="10490" max="10495" width="0" style="391" hidden="1" customWidth="1"/>
    <col min="10496" max="10496" width="10.125" style="391" bestFit="1" customWidth="1"/>
    <col min="10497" max="10735" width="9" style="391"/>
    <col min="10736" max="10736" width="75.875" style="391" customWidth="1"/>
    <col min="10737" max="10738" width="7.625" style="391" customWidth="1"/>
    <col min="10739" max="10739" width="9.625" style="391" customWidth="1"/>
    <col min="10740" max="10740" width="7.625" style="391" customWidth="1"/>
    <col min="10741" max="10744" width="0" style="391" hidden="1" customWidth="1"/>
    <col min="10745" max="10745" width="14.375" style="391" customWidth="1"/>
    <col min="10746" max="10751" width="0" style="391" hidden="1" customWidth="1"/>
    <col min="10752" max="10752" width="10.125" style="391" bestFit="1" customWidth="1"/>
    <col min="10753" max="10991" width="9" style="391"/>
    <col min="10992" max="10992" width="75.875" style="391" customWidth="1"/>
    <col min="10993" max="10994" width="7.625" style="391" customWidth="1"/>
    <col min="10995" max="10995" width="9.625" style="391" customWidth="1"/>
    <col min="10996" max="10996" width="7.625" style="391" customWidth="1"/>
    <col min="10997" max="11000" width="0" style="391" hidden="1" customWidth="1"/>
    <col min="11001" max="11001" width="14.375" style="391" customWidth="1"/>
    <col min="11002" max="11007" width="0" style="391" hidden="1" customWidth="1"/>
    <col min="11008" max="11008" width="10.125" style="391" bestFit="1" customWidth="1"/>
    <col min="11009" max="11247" width="9" style="391"/>
    <col min="11248" max="11248" width="75.875" style="391" customWidth="1"/>
    <col min="11249" max="11250" width="7.625" style="391" customWidth="1"/>
    <col min="11251" max="11251" width="9.625" style="391" customWidth="1"/>
    <col min="11252" max="11252" width="7.625" style="391" customWidth="1"/>
    <col min="11253" max="11256" width="0" style="391" hidden="1" customWidth="1"/>
    <col min="11257" max="11257" width="14.375" style="391" customWidth="1"/>
    <col min="11258" max="11263" width="0" style="391" hidden="1" customWidth="1"/>
    <col min="11264" max="11264" width="10.125" style="391" bestFit="1" customWidth="1"/>
    <col min="11265" max="11503" width="9" style="391"/>
    <col min="11504" max="11504" width="75.875" style="391" customWidth="1"/>
    <col min="11505" max="11506" width="7.625" style="391" customWidth="1"/>
    <col min="11507" max="11507" width="9.625" style="391" customWidth="1"/>
    <col min="11508" max="11508" width="7.625" style="391" customWidth="1"/>
    <col min="11509" max="11512" width="0" style="391" hidden="1" customWidth="1"/>
    <col min="11513" max="11513" width="14.375" style="391" customWidth="1"/>
    <col min="11514" max="11519" width="0" style="391" hidden="1" customWidth="1"/>
    <col min="11520" max="11520" width="10.125" style="391" bestFit="1" customWidth="1"/>
    <col min="11521" max="11759" width="9" style="391"/>
    <col min="11760" max="11760" width="75.875" style="391" customWidth="1"/>
    <col min="11761" max="11762" width="7.625" style="391" customWidth="1"/>
    <col min="11763" max="11763" width="9.625" style="391" customWidth="1"/>
    <col min="11764" max="11764" width="7.625" style="391" customWidth="1"/>
    <col min="11765" max="11768" width="0" style="391" hidden="1" customWidth="1"/>
    <col min="11769" max="11769" width="14.375" style="391" customWidth="1"/>
    <col min="11770" max="11775" width="0" style="391" hidden="1" customWidth="1"/>
    <col min="11776" max="11776" width="10.125" style="391" bestFit="1" customWidth="1"/>
    <col min="11777" max="12015" width="9" style="391"/>
    <col min="12016" max="12016" width="75.875" style="391" customWidth="1"/>
    <col min="12017" max="12018" width="7.625" style="391" customWidth="1"/>
    <col min="12019" max="12019" width="9.625" style="391" customWidth="1"/>
    <col min="12020" max="12020" width="7.625" style="391" customWidth="1"/>
    <col min="12021" max="12024" width="0" style="391" hidden="1" customWidth="1"/>
    <col min="12025" max="12025" width="14.375" style="391" customWidth="1"/>
    <col min="12026" max="12031" width="0" style="391" hidden="1" customWidth="1"/>
    <col min="12032" max="12032" width="10.125" style="391" bestFit="1" customWidth="1"/>
    <col min="12033" max="12271" width="9" style="391"/>
    <col min="12272" max="12272" width="75.875" style="391" customWidth="1"/>
    <col min="12273" max="12274" width="7.625" style="391" customWidth="1"/>
    <col min="12275" max="12275" width="9.625" style="391" customWidth="1"/>
    <col min="12276" max="12276" width="7.625" style="391" customWidth="1"/>
    <col min="12277" max="12280" width="0" style="391" hidden="1" customWidth="1"/>
    <col min="12281" max="12281" width="14.375" style="391" customWidth="1"/>
    <col min="12282" max="12287" width="0" style="391" hidden="1" customWidth="1"/>
    <col min="12288" max="12288" width="10.125" style="391" bestFit="1" customWidth="1"/>
    <col min="12289" max="12527" width="9" style="391"/>
    <col min="12528" max="12528" width="75.875" style="391" customWidth="1"/>
    <col min="12529" max="12530" width="7.625" style="391" customWidth="1"/>
    <col min="12531" max="12531" width="9.625" style="391" customWidth="1"/>
    <col min="12532" max="12532" width="7.625" style="391" customWidth="1"/>
    <col min="12533" max="12536" width="0" style="391" hidden="1" customWidth="1"/>
    <col min="12537" max="12537" width="14.375" style="391" customWidth="1"/>
    <col min="12538" max="12543" width="0" style="391" hidden="1" customWidth="1"/>
    <col min="12544" max="12544" width="10.125" style="391" bestFit="1" customWidth="1"/>
    <col min="12545" max="12783" width="9" style="391"/>
    <col min="12784" max="12784" width="75.875" style="391" customWidth="1"/>
    <col min="12785" max="12786" width="7.625" style="391" customWidth="1"/>
    <col min="12787" max="12787" width="9.625" style="391" customWidth="1"/>
    <col min="12788" max="12788" width="7.625" style="391" customWidth="1"/>
    <col min="12789" max="12792" width="0" style="391" hidden="1" customWidth="1"/>
    <col min="12793" max="12793" width="14.375" style="391" customWidth="1"/>
    <col min="12794" max="12799" width="0" style="391" hidden="1" customWidth="1"/>
    <col min="12800" max="12800" width="10.125" style="391" bestFit="1" customWidth="1"/>
    <col min="12801" max="13039" width="9" style="391"/>
    <col min="13040" max="13040" width="75.875" style="391" customWidth="1"/>
    <col min="13041" max="13042" width="7.625" style="391" customWidth="1"/>
    <col min="13043" max="13043" width="9.625" style="391" customWidth="1"/>
    <col min="13044" max="13044" width="7.625" style="391" customWidth="1"/>
    <col min="13045" max="13048" width="0" style="391" hidden="1" customWidth="1"/>
    <col min="13049" max="13049" width="14.375" style="391" customWidth="1"/>
    <col min="13050" max="13055" width="0" style="391" hidden="1" customWidth="1"/>
    <col min="13056" max="13056" width="10.125" style="391" bestFit="1" customWidth="1"/>
    <col min="13057" max="13295" width="9" style="391"/>
    <col min="13296" max="13296" width="75.875" style="391" customWidth="1"/>
    <col min="13297" max="13298" width="7.625" style="391" customWidth="1"/>
    <col min="13299" max="13299" width="9.625" style="391" customWidth="1"/>
    <col min="13300" max="13300" width="7.625" style="391" customWidth="1"/>
    <col min="13301" max="13304" width="0" style="391" hidden="1" customWidth="1"/>
    <col min="13305" max="13305" width="14.375" style="391" customWidth="1"/>
    <col min="13306" max="13311" width="0" style="391" hidden="1" customWidth="1"/>
    <col min="13312" max="13312" width="10.125" style="391" bestFit="1" customWidth="1"/>
    <col min="13313" max="13551" width="9" style="391"/>
    <col min="13552" max="13552" width="75.875" style="391" customWidth="1"/>
    <col min="13553" max="13554" width="7.625" style="391" customWidth="1"/>
    <col min="13555" max="13555" width="9.625" style="391" customWidth="1"/>
    <col min="13556" max="13556" width="7.625" style="391" customWidth="1"/>
    <col min="13557" max="13560" width="0" style="391" hidden="1" customWidth="1"/>
    <col min="13561" max="13561" width="14.375" style="391" customWidth="1"/>
    <col min="13562" max="13567" width="0" style="391" hidden="1" customWidth="1"/>
    <col min="13568" max="13568" width="10.125" style="391" bestFit="1" customWidth="1"/>
    <col min="13569" max="13807" width="9" style="391"/>
    <col min="13808" max="13808" width="75.875" style="391" customWidth="1"/>
    <col min="13809" max="13810" width="7.625" style="391" customWidth="1"/>
    <col min="13811" max="13811" width="9.625" style="391" customWidth="1"/>
    <col min="13812" max="13812" width="7.625" style="391" customWidth="1"/>
    <col min="13813" max="13816" width="0" style="391" hidden="1" customWidth="1"/>
    <col min="13817" max="13817" width="14.375" style="391" customWidth="1"/>
    <col min="13818" max="13823" width="0" style="391" hidden="1" customWidth="1"/>
    <col min="13824" max="13824" width="10.125" style="391" bestFit="1" customWidth="1"/>
    <col min="13825" max="14063" width="9" style="391"/>
    <col min="14064" max="14064" width="75.875" style="391" customWidth="1"/>
    <col min="14065" max="14066" width="7.625" style="391" customWidth="1"/>
    <col min="14067" max="14067" width="9.625" style="391" customWidth="1"/>
    <col min="14068" max="14068" width="7.625" style="391" customWidth="1"/>
    <col min="14069" max="14072" width="0" style="391" hidden="1" customWidth="1"/>
    <col min="14073" max="14073" width="14.375" style="391" customWidth="1"/>
    <col min="14074" max="14079" width="0" style="391" hidden="1" customWidth="1"/>
    <col min="14080" max="14080" width="10.125" style="391" bestFit="1" customWidth="1"/>
    <col min="14081" max="14319" width="9" style="391"/>
    <col min="14320" max="14320" width="75.875" style="391" customWidth="1"/>
    <col min="14321" max="14322" width="7.625" style="391" customWidth="1"/>
    <col min="14323" max="14323" width="9.625" style="391" customWidth="1"/>
    <col min="14324" max="14324" width="7.625" style="391" customWidth="1"/>
    <col min="14325" max="14328" width="0" style="391" hidden="1" customWidth="1"/>
    <col min="14329" max="14329" width="14.375" style="391" customWidth="1"/>
    <col min="14330" max="14335" width="0" style="391" hidden="1" customWidth="1"/>
    <col min="14336" max="14336" width="10.125" style="391" bestFit="1" customWidth="1"/>
    <col min="14337" max="14575" width="9" style="391"/>
    <col min="14576" max="14576" width="75.875" style="391" customWidth="1"/>
    <col min="14577" max="14578" width="7.625" style="391" customWidth="1"/>
    <col min="14579" max="14579" width="9.625" style="391" customWidth="1"/>
    <col min="14580" max="14580" width="7.625" style="391" customWidth="1"/>
    <col min="14581" max="14584" width="0" style="391" hidden="1" customWidth="1"/>
    <col min="14585" max="14585" width="14.375" style="391" customWidth="1"/>
    <col min="14586" max="14591" width="0" style="391" hidden="1" customWidth="1"/>
    <col min="14592" max="14592" width="10.125" style="391" bestFit="1" customWidth="1"/>
    <col min="14593" max="14831" width="9" style="391"/>
    <col min="14832" max="14832" width="75.875" style="391" customWidth="1"/>
    <col min="14833" max="14834" width="7.625" style="391" customWidth="1"/>
    <col min="14835" max="14835" width="9.625" style="391" customWidth="1"/>
    <col min="14836" max="14836" width="7.625" style="391" customWidth="1"/>
    <col min="14837" max="14840" width="0" style="391" hidden="1" customWidth="1"/>
    <col min="14841" max="14841" width="14.375" style="391" customWidth="1"/>
    <col min="14842" max="14847" width="0" style="391" hidden="1" customWidth="1"/>
    <col min="14848" max="14848" width="10.125" style="391" bestFit="1" customWidth="1"/>
    <col min="14849" max="15087" width="9" style="391"/>
    <col min="15088" max="15088" width="75.875" style="391" customWidth="1"/>
    <col min="15089" max="15090" width="7.625" style="391" customWidth="1"/>
    <col min="15091" max="15091" width="9.625" style="391" customWidth="1"/>
    <col min="15092" max="15092" width="7.625" style="391" customWidth="1"/>
    <col min="15093" max="15096" width="0" style="391" hidden="1" customWidth="1"/>
    <col min="15097" max="15097" width="14.375" style="391" customWidth="1"/>
    <col min="15098" max="15103" width="0" style="391" hidden="1" customWidth="1"/>
    <col min="15104" max="15104" width="10.125" style="391" bestFit="1" customWidth="1"/>
    <col min="15105" max="15343" width="9" style="391"/>
    <col min="15344" max="15344" width="75.875" style="391" customWidth="1"/>
    <col min="15345" max="15346" width="7.625" style="391" customWidth="1"/>
    <col min="15347" max="15347" width="9.625" style="391" customWidth="1"/>
    <col min="15348" max="15348" width="7.625" style="391" customWidth="1"/>
    <col min="15349" max="15352" width="0" style="391" hidden="1" customWidth="1"/>
    <col min="15353" max="15353" width="14.375" style="391" customWidth="1"/>
    <col min="15354" max="15359" width="0" style="391" hidden="1" customWidth="1"/>
    <col min="15360" max="15360" width="10.125" style="391" bestFit="1" customWidth="1"/>
    <col min="15361" max="15599" width="9" style="391"/>
    <col min="15600" max="15600" width="75.875" style="391" customWidth="1"/>
    <col min="15601" max="15602" width="7.625" style="391" customWidth="1"/>
    <col min="15603" max="15603" width="9.625" style="391" customWidth="1"/>
    <col min="15604" max="15604" width="7.625" style="391" customWidth="1"/>
    <col min="15605" max="15608" width="0" style="391" hidden="1" customWidth="1"/>
    <col min="15609" max="15609" width="14.375" style="391" customWidth="1"/>
    <col min="15610" max="15615" width="0" style="391" hidden="1" customWidth="1"/>
    <col min="15616" max="15616" width="10.125" style="391" bestFit="1" customWidth="1"/>
    <col min="15617" max="15855" width="9" style="391"/>
    <col min="15856" max="15856" width="75.875" style="391" customWidth="1"/>
    <col min="15857" max="15858" width="7.625" style="391" customWidth="1"/>
    <col min="15859" max="15859" width="9.625" style="391" customWidth="1"/>
    <col min="15860" max="15860" width="7.625" style="391" customWidth="1"/>
    <col min="15861" max="15864" width="0" style="391" hidden="1" customWidth="1"/>
    <col min="15865" max="15865" width="14.375" style="391" customWidth="1"/>
    <col min="15866" max="15871" width="0" style="391" hidden="1" customWidth="1"/>
    <col min="15872" max="15872" width="10.125" style="391" bestFit="1" customWidth="1"/>
    <col min="15873" max="16111" width="9" style="391"/>
    <col min="16112" max="16112" width="75.875" style="391" customWidth="1"/>
    <col min="16113" max="16114" width="7.625" style="391" customWidth="1"/>
    <col min="16115" max="16115" width="9.625" style="391" customWidth="1"/>
    <col min="16116" max="16116" width="7.625" style="391" customWidth="1"/>
    <col min="16117" max="16120" width="0" style="391" hidden="1" customWidth="1"/>
    <col min="16121" max="16121" width="14.375" style="391" customWidth="1"/>
    <col min="16122" max="16127" width="0" style="391" hidden="1" customWidth="1"/>
    <col min="16128" max="16128" width="10.125" style="391" bestFit="1" customWidth="1"/>
    <col min="16129" max="16384" width="9" style="391"/>
  </cols>
  <sheetData>
    <row r="1" spans="1:13" x14ac:dyDescent="0.3">
      <c r="G1" s="500"/>
      <c r="H1" s="419"/>
      <c r="I1" s="420"/>
      <c r="J1" s="500"/>
      <c r="L1" s="421"/>
    </row>
    <row r="2" spans="1:13" s="425" customFormat="1" x14ac:dyDescent="0.3">
      <c r="A2" s="691" t="s">
        <v>240</v>
      </c>
      <c r="B2" s="691"/>
      <c r="C2" s="691"/>
      <c r="D2" s="691"/>
      <c r="E2" s="691"/>
      <c r="F2" s="691"/>
      <c r="G2" s="691"/>
      <c r="H2" s="422"/>
      <c r="I2" s="423"/>
      <c r="J2" s="502"/>
      <c r="K2" s="503"/>
      <c r="M2" s="496"/>
    </row>
    <row r="3" spans="1:13" s="425" customFormat="1" x14ac:dyDescent="0.3">
      <c r="A3" s="692" t="s">
        <v>965</v>
      </c>
      <c r="B3" s="692"/>
      <c r="C3" s="692"/>
      <c r="D3" s="692"/>
      <c r="E3" s="692"/>
      <c r="F3" s="692"/>
      <c r="G3" s="692"/>
      <c r="H3" s="426"/>
      <c r="I3" s="427"/>
      <c r="J3" s="502"/>
      <c r="K3" s="503"/>
      <c r="M3" s="496"/>
    </row>
    <row r="4" spans="1:13" s="425" customFormat="1" x14ac:dyDescent="0.3">
      <c r="A4" s="692" t="s">
        <v>472</v>
      </c>
      <c r="B4" s="692"/>
      <c r="C4" s="692"/>
      <c r="D4" s="692"/>
      <c r="E4" s="692"/>
      <c r="F4" s="692"/>
      <c r="G4" s="692"/>
      <c r="H4" s="426"/>
      <c r="I4" s="427"/>
      <c r="J4" s="502"/>
      <c r="K4" s="503"/>
      <c r="M4" s="496"/>
    </row>
    <row r="5" spans="1:13" s="425" customFormat="1" x14ac:dyDescent="0.3">
      <c r="A5" s="427"/>
      <c r="B5" s="427"/>
      <c r="C5" s="427"/>
      <c r="D5" s="534"/>
      <c r="E5" s="534"/>
      <c r="F5" s="534"/>
      <c r="G5" s="502" t="s">
        <v>408</v>
      </c>
      <c r="H5" s="428"/>
      <c r="I5" s="424"/>
      <c r="J5" s="502"/>
      <c r="K5" s="503"/>
      <c r="M5" s="496"/>
    </row>
    <row r="6" spans="1:13" ht="50.95" x14ac:dyDescent="0.3">
      <c r="A6" s="429" t="s">
        <v>0</v>
      </c>
      <c r="B6" s="429" t="s">
        <v>1</v>
      </c>
      <c r="C6" s="429" t="s">
        <v>2</v>
      </c>
      <c r="D6" s="535" t="s">
        <v>3</v>
      </c>
      <c r="E6" s="535" t="s">
        <v>4</v>
      </c>
      <c r="F6" s="535" t="s">
        <v>975</v>
      </c>
      <c r="G6" s="536" t="s">
        <v>966</v>
      </c>
      <c r="H6" s="431" t="s">
        <v>979</v>
      </c>
      <c r="I6" s="430" t="s">
        <v>967</v>
      </c>
      <c r="J6" s="504" t="s">
        <v>962</v>
      </c>
      <c r="K6" s="505" t="s">
        <v>963</v>
      </c>
      <c r="L6" s="432"/>
      <c r="M6" s="499"/>
    </row>
    <row r="7" spans="1:13" s="437" customFormat="1" ht="50.95" x14ac:dyDescent="0.3">
      <c r="A7" s="433" t="s">
        <v>493</v>
      </c>
      <c r="B7" s="434" t="s">
        <v>499</v>
      </c>
      <c r="C7" s="434" t="s">
        <v>5</v>
      </c>
      <c r="D7" s="537" t="s">
        <v>126</v>
      </c>
      <c r="E7" s="537" t="s">
        <v>6</v>
      </c>
      <c r="F7" s="538">
        <v>7431987.3099999996</v>
      </c>
      <c r="G7" s="506">
        <f>G8</f>
        <v>7668127.0300000003</v>
      </c>
      <c r="H7" s="368">
        <v>5396024.0800000001</v>
      </c>
      <c r="I7" s="435">
        <f>I8</f>
        <v>8050477.2300000004</v>
      </c>
      <c r="J7" s="506">
        <f>J8</f>
        <v>8752491</v>
      </c>
      <c r="K7" s="506">
        <f>K8</f>
        <v>8252491</v>
      </c>
      <c r="L7" s="436">
        <f>K7-J7</f>
        <v>-500000</v>
      </c>
      <c r="M7" s="498">
        <f>J7/G7%</f>
        <v>114.14118422605213</v>
      </c>
    </row>
    <row r="8" spans="1:13" outlineLevel="1" x14ac:dyDescent="0.3">
      <c r="A8" s="438" t="s">
        <v>7</v>
      </c>
      <c r="B8" s="439" t="s">
        <v>499</v>
      </c>
      <c r="C8" s="439" t="s">
        <v>8</v>
      </c>
      <c r="D8" s="539" t="s">
        <v>126</v>
      </c>
      <c r="E8" s="539" t="s">
        <v>6</v>
      </c>
      <c r="F8" s="540">
        <v>7431987.3099999996</v>
      </c>
      <c r="G8" s="465">
        <f>G9+G18</f>
        <v>7668127.0300000003</v>
      </c>
      <c r="H8" s="367">
        <v>5396024.0800000001</v>
      </c>
      <c r="I8" s="440">
        <f>I9+I18</f>
        <v>8050477.2300000004</v>
      </c>
      <c r="J8" s="465">
        <f>J9+J18</f>
        <v>8752491</v>
      </c>
      <c r="K8" s="465">
        <f>K9+K18</f>
        <v>8252491</v>
      </c>
      <c r="L8" s="436">
        <f t="shared" ref="L8:L71" si="0">K8-J8</f>
        <v>-500000</v>
      </c>
      <c r="M8" s="498">
        <f t="shared" ref="M8:M71" si="1">J8/G8%</f>
        <v>114.14118422605213</v>
      </c>
    </row>
    <row r="9" spans="1:13" ht="39.25" customHeight="1" outlineLevel="2" x14ac:dyDescent="0.3">
      <c r="A9" s="438" t="s">
        <v>9</v>
      </c>
      <c r="B9" s="439" t="s">
        <v>499</v>
      </c>
      <c r="C9" s="439" t="s">
        <v>10</v>
      </c>
      <c r="D9" s="539" t="s">
        <v>126</v>
      </c>
      <c r="E9" s="539" t="s">
        <v>6</v>
      </c>
      <c r="F9" s="540">
        <v>6921278.3099999996</v>
      </c>
      <c r="G9" s="465">
        <f t="shared" ref="G9:K10" si="2">G10</f>
        <v>7132671.0300000003</v>
      </c>
      <c r="H9" s="367">
        <v>5352630.08</v>
      </c>
      <c r="I9" s="440">
        <f t="shared" si="2"/>
        <v>7515021.2300000004</v>
      </c>
      <c r="J9" s="465">
        <f t="shared" si="2"/>
        <v>7594704</v>
      </c>
      <c r="K9" s="465">
        <f t="shared" si="2"/>
        <v>7594704</v>
      </c>
      <c r="L9" s="436">
        <f t="shared" si="0"/>
        <v>0</v>
      </c>
      <c r="M9" s="498">
        <f t="shared" si="1"/>
        <v>106.47769914042986</v>
      </c>
    </row>
    <row r="10" spans="1:13" ht="34" outlineLevel="4" x14ac:dyDescent="0.3">
      <c r="A10" s="438" t="s">
        <v>132</v>
      </c>
      <c r="B10" s="439" t="s">
        <v>499</v>
      </c>
      <c r="C10" s="439" t="s">
        <v>10</v>
      </c>
      <c r="D10" s="539" t="s">
        <v>127</v>
      </c>
      <c r="E10" s="539" t="s">
        <v>6</v>
      </c>
      <c r="F10" s="540">
        <v>6921278.3099999996</v>
      </c>
      <c r="G10" s="465">
        <f t="shared" si="2"/>
        <v>7132671.0300000003</v>
      </c>
      <c r="H10" s="441">
        <f t="shared" si="2"/>
        <v>5352630.08</v>
      </c>
      <c r="I10" s="440">
        <f t="shared" si="2"/>
        <v>7515021.2300000004</v>
      </c>
      <c r="J10" s="465">
        <f t="shared" si="2"/>
        <v>7594704</v>
      </c>
      <c r="K10" s="465">
        <f t="shared" si="2"/>
        <v>7594704</v>
      </c>
      <c r="L10" s="436">
        <f t="shared" si="0"/>
        <v>0</v>
      </c>
      <c r="M10" s="498">
        <f t="shared" si="1"/>
        <v>106.47769914042986</v>
      </c>
    </row>
    <row r="11" spans="1:13" ht="40.75" customHeight="1" outlineLevel="5" x14ac:dyDescent="0.3">
      <c r="A11" s="438" t="s">
        <v>494</v>
      </c>
      <c r="B11" s="439" t="s">
        <v>499</v>
      </c>
      <c r="C11" s="439" t="s">
        <v>10</v>
      </c>
      <c r="D11" s="539" t="s">
        <v>495</v>
      </c>
      <c r="E11" s="539" t="s">
        <v>6</v>
      </c>
      <c r="F11" s="540">
        <v>6921278.3099999996</v>
      </c>
      <c r="G11" s="465">
        <f>G12+G14+G16</f>
        <v>7132671.0300000003</v>
      </c>
      <c r="H11" s="441">
        <f>H12+H14+H16</f>
        <v>5352630.08</v>
      </c>
      <c r="I11" s="440">
        <f>I12+I14+I16</f>
        <v>7515021.2300000004</v>
      </c>
      <c r="J11" s="465">
        <f>J12+J14+J16</f>
        <v>7594704</v>
      </c>
      <c r="K11" s="465">
        <f>K12+K14+K16</f>
        <v>7594704</v>
      </c>
      <c r="L11" s="436">
        <f t="shared" si="0"/>
        <v>0</v>
      </c>
      <c r="M11" s="498">
        <f t="shared" si="1"/>
        <v>106.47769914042986</v>
      </c>
    </row>
    <row r="12" spans="1:13" ht="76.75" customHeight="1" outlineLevel="6" x14ac:dyDescent="0.3">
      <c r="A12" s="438" t="s">
        <v>11</v>
      </c>
      <c r="B12" s="439" t="s">
        <v>499</v>
      </c>
      <c r="C12" s="439" t="s">
        <v>10</v>
      </c>
      <c r="D12" s="539" t="s">
        <v>495</v>
      </c>
      <c r="E12" s="539" t="s">
        <v>12</v>
      </c>
      <c r="F12" s="540">
        <v>6756822.3099999996</v>
      </c>
      <c r="G12" s="465">
        <f>G13</f>
        <v>6786101.0300000003</v>
      </c>
      <c r="H12" s="367">
        <v>5151988.76</v>
      </c>
      <c r="I12" s="440">
        <f>I13</f>
        <v>7264821.2300000004</v>
      </c>
      <c r="J12" s="466">
        <f>J13</f>
        <v>7311140</v>
      </c>
      <c r="K12" s="466">
        <f>K13</f>
        <v>7311140</v>
      </c>
      <c r="L12" s="436">
        <f t="shared" si="0"/>
        <v>0</v>
      </c>
      <c r="M12" s="498">
        <f t="shared" si="1"/>
        <v>107.7369754396362</v>
      </c>
    </row>
    <row r="13" spans="1:13" ht="34" outlineLevel="7" x14ac:dyDescent="0.3">
      <c r="A13" s="438" t="s">
        <v>13</v>
      </c>
      <c r="B13" s="439" t="s">
        <v>499</v>
      </c>
      <c r="C13" s="439" t="s">
        <v>10</v>
      </c>
      <c r="D13" s="539" t="s">
        <v>495</v>
      </c>
      <c r="E13" s="539" t="s">
        <v>14</v>
      </c>
      <c r="F13" s="540">
        <v>6756822.3099999996</v>
      </c>
      <c r="G13" s="466">
        <f>[2]потребность!I20-199304</f>
        <v>6786101.0300000003</v>
      </c>
      <c r="H13" s="367">
        <v>5151988.76</v>
      </c>
      <c r="I13" s="442">
        <f>'[2]прил 12'!F20</f>
        <v>7264821.2300000004</v>
      </c>
      <c r="J13" s="466">
        <f>7457647-146507</f>
        <v>7311140</v>
      </c>
      <c r="K13" s="466">
        <f>7457647-146507</f>
        <v>7311140</v>
      </c>
      <c r="L13" s="436">
        <f t="shared" si="0"/>
        <v>0</v>
      </c>
      <c r="M13" s="498">
        <f t="shared" si="1"/>
        <v>107.7369754396362</v>
      </c>
    </row>
    <row r="14" spans="1:13" ht="34" outlineLevel="6" x14ac:dyDescent="0.3">
      <c r="A14" s="438" t="s">
        <v>15</v>
      </c>
      <c r="B14" s="439" t="s">
        <v>499</v>
      </c>
      <c r="C14" s="439" t="s">
        <v>10</v>
      </c>
      <c r="D14" s="539" t="s">
        <v>495</v>
      </c>
      <c r="E14" s="539" t="s">
        <v>16</v>
      </c>
      <c r="F14" s="540">
        <v>164456</v>
      </c>
      <c r="G14" s="465">
        <f>G15</f>
        <v>346570</v>
      </c>
      <c r="H14" s="367">
        <v>200641.32</v>
      </c>
      <c r="I14" s="440">
        <f>I15</f>
        <v>250200</v>
      </c>
      <c r="J14" s="466">
        <f>J15</f>
        <v>282564</v>
      </c>
      <c r="K14" s="466">
        <f>K15</f>
        <v>282564</v>
      </c>
      <c r="L14" s="436">
        <f t="shared" si="0"/>
        <v>0</v>
      </c>
      <c r="M14" s="498">
        <f t="shared" si="1"/>
        <v>81.531580921603137</v>
      </c>
    </row>
    <row r="15" spans="1:13" ht="22.75" customHeight="1" outlineLevel="7" x14ac:dyDescent="0.3">
      <c r="A15" s="438" t="s">
        <v>17</v>
      </c>
      <c r="B15" s="439" t="s">
        <v>499</v>
      </c>
      <c r="C15" s="439" t="s">
        <v>10</v>
      </c>
      <c r="D15" s="539" t="s">
        <v>495</v>
      </c>
      <c r="E15" s="539" t="s">
        <v>18</v>
      </c>
      <c r="F15" s="540">
        <v>164456</v>
      </c>
      <c r="G15" s="466">
        <f>250200+53570+42800</f>
        <v>346570</v>
      </c>
      <c r="H15" s="367">
        <v>200641.32</v>
      </c>
      <c r="I15" s="442">
        <f>'[2]прил 12'!F22</f>
        <v>250200</v>
      </c>
      <c r="J15" s="466">
        <v>282564</v>
      </c>
      <c r="K15" s="466">
        <v>282564</v>
      </c>
      <c r="L15" s="436">
        <f t="shared" si="0"/>
        <v>0</v>
      </c>
      <c r="M15" s="498">
        <f t="shared" si="1"/>
        <v>81.531580921603137</v>
      </c>
    </row>
    <row r="16" spans="1:13" outlineLevel="6" x14ac:dyDescent="0.3">
      <c r="A16" s="438" t="s">
        <v>19</v>
      </c>
      <c r="B16" s="439" t="s">
        <v>499</v>
      </c>
      <c r="C16" s="439" t="s">
        <v>10</v>
      </c>
      <c r="D16" s="539" t="s">
        <v>495</v>
      </c>
      <c r="E16" s="539" t="s">
        <v>20</v>
      </c>
      <c r="F16" s="539" t="s">
        <v>976</v>
      </c>
      <c r="G16" s="465">
        <f>G17</f>
        <v>0</v>
      </c>
      <c r="H16" s="441">
        <f>H17</f>
        <v>0</v>
      </c>
      <c r="I16" s="440">
        <v>0</v>
      </c>
      <c r="J16" s="466">
        <f>J17</f>
        <v>1000</v>
      </c>
      <c r="K16" s="466">
        <f>K17</f>
        <v>1000</v>
      </c>
      <c r="L16" s="436">
        <f t="shared" si="0"/>
        <v>0</v>
      </c>
      <c r="M16" s="498"/>
    </row>
    <row r="17" spans="1:13" outlineLevel="7" x14ac:dyDescent="0.3">
      <c r="A17" s="438" t="s">
        <v>21</v>
      </c>
      <c r="B17" s="439" t="s">
        <v>499</v>
      </c>
      <c r="C17" s="439" t="s">
        <v>10</v>
      </c>
      <c r="D17" s="539" t="s">
        <v>495</v>
      </c>
      <c r="E17" s="539" t="s">
        <v>22</v>
      </c>
      <c r="F17" s="539" t="s">
        <v>976</v>
      </c>
      <c r="G17" s="466">
        <v>0</v>
      </c>
      <c r="H17" s="443">
        <v>0</v>
      </c>
      <c r="I17" s="442">
        <v>0</v>
      </c>
      <c r="J17" s="466">
        <v>1000</v>
      </c>
      <c r="K17" s="466">
        <v>1000</v>
      </c>
      <c r="L17" s="436">
        <f t="shared" si="0"/>
        <v>0</v>
      </c>
      <c r="M17" s="498"/>
    </row>
    <row r="18" spans="1:13" outlineLevel="2" x14ac:dyDescent="0.3">
      <c r="A18" s="438" t="s">
        <v>23</v>
      </c>
      <c r="B18" s="439" t="s">
        <v>499</v>
      </c>
      <c r="C18" s="439" t="s">
        <v>24</v>
      </c>
      <c r="D18" s="539" t="s">
        <v>126</v>
      </c>
      <c r="E18" s="539" t="s">
        <v>6</v>
      </c>
      <c r="F18" s="540">
        <v>510709</v>
      </c>
      <c r="G18" s="465">
        <f>G19+G24</f>
        <v>535456</v>
      </c>
      <c r="H18" s="367">
        <v>43394</v>
      </c>
      <c r="I18" s="440">
        <f>I19+I24</f>
        <v>535456</v>
      </c>
      <c r="J18" s="465">
        <f>J19+J24</f>
        <v>1157787</v>
      </c>
      <c r="K18" s="465">
        <f>K19+K24</f>
        <v>657787</v>
      </c>
      <c r="L18" s="436">
        <f t="shared" si="0"/>
        <v>-500000</v>
      </c>
      <c r="M18" s="498">
        <f t="shared" si="1"/>
        <v>216.22448903364608</v>
      </c>
    </row>
    <row r="19" spans="1:13" s="449" customFormat="1" ht="39.75" customHeight="1" outlineLevel="3" x14ac:dyDescent="0.3">
      <c r="A19" s="444" t="s">
        <v>830</v>
      </c>
      <c r="B19" s="445" t="s">
        <v>499</v>
      </c>
      <c r="C19" s="445" t="s">
        <v>24</v>
      </c>
      <c r="D19" s="541" t="s">
        <v>128</v>
      </c>
      <c r="E19" s="541" t="s">
        <v>6</v>
      </c>
      <c r="F19" s="542">
        <v>37620</v>
      </c>
      <c r="G19" s="508">
        <f t="shared" ref="G19:K22" si="3">G20</f>
        <v>58240</v>
      </c>
      <c r="H19" s="447">
        <f t="shared" si="3"/>
        <v>850</v>
      </c>
      <c r="I19" s="446">
        <f t="shared" si="3"/>
        <v>58240</v>
      </c>
      <c r="J19" s="507">
        <f t="shared" si="3"/>
        <v>60571</v>
      </c>
      <c r="K19" s="507">
        <f t="shared" si="3"/>
        <v>60571</v>
      </c>
      <c r="L19" s="436">
        <f t="shared" si="0"/>
        <v>0</v>
      </c>
      <c r="M19" s="498">
        <f t="shared" si="1"/>
        <v>104.00240384615385</v>
      </c>
    </row>
    <row r="20" spans="1:13" ht="39.25" customHeight="1" outlineLevel="4" x14ac:dyDescent="0.3">
      <c r="A20" s="438" t="s">
        <v>854</v>
      </c>
      <c r="B20" s="439" t="s">
        <v>499</v>
      </c>
      <c r="C20" s="439" t="s">
        <v>24</v>
      </c>
      <c r="D20" s="539" t="s">
        <v>315</v>
      </c>
      <c r="E20" s="539" t="s">
        <v>6</v>
      </c>
      <c r="F20" s="540">
        <v>37620</v>
      </c>
      <c r="G20" s="465">
        <f t="shared" si="3"/>
        <v>58240</v>
      </c>
      <c r="H20" s="441">
        <f t="shared" si="3"/>
        <v>850</v>
      </c>
      <c r="I20" s="440">
        <f t="shared" si="3"/>
        <v>58240</v>
      </c>
      <c r="J20" s="466">
        <f t="shared" si="3"/>
        <v>60571</v>
      </c>
      <c r="K20" s="466">
        <f t="shared" si="3"/>
        <v>60571</v>
      </c>
      <c r="L20" s="436">
        <f t="shared" si="0"/>
        <v>0</v>
      </c>
      <c r="M20" s="498">
        <f t="shared" si="1"/>
        <v>104.00240384615385</v>
      </c>
    </row>
    <row r="21" spans="1:13" outlineLevel="5" x14ac:dyDescent="0.3">
      <c r="A21" s="450" t="s">
        <v>321</v>
      </c>
      <c r="B21" s="439" t="s">
        <v>499</v>
      </c>
      <c r="C21" s="439" t="s">
        <v>24</v>
      </c>
      <c r="D21" s="539" t="s">
        <v>316</v>
      </c>
      <c r="E21" s="539" t="s">
        <v>6</v>
      </c>
      <c r="F21" s="540">
        <v>37620</v>
      </c>
      <c r="G21" s="465">
        <f t="shared" si="3"/>
        <v>58240</v>
      </c>
      <c r="H21" s="441">
        <f t="shared" si="3"/>
        <v>850</v>
      </c>
      <c r="I21" s="440">
        <f t="shared" si="3"/>
        <v>58240</v>
      </c>
      <c r="J21" s="466">
        <f t="shared" si="3"/>
        <v>60571</v>
      </c>
      <c r="K21" s="466">
        <f t="shared" si="3"/>
        <v>60571</v>
      </c>
      <c r="L21" s="436">
        <f t="shared" si="0"/>
        <v>0</v>
      </c>
      <c r="M21" s="498">
        <f t="shared" si="1"/>
        <v>104.00240384615385</v>
      </c>
    </row>
    <row r="22" spans="1:13" ht="34" outlineLevel="6" x14ac:dyDescent="0.3">
      <c r="A22" s="438" t="s">
        <v>15</v>
      </c>
      <c r="B22" s="439" t="s">
        <v>499</v>
      </c>
      <c r="C22" s="439" t="s">
        <v>24</v>
      </c>
      <c r="D22" s="539" t="s">
        <v>316</v>
      </c>
      <c r="E22" s="539" t="s">
        <v>16</v>
      </c>
      <c r="F22" s="540">
        <v>37620</v>
      </c>
      <c r="G22" s="465">
        <f t="shared" si="3"/>
        <v>58240</v>
      </c>
      <c r="H22" s="441">
        <f t="shared" si="3"/>
        <v>850</v>
      </c>
      <c r="I22" s="440">
        <f t="shared" si="3"/>
        <v>58240</v>
      </c>
      <c r="J22" s="466">
        <f t="shared" si="3"/>
        <v>60571</v>
      </c>
      <c r="K22" s="466">
        <f t="shared" si="3"/>
        <v>60571</v>
      </c>
      <c r="L22" s="436">
        <f t="shared" si="0"/>
        <v>0</v>
      </c>
      <c r="M22" s="498">
        <f t="shared" si="1"/>
        <v>104.00240384615385</v>
      </c>
    </row>
    <row r="23" spans="1:13" ht="19.55" customHeight="1" outlineLevel="7" x14ac:dyDescent="0.3">
      <c r="A23" s="438" t="s">
        <v>17</v>
      </c>
      <c r="B23" s="439" t="s">
        <v>499</v>
      </c>
      <c r="C23" s="439" t="s">
        <v>24</v>
      </c>
      <c r="D23" s="539" t="s">
        <v>316</v>
      </c>
      <c r="E23" s="539" t="s">
        <v>18</v>
      </c>
      <c r="F23" s="540">
        <v>37620</v>
      </c>
      <c r="G23" s="466">
        <v>58240</v>
      </c>
      <c r="H23" s="367">
        <v>850</v>
      </c>
      <c r="I23" s="442">
        <f>'[2]прил 12'!F30</f>
        <v>58240</v>
      </c>
      <c r="J23" s="466">
        <v>60571</v>
      </c>
      <c r="K23" s="466">
        <v>60571</v>
      </c>
      <c r="L23" s="436">
        <f t="shared" si="0"/>
        <v>0</v>
      </c>
      <c r="M23" s="498">
        <f t="shared" si="1"/>
        <v>104.00240384615385</v>
      </c>
    </row>
    <row r="24" spans="1:13" s="449" customFormat="1" ht="36.700000000000003" customHeight="1" outlineLevel="7" x14ac:dyDescent="0.3">
      <c r="A24" s="451" t="s">
        <v>829</v>
      </c>
      <c r="B24" s="445" t="s">
        <v>499</v>
      </c>
      <c r="C24" s="439" t="s">
        <v>24</v>
      </c>
      <c r="D24" s="541" t="s">
        <v>317</v>
      </c>
      <c r="E24" s="541" t="s">
        <v>6</v>
      </c>
      <c r="F24" s="542">
        <v>473089</v>
      </c>
      <c r="G24" s="507">
        <f t="shared" ref="G24:K27" si="4">G25</f>
        <v>477216</v>
      </c>
      <c r="H24" s="452">
        <f t="shared" si="4"/>
        <v>42544</v>
      </c>
      <c r="I24" s="448">
        <f t="shared" si="4"/>
        <v>477216</v>
      </c>
      <c r="J24" s="507">
        <f t="shared" si="4"/>
        <v>1097216</v>
      </c>
      <c r="K24" s="507">
        <f t="shared" si="4"/>
        <v>597216</v>
      </c>
      <c r="L24" s="436">
        <f t="shared" si="0"/>
        <v>-500000</v>
      </c>
      <c r="M24" s="498">
        <f t="shared" si="1"/>
        <v>229.92020384899081</v>
      </c>
    </row>
    <row r="25" spans="1:13" ht="34" outlineLevel="7" x14ac:dyDescent="0.3">
      <c r="A25" s="450" t="s">
        <v>249</v>
      </c>
      <c r="B25" s="439" t="s">
        <v>499</v>
      </c>
      <c r="C25" s="439" t="s">
        <v>24</v>
      </c>
      <c r="D25" s="539" t="s">
        <v>318</v>
      </c>
      <c r="E25" s="539" t="s">
        <v>6</v>
      </c>
      <c r="F25" s="540">
        <v>473089</v>
      </c>
      <c r="G25" s="466">
        <f t="shared" si="4"/>
        <v>477216</v>
      </c>
      <c r="H25" s="443">
        <f t="shared" si="4"/>
        <v>42544</v>
      </c>
      <c r="I25" s="442">
        <f t="shared" si="4"/>
        <v>477216</v>
      </c>
      <c r="J25" s="466">
        <f t="shared" si="4"/>
        <v>1097216</v>
      </c>
      <c r="K25" s="466">
        <f t="shared" si="4"/>
        <v>597216</v>
      </c>
      <c r="L25" s="436">
        <f t="shared" si="0"/>
        <v>-500000</v>
      </c>
      <c r="M25" s="498">
        <f t="shared" si="1"/>
        <v>229.92020384899081</v>
      </c>
    </row>
    <row r="26" spans="1:13" ht="39.75" customHeight="1" outlineLevel="5" x14ac:dyDescent="0.3">
      <c r="A26" s="438" t="s">
        <v>25</v>
      </c>
      <c r="B26" s="439" t="s">
        <v>499</v>
      </c>
      <c r="C26" s="439" t="s">
        <v>24</v>
      </c>
      <c r="D26" s="539" t="s">
        <v>329</v>
      </c>
      <c r="E26" s="539" t="s">
        <v>6</v>
      </c>
      <c r="F26" s="540">
        <v>473089</v>
      </c>
      <c r="G26" s="465">
        <f t="shared" si="4"/>
        <v>477216</v>
      </c>
      <c r="H26" s="441">
        <f t="shared" si="4"/>
        <v>42544</v>
      </c>
      <c r="I26" s="440">
        <f t="shared" si="4"/>
        <v>477216</v>
      </c>
      <c r="J26" s="466">
        <f t="shared" si="4"/>
        <v>1097216</v>
      </c>
      <c r="K26" s="466">
        <f t="shared" si="4"/>
        <v>597216</v>
      </c>
      <c r="L26" s="436">
        <f t="shared" si="0"/>
        <v>-500000</v>
      </c>
      <c r="M26" s="498">
        <f t="shared" si="1"/>
        <v>229.92020384899081</v>
      </c>
    </row>
    <row r="27" spans="1:13" ht="34" outlineLevel="6" x14ac:dyDescent="0.3">
      <c r="A27" s="438" t="s">
        <v>15</v>
      </c>
      <c r="B27" s="439" t="s">
        <v>499</v>
      </c>
      <c r="C27" s="439" t="s">
        <v>24</v>
      </c>
      <c r="D27" s="539" t="s">
        <v>329</v>
      </c>
      <c r="E27" s="539" t="s">
        <v>16</v>
      </c>
      <c r="F27" s="540">
        <v>473089</v>
      </c>
      <c r="G27" s="465">
        <f t="shared" si="4"/>
        <v>477216</v>
      </c>
      <c r="H27" s="441">
        <f t="shared" si="4"/>
        <v>42544</v>
      </c>
      <c r="I27" s="440">
        <f t="shared" si="4"/>
        <v>477216</v>
      </c>
      <c r="J27" s="466">
        <f t="shared" si="4"/>
        <v>1097216</v>
      </c>
      <c r="K27" s="466">
        <f t="shared" si="4"/>
        <v>597216</v>
      </c>
      <c r="L27" s="436">
        <f t="shared" si="0"/>
        <v>-500000</v>
      </c>
      <c r="M27" s="498">
        <f t="shared" si="1"/>
        <v>229.92020384899081</v>
      </c>
    </row>
    <row r="28" spans="1:13" ht="21.25" customHeight="1" outlineLevel="7" x14ac:dyDescent="0.3">
      <c r="A28" s="438" t="s">
        <v>17</v>
      </c>
      <c r="B28" s="439" t="s">
        <v>499</v>
      </c>
      <c r="C28" s="439" t="s">
        <v>24</v>
      </c>
      <c r="D28" s="539" t="s">
        <v>329</v>
      </c>
      <c r="E28" s="539" t="s">
        <v>18</v>
      </c>
      <c r="F28" s="540">
        <v>473089</v>
      </c>
      <c r="G28" s="465">
        <v>477216</v>
      </c>
      <c r="H28" s="367">
        <v>42544</v>
      </c>
      <c r="I28" s="440">
        <f>'[2]прил 12'!F35</f>
        <v>477216</v>
      </c>
      <c r="J28" s="466">
        <v>1097216</v>
      </c>
      <c r="K28" s="466">
        <f>1097216-500000</f>
        <v>597216</v>
      </c>
      <c r="L28" s="436">
        <f t="shared" si="0"/>
        <v>-500000</v>
      </c>
      <c r="M28" s="498">
        <f t="shared" si="1"/>
        <v>229.92020384899081</v>
      </c>
    </row>
    <row r="29" spans="1:13" s="437" customFormat="1" ht="34" x14ac:dyDescent="0.3">
      <c r="A29" s="433" t="s">
        <v>27</v>
      </c>
      <c r="B29" s="434" t="s">
        <v>500</v>
      </c>
      <c r="C29" s="434" t="s">
        <v>5</v>
      </c>
      <c r="D29" s="537" t="s">
        <v>126</v>
      </c>
      <c r="E29" s="537" t="s">
        <v>6</v>
      </c>
      <c r="F29" s="538">
        <v>434475577.67000002</v>
      </c>
      <c r="G29" s="506">
        <f>G30+G162+G172+G228+G333+G349+G370+G421+G505+G457+G183</f>
        <v>397671497.94999999</v>
      </c>
      <c r="H29" s="368">
        <v>262532003.14999998</v>
      </c>
      <c r="I29" s="435">
        <f>I30+I162+I172+I228+I333+I349+I370+I421+I505+I457+I183</f>
        <v>297512184.63</v>
      </c>
      <c r="J29" s="506">
        <f>J30+J162+J172+J228+J333+J349+J370+J421+J505+J457+J183</f>
        <v>378452838.86000001</v>
      </c>
      <c r="K29" s="506">
        <f>K30+K162+K172+K228+K333+K349+K370+K421+K505+K457+K183</f>
        <v>361261375.03999996</v>
      </c>
      <c r="L29" s="436">
        <f t="shared" si="0"/>
        <v>-17191463.820000052</v>
      </c>
      <c r="M29" s="498">
        <f t="shared" si="1"/>
        <v>95.167202278998545</v>
      </c>
    </row>
    <row r="30" spans="1:13" s="449" customFormat="1" outlineLevel="1" x14ac:dyDescent="0.3">
      <c r="A30" s="444" t="s">
        <v>7</v>
      </c>
      <c r="B30" s="445" t="s">
        <v>500</v>
      </c>
      <c r="C30" s="445" t="s">
        <v>8</v>
      </c>
      <c r="D30" s="541" t="s">
        <v>126</v>
      </c>
      <c r="E30" s="541" t="s">
        <v>6</v>
      </c>
      <c r="F30" s="540">
        <v>94220120.439999998</v>
      </c>
      <c r="G30" s="508">
        <f>G31+G36+G43+G49+G59+G54</f>
        <v>108875809.69</v>
      </c>
      <c r="H30" s="367">
        <v>77521805.720000014</v>
      </c>
      <c r="I30" s="446">
        <f>I31+I36+I43+I49+I59+I54</f>
        <v>98730538.969999999</v>
      </c>
      <c r="J30" s="508">
        <f>J31+J36+J43+J49+J59+J54</f>
        <v>127981897</v>
      </c>
      <c r="K30" s="508">
        <f>K31+K36+K43+K49+K59+K54</f>
        <v>114164289</v>
      </c>
      <c r="L30" s="436">
        <f t="shared" si="0"/>
        <v>-13817608</v>
      </c>
      <c r="M30" s="498">
        <f t="shared" si="1"/>
        <v>117.54851455470265</v>
      </c>
    </row>
    <row r="31" spans="1:13" ht="50.95" outlineLevel="2" x14ac:dyDescent="0.3">
      <c r="A31" s="438" t="s">
        <v>28</v>
      </c>
      <c r="B31" s="439" t="s">
        <v>500</v>
      </c>
      <c r="C31" s="439" t="s">
        <v>29</v>
      </c>
      <c r="D31" s="539" t="s">
        <v>126</v>
      </c>
      <c r="E31" s="539" t="s">
        <v>6</v>
      </c>
      <c r="F31" s="540">
        <v>2580816.7200000002</v>
      </c>
      <c r="G31" s="465">
        <f t="shared" ref="G31:K34" si="5">G32</f>
        <v>2681000</v>
      </c>
      <c r="H31" s="367">
        <v>2133514.06</v>
      </c>
      <c r="I31" s="440">
        <f t="shared" si="5"/>
        <v>2846266</v>
      </c>
      <c r="J31" s="465">
        <f t="shared" si="5"/>
        <v>3046120</v>
      </c>
      <c r="K31" s="465">
        <f t="shared" si="5"/>
        <v>3046120</v>
      </c>
      <c r="L31" s="436">
        <f t="shared" si="0"/>
        <v>0</v>
      </c>
      <c r="M31" s="498">
        <f t="shared" si="1"/>
        <v>113.61879895561357</v>
      </c>
    </row>
    <row r="32" spans="1:13" ht="34" outlineLevel="3" x14ac:dyDescent="0.3">
      <c r="A32" s="438" t="s">
        <v>132</v>
      </c>
      <c r="B32" s="439" t="s">
        <v>500</v>
      </c>
      <c r="C32" s="439" t="s">
        <v>29</v>
      </c>
      <c r="D32" s="539" t="s">
        <v>127</v>
      </c>
      <c r="E32" s="539" t="s">
        <v>6</v>
      </c>
      <c r="F32" s="540">
        <v>2580816.7200000002</v>
      </c>
      <c r="G32" s="465">
        <f t="shared" si="5"/>
        <v>2681000</v>
      </c>
      <c r="H32" s="441">
        <f t="shared" si="5"/>
        <v>2133514.06</v>
      </c>
      <c r="I32" s="440">
        <f t="shared" si="5"/>
        <v>2846266</v>
      </c>
      <c r="J32" s="465">
        <f t="shared" si="5"/>
        <v>3046120</v>
      </c>
      <c r="K32" s="465">
        <f t="shared" si="5"/>
        <v>3046120</v>
      </c>
      <c r="L32" s="436">
        <f t="shared" si="0"/>
        <v>0</v>
      </c>
      <c r="M32" s="498">
        <f t="shared" si="1"/>
        <v>113.61879895561357</v>
      </c>
    </row>
    <row r="33" spans="1:13" outlineLevel="5" x14ac:dyDescent="0.3">
      <c r="A33" s="438" t="s">
        <v>496</v>
      </c>
      <c r="B33" s="439" t="s">
        <v>500</v>
      </c>
      <c r="C33" s="439" t="s">
        <v>29</v>
      </c>
      <c r="D33" s="539" t="s">
        <v>497</v>
      </c>
      <c r="E33" s="539" t="s">
        <v>6</v>
      </c>
      <c r="F33" s="540">
        <v>2580816.7200000002</v>
      </c>
      <c r="G33" s="465">
        <f t="shared" si="5"/>
        <v>2681000</v>
      </c>
      <c r="H33" s="441">
        <f t="shared" si="5"/>
        <v>2133514.06</v>
      </c>
      <c r="I33" s="440">
        <f t="shared" si="5"/>
        <v>2846266</v>
      </c>
      <c r="J33" s="465">
        <f t="shared" si="5"/>
        <v>3046120</v>
      </c>
      <c r="K33" s="465">
        <f t="shared" si="5"/>
        <v>3046120</v>
      </c>
      <c r="L33" s="436">
        <f t="shared" si="0"/>
        <v>0</v>
      </c>
      <c r="M33" s="498">
        <f t="shared" si="1"/>
        <v>113.61879895561357</v>
      </c>
    </row>
    <row r="34" spans="1:13" ht="84.9" outlineLevel="6" x14ac:dyDescent="0.3">
      <c r="A34" s="438" t="s">
        <v>11</v>
      </c>
      <c r="B34" s="439" t="s">
        <v>500</v>
      </c>
      <c r="C34" s="439" t="s">
        <v>29</v>
      </c>
      <c r="D34" s="539" t="s">
        <v>497</v>
      </c>
      <c r="E34" s="539" t="s">
        <v>12</v>
      </c>
      <c r="F34" s="540">
        <v>2580816.7200000002</v>
      </c>
      <c r="G34" s="465">
        <f t="shared" si="5"/>
        <v>2681000</v>
      </c>
      <c r="H34" s="367">
        <v>2133514.06</v>
      </c>
      <c r="I34" s="440">
        <f t="shared" si="5"/>
        <v>2846266</v>
      </c>
      <c r="J34" s="465">
        <f t="shared" si="5"/>
        <v>3046120</v>
      </c>
      <c r="K34" s="465">
        <f t="shared" si="5"/>
        <v>3046120</v>
      </c>
      <c r="L34" s="436">
        <f t="shared" si="0"/>
        <v>0</v>
      </c>
      <c r="M34" s="498">
        <f t="shared" si="1"/>
        <v>113.61879895561357</v>
      </c>
    </row>
    <row r="35" spans="1:13" ht="34" outlineLevel="7" x14ac:dyDescent="0.3">
      <c r="A35" s="438" t="s">
        <v>13</v>
      </c>
      <c r="B35" s="439" t="s">
        <v>500</v>
      </c>
      <c r="C35" s="439" t="s">
        <v>29</v>
      </c>
      <c r="D35" s="539" t="s">
        <v>497</v>
      </c>
      <c r="E35" s="539" t="s">
        <v>14</v>
      </c>
      <c r="F35" s="540">
        <v>2580816.7200000002</v>
      </c>
      <c r="G35" s="465">
        <f>2846266-165266</f>
        <v>2681000</v>
      </c>
      <c r="H35" s="367">
        <v>2133514.06</v>
      </c>
      <c r="I35" s="440">
        <f>'[2]прил 12'!F42</f>
        <v>2846266</v>
      </c>
      <c r="J35" s="466">
        <v>3046120</v>
      </c>
      <c r="K35" s="466">
        <v>3046120</v>
      </c>
      <c r="L35" s="436">
        <f t="shared" si="0"/>
        <v>0</v>
      </c>
      <c r="M35" s="498">
        <f t="shared" si="1"/>
        <v>113.61879895561357</v>
      </c>
    </row>
    <row r="36" spans="1:13" ht="57.75" customHeight="1" outlineLevel="2" x14ac:dyDescent="0.3">
      <c r="A36" s="438" t="s">
        <v>30</v>
      </c>
      <c r="B36" s="439" t="s">
        <v>500</v>
      </c>
      <c r="C36" s="439" t="s">
        <v>31</v>
      </c>
      <c r="D36" s="539" t="s">
        <v>126</v>
      </c>
      <c r="E36" s="539" t="s">
        <v>6</v>
      </c>
      <c r="F36" s="540">
        <v>20028152.170000002</v>
      </c>
      <c r="G36" s="465">
        <f t="shared" ref="G36:K37" si="6">G37</f>
        <v>21208806</v>
      </c>
      <c r="H36" s="367">
        <v>14506752.189999999</v>
      </c>
      <c r="I36" s="440">
        <f t="shared" si="6"/>
        <v>22524109.440000001</v>
      </c>
      <c r="J36" s="465">
        <f t="shared" si="6"/>
        <v>23294985</v>
      </c>
      <c r="K36" s="465">
        <f t="shared" si="6"/>
        <v>23294985</v>
      </c>
      <c r="L36" s="436">
        <f t="shared" si="0"/>
        <v>0</v>
      </c>
      <c r="M36" s="498">
        <f t="shared" si="1"/>
        <v>109.83638117110412</v>
      </c>
    </row>
    <row r="37" spans="1:13" ht="34" outlineLevel="3" x14ac:dyDescent="0.3">
      <c r="A37" s="438" t="s">
        <v>132</v>
      </c>
      <c r="B37" s="439" t="s">
        <v>500</v>
      </c>
      <c r="C37" s="439" t="s">
        <v>31</v>
      </c>
      <c r="D37" s="539" t="s">
        <v>127</v>
      </c>
      <c r="E37" s="539" t="s">
        <v>6</v>
      </c>
      <c r="F37" s="540">
        <v>20028152.170000002</v>
      </c>
      <c r="G37" s="465">
        <f t="shared" si="6"/>
        <v>21208806</v>
      </c>
      <c r="H37" s="367">
        <v>14506752.189999999</v>
      </c>
      <c r="I37" s="440">
        <f t="shared" si="6"/>
        <v>22524109.440000001</v>
      </c>
      <c r="J37" s="465">
        <f t="shared" si="6"/>
        <v>23294985</v>
      </c>
      <c r="K37" s="465">
        <f t="shared" si="6"/>
        <v>23294985</v>
      </c>
      <c r="L37" s="436">
        <f t="shared" si="0"/>
        <v>0</v>
      </c>
      <c r="M37" s="498">
        <f t="shared" si="1"/>
        <v>109.83638117110412</v>
      </c>
    </row>
    <row r="38" spans="1:13" ht="57.25" customHeight="1" outlineLevel="5" x14ac:dyDescent="0.3">
      <c r="A38" s="438" t="s">
        <v>494</v>
      </c>
      <c r="B38" s="439" t="s">
        <v>500</v>
      </c>
      <c r="C38" s="439" t="s">
        <v>31</v>
      </c>
      <c r="D38" s="539" t="s">
        <v>495</v>
      </c>
      <c r="E38" s="539" t="s">
        <v>6</v>
      </c>
      <c r="F38" s="540">
        <v>20028152.170000002</v>
      </c>
      <c r="G38" s="465">
        <f>G39+G41</f>
        <v>21208806</v>
      </c>
      <c r="H38" s="367">
        <v>14506752.189999999</v>
      </c>
      <c r="I38" s="440">
        <f>I39+I41</f>
        <v>22524109.440000001</v>
      </c>
      <c r="J38" s="465">
        <f>J39+J41</f>
        <v>23294985</v>
      </c>
      <c r="K38" s="465">
        <f>K39+K41</f>
        <v>23294985</v>
      </c>
      <c r="L38" s="436">
        <f t="shared" si="0"/>
        <v>0</v>
      </c>
      <c r="M38" s="498">
        <f t="shared" si="1"/>
        <v>109.83638117110412</v>
      </c>
    </row>
    <row r="39" spans="1:13" ht="84.9" outlineLevel="6" x14ac:dyDescent="0.3">
      <c r="A39" s="438" t="s">
        <v>11</v>
      </c>
      <c r="B39" s="439" t="s">
        <v>500</v>
      </c>
      <c r="C39" s="439" t="s">
        <v>31</v>
      </c>
      <c r="D39" s="539" t="s">
        <v>495</v>
      </c>
      <c r="E39" s="539" t="s">
        <v>12</v>
      </c>
      <c r="F39" s="540">
        <v>19944570.670000002</v>
      </c>
      <c r="G39" s="465">
        <f>G40</f>
        <v>21116806</v>
      </c>
      <c r="H39" s="367">
        <v>14437454.199999999</v>
      </c>
      <c r="I39" s="440">
        <f>I40</f>
        <v>22432109.440000001</v>
      </c>
      <c r="J39" s="465">
        <f>J40</f>
        <v>23192985</v>
      </c>
      <c r="K39" s="465">
        <f>K40</f>
        <v>23192985</v>
      </c>
      <c r="L39" s="436">
        <f t="shared" si="0"/>
        <v>0</v>
      </c>
      <c r="M39" s="498">
        <f t="shared" si="1"/>
        <v>109.83187987804595</v>
      </c>
    </row>
    <row r="40" spans="1:13" ht="34" outlineLevel="7" x14ac:dyDescent="0.3">
      <c r="A40" s="438" t="s">
        <v>13</v>
      </c>
      <c r="B40" s="439" t="s">
        <v>500</v>
      </c>
      <c r="C40" s="439" t="s">
        <v>31</v>
      </c>
      <c r="D40" s="539" t="s">
        <v>495</v>
      </c>
      <c r="E40" s="539" t="s">
        <v>14</v>
      </c>
      <c r="F40" s="540">
        <v>19944570.670000002</v>
      </c>
      <c r="G40" s="466">
        <f>[2]потребность!I47+165266-617796</f>
        <v>21116806</v>
      </c>
      <c r="H40" s="367">
        <v>14437454.199999999</v>
      </c>
      <c r="I40" s="442">
        <f>'[2]прил 12'!F47</f>
        <v>22432109.440000001</v>
      </c>
      <c r="J40" s="466">
        <f>23192985</f>
        <v>23192985</v>
      </c>
      <c r="K40" s="466">
        <f>23192985+683511-683511</f>
        <v>23192985</v>
      </c>
      <c r="L40" s="436">
        <f t="shared" si="0"/>
        <v>0</v>
      </c>
      <c r="M40" s="498">
        <f t="shared" si="1"/>
        <v>109.83187987804595</v>
      </c>
    </row>
    <row r="41" spans="1:13" ht="34" outlineLevel="6" x14ac:dyDescent="0.3">
      <c r="A41" s="438" t="s">
        <v>15</v>
      </c>
      <c r="B41" s="439" t="s">
        <v>500</v>
      </c>
      <c r="C41" s="439" t="s">
        <v>31</v>
      </c>
      <c r="D41" s="539" t="s">
        <v>495</v>
      </c>
      <c r="E41" s="539" t="s">
        <v>16</v>
      </c>
      <c r="F41" s="540">
        <v>83581.5</v>
      </c>
      <c r="G41" s="465">
        <f>G42</f>
        <v>92000</v>
      </c>
      <c r="H41" s="367">
        <v>69297.990000000005</v>
      </c>
      <c r="I41" s="440">
        <f>I42</f>
        <v>92000</v>
      </c>
      <c r="J41" s="465">
        <f>J42</f>
        <v>102000</v>
      </c>
      <c r="K41" s="465">
        <f>K42</f>
        <v>102000</v>
      </c>
      <c r="L41" s="436">
        <f t="shared" si="0"/>
        <v>0</v>
      </c>
      <c r="M41" s="498">
        <f t="shared" si="1"/>
        <v>110.8695652173913</v>
      </c>
    </row>
    <row r="42" spans="1:13" ht="21.25" customHeight="1" outlineLevel="7" x14ac:dyDescent="0.3">
      <c r="A42" s="438" t="s">
        <v>17</v>
      </c>
      <c r="B42" s="439" t="s">
        <v>500</v>
      </c>
      <c r="C42" s="439" t="s">
        <v>31</v>
      </c>
      <c r="D42" s="539" t="s">
        <v>495</v>
      </c>
      <c r="E42" s="539" t="s">
        <v>18</v>
      </c>
      <c r="F42" s="540">
        <v>83581.5</v>
      </c>
      <c r="G42" s="466">
        <v>92000</v>
      </c>
      <c r="H42" s="367">
        <v>69297.990000000005</v>
      </c>
      <c r="I42" s="442">
        <f>'[2]прил 12'!F49</f>
        <v>92000</v>
      </c>
      <c r="J42" s="466">
        <v>102000</v>
      </c>
      <c r="K42" s="466">
        <v>102000</v>
      </c>
      <c r="L42" s="436">
        <f t="shared" si="0"/>
        <v>0</v>
      </c>
      <c r="M42" s="498">
        <f t="shared" si="1"/>
        <v>110.8695652173913</v>
      </c>
    </row>
    <row r="43" spans="1:13" outlineLevel="7" x14ac:dyDescent="0.3">
      <c r="A43" s="438" t="s">
        <v>260</v>
      </c>
      <c r="B43" s="439" t="s">
        <v>500</v>
      </c>
      <c r="C43" s="439" t="s">
        <v>261</v>
      </c>
      <c r="D43" s="539" t="s">
        <v>126</v>
      </c>
      <c r="E43" s="539" t="s">
        <v>6</v>
      </c>
      <c r="F43" s="540">
        <v>5100</v>
      </c>
      <c r="G43" s="466">
        <f>G44</f>
        <v>219244</v>
      </c>
      <c r="H43" s="367">
        <v>183414</v>
      </c>
      <c r="I43" s="442">
        <f>I44</f>
        <v>13010</v>
      </c>
      <c r="J43" s="466">
        <f>J44</f>
        <v>12402</v>
      </c>
      <c r="K43" s="466">
        <f>K44</f>
        <v>12402</v>
      </c>
      <c r="L43" s="436">
        <f t="shared" si="0"/>
        <v>0</v>
      </c>
      <c r="M43" s="498">
        <f t="shared" si="1"/>
        <v>5.6567112440933389</v>
      </c>
    </row>
    <row r="44" spans="1:13" ht="34" outlineLevel="7" x14ac:dyDescent="0.3">
      <c r="A44" s="438" t="s">
        <v>132</v>
      </c>
      <c r="B44" s="439" t="s">
        <v>500</v>
      </c>
      <c r="C44" s="439" t="s">
        <v>261</v>
      </c>
      <c r="D44" s="539" t="s">
        <v>127</v>
      </c>
      <c r="E44" s="539" t="s">
        <v>6</v>
      </c>
      <c r="F44" s="540">
        <v>5100</v>
      </c>
      <c r="G44" s="466">
        <f>G46</f>
        <v>219244</v>
      </c>
      <c r="H44" s="367">
        <v>183414</v>
      </c>
      <c r="I44" s="442">
        <f t="shared" ref="I44:K47" si="7">I45</f>
        <v>13010</v>
      </c>
      <c r="J44" s="466">
        <f t="shared" si="7"/>
        <v>12402</v>
      </c>
      <c r="K44" s="466">
        <f t="shared" si="7"/>
        <v>12402</v>
      </c>
      <c r="L44" s="436">
        <f t="shared" si="0"/>
        <v>0</v>
      </c>
      <c r="M44" s="498">
        <f t="shared" si="1"/>
        <v>5.6567112440933389</v>
      </c>
    </row>
    <row r="45" spans="1:13" outlineLevel="7" x14ac:dyDescent="0.3">
      <c r="A45" s="438" t="s">
        <v>277</v>
      </c>
      <c r="B45" s="439" t="s">
        <v>500</v>
      </c>
      <c r="C45" s="439" t="s">
        <v>261</v>
      </c>
      <c r="D45" s="539" t="s">
        <v>276</v>
      </c>
      <c r="E45" s="539" t="s">
        <v>6</v>
      </c>
      <c r="F45" s="540">
        <v>5100</v>
      </c>
      <c r="G45" s="466">
        <f>G46</f>
        <v>219244</v>
      </c>
      <c r="H45" s="367">
        <v>183414</v>
      </c>
      <c r="I45" s="442">
        <f t="shared" si="7"/>
        <v>13010</v>
      </c>
      <c r="J45" s="466">
        <f t="shared" si="7"/>
        <v>12402</v>
      </c>
      <c r="K45" s="466">
        <f t="shared" si="7"/>
        <v>12402</v>
      </c>
      <c r="L45" s="436">
        <f t="shared" si="0"/>
        <v>0</v>
      </c>
      <c r="M45" s="498">
        <f t="shared" si="1"/>
        <v>5.6567112440933389</v>
      </c>
    </row>
    <row r="46" spans="1:13" ht="95.3" customHeight="1" outlineLevel="7" x14ac:dyDescent="0.3">
      <c r="A46" s="453" t="s">
        <v>410</v>
      </c>
      <c r="B46" s="439" t="s">
        <v>500</v>
      </c>
      <c r="C46" s="439" t="s">
        <v>261</v>
      </c>
      <c r="D46" s="539" t="s">
        <v>285</v>
      </c>
      <c r="E46" s="539" t="s">
        <v>6</v>
      </c>
      <c r="F46" s="540">
        <v>5100</v>
      </c>
      <c r="G46" s="466">
        <f>G47</f>
        <v>219244</v>
      </c>
      <c r="H46" s="367">
        <v>183414</v>
      </c>
      <c r="I46" s="442">
        <f t="shared" si="7"/>
        <v>13010</v>
      </c>
      <c r="J46" s="509">
        <f t="shared" si="7"/>
        <v>12402</v>
      </c>
      <c r="K46" s="509">
        <f t="shared" si="7"/>
        <v>12402</v>
      </c>
      <c r="L46" s="436">
        <f t="shared" si="0"/>
        <v>0</v>
      </c>
      <c r="M46" s="498">
        <f t="shared" si="1"/>
        <v>5.6567112440933389</v>
      </c>
    </row>
    <row r="47" spans="1:13" ht="34" outlineLevel="7" x14ac:dyDescent="0.3">
      <c r="A47" s="438" t="s">
        <v>15</v>
      </c>
      <c r="B47" s="439" t="s">
        <v>500</v>
      </c>
      <c r="C47" s="439" t="s">
        <v>261</v>
      </c>
      <c r="D47" s="539" t="s">
        <v>285</v>
      </c>
      <c r="E47" s="539" t="s">
        <v>16</v>
      </c>
      <c r="F47" s="540">
        <v>5100</v>
      </c>
      <c r="G47" s="466">
        <f>G48</f>
        <v>219244</v>
      </c>
      <c r="H47" s="367">
        <v>183414</v>
      </c>
      <c r="I47" s="442">
        <f t="shared" si="7"/>
        <v>13010</v>
      </c>
      <c r="J47" s="466">
        <f t="shared" si="7"/>
        <v>12402</v>
      </c>
      <c r="K47" s="466">
        <f t="shared" si="7"/>
        <v>12402</v>
      </c>
      <c r="L47" s="436">
        <f t="shared" si="0"/>
        <v>0</v>
      </c>
      <c r="M47" s="498">
        <f t="shared" si="1"/>
        <v>5.6567112440933389</v>
      </c>
    </row>
    <row r="48" spans="1:13" ht="19.55" customHeight="1" outlineLevel="7" x14ac:dyDescent="0.3">
      <c r="A48" s="438" t="s">
        <v>17</v>
      </c>
      <c r="B48" s="439" t="s">
        <v>500</v>
      </c>
      <c r="C48" s="439" t="s">
        <v>261</v>
      </c>
      <c r="D48" s="539" t="s">
        <v>285</v>
      </c>
      <c r="E48" s="539" t="s">
        <v>18</v>
      </c>
      <c r="F48" s="540">
        <v>5100</v>
      </c>
      <c r="G48" s="465">
        <v>219244</v>
      </c>
      <c r="H48" s="367">
        <v>183414</v>
      </c>
      <c r="I48" s="440">
        <v>13010</v>
      </c>
      <c r="J48" s="510">
        <v>12402</v>
      </c>
      <c r="K48" s="510">
        <v>12402</v>
      </c>
      <c r="L48" s="436">
        <f t="shared" si="0"/>
        <v>0</v>
      </c>
      <c r="M48" s="498">
        <f t="shared" si="1"/>
        <v>5.6567112440933389</v>
      </c>
    </row>
    <row r="49" spans="1:13" ht="36.700000000000003" customHeight="1" outlineLevel="2" x14ac:dyDescent="0.3">
      <c r="A49" s="438" t="s">
        <v>9</v>
      </c>
      <c r="B49" s="439" t="s">
        <v>500</v>
      </c>
      <c r="C49" s="439" t="s">
        <v>10</v>
      </c>
      <c r="D49" s="539" t="s">
        <v>126</v>
      </c>
      <c r="E49" s="539" t="s">
        <v>6</v>
      </c>
      <c r="F49" s="540">
        <v>703771.03</v>
      </c>
      <c r="G49" s="465">
        <f t="shared" ref="G49:K52" si="8">G50</f>
        <v>799829</v>
      </c>
      <c r="H49" s="367">
        <v>493755.27</v>
      </c>
      <c r="I49" s="440">
        <f t="shared" si="8"/>
        <v>825175</v>
      </c>
      <c r="J49" s="465">
        <f t="shared" si="8"/>
        <v>845370</v>
      </c>
      <c r="K49" s="465">
        <f t="shared" si="8"/>
        <v>845370</v>
      </c>
      <c r="L49" s="436">
        <f t="shared" si="0"/>
        <v>0</v>
      </c>
      <c r="M49" s="498">
        <f t="shared" si="1"/>
        <v>105.69384205874006</v>
      </c>
    </row>
    <row r="50" spans="1:13" ht="34" outlineLevel="4" x14ac:dyDescent="0.3">
      <c r="A50" s="438" t="s">
        <v>132</v>
      </c>
      <c r="B50" s="439" t="s">
        <v>500</v>
      </c>
      <c r="C50" s="439" t="s">
        <v>10</v>
      </c>
      <c r="D50" s="539" t="s">
        <v>127</v>
      </c>
      <c r="E50" s="539" t="s">
        <v>6</v>
      </c>
      <c r="F50" s="540">
        <v>703771.03</v>
      </c>
      <c r="G50" s="465">
        <f t="shared" si="8"/>
        <v>799829</v>
      </c>
      <c r="H50" s="367">
        <v>493755.27</v>
      </c>
      <c r="I50" s="440">
        <f t="shared" si="8"/>
        <v>825175</v>
      </c>
      <c r="J50" s="465">
        <f t="shared" si="8"/>
        <v>845370</v>
      </c>
      <c r="K50" s="465">
        <f t="shared" si="8"/>
        <v>845370</v>
      </c>
      <c r="L50" s="436">
        <f t="shared" si="0"/>
        <v>0</v>
      </c>
      <c r="M50" s="498">
        <f t="shared" si="1"/>
        <v>105.69384205874006</v>
      </c>
    </row>
    <row r="51" spans="1:13" ht="34" outlineLevel="5" x14ac:dyDescent="0.3">
      <c r="A51" s="438" t="s">
        <v>498</v>
      </c>
      <c r="B51" s="439" t="s">
        <v>500</v>
      </c>
      <c r="C51" s="439" t="s">
        <v>10</v>
      </c>
      <c r="D51" s="539" t="s">
        <v>537</v>
      </c>
      <c r="E51" s="539" t="s">
        <v>6</v>
      </c>
      <c r="F51" s="540">
        <v>703771.03</v>
      </c>
      <c r="G51" s="465">
        <f t="shared" si="8"/>
        <v>799829</v>
      </c>
      <c r="H51" s="367">
        <v>493755.27</v>
      </c>
      <c r="I51" s="440">
        <f t="shared" si="8"/>
        <v>825175</v>
      </c>
      <c r="J51" s="465">
        <f t="shared" si="8"/>
        <v>845370</v>
      </c>
      <c r="K51" s="465">
        <f t="shared" si="8"/>
        <v>845370</v>
      </c>
      <c r="L51" s="436">
        <f t="shared" si="0"/>
        <v>0</v>
      </c>
      <c r="M51" s="498">
        <f t="shared" si="1"/>
        <v>105.69384205874006</v>
      </c>
    </row>
    <row r="52" spans="1:13" ht="84.9" outlineLevel="6" x14ac:dyDescent="0.3">
      <c r="A52" s="438" t="s">
        <v>11</v>
      </c>
      <c r="B52" s="439" t="s">
        <v>500</v>
      </c>
      <c r="C52" s="439" t="s">
        <v>10</v>
      </c>
      <c r="D52" s="539" t="s">
        <v>537</v>
      </c>
      <c r="E52" s="539" t="s">
        <v>12</v>
      </c>
      <c r="F52" s="540">
        <v>703771.03</v>
      </c>
      <c r="G52" s="465">
        <f t="shared" si="8"/>
        <v>799829</v>
      </c>
      <c r="H52" s="367">
        <v>493755.27</v>
      </c>
      <c r="I52" s="440">
        <f t="shared" si="8"/>
        <v>825175</v>
      </c>
      <c r="J52" s="465">
        <f t="shared" si="8"/>
        <v>845370</v>
      </c>
      <c r="K52" s="465">
        <f t="shared" si="8"/>
        <v>845370</v>
      </c>
      <c r="L52" s="436">
        <f t="shared" si="0"/>
        <v>0</v>
      </c>
      <c r="M52" s="498">
        <f t="shared" si="1"/>
        <v>105.69384205874006</v>
      </c>
    </row>
    <row r="53" spans="1:13" ht="34" outlineLevel="7" x14ac:dyDescent="0.3">
      <c r="A53" s="438" t="s">
        <v>13</v>
      </c>
      <c r="B53" s="439" t="s">
        <v>500</v>
      </c>
      <c r="C53" s="439" t="s">
        <v>10</v>
      </c>
      <c r="D53" s="539" t="s">
        <v>537</v>
      </c>
      <c r="E53" s="539" t="s">
        <v>14</v>
      </c>
      <c r="F53" s="540">
        <v>703771.03</v>
      </c>
      <c r="G53" s="465">
        <f>825175-25346</f>
        <v>799829</v>
      </c>
      <c r="H53" s="367">
        <v>493755.27</v>
      </c>
      <c r="I53" s="440">
        <f>'[2]прил 12'!F60</f>
        <v>825175</v>
      </c>
      <c r="J53" s="466">
        <v>845370</v>
      </c>
      <c r="K53" s="466">
        <v>845370</v>
      </c>
      <c r="L53" s="436">
        <f t="shared" si="0"/>
        <v>0</v>
      </c>
      <c r="M53" s="498">
        <f t="shared" si="1"/>
        <v>105.69384205874006</v>
      </c>
    </row>
    <row r="54" spans="1:13" outlineLevel="7" x14ac:dyDescent="0.3">
      <c r="A54" s="438" t="s">
        <v>698</v>
      </c>
      <c r="B54" s="439" t="s">
        <v>500</v>
      </c>
      <c r="C54" s="439" t="s">
        <v>695</v>
      </c>
      <c r="D54" s="539" t="s">
        <v>126</v>
      </c>
      <c r="E54" s="539" t="s">
        <v>6</v>
      </c>
      <c r="F54" s="540">
        <v>0</v>
      </c>
      <c r="G54" s="465">
        <f t="shared" ref="G54:K57" si="9">G55</f>
        <v>1644227.3600000031</v>
      </c>
      <c r="H54" s="367"/>
      <c r="I54" s="440">
        <f t="shared" si="9"/>
        <v>0</v>
      </c>
      <c r="J54" s="465">
        <f t="shared" si="9"/>
        <v>12000000</v>
      </c>
      <c r="K54" s="465">
        <f t="shared" si="9"/>
        <v>12000000</v>
      </c>
      <c r="L54" s="436">
        <f t="shared" si="0"/>
        <v>0</v>
      </c>
      <c r="M54" s="498">
        <f t="shared" si="1"/>
        <v>729.82607466159538</v>
      </c>
    </row>
    <row r="55" spans="1:13" ht="34" outlineLevel="7" x14ac:dyDescent="0.3">
      <c r="A55" s="438" t="s">
        <v>132</v>
      </c>
      <c r="B55" s="439" t="s">
        <v>500</v>
      </c>
      <c r="C55" s="439" t="s">
        <v>695</v>
      </c>
      <c r="D55" s="539" t="s">
        <v>127</v>
      </c>
      <c r="E55" s="539" t="s">
        <v>6</v>
      </c>
      <c r="F55" s="540">
        <v>0</v>
      </c>
      <c r="G55" s="465">
        <f t="shared" si="9"/>
        <v>1644227.3600000031</v>
      </c>
      <c r="H55" s="441"/>
      <c r="I55" s="440">
        <f t="shared" si="9"/>
        <v>0</v>
      </c>
      <c r="J55" s="465">
        <f t="shared" si="9"/>
        <v>12000000</v>
      </c>
      <c r="K55" s="465">
        <f t="shared" si="9"/>
        <v>12000000</v>
      </c>
      <c r="L55" s="436">
        <f t="shared" si="0"/>
        <v>0</v>
      </c>
      <c r="M55" s="498">
        <f t="shared" si="1"/>
        <v>729.82607466159538</v>
      </c>
    </row>
    <row r="56" spans="1:13" ht="34" outlineLevel="7" x14ac:dyDescent="0.3">
      <c r="A56" s="438" t="s">
        <v>526</v>
      </c>
      <c r="B56" s="439" t="s">
        <v>500</v>
      </c>
      <c r="C56" s="439" t="s">
        <v>695</v>
      </c>
      <c r="D56" s="539" t="s">
        <v>539</v>
      </c>
      <c r="E56" s="539" t="s">
        <v>6</v>
      </c>
      <c r="F56" s="540">
        <v>0</v>
      </c>
      <c r="G56" s="465">
        <f t="shared" si="9"/>
        <v>1644227.3600000031</v>
      </c>
      <c r="H56" s="441"/>
      <c r="I56" s="440">
        <f t="shared" si="9"/>
        <v>0</v>
      </c>
      <c r="J56" s="465">
        <f t="shared" si="9"/>
        <v>12000000</v>
      </c>
      <c r="K56" s="465">
        <f t="shared" si="9"/>
        <v>12000000</v>
      </c>
      <c r="L56" s="436">
        <f t="shared" si="0"/>
        <v>0</v>
      </c>
      <c r="M56" s="498">
        <f t="shared" si="1"/>
        <v>729.82607466159538</v>
      </c>
    </row>
    <row r="57" spans="1:13" outlineLevel="7" x14ac:dyDescent="0.3">
      <c r="A57" s="438" t="s">
        <v>19</v>
      </c>
      <c r="B57" s="439" t="s">
        <v>500</v>
      </c>
      <c r="C57" s="439" t="s">
        <v>695</v>
      </c>
      <c r="D57" s="539" t="s">
        <v>539</v>
      </c>
      <c r="E57" s="539" t="s">
        <v>20</v>
      </c>
      <c r="F57" s="540">
        <v>0</v>
      </c>
      <c r="G57" s="465">
        <f t="shared" si="9"/>
        <v>1644227.3600000031</v>
      </c>
      <c r="H57" s="441"/>
      <c r="I57" s="440">
        <f t="shared" si="9"/>
        <v>0</v>
      </c>
      <c r="J57" s="465">
        <f t="shared" si="9"/>
        <v>12000000</v>
      </c>
      <c r="K57" s="465">
        <f t="shared" si="9"/>
        <v>12000000</v>
      </c>
      <c r="L57" s="436">
        <f t="shared" si="0"/>
        <v>0</v>
      </c>
      <c r="M57" s="498">
        <f t="shared" si="1"/>
        <v>729.82607466159538</v>
      </c>
    </row>
    <row r="58" spans="1:13" outlineLevel="7" x14ac:dyDescent="0.3">
      <c r="A58" s="438" t="s">
        <v>696</v>
      </c>
      <c r="B58" s="439" t="s">
        <v>500</v>
      </c>
      <c r="C58" s="439" t="s">
        <v>695</v>
      </c>
      <c r="D58" s="539" t="s">
        <v>539</v>
      </c>
      <c r="E58" s="539" t="s">
        <v>694</v>
      </c>
      <c r="F58" s="540">
        <v>0</v>
      </c>
      <c r="G58" s="465">
        <f>[2]потребность!L65-247000-26399.58-22900478.19+1393.94-72913.58-143709.27+5012765.36+3173352.2-8884417.62+502896.1-2456240-183872</f>
        <v>1644227.3600000031</v>
      </c>
      <c r="H58" s="441"/>
      <c r="I58" s="440">
        <v>0</v>
      </c>
      <c r="J58" s="465">
        <v>12000000</v>
      </c>
      <c r="K58" s="465">
        <v>12000000</v>
      </c>
      <c r="L58" s="436">
        <f t="shared" si="0"/>
        <v>0</v>
      </c>
      <c r="M58" s="498">
        <f t="shared" si="1"/>
        <v>729.82607466159538</v>
      </c>
    </row>
    <row r="59" spans="1:13" outlineLevel="2" x14ac:dyDescent="0.3">
      <c r="A59" s="438" t="s">
        <v>23</v>
      </c>
      <c r="B59" s="439" t="s">
        <v>500</v>
      </c>
      <c r="C59" s="439" t="s">
        <v>24</v>
      </c>
      <c r="D59" s="539" t="s">
        <v>126</v>
      </c>
      <c r="E59" s="539" t="s">
        <v>6</v>
      </c>
      <c r="F59" s="540">
        <v>70902280.519999996</v>
      </c>
      <c r="G59" s="465">
        <f>G60+G85+G98+G90+G110+G105</f>
        <v>82322703.329999998</v>
      </c>
      <c r="H59" s="369">
        <v>60204370.20000001</v>
      </c>
      <c r="I59" s="440">
        <f>I60+I85+I98+I90+I110+I105</f>
        <v>72521978.530000001</v>
      </c>
      <c r="J59" s="465">
        <f>J60+J85+J98+J90+J110+J105</f>
        <v>88783020</v>
      </c>
      <c r="K59" s="465">
        <f>K60+K85+K98+K90+K110+K105</f>
        <v>74965412</v>
      </c>
      <c r="L59" s="436">
        <f t="shared" si="0"/>
        <v>-13817608</v>
      </c>
      <c r="M59" s="498">
        <f t="shared" si="1"/>
        <v>107.84755165789817</v>
      </c>
    </row>
    <row r="60" spans="1:13" s="449" customFormat="1" ht="37.549999999999997" customHeight="1" outlineLevel="3" x14ac:dyDescent="0.3">
      <c r="A60" s="444" t="s">
        <v>853</v>
      </c>
      <c r="B60" s="445" t="s">
        <v>500</v>
      </c>
      <c r="C60" s="445" t="s">
        <v>24</v>
      </c>
      <c r="D60" s="541" t="s">
        <v>128</v>
      </c>
      <c r="E60" s="541" t="s">
        <v>6</v>
      </c>
      <c r="F60" s="542">
        <v>22886854.309999999</v>
      </c>
      <c r="G60" s="508">
        <f>G61+G68+G76</f>
        <v>23474335</v>
      </c>
      <c r="H60" s="447">
        <f>H61+H68+H76</f>
        <v>14784021.529999999</v>
      </c>
      <c r="I60" s="446">
        <f>I61+I68+I76</f>
        <v>25030881.030000001</v>
      </c>
      <c r="J60" s="508">
        <f>J61+J68+J76</f>
        <v>26583813</v>
      </c>
      <c r="K60" s="508">
        <f>K61+K68+K76</f>
        <v>25102813</v>
      </c>
      <c r="L60" s="436">
        <f t="shared" si="0"/>
        <v>-1481000</v>
      </c>
      <c r="M60" s="498">
        <f t="shared" si="1"/>
        <v>113.24628791401332</v>
      </c>
    </row>
    <row r="61" spans="1:13" ht="39.25" customHeight="1" outlineLevel="7" x14ac:dyDescent="0.3">
      <c r="A61" s="438" t="s">
        <v>835</v>
      </c>
      <c r="B61" s="439" t="s">
        <v>500</v>
      </c>
      <c r="C61" s="439" t="s">
        <v>24</v>
      </c>
      <c r="D61" s="539" t="s">
        <v>315</v>
      </c>
      <c r="E61" s="539" t="s">
        <v>6</v>
      </c>
      <c r="F61" s="540">
        <v>796387</v>
      </c>
      <c r="G61" s="466">
        <f>G62+G65</f>
        <v>845385</v>
      </c>
      <c r="H61" s="442">
        <f>H62+H65</f>
        <v>20900</v>
      </c>
      <c r="I61" s="442">
        <f>I62+I65</f>
        <v>795385</v>
      </c>
      <c r="J61" s="466">
        <f>J62+J65</f>
        <v>845385</v>
      </c>
      <c r="K61" s="466">
        <f>K62+K65</f>
        <v>845385</v>
      </c>
      <c r="L61" s="436">
        <f t="shared" si="0"/>
        <v>0</v>
      </c>
      <c r="M61" s="498">
        <f t="shared" si="1"/>
        <v>100</v>
      </c>
    </row>
    <row r="62" spans="1:13" outlineLevel="7" x14ac:dyDescent="0.3">
      <c r="A62" s="438" t="s">
        <v>321</v>
      </c>
      <c r="B62" s="439" t="s">
        <v>500</v>
      </c>
      <c r="C62" s="439" t="s">
        <v>24</v>
      </c>
      <c r="D62" s="539" t="s">
        <v>316</v>
      </c>
      <c r="E62" s="539" t="s">
        <v>6</v>
      </c>
      <c r="F62" s="540">
        <v>628897</v>
      </c>
      <c r="G62" s="466">
        <f t="shared" ref="G62:K63" si="10">G63</f>
        <v>745385</v>
      </c>
      <c r="H62" s="442">
        <v>5100</v>
      </c>
      <c r="I62" s="442">
        <f t="shared" si="10"/>
        <v>745385</v>
      </c>
      <c r="J62" s="466">
        <f t="shared" si="10"/>
        <v>745385</v>
      </c>
      <c r="K62" s="466">
        <f t="shared" si="10"/>
        <v>745385</v>
      </c>
      <c r="L62" s="436">
        <f t="shared" si="0"/>
        <v>0</v>
      </c>
      <c r="M62" s="498">
        <f t="shared" si="1"/>
        <v>100</v>
      </c>
    </row>
    <row r="63" spans="1:13" ht="34" outlineLevel="7" x14ac:dyDescent="0.3">
      <c r="A63" s="438" t="s">
        <v>15</v>
      </c>
      <c r="B63" s="439" t="s">
        <v>500</v>
      </c>
      <c r="C63" s="439" t="s">
        <v>24</v>
      </c>
      <c r="D63" s="539" t="s">
        <v>316</v>
      </c>
      <c r="E63" s="539" t="s">
        <v>16</v>
      </c>
      <c r="F63" s="540">
        <v>628897</v>
      </c>
      <c r="G63" s="465">
        <f t="shared" si="10"/>
        <v>745385</v>
      </c>
      <c r="H63" s="370">
        <v>5100</v>
      </c>
      <c r="I63" s="440">
        <f t="shared" si="10"/>
        <v>745385</v>
      </c>
      <c r="J63" s="465">
        <f t="shared" si="10"/>
        <v>745385</v>
      </c>
      <c r="K63" s="465">
        <f t="shared" si="10"/>
        <v>745385</v>
      </c>
      <c r="L63" s="436">
        <f t="shared" si="0"/>
        <v>0</v>
      </c>
      <c r="M63" s="498">
        <f t="shared" si="1"/>
        <v>100</v>
      </c>
    </row>
    <row r="64" spans="1:13" ht="21.25" customHeight="1" outlineLevel="7" x14ac:dyDescent="0.3">
      <c r="A64" s="438" t="s">
        <v>17</v>
      </c>
      <c r="B64" s="439" t="s">
        <v>500</v>
      </c>
      <c r="C64" s="439" t="s">
        <v>24</v>
      </c>
      <c r="D64" s="539" t="s">
        <v>316</v>
      </c>
      <c r="E64" s="539" t="s">
        <v>18</v>
      </c>
      <c r="F64" s="540">
        <v>628897</v>
      </c>
      <c r="G64" s="466">
        <v>745385</v>
      </c>
      <c r="H64" s="370">
        <v>5100</v>
      </c>
      <c r="I64" s="442">
        <f>'[2]прил 12'!F71</f>
        <v>745385</v>
      </c>
      <c r="J64" s="466">
        <v>745385</v>
      </c>
      <c r="K64" s="466">
        <v>745385</v>
      </c>
      <c r="L64" s="436">
        <f t="shared" si="0"/>
        <v>0</v>
      </c>
      <c r="M64" s="498">
        <f t="shared" si="1"/>
        <v>100</v>
      </c>
    </row>
    <row r="65" spans="1:13" outlineLevel="7" x14ac:dyDescent="0.3">
      <c r="A65" s="438" t="s">
        <v>322</v>
      </c>
      <c r="B65" s="439" t="s">
        <v>500</v>
      </c>
      <c r="C65" s="439" t="s">
        <v>24</v>
      </c>
      <c r="D65" s="539" t="s">
        <v>323</v>
      </c>
      <c r="E65" s="539" t="s">
        <v>6</v>
      </c>
      <c r="F65" s="540">
        <v>167490</v>
      </c>
      <c r="G65" s="466">
        <f t="shared" ref="G65:K66" si="11">G66</f>
        <v>100000</v>
      </c>
      <c r="H65" s="370">
        <v>15800</v>
      </c>
      <c r="I65" s="442">
        <f t="shared" si="11"/>
        <v>50000</v>
      </c>
      <c r="J65" s="466">
        <f t="shared" si="11"/>
        <v>100000</v>
      </c>
      <c r="K65" s="466">
        <f t="shared" si="11"/>
        <v>100000</v>
      </c>
      <c r="L65" s="436">
        <f t="shared" si="0"/>
        <v>0</v>
      </c>
      <c r="M65" s="498">
        <f t="shared" si="1"/>
        <v>100</v>
      </c>
    </row>
    <row r="66" spans="1:13" ht="34" outlineLevel="7" x14ac:dyDescent="0.3">
      <c r="A66" s="438" t="s">
        <v>15</v>
      </c>
      <c r="B66" s="439" t="s">
        <v>500</v>
      </c>
      <c r="C66" s="439" t="s">
        <v>24</v>
      </c>
      <c r="D66" s="539" t="s">
        <v>323</v>
      </c>
      <c r="E66" s="539" t="s">
        <v>16</v>
      </c>
      <c r="F66" s="540">
        <v>167490</v>
      </c>
      <c r="G66" s="465">
        <f t="shared" si="11"/>
        <v>100000</v>
      </c>
      <c r="H66" s="370">
        <v>15800</v>
      </c>
      <c r="I66" s="440">
        <f t="shared" si="11"/>
        <v>50000</v>
      </c>
      <c r="J66" s="465">
        <f t="shared" si="11"/>
        <v>100000</v>
      </c>
      <c r="K66" s="465">
        <f t="shared" si="11"/>
        <v>100000</v>
      </c>
      <c r="L66" s="436">
        <f t="shared" si="0"/>
        <v>0</v>
      </c>
      <c r="M66" s="498">
        <f t="shared" si="1"/>
        <v>100</v>
      </c>
    </row>
    <row r="67" spans="1:13" ht="19.55" customHeight="1" outlineLevel="7" x14ac:dyDescent="0.3">
      <c r="A67" s="438" t="s">
        <v>17</v>
      </c>
      <c r="B67" s="439" t="s">
        <v>500</v>
      </c>
      <c r="C67" s="439" t="s">
        <v>24</v>
      </c>
      <c r="D67" s="539" t="s">
        <v>323</v>
      </c>
      <c r="E67" s="539" t="s">
        <v>18</v>
      </c>
      <c r="F67" s="540">
        <v>167490</v>
      </c>
      <c r="G67" s="465">
        <f>50000+50000</f>
        <v>100000</v>
      </c>
      <c r="H67" s="440">
        <v>15800</v>
      </c>
      <c r="I67" s="440">
        <f>'[2]прил 12'!F74</f>
        <v>50000</v>
      </c>
      <c r="J67" s="465">
        <f>50000+50000</f>
        <v>100000</v>
      </c>
      <c r="K67" s="465">
        <f>50000+50000</f>
        <v>100000</v>
      </c>
      <c r="L67" s="436">
        <f t="shared" si="0"/>
        <v>0</v>
      </c>
      <c r="M67" s="498">
        <f t="shared" si="1"/>
        <v>100</v>
      </c>
    </row>
    <row r="68" spans="1:13" ht="42.45" customHeight="1" outlineLevel="7" x14ac:dyDescent="0.3">
      <c r="A68" s="438" t="s">
        <v>216</v>
      </c>
      <c r="B68" s="439" t="s">
        <v>500</v>
      </c>
      <c r="C68" s="439" t="s">
        <v>24</v>
      </c>
      <c r="D68" s="539" t="s">
        <v>231</v>
      </c>
      <c r="E68" s="539" t="s">
        <v>6</v>
      </c>
      <c r="F68" s="540">
        <v>19431974.879999999</v>
      </c>
      <c r="G68" s="466">
        <f>G69</f>
        <v>21177850</v>
      </c>
      <c r="H68" s="443">
        <f>H69</f>
        <v>13917675.359999999</v>
      </c>
      <c r="I68" s="442">
        <f>I69</f>
        <v>22135496.030000001</v>
      </c>
      <c r="J68" s="466">
        <f>J69</f>
        <v>24287328</v>
      </c>
      <c r="K68" s="466">
        <f>K69</f>
        <v>22806328</v>
      </c>
      <c r="L68" s="436">
        <f t="shared" si="0"/>
        <v>-1481000</v>
      </c>
      <c r="M68" s="498">
        <f t="shared" si="1"/>
        <v>114.68268969701835</v>
      </c>
    </row>
    <row r="69" spans="1:13" ht="34" outlineLevel="5" x14ac:dyDescent="0.3">
      <c r="A69" s="438" t="s">
        <v>33</v>
      </c>
      <c r="B69" s="439" t="s">
        <v>500</v>
      </c>
      <c r="C69" s="439" t="s">
        <v>24</v>
      </c>
      <c r="D69" s="539" t="s">
        <v>130</v>
      </c>
      <c r="E69" s="539" t="s">
        <v>6</v>
      </c>
      <c r="F69" s="540">
        <v>19431974.879999999</v>
      </c>
      <c r="G69" s="465">
        <f>G70+G72+G74</f>
        <v>21177850</v>
      </c>
      <c r="H69" s="441">
        <f>H70+H72+H74</f>
        <v>13917675.359999999</v>
      </c>
      <c r="I69" s="440">
        <f>I70+I72+I74</f>
        <v>22135496.030000001</v>
      </c>
      <c r="J69" s="465">
        <f>J70+J72+J74</f>
        <v>24287328</v>
      </c>
      <c r="K69" s="465">
        <f>K70+K72+K74</f>
        <v>22806328</v>
      </c>
      <c r="L69" s="436">
        <f t="shared" si="0"/>
        <v>-1481000</v>
      </c>
      <c r="M69" s="498">
        <f t="shared" si="1"/>
        <v>114.68268969701835</v>
      </c>
    </row>
    <row r="70" spans="1:13" ht="84.9" outlineLevel="6" x14ac:dyDescent="0.3">
      <c r="A70" s="438" t="s">
        <v>11</v>
      </c>
      <c r="B70" s="439" t="s">
        <v>500</v>
      </c>
      <c r="C70" s="439" t="s">
        <v>24</v>
      </c>
      <c r="D70" s="539" t="s">
        <v>130</v>
      </c>
      <c r="E70" s="539" t="s">
        <v>12</v>
      </c>
      <c r="F70" s="540">
        <v>9763033.2200000007</v>
      </c>
      <c r="G70" s="465">
        <f>G71</f>
        <v>11340000</v>
      </c>
      <c r="H70" s="370">
        <v>8110814.9500000002</v>
      </c>
      <c r="I70" s="440">
        <f>I71</f>
        <v>11334046.030000001</v>
      </c>
      <c r="J70" s="465">
        <f>J71</f>
        <v>11899000</v>
      </c>
      <c r="K70" s="465">
        <f>K71</f>
        <v>11899000</v>
      </c>
      <c r="L70" s="436">
        <f t="shared" si="0"/>
        <v>0</v>
      </c>
      <c r="M70" s="498">
        <f t="shared" si="1"/>
        <v>104.92945326278659</v>
      </c>
    </row>
    <row r="71" spans="1:13" outlineLevel="7" x14ac:dyDescent="0.3">
      <c r="A71" s="438" t="s">
        <v>34</v>
      </c>
      <c r="B71" s="439" t="s">
        <v>500</v>
      </c>
      <c r="C71" s="439" t="s">
        <v>24</v>
      </c>
      <c r="D71" s="539" t="s">
        <v>130</v>
      </c>
      <c r="E71" s="539" t="s">
        <v>35</v>
      </c>
      <c r="F71" s="540">
        <v>9763033.2200000007</v>
      </c>
      <c r="G71" s="466">
        <f>[2]потребность!I78+340000</f>
        <v>11340000</v>
      </c>
      <c r="H71" s="370">
        <v>8110814.9500000002</v>
      </c>
      <c r="I71" s="442">
        <f>'[2]прил 12'!F78</f>
        <v>11334046.030000001</v>
      </c>
      <c r="J71" s="466">
        <v>11899000</v>
      </c>
      <c r="K71" s="466">
        <v>11899000</v>
      </c>
      <c r="L71" s="436">
        <f t="shared" si="0"/>
        <v>0</v>
      </c>
      <c r="M71" s="498">
        <f t="shared" si="1"/>
        <v>104.92945326278659</v>
      </c>
    </row>
    <row r="72" spans="1:13" ht="34" outlineLevel="6" x14ac:dyDescent="0.3">
      <c r="A72" s="438" t="s">
        <v>15</v>
      </c>
      <c r="B72" s="439" t="s">
        <v>500</v>
      </c>
      <c r="C72" s="439" t="s">
        <v>24</v>
      </c>
      <c r="D72" s="539" t="s">
        <v>130</v>
      </c>
      <c r="E72" s="539" t="s">
        <v>16</v>
      </c>
      <c r="F72" s="540">
        <v>8912074.9000000004</v>
      </c>
      <c r="G72" s="465">
        <f>G73</f>
        <v>9036400</v>
      </c>
      <c r="H72" s="370">
        <v>5501055.75</v>
      </c>
      <c r="I72" s="440">
        <f>I73</f>
        <v>10000000</v>
      </c>
      <c r="J72" s="465">
        <f>J73</f>
        <v>11619820</v>
      </c>
      <c r="K72" s="465">
        <f>K73</f>
        <v>10138820</v>
      </c>
      <c r="L72" s="436">
        <f t="shared" ref="L72:L135" si="12">K72-J72</f>
        <v>-1481000</v>
      </c>
      <c r="M72" s="498">
        <f t="shared" ref="M72:M135" si="13">J72/G72%</f>
        <v>128.58903988313929</v>
      </c>
    </row>
    <row r="73" spans="1:13" ht="21.25" customHeight="1" outlineLevel="7" x14ac:dyDescent="0.3">
      <c r="A73" s="438" t="s">
        <v>17</v>
      </c>
      <c r="B73" s="439" t="s">
        <v>500</v>
      </c>
      <c r="C73" s="439" t="s">
        <v>24</v>
      </c>
      <c r="D73" s="539" t="s">
        <v>130</v>
      </c>
      <c r="E73" s="539" t="s">
        <v>18</v>
      </c>
      <c r="F73" s="540">
        <v>8912074.9000000004</v>
      </c>
      <c r="G73" s="466">
        <f>[2]потребность!I80+36400</f>
        <v>9036400</v>
      </c>
      <c r="H73" s="370">
        <v>5501055.75</v>
      </c>
      <c r="I73" s="442">
        <f>'[2]прил 12'!F80</f>
        <v>10000000</v>
      </c>
      <c r="J73" s="465">
        <v>11619820</v>
      </c>
      <c r="K73" s="511">
        <f>J73-1481000</f>
        <v>10138820</v>
      </c>
      <c r="L73" s="436">
        <f t="shared" si="12"/>
        <v>-1481000</v>
      </c>
      <c r="M73" s="498">
        <f t="shared" si="13"/>
        <v>128.58903988313929</v>
      </c>
    </row>
    <row r="74" spans="1:13" outlineLevel="6" x14ac:dyDescent="0.3">
      <c r="A74" s="438" t="s">
        <v>19</v>
      </c>
      <c r="B74" s="439" t="s">
        <v>500</v>
      </c>
      <c r="C74" s="439" t="s">
        <v>24</v>
      </c>
      <c r="D74" s="539" t="s">
        <v>130</v>
      </c>
      <c r="E74" s="539" t="s">
        <v>20</v>
      </c>
      <c r="F74" s="540">
        <v>756866.76</v>
      </c>
      <c r="G74" s="465">
        <f>G75</f>
        <v>801450</v>
      </c>
      <c r="H74" s="370">
        <v>305804.65999999997</v>
      </c>
      <c r="I74" s="440">
        <f>I75</f>
        <v>801450</v>
      </c>
      <c r="J74" s="466">
        <v>768508</v>
      </c>
      <c r="K74" s="466">
        <v>768508</v>
      </c>
      <c r="L74" s="436">
        <f t="shared" si="12"/>
        <v>0</v>
      </c>
      <c r="M74" s="498">
        <f t="shared" si="13"/>
        <v>95.889699918896994</v>
      </c>
    </row>
    <row r="75" spans="1:13" outlineLevel="7" x14ac:dyDescent="0.3">
      <c r="A75" s="438" t="s">
        <v>21</v>
      </c>
      <c r="B75" s="439" t="s">
        <v>500</v>
      </c>
      <c r="C75" s="439" t="s">
        <v>24</v>
      </c>
      <c r="D75" s="539" t="s">
        <v>130</v>
      </c>
      <c r="E75" s="539" t="s">
        <v>22</v>
      </c>
      <c r="F75" s="543">
        <v>756866.76</v>
      </c>
      <c r="G75" s="466">
        <v>801450</v>
      </c>
      <c r="H75" s="370">
        <v>305804.65999999997</v>
      </c>
      <c r="I75" s="442">
        <f>'[2]прил 12'!F82</f>
        <v>801450</v>
      </c>
      <c r="J75" s="466">
        <v>768508</v>
      </c>
      <c r="K75" s="466">
        <v>768508</v>
      </c>
      <c r="L75" s="436">
        <f t="shared" si="12"/>
        <v>0</v>
      </c>
      <c r="M75" s="498">
        <f t="shared" si="13"/>
        <v>95.889699918896994</v>
      </c>
    </row>
    <row r="76" spans="1:13" ht="17.5" customHeight="1" outlineLevel="7" x14ac:dyDescent="0.3">
      <c r="A76" s="438" t="s">
        <v>748</v>
      </c>
      <c r="B76" s="439" t="s">
        <v>500</v>
      </c>
      <c r="C76" s="439" t="s">
        <v>24</v>
      </c>
      <c r="D76" s="539" t="s">
        <v>692</v>
      </c>
      <c r="E76" s="539" t="s">
        <v>6</v>
      </c>
      <c r="F76" s="540">
        <v>2692560</v>
      </c>
      <c r="G76" s="465">
        <f>G77+G80</f>
        <v>1451100</v>
      </c>
      <c r="H76" s="441">
        <f>H77+H80</f>
        <v>845446.17</v>
      </c>
      <c r="I76" s="440">
        <f>I77+I80</f>
        <v>2100000</v>
      </c>
      <c r="J76" s="465">
        <f>J77+J80</f>
        <v>1451100</v>
      </c>
      <c r="K76" s="465">
        <f>K77+K80</f>
        <v>1451100</v>
      </c>
      <c r="L76" s="436">
        <f t="shared" si="12"/>
        <v>0</v>
      </c>
      <c r="M76" s="498">
        <f t="shared" si="13"/>
        <v>100</v>
      </c>
    </row>
    <row r="77" spans="1:13" ht="34" outlineLevel="7" x14ac:dyDescent="0.3">
      <c r="A77" s="397" t="s">
        <v>717</v>
      </c>
      <c r="B77" s="439" t="s">
        <v>500</v>
      </c>
      <c r="C77" s="439" t="s">
        <v>24</v>
      </c>
      <c r="D77" s="539" t="s">
        <v>691</v>
      </c>
      <c r="E77" s="539" t="s">
        <v>6</v>
      </c>
      <c r="F77" s="540">
        <v>1601460</v>
      </c>
      <c r="G77" s="465">
        <f t="shared" ref="G77:K78" si="14">G78</f>
        <v>0</v>
      </c>
      <c r="H77" s="441">
        <f t="shared" si="14"/>
        <v>0</v>
      </c>
      <c r="I77" s="440">
        <f t="shared" si="14"/>
        <v>500000</v>
      </c>
      <c r="J77" s="465">
        <f t="shared" si="14"/>
        <v>0</v>
      </c>
      <c r="K77" s="465">
        <f t="shared" si="14"/>
        <v>0</v>
      </c>
      <c r="L77" s="436">
        <f t="shared" si="12"/>
        <v>0</v>
      </c>
      <c r="M77" s="498"/>
    </row>
    <row r="78" spans="1:13" ht="34" outlineLevel="7" x14ac:dyDescent="0.3">
      <c r="A78" s="438" t="s">
        <v>15</v>
      </c>
      <c r="B78" s="439" t="s">
        <v>500</v>
      </c>
      <c r="C78" s="439" t="s">
        <v>24</v>
      </c>
      <c r="D78" s="539" t="s">
        <v>691</v>
      </c>
      <c r="E78" s="539" t="s">
        <v>16</v>
      </c>
      <c r="F78" s="540">
        <v>1601460</v>
      </c>
      <c r="G78" s="465">
        <f t="shared" si="14"/>
        <v>0</v>
      </c>
      <c r="H78" s="441">
        <f t="shared" si="14"/>
        <v>0</v>
      </c>
      <c r="I78" s="440">
        <f t="shared" si="14"/>
        <v>500000</v>
      </c>
      <c r="J78" s="465">
        <f t="shared" si="14"/>
        <v>0</v>
      </c>
      <c r="K78" s="465">
        <f t="shared" si="14"/>
        <v>0</v>
      </c>
      <c r="L78" s="436">
        <f t="shared" si="12"/>
        <v>0</v>
      </c>
      <c r="M78" s="498"/>
    </row>
    <row r="79" spans="1:13" ht="34" outlineLevel="7" x14ac:dyDescent="0.3">
      <c r="A79" s="438" t="s">
        <v>17</v>
      </c>
      <c r="B79" s="439" t="s">
        <v>500</v>
      </c>
      <c r="C79" s="439" t="s">
        <v>24</v>
      </c>
      <c r="D79" s="539" t="s">
        <v>691</v>
      </c>
      <c r="E79" s="539" t="s">
        <v>18</v>
      </c>
      <c r="F79" s="540">
        <v>1601460</v>
      </c>
      <c r="G79" s="466">
        <v>0</v>
      </c>
      <c r="H79" s="443">
        <v>0</v>
      </c>
      <c r="I79" s="442">
        <f>'[2]прил 12'!F86</f>
        <v>500000</v>
      </c>
      <c r="J79" s="466">
        <v>0</v>
      </c>
      <c r="K79" s="466">
        <v>0</v>
      </c>
      <c r="L79" s="436">
        <f t="shared" si="12"/>
        <v>0</v>
      </c>
      <c r="M79" s="498"/>
    </row>
    <row r="80" spans="1:13" ht="34" outlineLevel="7" x14ac:dyDescent="0.3">
      <c r="A80" s="438" t="s">
        <v>690</v>
      </c>
      <c r="B80" s="439" t="s">
        <v>500</v>
      </c>
      <c r="C80" s="439" t="s">
        <v>24</v>
      </c>
      <c r="D80" s="539" t="s">
        <v>689</v>
      </c>
      <c r="E80" s="539" t="s">
        <v>6</v>
      </c>
      <c r="F80" s="540">
        <v>1091100</v>
      </c>
      <c r="G80" s="465">
        <f>G83+G81</f>
        <v>1451100</v>
      </c>
      <c r="H80" s="441">
        <f>H83+H81</f>
        <v>845446.17</v>
      </c>
      <c r="I80" s="440">
        <f>I83+I81</f>
        <v>1600000</v>
      </c>
      <c r="J80" s="465">
        <f>J83+J81</f>
        <v>1451100</v>
      </c>
      <c r="K80" s="465">
        <f>K83+K81</f>
        <v>1451100</v>
      </c>
      <c r="L80" s="436">
        <f t="shared" si="12"/>
        <v>0</v>
      </c>
      <c r="M80" s="498">
        <f t="shared" si="13"/>
        <v>100</v>
      </c>
    </row>
    <row r="81" spans="1:13" ht="84.9" outlineLevel="7" x14ac:dyDescent="0.3">
      <c r="A81" s="438" t="s">
        <v>11</v>
      </c>
      <c r="B81" s="439" t="s">
        <v>500</v>
      </c>
      <c r="C81" s="439" t="s">
        <v>24</v>
      </c>
      <c r="D81" s="539" t="s">
        <v>689</v>
      </c>
      <c r="E81" s="539" t="s">
        <v>12</v>
      </c>
      <c r="F81" s="540">
        <v>29000</v>
      </c>
      <c r="G81" s="465">
        <f>G82</f>
        <v>116000</v>
      </c>
      <c r="H81" s="370">
        <v>58000</v>
      </c>
      <c r="I81" s="440">
        <v>0</v>
      </c>
      <c r="J81" s="465">
        <f>J82</f>
        <v>116000</v>
      </c>
      <c r="K81" s="465">
        <f>K82</f>
        <v>116000</v>
      </c>
      <c r="L81" s="436">
        <f t="shared" si="12"/>
        <v>0</v>
      </c>
      <c r="M81" s="498">
        <f t="shared" si="13"/>
        <v>100</v>
      </c>
    </row>
    <row r="82" spans="1:13" ht="34" outlineLevel="7" x14ac:dyDescent="0.3">
      <c r="A82" s="438" t="s">
        <v>13</v>
      </c>
      <c r="B82" s="439" t="s">
        <v>500</v>
      </c>
      <c r="C82" s="439" t="s">
        <v>24</v>
      </c>
      <c r="D82" s="539" t="s">
        <v>689</v>
      </c>
      <c r="E82" s="539" t="s">
        <v>14</v>
      </c>
      <c r="F82" s="540">
        <v>29000</v>
      </c>
      <c r="G82" s="465">
        <v>116000</v>
      </c>
      <c r="H82" s="370">
        <v>58000</v>
      </c>
      <c r="I82" s="440">
        <v>0</v>
      </c>
      <c r="J82" s="465">
        <v>116000</v>
      </c>
      <c r="K82" s="465">
        <v>116000</v>
      </c>
      <c r="L82" s="436">
        <f t="shared" si="12"/>
        <v>0</v>
      </c>
      <c r="M82" s="498">
        <f t="shared" si="13"/>
        <v>100</v>
      </c>
    </row>
    <row r="83" spans="1:13" ht="34" outlineLevel="7" x14ac:dyDescent="0.3">
      <c r="A83" s="438" t="s">
        <v>15</v>
      </c>
      <c r="B83" s="439" t="s">
        <v>500</v>
      </c>
      <c r="C83" s="439" t="s">
        <v>24</v>
      </c>
      <c r="D83" s="539" t="s">
        <v>689</v>
      </c>
      <c r="E83" s="539" t="s">
        <v>16</v>
      </c>
      <c r="F83" s="540">
        <v>1062100</v>
      </c>
      <c r="G83" s="465">
        <f>G84</f>
        <v>1335100</v>
      </c>
      <c r="H83" s="370">
        <v>787446.17</v>
      </c>
      <c r="I83" s="440">
        <f>I84</f>
        <v>1600000</v>
      </c>
      <c r="J83" s="465">
        <f>J84</f>
        <v>1335100</v>
      </c>
      <c r="K83" s="465">
        <f>K84</f>
        <v>1335100</v>
      </c>
      <c r="L83" s="436">
        <f t="shared" si="12"/>
        <v>0</v>
      </c>
      <c r="M83" s="498">
        <f t="shared" si="13"/>
        <v>100</v>
      </c>
    </row>
    <row r="84" spans="1:13" ht="34" outlineLevel="7" x14ac:dyDescent="0.3">
      <c r="A84" s="438" t="s">
        <v>17</v>
      </c>
      <c r="B84" s="439" t="s">
        <v>500</v>
      </c>
      <c r="C84" s="439" t="s">
        <v>24</v>
      </c>
      <c r="D84" s="539" t="s">
        <v>689</v>
      </c>
      <c r="E84" s="539" t="s">
        <v>18</v>
      </c>
      <c r="F84" s="540">
        <v>1062100</v>
      </c>
      <c r="G84" s="466">
        <f>1451100-116000</f>
        <v>1335100</v>
      </c>
      <c r="H84" s="370">
        <v>787446.17</v>
      </c>
      <c r="I84" s="442">
        <f>'[2]прил 12'!F89</f>
        <v>1600000</v>
      </c>
      <c r="J84" s="466">
        <v>1335100</v>
      </c>
      <c r="K84" s="466">
        <v>1335100</v>
      </c>
      <c r="L84" s="436">
        <f t="shared" si="12"/>
        <v>0</v>
      </c>
      <c r="M84" s="498">
        <f t="shared" si="13"/>
        <v>100</v>
      </c>
    </row>
    <row r="85" spans="1:13" s="449" customFormat="1" ht="34" outlineLevel="7" x14ac:dyDescent="0.3">
      <c r="A85" s="444" t="s">
        <v>852</v>
      </c>
      <c r="B85" s="445" t="s">
        <v>500</v>
      </c>
      <c r="C85" s="445" t="s">
        <v>24</v>
      </c>
      <c r="D85" s="541" t="s">
        <v>131</v>
      </c>
      <c r="E85" s="541" t="s">
        <v>6</v>
      </c>
      <c r="F85" s="542">
        <v>64753.57</v>
      </c>
      <c r="G85" s="508">
        <f t="shared" ref="G85:K88" si="15">G86</f>
        <v>50000</v>
      </c>
      <c r="H85" s="446">
        <f t="shared" si="15"/>
        <v>49993.440000000002</v>
      </c>
      <c r="I85" s="446">
        <f t="shared" si="15"/>
        <v>50000</v>
      </c>
      <c r="J85" s="508">
        <f t="shared" si="15"/>
        <v>50000</v>
      </c>
      <c r="K85" s="508">
        <f t="shared" si="15"/>
        <v>50000</v>
      </c>
      <c r="L85" s="436">
        <f t="shared" si="12"/>
        <v>0</v>
      </c>
      <c r="M85" s="498">
        <f t="shared" si="13"/>
        <v>100</v>
      </c>
    </row>
    <row r="86" spans="1:13" outlineLevel="7" x14ac:dyDescent="0.3">
      <c r="A86" s="438" t="s">
        <v>324</v>
      </c>
      <c r="B86" s="439" t="s">
        <v>500</v>
      </c>
      <c r="C86" s="439" t="s">
        <v>24</v>
      </c>
      <c r="D86" s="539" t="s">
        <v>233</v>
      </c>
      <c r="E86" s="539" t="s">
        <v>6</v>
      </c>
      <c r="F86" s="540">
        <v>64753.57</v>
      </c>
      <c r="G86" s="465">
        <f t="shared" si="15"/>
        <v>50000</v>
      </c>
      <c r="H86" s="440">
        <f t="shared" si="15"/>
        <v>49993.440000000002</v>
      </c>
      <c r="I86" s="440">
        <f t="shared" si="15"/>
        <v>50000</v>
      </c>
      <c r="J86" s="465">
        <f t="shared" si="15"/>
        <v>50000</v>
      </c>
      <c r="K86" s="465">
        <f t="shared" si="15"/>
        <v>50000</v>
      </c>
      <c r="L86" s="436">
        <f t="shared" si="12"/>
        <v>0</v>
      </c>
      <c r="M86" s="498">
        <f t="shared" si="13"/>
        <v>100</v>
      </c>
    </row>
    <row r="87" spans="1:13" ht="34" outlineLevel="7" x14ac:dyDescent="0.3">
      <c r="A87" s="438" t="s">
        <v>325</v>
      </c>
      <c r="B87" s="439" t="s">
        <v>500</v>
      </c>
      <c r="C87" s="439" t="s">
        <v>24</v>
      </c>
      <c r="D87" s="539" t="s">
        <v>326</v>
      </c>
      <c r="E87" s="539" t="s">
        <v>6</v>
      </c>
      <c r="F87" s="540">
        <v>64753.57</v>
      </c>
      <c r="G87" s="465">
        <f t="shared" si="15"/>
        <v>50000</v>
      </c>
      <c r="H87" s="440">
        <f t="shared" si="15"/>
        <v>49993.440000000002</v>
      </c>
      <c r="I87" s="440">
        <f t="shared" si="15"/>
        <v>50000</v>
      </c>
      <c r="J87" s="465">
        <f t="shared" si="15"/>
        <v>50000</v>
      </c>
      <c r="K87" s="465">
        <f t="shared" si="15"/>
        <v>50000</v>
      </c>
      <c r="L87" s="436">
        <f t="shared" si="12"/>
        <v>0</v>
      </c>
      <c r="M87" s="498">
        <f t="shared" si="13"/>
        <v>100</v>
      </c>
    </row>
    <row r="88" spans="1:13" ht="34" outlineLevel="7" x14ac:dyDescent="0.3">
      <c r="A88" s="438" t="s">
        <v>15</v>
      </c>
      <c r="B88" s="439" t="s">
        <v>500</v>
      </c>
      <c r="C88" s="439" t="s">
        <v>24</v>
      </c>
      <c r="D88" s="539" t="s">
        <v>326</v>
      </c>
      <c r="E88" s="539" t="s">
        <v>16</v>
      </c>
      <c r="F88" s="540">
        <v>64753.57</v>
      </c>
      <c r="G88" s="465">
        <f t="shared" si="15"/>
        <v>50000</v>
      </c>
      <c r="H88" s="370">
        <v>49993.440000000002</v>
      </c>
      <c r="I88" s="440">
        <f t="shared" si="15"/>
        <v>50000</v>
      </c>
      <c r="J88" s="465">
        <f t="shared" si="15"/>
        <v>50000</v>
      </c>
      <c r="K88" s="465">
        <f t="shared" si="15"/>
        <v>50000</v>
      </c>
      <c r="L88" s="436">
        <f t="shared" si="12"/>
        <v>0</v>
      </c>
      <c r="M88" s="498">
        <f t="shared" si="13"/>
        <v>100</v>
      </c>
    </row>
    <row r="89" spans="1:13" ht="21.25" customHeight="1" outlineLevel="7" x14ac:dyDescent="0.3">
      <c r="A89" s="438" t="s">
        <v>17</v>
      </c>
      <c r="B89" s="439" t="s">
        <v>500</v>
      </c>
      <c r="C89" s="439" t="s">
        <v>24</v>
      </c>
      <c r="D89" s="539" t="s">
        <v>326</v>
      </c>
      <c r="E89" s="539" t="s">
        <v>18</v>
      </c>
      <c r="F89" s="540">
        <v>64753.57</v>
      </c>
      <c r="G89" s="466">
        <v>50000</v>
      </c>
      <c r="H89" s="370">
        <v>49993.440000000002</v>
      </c>
      <c r="I89" s="442">
        <f>'[2]прил 12'!F94</f>
        <v>50000</v>
      </c>
      <c r="J89" s="466">
        <f>'[2]прил 12'!G94</f>
        <v>50000</v>
      </c>
      <c r="K89" s="466">
        <v>50000</v>
      </c>
      <c r="L89" s="436">
        <f t="shared" si="12"/>
        <v>0</v>
      </c>
      <c r="M89" s="498">
        <f t="shared" si="13"/>
        <v>100</v>
      </c>
    </row>
    <row r="90" spans="1:13" s="449" customFormat="1" ht="38.25" customHeight="1" outlineLevel="7" x14ac:dyDescent="0.3">
      <c r="A90" s="444" t="s">
        <v>829</v>
      </c>
      <c r="B90" s="445" t="s">
        <v>500</v>
      </c>
      <c r="C90" s="445" t="s">
        <v>24</v>
      </c>
      <c r="D90" s="541" t="s">
        <v>317</v>
      </c>
      <c r="E90" s="541" t="s">
        <v>6</v>
      </c>
      <c r="F90" s="542">
        <v>1741444.5</v>
      </c>
      <c r="G90" s="508">
        <f>G91</f>
        <v>2144838</v>
      </c>
      <c r="H90" s="447">
        <f>H91</f>
        <v>1516751.94</v>
      </c>
      <c r="I90" s="446">
        <f>I91</f>
        <v>1544157.5</v>
      </c>
      <c r="J90" s="508">
        <f>J91</f>
        <v>6596010</v>
      </c>
      <c r="K90" s="508">
        <f>K91</f>
        <v>1291402</v>
      </c>
      <c r="L90" s="436">
        <f t="shared" si="12"/>
        <v>-5304608</v>
      </c>
      <c r="M90" s="498">
        <f t="shared" si="13"/>
        <v>307.52951971197825</v>
      </c>
    </row>
    <row r="91" spans="1:13" ht="21.25" customHeight="1" outlineLevel="7" x14ac:dyDescent="0.3">
      <c r="A91" s="450" t="s">
        <v>327</v>
      </c>
      <c r="B91" s="439" t="s">
        <v>500</v>
      </c>
      <c r="C91" s="439" t="s">
        <v>24</v>
      </c>
      <c r="D91" s="539" t="s">
        <v>318</v>
      </c>
      <c r="E91" s="539" t="s">
        <v>6</v>
      </c>
      <c r="F91" s="540">
        <v>1741444.5</v>
      </c>
      <c r="G91" s="465">
        <f>G92+G95</f>
        <v>2144838</v>
      </c>
      <c r="H91" s="441">
        <f>H92+H95</f>
        <v>1516751.94</v>
      </c>
      <c r="I91" s="440">
        <f>I92+I95</f>
        <v>1544157.5</v>
      </c>
      <c r="J91" s="465">
        <f>J92+J95</f>
        <v>6596010</v>
      </c>
      <c r="K91" s="465">
        <f>K92+K95</f>
        <v>1291402</v>
      </c>
      <c r="L91" s="436">
        <f t="shared" si="12"/>
        <v>-5304608</v>
      </c>
      <c r="M91" s="498">
        <f t="shared" si="13"/>
        <v>307.52951971197825</v>
      </c>
    </row>
    <row r="92" spans="1:13" ht="37.549999999999997" customHeight="1" outlineLevel="7" x14ac:dyDescent="0.3">
      <c r="A92" s="450" t="s">
        <v>328</v>
      </c>
      <c r="B92" s="439" t="s">
        <v>500</v>
      </c>
      <c r="C92" s="439" t="s">
        <v>24</v>
      </c>
      <c r="D92" s="539" t="s">
        <v>329</v>
      </c>
      <c r="E92" s="539" t="s">
        <v>6</v>
      </c>
      <c r="F92" s="540">
        <v>1700874.5</v>
      </c>
      <c r="G92" s="465">
        <f t="shared" ref="G92:K93" si="16">G93</f>
        <v>2100680.5</v>
      </c>
      <c r="H92" s="441">
        <f t="shared" si="16"/>
        <v>1496951.94</v>
      </c>
      <c r="I92" s="440">
        <f t="shared" si="16"/>
        <v>1500000</v>
      </c>
      <c r="J92" s="465">
        <f t="shared" si="16"/>
        <v>6550080</v>
      </c>
      <c r="K92" s="465">
        <f t="shared" si="16"/>
        <v>1245472</v>
      </c>
      <c r="L92" s="436">
        <f t="shared" si="12"/>
        <v>-5304608</v>
      </c>
      <c r="M92" s="498">
        <f t="shared" si="13"/>
        <v>311.80753094056899</v>
      </c>
    </row>
    <row r="93" spans="1:13" ht="34" outlineLevel="7" x14ac:dyDescent="0.3">
      <c r="A93" s="438" t="s">
        <v>15</v>
      </c>
      <c r="B93" s="439" t="s">
        <v>500</v>
      </c>
      <c r="C93" s="439" t="s">
        <v>24</v>
      </c>
      <c r="D93" s="539" t="s">
        <v>329</v>
      </c>
      <c r="E93" s="539" t="s">
        <v>16</v>
      </c>
      <c r="F93" s="540">
        <v>1700874.5</v>
      </c>
      <c r="G93" s="465">
        <f t="shared" si="16"/>
        <v>2100680.5</v>
      </c>
      <c r="H93" s="370">
        <v>1496951.94</v>
      </c>
      <c r="I93" s="440">
        <f t="shared" si="16"/>
        <v>1500000</v>
      </c>
      <c r="J93" s="465">
        <f t="shared" si="16"/>
        <v>6550080</v>
      </c>
      <c r="K93" s="465">
        <f t="shared" si="16"/>
        <v>1245472</v>
      </c>
      <c r="L93" s="436">
        <f t="shared" si="12"/>
        <v>-5304608</v>
      </c>
      <c r="M93" s="498">
        <f t="shared" si="13"/>
        <v>311.80753094056899</v>
      </c>
    </row>
    <row r="94" spans="1:13" ht="18.7" customHeight="1" outlineLevel="7" x14ac:dyDescent="0.3">
      <c r="A94" s="438" t="s">
        <v>17</v>
      </c>
      <c r="B94" s="439" t="s">
        <v>500</v>
      </c>
      <c r="C94" s="439" t="s">
        <v>24</v>
      </c>
      <c r="D94" s="539" t="s">
        <v>329</v>
      </c>
      <c r="E94" s="539" t="s">
        <v>18</v>
      </c>
      <c r="F94" s="540">
        <v>1700874.5</v>
      </c>
      <c r="G94" s="466">
        <f>[2]потребность!I99+659300+149040</f>
        <v>2100680.5</v>
      </c>
      <c r="H94" s="370">
        <v>1496951.94</v>
      </c>
      <c r="I94" s="442">
        <f>'[2]прил 12'!F99</f>
        <v>1500000</v>
      </c>
      <c r="J94" s="466">
        <v>6550080</v>
      </c>
      <c r="K94" s="512">
        <f>J94-5304608</f>
        <v>1245472</v>
      </c>
      <c r="L94" s="436">
        <f t="shared" si="12"/>
        <v>-5304608</v>
      </c>
      <c r="M94" s="498">
        <f t="shared" si="13"/>
        <v>311.80753094056899</v>
      </c>
    </row>
    <row r="95" spans="1:13" ht="34" outlineLevel="7" x14ac:dyDescent="0.3">
      <c r="A95" s="450" t="s">
        <v>330</v>
      </c>
      <c r="B95" s="439" t="s">
        <v>500</v>
      </c>
      <c r="C95" s="439" t="s">
        <v>24</v>
      </c>
      <c r="D95" s="539" t="s">
        <v>319</v>
      </c>
      <c r="E95" s="539" t="s">
        <v>6</v>
      </c>
      <c r="F95" s="540">
        <v>40570</v>
      </c>
      <c r="G95" s="465">
        <f t="shared" ref="G95:K96" si="17">G96</f>
        <v>44157.5</v>
      </c>
      <c r="H95" s="440">
        <f t="shared" si="17"/>
        <v>19800</v>
      </c>
      <c r="I95" s="440">
        <f t="shared" si="17"/>
        <v>44157.5</v>
      </c>
      <c r="J95" s="465">
        <f t="shared" si="17"/>
        <v>45930</v>
      </c>
      <c r="K95" s="465">
        <f t="shared" si="17"/>
        <v>45930</v>
      </c>
      <c r="L95" s="436">
        <f t="shared" si="12"/>
        <v>0</v>
      </c>
      <c r="M95" s="498">
        <f t="shared" si="13"/>
        <v>104.01404064994622</v>
      </c>
    </row>
    <row r="96" spans="1:13" ht="34" outlineLevel="7" x14ac:dyDescent="0.3">
      <c r="A96" s="438" t="s">
        <v>15</v>
      </c>
      <c r="B96" s="439" t="s">
        <v>500</v>
      </c>
      <c r="C96" s="439" t="s">
        <v>24</v>
      </c>
      <c r="D96" s="539" t="s">
        <v>319</v>
      </c>
      <c r="E96" s="539" t="s">
        <v>16</v>
      </c>
      <c r="F96" s="540">
        <v>40570</v>
      </c>
      <c r="G96" s="465">
        <f t="shared" si="17"/>
        <v>44157.5</v>
      </c>
      <c r="H96" s="370">
        <v>19800</v>
      </c>
      <c r="I96" s="440">
        <f t="shared" si="17"/>
        <v>44157.5</v>
      </c>
      <c r="J96" s="465">
        <f t="shared" si="17"/>
        <v>45930</v>
      </c>
      <c r="K96" s="465">
        <f t="shared" si="17"/>
        <v>45930</v>
      </c>
      <c r="L96" s="436">
        <f t="shared" si="12"/>
        <v>0</v>
      </c>
      <c r="M96" s="498">
        <f t="shared" si="13"/>
        <v>104.01404064994622</v>
      </c>
    </row>
    <row r="97" spans="1:13" ht="19.55" customHeight="1" outlineLevel="7" x14ac:dyDescent="0.3">
      <c r="A97" s="438" t="s">
        <v>17</v>
      </c>
      <c r="B97" s="439" t="s">
        <v>500</v>
      </c>
      <c r="C97" s="439" t="s">
        <v>24</v>
      </c>
      <c r="D97" s="539" t="s">
        <v>319</v>
      </c>
      <c r="E97" s="539" t="s">
        <v>18</v>
      </c>
      <c r="F97" s="540">
        <v>40570</v>
      </c>
      <c r="G97" s="465">
        <v>44157.5</v>
      </c>
      <c r="H97" s="370">
        <v>19800</v>
      </c>
      <c r="I97" s="440">
        <f>'[2]прил 12'!F102</f>
        <v>44157.5</v>
      </c>
      <c r="J97" s="466">
        <v>45930</v>
      </c>
      <c r="K97" s="466">
        <v>45930</v>
      </c>
      <c r="L97" s="436">
        <f t="shared" si="12"/>
        <v>0</v>
      </c>
      <c r="M97" s="498">
        <f t="shared" si="13"/>
        <v>104.01404064994622</v>
      </c>
    </row>
    <row r="98" spans="1:13" s="449" customFormat="1" ht="50.95" outlineLevel="7" x14ac:dyDescent="0.3">
      <c r="A98" s="444" t="s">
        <v>851</v>
      </c>
      <c r="B98" s="445" t="s">
        <v>500</v>
      </c>
      <c r="C98" s="445" t="s">
        <v>24</v>
      </c>
      <c r="D98" s="541" t="s">
        <v>331</v>
      </c>
      <c r="E98" s="541" t="s">
        <v>6</v>
      </c>
      <c r="F98" s="542">
        <v>4246490.3</v>
      </c>
      <c r="G98" s="508">
        <f t="shared" ref="G98:K99" si="18">G99</f>
        <v>3440000</v>
      </c>
      <c r="H98" s="447">
        <f t="shared" si="18"/>
        <v>2212084.09</v>
      </c>
      <c r="I98" s="446">
        <f t="shared" si="18"/>
        <v>1600000</v>
      </c>
      <c r="J98" s="508">
        <f t="shared" si="18"/>
        <v>3717000</v>
      </c>
      <c r="K98" s="508">
        <f t="shared" si="18"/>
        <v>3185000</v>
      </c>
      <c r="L98" s="436">
        <f t="shared" si="12"/>
        <v>-532000</v>
      </c>
      <c r="M98" s="498">
        <f t="shared" si="13"/>
        <v>108.05232558139535</v>
      </c>
    </row>
    <row r="99" spans="1:13" ht="34" outlineLevel="7" x14ac:dyDescent="0.3">
      <c r="A99" s="438" t="s">
        <v>215</v>
      </c>
      <c r="B99" s="439" t="s">
        <v>500</v>
      </c>
      <c r="C99" s="439" t="s">
        <v>24</v>
      </c>
      <c r="D99" s="539" t="s">
        <v>332</v>
      </c>
      <c r="E99" s="539" t="s">
        <v>6</v>
      </c>
      <c r="F99" s="540">
        <v>4246490.3</v>
      </c>
      <c r="G99" s="465">
        <f t="shared" si="18"/>
        <v>3440000</v>
      </c>
      <c r="H99" s="441">
        <f t="shared" si="18"/>
        <v>2212084.09</v>
      </c>
      <c r="I99" s="440">
        <f t="shared" si="18"/>
        <v>1600000</v>
      </c>
      <c r="J99" s="465">
        <f t="shared" si="18"/>
        <v>3717000</v>
      </c>
      <c r="K99" s="465">
        <f t="shared" si="18"/>
        <v>3185000</v>
      </c>
      <c r="L99" s="436">
        <f t="shared" si="12"/>
        <v>-532000</v>
      </c>
      <c r="M99" s="498">
        <f t="shared" si="13"/>
        <v>108.05232558139535</v>
      </c>
    </row>
    <row r="100" spans="1:13" ht="50.95" outlineLevel="5" x14ac:dyDescent="0.3">
      <c r="A100" s="438" t="s">
        <v>32</v>
      </c>
      <c r="B100" s="439" t="s">
        <v>500</v>
      </c>
      <c r="C100" s="439" t="s">
        <v>24</v>
      </c>
      <c r="D100" s="539" t="s">
        <v>333</v>
      </c>
      <c r="E100" s="539" t="s">
        <v>6</v>
      </c>
      <c r="F100" s="540">
        <v>4246490.3</v>
      </c>
      <c r="G100" s="465">
        <f>G101+G103</f>
        <v>3440000</v>
      </c>
      <c r="H100" s="441">
        <f>H101+H103</f>
        <v>2212084.09</v>
      </c>
      <c r="I100" s="440">
        <f>I101+I103</f>
        <v>1600000</v>
      </c>
      <c r="J100" s="465">
        <f>J101+J103</f>
        <v>3717000</v>
      </c>
      <c r="K100" s="465">
        <f>K101+K103</f>
        <v>3185000</v>
      </c>
      <c r="L100" s="436">
        <f t="shared" si="12"/>
        <v>-532000</v>
      </c>
      <c r="M100" s="498">
        <f t="shared" si="13"/>
        <v>108.05232558139535</v>
      </c>
    </row>
    <row r="101" spans="1:13" ht="34" outlineLevel="6" x14ac:dyDescent="0.3">
      <c r="A101" s="438" t="s">
        <v>15</v>
      </c>
      <c r="B101" s="439" t="s">
        <v>500</v>
      </c>
      <c r="C101" s="439" t="s">
        <v>24</v>
      </c>
      <c r="D101" s="539" t="s">
        <v>333</v>
      </c>
      <c r="E101" s="539" t="s">
        <v>16</v>
      </c>
      <c r="F101" s="540">
        <v>4146490.3</v>
      </c>
      <c r="G101" s="465">
        <f>G102</f>
        <v>3300000</v>
      </c>
      <c r="H101" s="367">
        <v>2212084.09</v>
      </c>
      <c r="I101" s="440">
        <f>I102</f>
        <v>1460000</v>
      </c>
      <c r="J101" s="465">
        <f>J102</f>
        <v>3577000</v>
      </c>
      <c r="K101" s="465">
        <f>K102</f>
        <v>3045000</v>
      </c>
      <c r="L101" s="436">
        <f t="shared" si="12"/>
        <v>-532000</v>
      </c>
      <c r="M101" s="498">
        <f t="shared" si="13"/>
        <v>108.39393939393939</v>
      </c>
    </row>
    <row r="102" spans="1:13" ht="20.25" customHeight="1" outlineLevel="7" x14ac:dyDescent="0.3">
      <c r="A102" s="438" t="s">
        <v>17</v>
      </c>
      <c r="B102" s="439" t="s">
        <v>500</v>
      </c>
      <c r="C102" s="439" t="s">
        <v>24</v>
      </c>
      <c r="D102" s="539" t="s">
        <v>333</v>
      </c>
      <c r="E102" s="539" t="s">
        <v>18</v>
      </c>
      <c r="F102" s="540">
        <v>4146490.3</v>
      </c>
      <c r="G102" s="465">
        <f>2460000+315000+220000+305000</f>
        <v>3300000</v>
      </c>
      <c r="H102" s="367">
        <v>2212084.09</v>
      </c>
      <c r="I102" s="440">
        <f>'[2]прил 12'!F107</f>
        <v>1460000</v>
      </c>
      <c r="J102" s="466">
        <v>3577000</v>
      </c>
      <c r="K102" s="466">
        <f>3577000-532000</f>
        <v>3045000</v>
      </c>
      <c r="L102" s="436">
        <f t="shared" si="12"/>
        <v>-532000</v>
      </c>
      <c r="M102" s="498">
        <f t="shared" si="13"/>
        <v>108.39393939393939</v>
      </c>
    </row>
    <row r="103" spans="1:13" outlineLevel="6" x14ac:dyDescent="0.3">
      <c r="A103" s="438" t="s">
        <v>19</v>
      </c>
      <c r="B103" s="439" t="s">
        <v>500</v>
      </c>
      <c r="C103" s="439" t="s">
        <v>24</v>
      </c>
      <c r="D103" s="539" t="s">
        <v>333</v>
      </c>
      <c r="E103" s="539" t="s">
        <v>20</v>
      </c>
      <c r="F103" s="540">
        <v>100000</v>
      </c>
      <c r="G103" s="465">
        <f>G104</f>
        <v>140000</v>
      </c>
      <c r="H103" s="441">
        <v>0</v>
      </c>
      <c r="I103" s="440">
        <f>I104</f>
        <v>140000</v>
      </c>
      <c r="J103" s="465">
        <f>J104</f>
        <v>140000</v>
      </c>
      <c r="K103" s="465">
        <f>K104</f>
        <v>140000</v>
      </c>
      <c r="L103" s="436">
        <f t="shared" si="12"/>
        <v>0</v>
      </c>
      <c r="M103" s="498">
        <f t="shared" si="13"/>
        <v>100</v>
      </c>
    </row>
    <row r="104" spans="1:13" outlineLevel="7" x14ac:dyDescent="0.3">
      <c r="A104" s="438" t="s">
        <v>21</v>
      </c>
      <c r="B104" s="439" t="s">
        <v>500</v>
      </c>
      <c r="C104" s="439" t="s">
        <v>24</v>
      </c>
      <c r="D104" s="539" t="s">
        <v>333</v>
      </c>
      <c r="E104" s="539" t="s">
        <v>22</v>
      </c>
      <c r="F104" s="540">
        <v>100000</v>
      </c>
      <c r="G104" s="466">
        <v>140000</v>
      </c>
      <c r="H104" s="443">
        <v>0</v>
      </c>
      <c r="I104" s="442">
        <f>'[2]прил 12'!F109</f>
        <v>140000</v>
      </c>
      <c r="J104" s="466">
        <f>'[2]прил 12'!G109</f>
        <v>140000</v>
      </c>
      <c r="K104" s="466">
        <v>140000</v>
      </c>
      <c r="L104" s="436">
        <f t="shared" si="12"/>
        <v>0</v>
      </c>
      <c r="M104" s="498">
        <f t="shared" si="13"/>
        <v>100</v>
      </c>
    </row>
    <row r="105" spans="1:13" ht="50.95" outlineLevel="7" x14ac:dyDescent="0.3">
      <c r="A105" s="444" t="s">
        <v>950</v>
      </c>
      <c r="B105" s="445" t="s">
        <v>500</v>
      </c>
      <c r="C105" s="445" t="s">
        <v>24</v>
      </c>
      <c r="D105" s="541" t="s">
        <v>952</v>
      </c>
      <c r="E105" s="541" t="s">
        <v>6</v>
      </c>
      <c r="F105" s="541" t="s">
        <v>976</v>
      </c>
      <c r="G105" s="466">
        <f t="shared" ref="G105:K108" si="19">G106</f>
        <v>50000</v>
      </c>
      <c r="H105" s="443"/>
      <c r="I105" s="442">
        <f t="shared" si="19"/>
        <v>0</v>
      </c>
      <c r="J105" s="466">
        <f t="shared" si="19"/>
        <v>100000</v>
      </c>
      <c r="K105" s="466">
        <f t="shared" si="19"/>
        <v>100000</v>
      </c>
      <c r="L105" s="436">
        <f t="shared" si="12"/>
        <v>0</v>
      </c>
      <c r="M105" s="498">
        <f t="shared" si="13"/>
        <v>200</v>
      </c>
    </row>
    <row r="106" spans="1:13" ht="34" outlineLevel="7" x14ac:dyDescent="0.3">
      <c r="A106" s="438" t="s">
        <v>951</v>
      </c>
      <c r="B106" s="439" t="s">
        <v>500</v>
      </c>
      <c r="C106" s="439" t="s">
        <v>24</v>
      </c>
      <c r="D106" s="539" t="s">
        <v>953</v>
      </c>
      <c r="E106" s="539" t="s">
        <v>6</v>
      </c>
      <c r="F106" s="539" t="s">
        <v>976</v>
      </c>
      <c r="G106" s="466">
        <f t="shared" si="19"/>
        <v>50000</v>
      </c>
      <c r="H106" s="443"/>
      <c r="I106" s="442">
        <f t="shared" si="19"/>
        <v>0</v>
      </c>
      <c r="J106" s="466">
        <f t="shared" si="19"/>
        <v>100000</v>
      </c>
      <c r="K106" s="466">
        <f t="shared" si="19"/>
        <v>100000</v>
      </c>
      <c r="L106" s="436">
        <f t="shared" si="12"/>
        <v>0</v>
      </c>
      <c r="M106" s="498">
        <f t="shared" si="13"/>
        <v>200</v>
      </c>
    </row>
    <row r="107" spans="1:13" outlineLevel="7" x14ac:dyDescent="0.3">
      <c r="A107" s="438" t="s">
        <v>322</v>
      </c>
      <c r="B107" s="439" t="s">
        <v>500</v>
      </c>
      <c r="C107" s="439" t="s">
        <v>24</v>
      </c>
      <c r="D107" s="539" t="s">
        <v>954</v>
      </c>
      <c r="E107" s="539" t="s">
        <v>6</v>
      </c>
      <c r="F107" s="539" t="s">
        <v>976</v>
      </c>
      <c r="G107" s="466">
        <f t="shared" si="19"/>
        <v>50000</v>
      </c>
      <c r="H107" s="443"/>
      <c r="I107" s="442">
        <f t="shared" si="19"/>
        <v>0</v>
      </c>
      <c r="J107" s="466">
        <v>100000</v>
      </c>
      <c r="K107" s="466">
        <v>100000</v>
      </c>
      <c r="L107" s="436">
        <f t="shared" si="12"/>
        <v>0</v>
      </c>
      <c r="M107" s="498">
        <f t="shared" si="13"/>
        <v>200</v>
      </c>
    </row>
    <row r="108" spans="1:13" ht="34" outlineLevel="7" x14ac:dyDescent="0.3">
      <c r="A108" s="438" t="s">
        <v>15</v>
      </c>
      <c r="B108" s="439" t="s">
        <v>500</v>
      </c>
      <c r="C108" s="439" t="s">
        <v>24</v>
      </c>
      <c r="D108" s="539" t="s">
        <v>954</v>
      </c>
      <c r="E108" s="539" t="s">
        <v>16</v>
      </c>
      <c r="F108" s="539" t="s">
        <v>976</v>
      </c>
      <c r="G108" s="466">
        <f t="shared" si="19"/>
        <v>50000</v>
      </c>
      <c r="H108" s="443"/>
      <c r="I108" s="442">
        <f t="shared" si="19"/>
        <v>0</v>
      </c>
      <c r="J108" s="466">
        <f t="shared" si="19"/>
        <v>0</v>
      </c>
      <c r="K108" s="466">
        <f t="shared" si="19"/>
        <v>0</v>
      </c>
      <c r="L108" s="436">
        <f t="shared" si="12"/>
        <v>0</v>
      </c>
      <c r="M108" s="498">
        <f t="shared" si="13"/>
        <v>0</v>
      </c>
    </row>
    <row r="109" spans="1:13" ht="34" outlineLevel="7" x14ac:dyDescent="0.3">
      <c r="A109" s="438" t="s">
        <v>17</v>
      </c>
      <c r="B109" s="439" t="s">
        <v>500</v>
      </c>
      <c r="C109" s="439" t="s">
        <v>24</v>
      </c>
      <c r="D109" s="539" t="s">
        <v>954</v>
      </c>
      <c r="E109" s="539" t="s">
        <v>18</v>
      </c>
      <c r="F109" s="539" t="s">
        <v>976</v>
      </c>
      <c r="G109" s="466">
        <v>50000</v>
      </c>
      <c r="H109" s="443"/>
      <c r="I109" s="442">
        <v>0</v>
      </c>
      <c r="J109" s="466">
        <v>0</v>
      </c>
      <c r="K109" s="466">
        <v>0</v>
      </c>
      <c r="L109" s="436">
        <f t="shared" si="12"/>
        <v>0</v>
      </c>
      <c r="M109" s="498">
        <f t="shared" si="13"/>
        <v>0</v>
      </c>
    </row>
    <row r="110" spans="1:13" ht="34" outlineLevel="3" x14ac:dyDescent="0.3">
      <c r="A110" s="438" t="s">
        <v>132</v>
      </c>
      <c r="B110" s="439" t="s">
        <v>500</v>
      </c>
      <c r="C110" s="439" t="s">
        <v>24</v>
      </c>
      <c r="D110" s="539" t="s">
        <v>127</v>
      </c>
      <c r="E110" s="539" t="s">
        <v>6</v>
      </c>
      <c r="F110" s="540">
        <v>41962737.840000004</v>
      </c>
      <c r="G110" s="465">
        <f>G133+G114+G130+G119+G112</f>
        <v>53163530.329999998</v>
      </c>
      <c r="H110" s="441">
        <f>H133+H114+H130+H119+H112</f>
        <v>41641519.200000003</v>
      </c>
      <c r="I110" s="440">
        <f>I133+I114+I130+I119+I112</f>
        <v>44296940</v>
      </c>
      <c r="J110" s="465">
        <f>J133+J114+J130+J119+J112</f>
        <v>51736197</v>
      </c>
      <c r="K110" s="465">
        <f>K133+K114+K130+K119+K112</f>
        <v>45236197</v>
      </c>
      <c r="L110" s="436">
        <f t="shared" si="12"/>
        <v>-6500000</v>
      </c>
      <c r="M110" s="498">
        <f t="shared" si="13"/>
        <v>97.3152021298432</v>
      </c>
    </row>
    <row r="111" spans="1:13" ht="91.2" customHeight="1" outlineLevel="3" x14ac:dyDescent="0.3">
      <c r="A111" s="454" t="s">
        <v>941</v>
      </c>
      <c r="B111" s="439" t="s">
        <v>500</v>
      </c>
      <c r="C111" s="439" t="s">
        <v>24</v>
      </c>
      <c r="D111" s="539" t="s">
        <v>942</v>
      </c>
      <c r="E111" s="539" t="s">
        <v>6</v>
      </c>
      <c r="F111" s="539" t="s">
        <v>976</v>
      </c>
      <c r="G111" s="465">
        <f>G112</f>
        <v>570000</v>
      </c>
      <c r="H111" s="440">
        <f>H112</f>
        <v>298793.59999999998</v>
      </c>
      <c r="I111" s="440">
        <v>0</v>
      </c>
      <c r="J111" s="465">
        <v>6500000</v>
      </c>
      <c r="K111" s="465">
        <f>K112</f>
        <v>0</v>
      </c>
      <c r="L111" s="436">
        <f t="shared" si="12"/>
        <v>-6500000</v>
      </c>
      <c r="M111" s="498">
        <f t="shared" si="13"/>
        <v>1140.3508771929824</v>
      </c>
    </row>
    <row r="112" spans="1:13" ht="45.7" customHeight="1" outlineLevel="3" x14ac:dyDescent="0.3">
      <c r="A112" s="438" t="s">
        <v>15</v>
      </c>
      <c r="B112" s="439" t="s">
        <v>500</v>
      </c>
      <c r="C112" s="439" t="s">
        <v>24</v>
      </c>
      <c r="D112" s="539" t="s">
        <v>942</v>
      </c>
      <c r="E112" s="539" t="s">
        <v>16</v>
      </c>
      <c r="F112" s="539" t="s">
        <v>976</v>
      </c>
      <c r="G112" s="465">
        <f>G113</f>
        <v>570000</v>
      </c>
      <c r="H112" s="370">
        <v>298793.59999999998</v>
      </c>
      <c r="I112" s="440">
        <v>0</v>
      </c>
      <c r="J112" s="465">
        <v>6500000</v>
      </c>
      <c r="K112" s="465">
        <f>K113</f>
        <v>0</v>
      </c>
      <c r="L112" s="436">
        <f t="shared" si="12"/>
        <v>-6500000</v>
      </c>
      <c r="M112" s="498">
        <f t="shared" si="13"/>
        <v>1140.3508771929824</v>
      </c>
    </row>
    <row r="113" spans="1:13" ht="45.7" customHeight="1" outlineLevel="3" x14ac:dyDescent="0.3">
      <c r="A113" s="438" t="s">
        <v>17</v>
      </c>
      <c r="B113" s="439" t="s">
        <v>500</v>
      </c>
      <c r="C113" s="439" t="s">
        <v>24</v>
      </c>
      <c r="D113" s="539" t="s">
        <v>942</v>
      </c>
      <c r="E113" s="539" t="s">
        <v>18</v>
      </c>
      <c r="F113" s="539" t="s">
        <v>976</v>
      </c>
      <c r="G113" s="465">
        <v>570000</v>
      </c>
      <c r="H113" s="370">
        <v>298793.59999999998</v>
      </c>
      <c r="I113" s="440">
        <v>0</v>
      </c>
      <c r="J113" s="465">
        <v>6500000</v>
      </c>
      <c r="K113" s="465">
        <v>0</v>
      </c>
      <c r="L113" s="436">
        <f t="shared" si="12"/>
        <v>-6500000</v>
      </c>
      <c r="M113" s="498">
        <f t="shared" si="13"/>
        <v>1140.3508771929824</v>
      </c>
    </row>
    <row r="114" spans="1:13" ht="58.75" customHeight="1" outlineLevel="5" x14ac:dyDescent="0.3">
      <c r="A114" s="438" t="s">
        <v>494</v>
      </c>
      <c r="B114" s="439" t="s">
        <v>500</v>
      </c>
      <c r="C114" s="439" t="s">
        <v>24</v>
      </c>
      <c r="D114" s="539" t="s">
        <v>495</v>
      </c>
      <c r="E114" s="539" t="s">
        <v>6</v>
      </c>
      <c r="F114" s="540">
        <v>33020267.399999999</v>
      </c>
      <c r="G114" s="465">
        <f>G115+G117</f>
        <v>33848058.490000002</v>
      </c>
      <c r="H114" s="441">
        <f>H115+H117</f>
        <v>25868402.309999999</v>
      </c>
      <c r="I114" s="440">
        <f>I115+I117</f>
        <v>36378471</v>
      </c>
      <c r="J114" s="465">
        <f>J115+J117</f>
        <v>37225780</v>
      </c>
      <c r="K114" s="465">
        <f>K115+K117</f>
        <v>37225780</v>
      </c>
      <c r="L114" s="436">
        <f t="shared" si="12"/>
        <v>0</v>
      </c>
      <c r="M114" s="498">
        <f t="shared" si="13"/>
        <v>109.97907017620496</v>
      </c>
    </row>
    <row r="115" spans="1:13" ht="53.15" customHeight="1" outlineLevel="6" x14ac:dyDescent="0.3">
      <c r="A115" s="438" t="s">
        <v>11</v>
      </c>
      <c r="B115" s="439" t="s">
        <v>500</v>
      </c>
      <c r="C115" s="439" t="s">
        <v>24</v>
      </c>
      <c r="D115" s="539" t="s">
        <v>495</v>
      </c>
      <c r="E115" s="539" t="s">
        <v>12</v>
      </c>
      <c r="F115" s="540">
        <v>33020267.399999999</v>
      </c>
      <c r="G115" s="465">
        <f>G116</f>
        <v>33828058.490000002</v>
      </c>
      <c r="H115" s="367">
        <v>25860302.309999999</v>
      </c>
      <c r="I115" s="440">
        <f>I116</f>
        <v>36358471</v>
      </c>
      <c r="J115" s="465">
        <f>J116</f>
        <v>37205780</v>
      </c>
      <c r="K115" s="465">
        <f>K116</f>
        <v>37205780</v>
      </c>
      <c r="L115" s="436">
        <f t="shared" si="12"/>
        <v>0</v>
      </c>
      <c r="M115" s="498">
        <f t="shared" si="13"/>
        <v>109.98497005377502</v>
      </c>
    </row>
    <row r="116" spans="1:13" ht="39.4" customHeight="1" outlineLevel="7" x14ac:dyDescent="0.3">
      <c r="A116" s="438" t="s">
        <v>13</v>
      </c>
      <c r="B116" s="439" t="s">
        <v>500</v>
      </c>
      <c r="C116" s="439" t="s">
        <v>24</v>
      </c>
      <c r="D116" s="539" t="s">
        <v>495</v>
      </c>
      <c r="E116" s="539" t="s">
        <v>14</v>
      </c>
      <c r="F116" s="540">
        <v>33020267.399999999</v>
      </c>
      <c r="G116" s="465">
        <f>[2]потребность!I113-1157082</f>
        <v>33828058.490000002</v>
      </c>
      <c r="H116" s="370">
        <v>25860302.309999999</v>
      </c>
      <c r="I116" s="440">
        <f>'[2]прил 12'!F113</f>
        <v>36358471</v>
      </c>
      <c r="J116" s="466">
        <f>37205780+1200670-1200670</f>
        <v>37205780</v>
      </c>
      <c r="K116" s="466">
        <f>37205780+1200670-1200670</f>
        <v>37205780</v>
      </c>
      <c r="L116" s="436">
        <f t="shared" si="12"/>
        <v>0</v>
      </c>
      <c r="M116" s="498">
        <f t="shared" si="13"/>
        <v>109.98497005377502</v>
      </c>
    </row>
    <row r="117" spans="1:13" ht="42.8" customHeight="1" outlineLevel="7" x14ac:dyDescent="0.3">
      <c r="A117" s="438" t="s">
        <v>15</v>
      </c>
      <c r="B117" s="439" t="s">
        <v>500</v>
      </c>
      <c r="C117" s="439" t="s">
        <v>24</v>
      </c>
      <c r="D117" s="539" t="s">
        <v>495</v>
      </c>
      <c r="E117" s="539" t="s">
        <v>16</v>
      </c>
      <c r="F117" s="540">
        <v>0</v>
      </c>
      <c r="G117" s="466">
        <f>G118</f>
        <v>20000</v>
      </c>
      <c r="H117" s="370">
        <v>8100</v>
      </c>
      <c r="I117" s="442">
        <f>I118</f>
        <v>20000</v>
      </c>
      <c r="J117" s="466">
        <f>J118</f>
        <v>20000</v>
      </c>
      <c r="K117" s="466">
        <f>K118</f>
        <v>20000</v>
      </c>
      <c r="L117" s="436">
        <f t="shared" si="12"/>
        <v>0</v>
      </c>
      <c r="M117" s="498">
        <f t="shared" si="13"/>
        <v>100</v>
      </c>
    </row>
    <row r="118" spans="1:13" ht="53.15" customHeight="1" outlineLevel="7" x14ac:dyDescent="0.3">
      <c r="A118" s="438" t="s">
        <v>17</v>
      </c>
      <c r="B118" s="439" t="s">
        <v>500</v>
      </c>
      <c r="C118" s="439" t="s">
        <v>24</v>
      </c>
      <c r="D118" s="539" t="s">
        <v>495</v>
      </c>
      <c r="E118" s="539" t="s">
        <v>18</v>
      </c>
      <c r="F118" s="540">
        <v>0</v>
      </c>
      <c r="G118" s="465">
        <v>20000</v>
      </c>
      <c r="H118" s="370">
        <v>8100</v>
      </c>
      <c r="I118" s="440">
        <f>'[2]прил 12'!F115</f>
        <v>20000</v>
      </c>
      <c r="J118" s="465">
        <f>'[2]прил 12'!G115</f>
        <v>20000</v>
      </c>
      <c r="K118" s="465">
        <v>20000</v>
      </c>
      <c r="L118" s="436">
        <f t="shared" si="12"/>
        <v>0</v>
      </c>
      <c r="M118" s="498">
        <f t="shared" si="13"/>
        <v>100</v>
      </c>
    </row>
    <row r="119" spans="1:13" ht="33.450000000000003" customHeight="1" outlineLevel="7" x14ac:dyDescent="0.3">
      <c r="A119" s="438" t="s">
        <v>688</v>
      </c>
      <c r="B119" s="439" t="s">
        <v>500</v>
      </c>
      <c r="C119" s="439" t="s">
        <v>24</v>
      </c>
      <c r="D119" s="539" t="s">
        <v>686</v>
      </c>
      <c r="E119" s="539" t="s">
        <v>6</v>
      </c>
      <c r="F119" s="540">
        <v>454002.59</v>
      </c>
      <c r="G119" s="465">
        <f>G122+G120</f>
        <v>9824855.6199999992</v>
      </c>
      <c r="H119" s="440">
        <f>H122+H120</f>
        <v>9442891.7400000002</v>
      </c>
      <c r="I119" s="440">
        <f>I120+I122</f>
        <v>150000</v>
      </c>
      <c r="J119" s="465">
        <f>J120+J122</f>
        <v>0</v>
      </c>
      <c r="K119" s="465">
        <f>K120+K122</f>
        <v>0</v>
      </c>
      <c r="L119" s="436">
        <f t="shared" si="12"/>
        <v>0</v>
      </c>
      <c r="M119" s="498">
        <f t="shared" si="13"/>
        <v>0</v>
      </c>
    </row>
    <row r="120" spans="1:13" ht="55.7" customHeight="1" outlineLevel="7" x14ac:dyDescent="0.3">
      <c r="A120" s="438" t="s">
        <v>15</v>
      </c>
      <c r="B120" s="439" t="s">
        <v>500</v>
      </c>
      <c r="C120" s="439" t="s">
        <v>24</v>
      </c>
      <c r="D120" s="539" t="s">
        <v>686</v>
      </c>
      <c r="E120" s="539" t="s">
        <v>16</v>
      </c>
      <c r="F120" s="539" t="s">
        <v>976</v>
      </c>
      <c r="G120" s="465">
        <f>G121</f>
        <v>7162347.4199999999</v>
      </c>
      <c r="H120" s="370">
        <v>6805031.04</v>
      </c>
      <c r="I120" s="440">
        <f>I121</f>
        <v>0</v>
      </c>
      <c r="J120" s="465">
        <f>J121</f>
        <v>0</v>
      </c>
      <c r="K120" s="465">
        <f>K121</f>
        <v>0</v>
      </c>
      <c r="L120" s="436">
        <f t="shared" si="12"/>
        <v>0</v>
      </c>
      <c r="M120" s="498">
        <f t="shared" si="13"/>
        <v>0</v>
      </c>
    </row>
    <row r="121" spans="1:13" ht="44.85" customHeight="1" outlineLevel="7" x14ac:dyDescent="0.3">
      <c r="A121" s="438" t="s">
        <v>17</v>
      </c>
      <c r="B121" s="439" t="s">
        <v>500</v>
      </c>
      <c r="C121" s="439" t="s">
        <v>24</v>
      </c>
      <c r="D121" s="539" t="s">
        <v>686</v>
      </c>
      <c r="E121" s="539" t="s">
        <v>18</v>
      </c>
      <c r="F121" s="539" t="s">
        <v>976</v>
      </c>
      <c r="G121" s="465">
        <f>6135390+465000+392879.31+169078.11</f>
        <v>7162347.4199999999</v>
      </c>
      <c r="H121" s="370">
        <v>6805031.04</v>
      </c>
      <c r="I121" s="440">
        <v>0</v>
      </c>
      <c r="J121" s="465">
        <v>0</v>
      </c>
      <c r="K121" s="465">
        <v>0</v>
      </c>
      <c r="L121" s="436">
        <f t="shared" si="12"/>
        <v>0</v>
      </c>
      <c r="M121" s="498">
        <f t="shared" si="13"/>
        <v>0</v>
      </c>
    </row>
    <row r="122" spans="1:13" ht="47.9" customHeight="1" outlineLevel="7" x14ac:dyDescent="0.3">
      <c r="A122" s="438" t="s">
        <v>19</v>
      </c>
      <c r="B122" s="439" t="s">
        <v>500</v>
      </c>
      <c r="C122" s="439" t="s">
        <v>24</v>
      </c>
      <c r="D122" s="539" t="s">
        <v>686</v>
      </c>
      <c r="E122" s="539" t="s">
        <v>20</v>
      </c>
      <c r="F122" s="540">
        <v>454002.59</v>
      </c>
      <c r="G122" s="465">
        <f>G123+G124</f>
        <v>2662508.1999999997</v>
      </c>
      <c r="H122" s="370">
        <v>2637860.7000000002</v>
      </c>
      <c r="I122" s="440">
        <f>I123+I124</f>
        <v>150000</v>
      </c>
      <c r="J122" s="465">
        <f>J123+J124</f>
        <v>0</v>
      </c>
      <c r="K122" s="465">
        <f>K123+K124</f>
        <v>0</v>
      </c>
      <c r="L122" s="436">
        <f t="shared" si="12"/>
        <v>0</v>
      </c>
      <c r="M122" s="498">
        <f t="shared" si="13"/>
        <v>0</v>
      </c>
    </row>
    <row r="123" spans="1:13" ht="52.3" customHeight="1" outlineLevel="7" x14ac:dyDescent="0.3">
      <c r="A123" s="438" t="s">
        <v>715</v>
      </c>
      <c r="B123" s="439" t="s">
        <v>500</v>
      </c>
      <c r="C123" s="439" t="s">
        <v>24</v>
      </c>
      <c r="D123" s="539" t="s">
        <v>686</v>
      </c>
      <c r="E123" s="544" t="s">
        <v>716</v>
      </c>
      <c r="F123" s="540">
        <v>61000</v>
      </c>
      <c r="G123" s="465">
        <f>2463068.53+60000+61951.78+77487.89</f>
        <v>2662508.1999999997</v>
      </c>
      <c r="H123" s="370">
        <v>2637860.7000000002</v>
      </c>
      <c r="I123" s="440">
        <f>'[2]прил 12'!F118</f>
        <v>0</v>
      </c>
      <c r="J123" s="465">
        <f>'[2]прил 12'!G118</f>
        <v>0</v>
      </c>
      <c r="K123" s="465">
        <f>'[2]прил 12'!H118</f>
        <v>0</v>
      </c>
      <c r="L123" s="436">
        <f t="shared" si="12"/>
        <v>0</v>
      </c>
      <c r="M123" s="498">
        <f t="shared" si="13"/>
        <v>0</v>
      </c>
    </row>
    <row r="124" spans="1:13" ht="57.75" customHeight="1" outlineLevel="7" x14ac:dyDescent="0.3">
      <c r="A124" s="438" t="s">
        <v>687</v>
      </c>
      <c r="B124" s="439" t="s">
        <v>500</v>
      </c>
      <c r="C124" s="439" t="s">
        <v>24</v>
      </c>
      <c r="D124" s="539" t="s">
        <v>686</v>
      </c>
      <c r="E124" s="539" t="s">
        <v>22</v>
      </c>
      <c r="F124" s="540">
        <v>393002.59</v>
      </c>
      <c r="G124" s="465">
        <f>795959.09-525000-270959.09</f>
        <v>0</v>
      </c>
      <c r="H124" s="440">
        <v>0</v>
      </c>
      <c r="I124" s="440">
        <f>'[2]прил 12'!F119</f>
        <v>150000</v>
      </c>
      <c r="J124" s="466">
        <v>0</v>
      </c>
      <c r="K124" s="466">
        <v>0</v>
      </c>
      <c r="L124" s="436">
        <f t="shared" si="12"/>
        <v>0</v>
      </c>
      <c r="M124" s="498"/>
    </row>
    <row r="125" spans="1:13" ht="36" customHeight="1" outlineLevel="7" x14ac:dyDescent="0.3">
      <c r="A125" s="397" t="s">
        <v>600</v>
      </c>
      <c r="B125" s="439" t="s">
        <v>500</v>
      </c>
      <c r="C125" s="439" t="s">
        <v>24</v>
      </c>
      <c r="D125" s="539" t="s">
        <v>601</v>
      </c>
      <c r="E125" s="539" t="s">
        <v>6</v>
      </c>
      <c r="F125" s="540">
        <v>1317671.32</v>
      </c>
      <c r="G125" s="465">
        <f>G126</f>
        <v>0</v>
      </c>
      <c r="H125" s="440">
        <f>H126</f>
        <v>0</v>
      </c>
      <c r="I125" s="440">
        <v>0</v>
      </c>
      <c r="J125" s="465">
        <v>0</v>
      </c>
      <c r="K125" s="465">
        <v>0</v>
      </c>
      <c r="L125" s="436">
        <f t="shared" si="12"/>
        <v>0</v>
      </c>
      <c r="M125" s="498"/>
    </row>
    <row r="126" spans="1:13" ht="18.7" customHeight="1" outlineLevel="7" x14ac:dyDescent="0.3">
      <c r="A126" s="438" t="s">
        <v>15</v>
      </c>
      <c r="B126" s="439" t="s">
        <v>500</v>
      </c>
      <c r="C126" s="439" t="s">
        <v>24</v>
      </c>
      <c r="D126" s="539" t="s">
        <v>601</v>
      </c>
      <c r="E126" s="539" t="s">
        <v>16</v>
      </c>
      <c r="F126" s="540">
        <v>134942.99</v>
      </c>
      <c r="G126" s="465">
        <f>G127</f>
        <v>0</v>
      </c>
      <c r="H126" s="440">
        <f>H127</f>
        <v>0</v>
      </c>
      <c r="I126" s="440">
        <v>0</v>
      </c>
      <c r="J126" s="465">
        <v>0</v>
      </c>
      <c r="K126" s="465">
        <v>0</v>
      </c>
      <c r="L126" s="436">
        <f t="shared" si="12"/>
        <v>0</v>
      </c>
      <c r="M126" s="498"/>
    </row>
    <row r="127" spans="1:13" ht="18.7" customHeight="1" outlineLevel="7" x14ac:dyDescent="0.3">
      <c r="A127" s="438" t="s">
        <v>17</v>
      </c>
      <c r="B127" s="439" t="s">
        <v>500</v>
      </c>
      <c r="C127" s="439" t="s">
        <v>24</v>
      </c>
      <c r="D127" s="539" t="s">
        <v>601</v>
      </c>
      <c r="E127" s="539" t="s">
        <v>18</v>
      </c>
      <c r="F127" s="540">
        <v>134942.99</v>
      </c>
      <c r="G127" s="465">
        <v>0</v>
      </c>
      <c r="H127" s="440">
        <v>0</v>
      </c>
      <c r="I127" s="440">
        <v>0</v>
      </c>
      <c r="J127" s="465">
        <v>0</v>
      </c>
      <c r="K127" s="465">
        <v>0</v>
      </c>
      <c r="L127" s="436">
        <f t="shared" si="12"/>
        <v>0</v>
      </c>
      <c r="M127" s="498"/>
    </row>
    <row r="128" spans="1:13" ht="18.7" customHeight="1" outlineLevel="7" x14ac:dyDescent="0.3">
      <c r="A128" s="438" t="s">
        <v>90</v>
      </c>
      <c r="B128" s="439" t="s">
        <v>500</v>
      </c>
      <c r="C128" s="439" t="s">
        <v>24</v>
      </c>
      <c r="D128" s="539" t="s">
        <v>601</v>
      </c>
      <c r="E128" s="539" t="s">
        <v>91</v>
      </c>
      <c r="F128" s="540">
        <v>1182728.33</v>
      </c>
      <c r="G128" s="465">
        <f>G129</f>
        <v>0</v>
      </c>
      <c r="H128" s="440">
        <f>H129</f>
        <v>0</v>
      </c>
      <c r="I128" s="440">
        <v>0</v>
      </c>
      <c r="J128" s="465">
        <v>0</v>
      </c>
      <c r="K128" s="465">
        <v>0</v>
      </c>
      <c r="L128" s="436">
        <f t="shared" si="12"/>
        <v>0</v>
      </c>
      <c r="M128" s="498"/>
    </row>
    <row r="129" spans="1:13" ht="20.25" customHeight="1" outlineLevel="7" x14ac:dyDescent="0.3">
      <c r="A129" s="438" t="s">
        <v>97</v>
      </c>
      <c r="B129" s="439" t="s">
        <v>500</v>
      </c>
      <c r="C129" s="439" t="s">
        <v>24</v>
      </c>
      <c r="D129" s="539" t="s">
        <v>601</v>
      </c>
      <c r="E129" s="539" t="s">
        <v>98</v>
      </c>
      <c r="F129" s="540">
        <v>1182728.33</v>
      </c>
      <c r="G129" s="465">
        <v>0</v>
      </c>
      <c r="H129" s="440">
        <v>0</v>
      </c>
      <c r="I129" s="440">
        <v>0</v>
      </c>
      <c r="J129" s="465">
        <v>0</v>
      </c>
      <c r="K129" s="465">
        <v>0</v>
      </c>
      <c r="L129" s="436">
        <f t="shared" si="12"/>
        <v>0</v>
      </c>
      <c r="M129" s="498"/>
    </row>
    <row r="130" spans="1:13" ht="19.55" customHeight="1" outlineLevel="7" x14ac:dyDescent="0.3">
      <c r="A130" s="438" t="s">
        <v>503</v>
      </c>
      <c r="B130" s="439" t="s">
        <v>500</v>
      </c>
      <c r="C130" s="439" t="s">
        <v>24</v>
      </c>
      <c r="D130" s="539" t="s">
        <v>502</v>
      </c>
      <c r="E130" s="539" t="s">
        <v>6</v>
      </c>
      <c r="F130" s="540">
        <v>86999</v>
      </c>
      <c r="G130" s="466">
        <f t="shared" ref="G130:K131" si="20">G131</f>
        <v>200000</v>
      </c>
      <c r="H130" s="442">
        <f t="shared" si="20"/>
        <v>138434.92000000001</v>
      </c>
      <c r="I130" s="442">
        <f t="shared" si="20"/>
        <v>200000</v>
      </c>
      <c r="J130" s="466">
        <f t="shared" si="20"/>
        <v>200000</v>
      </c>
      <c r="K130" s="466">
        <f t="shared" si="20"/>
        <v>200000</v>
      </c>
      <c r="L130" s="436">
        <f t="shared" si="12"/>
        <v>0</v>
      </c>
      <c r="M130" s="498">
        <f t="shared" si="13"/>
        <v>100</v>
      </c>
    </row>
    <row r="131" spans="1:13" ht="34" outlineLevel="7" x14ac:dyDescent="0.3">
      <c r="A131" s="438" t="s">
        <v>15</v>
      </c>
      <c r="B131" s="439" t="s">
        <v>500</v>
      </c>
      <c r="C131" s="439" t="s">
        <v>24</v>
      </c>
      <c r="D131" s="539" t="s">
        <v>502</v>
      </c>
      <c r="E131" s="539" t="s">
        <v>16</v>
      </c>
      <c r="F131" s="540">
        <v>86999</v>
      </c>
      <c r="G131" s="466">
        <f t="shared" si="20"/>
        <v>200000</v>
      </c>
      <c r="H131" s="370">
        <v>138434.92000000001</v>
      </c>
      <c r="I131" s="442">
        <f t="shared" si="20"/>
        <v>200000</v>
      </c>
      <c r="J131" s="466">
        <f t="shared" si="20"/>
        <v>200000</v>
      </c>
      <c r="K131" s="466">
        <f t="shared" si="20"/>
        <v>200000</v>
      </c>
      <c r="L131" s="436">
        <f t="shared" si="12"/>
        <v>0</v>
      </c>
      <c r="M131" s="498">
        <f t="shared" si="13"/>
        <v>100</v>
      </c>
    </row>
    <row r="132" spans="1:13" ht="20.25" customHeight="1" outlineLevel="7" x14ac:dyDescent="0.3">
      <c r="A132" s="438" t="s">
        <v>17</v>
      </c>
      <c r="B132" s="439" t="s">
        <v>500</v>
      </c>
      <c r="C132" s="439" t="s">
        <v>24</v>
      </c>
      <c r="D132" s="539" t="s">
        <v>502</v>
      </c>
      <c r="E132" s="539" t="s">
        <v>18</v>
      </c>
      <c r="F132" s="540">
        <v>86999</v>
      </c>
      <c r="G132" s="465">
        <v>200000</v>
      </c>
      <c r="H132" s="370">
        <v>138434.92000000001</v>
      </c>
      <c r="I132" s="440">
        <f>'[2]прил 12'!G127</f>
        <v>200000</v>
      </c>
      <c r="J132" s="465">
        <v>200000</v>
      </c>
      <c r="K132" s="465">
        <v>200000</v>
      </c>
      <c r="L132" s="436">
        <f t="shared" si="12"/>
        <v>0</v>
      </c>
      <c r="M132" s="498">
        <f t="shared" si="13"/>
        <v>100</v>
      </c>
    </row>
    <row r="133" spans="1:13" outlineLevel="3" x14ac:dyDescent="0.3">
      <c r="A133" s="438" t="s">
        <v>277</v>
      </c>
      <c r="B133" s="439" t="s">
        <v>500</v>
      </c>
      <c r="C133" s="439" t="s">
        <v>24</v>
      </c>
      <c r="D133" s="539" t="s">
        <v>276</v>
      </c>
      <c r="E133" s="539" t="s">
        <v>6</v>
      </c>
      <c r="F133" s="540">
        <v>7083797.5300000003</v>
      </c>
      <c r="G133" s="465">
        <f>G157+G134+G142+G147+G152+G139</f>
        <v>8720616.2199999988</v>
      </c>
      <c r="H133" s="440">
        <f>H157+H134+H142+H147+H152+H139</f>
        <v>5892996.6299999999</v>
      </c>
      <c r="I133" s="440">
        <f>I157+I134+I142+I147+I152+I139</f>
        <v>7568469</v>
      </c>
      <c r="J133" s="465">
        <f>J157+J134+J142+J147+J152+J139</f>
        <v>7810417</v>
      </c>
      <c r="K133" s="465">
        <f>K157+K134+K142+K147+K152+K139</f>
        <v>7810417</v>
      </c>
      <c r="L133" s="436">
        <f t="shared" si="12"/>
        <v>0</v>
      </c>
      <c r="M133" s="498">
        <f t="shared" si="13"/>
        <v>89.562673129537174</v>
      </c>
    </row>
    <row r="134" spans="1:13" ht="77.45" customHeight="1" outlineLevel="3" x14ac:dyDescent="0.3">
      <c r="A134" s="393" t="s">
        <v>438</v>
      </c>
      <c r="B134" s="439" t="s">
        <v>500</v>
      </c>
      <c r="C134" s="439" t="s">
        <v>24</v>
      </c>
      <c r="D134" s="539" t="s">
        <v>278</v>
      </c>
      <c r="E134" s="539" t="s">
        <v>6</v>
      </c>
      <c r="F134" s="540">
        <v>1395192</v>
      </c>
      <c r="G134" s="465">
        <f>G135+G137</f>
        <v>1503968</v>
      </c>
      <c r="H134" s="440">
        <f>H135+H137</f>
        <v>1197590.32</v>
      </c>
      <c r="I134" s="440">
        <f>I135+I137</f>
        <v>1442603</v>
      </c>
      <c r="J134" s="513">
        <f>J135+J137</f>
        <v>1490622</v>
      </c>
      <c r="K134" s="513">
        <f>K135+K137</f>
        <v>1490622</v>
      </c>
      <c r="L134" s="436">
        <f t="shared" si="12"/>
        <v>0</v>
      </c>
      <c r="M134" s="498">
        <f t="shared" si="13"/>
        <v>99.112614098172301</v>
      </c>
    </row>
    <row r="135" spans="1:13" ht="84.9" outlineLevel="3" x14ac:dyDescent="0.3">
      <c r="A135" s="438" t="s">
        <v>11</v>
      </c>
      <c r="B135" s="439" t="s">
        <v>500</v>
      </c>
      <c r="C135" s="439" t="s">
        <v>24</v>
      </c>
      <c r="D135" s="539" t="s">
        <v>278</v>
      </c>
      <c r="E135" s="539" t="s">
        <v>12</v>
      </c>
      <c r="F135" s="540">
        <v>1380328.42</v>
      </c>
      <c r="G135" s="465">
        <f>G136</f>
        <v>1487018</v>
      </c>
      <c r="H135" s="370">
        <v>1187789.1000000001</v>
      </c>
      <c r="I135" s="440">
        <f>I136</f>
        <v>1427603</v>
      </c>
      <c r="J135" s="465">
        <f>J136</f>
        <v>1475622</v>
      </c>
      <c r="K135" s="465">
        <f>K136</f>
        <v>1475622</v>
      </c>
      <c r="L135" s="436">
        <f t="shared" si="12"/>
        <v>0</v>
      </c>
      <c r="M135" s="498">
        <f t="shared" si="13"/>
        <v>99.233634024604939</v>
      </c>
    </row>
    <row r="136" spans="1:13" ht="34" outlineLevel="3" x14ac:dyDescent="0.3">
      <c r="A136" s="438" t="s">
        <v>13</v>
      </c>
      <c r="B136" s="439" t="s">
        <v>500</v>
      </c>
      <c r="C136" s="439" t="s">
        <v>24</v>
      </c>
      <c r="D136" s="539" t="s">
        <v>278</v>
      </c>
      <c r="E136" s="539" t="s">
        <v>14</v>
      </c>
      <c r="F136" s="540">
        <v>1380328.42</v>
      </c>
      <c r="G136" s="465">
        <f>1399316+28287-1950+61365</f>
        <v>1487018</v>
      </c>
      <c r="H136" s="370">
        <v>1187789.1000000001</v>
      </c>
      <c r="I136" s="440">
        <f>'[2]прил 12'!F131</f>
        <v>1427603</v>
      </c>
      <c r="J136" s="510">
        <f>1490622-15000</f>
        <v>1475622</v>
      </c>
      <c r="K136" s="510">
        <f>1490622-15000</f>
        <v>1475622</v>
      </c>
      <c r="L136" s="436">
        <f t="shared" ref="L136:L199" si="21">K136-J136</f>
        <v>0</v>
      </c>
      <c r="M136" s="498">
        <f t="shared" ref="M136:M199" si="22">J136/G136%</f>
        <v>99.233634024604939</v>
      </c>
    </row>
    <row r="137" spans="1:13" ht="41.3" customHeight="1" outlineLevel="7" x14ac:dyDescent="0.3">
      <c r="A137" s="438" t="s">
        <v>15</v>
      </c>
      <c r="B137" s="439" t="s">
        <v>500</v>
      </c>
      <c r="C137" s="439" t="s">
        <v>24</v>
      </c>
      <c r="D137" s="539" t="s">
        <v>278</v>
      </c>
      <c r="E137" s="539" t="s">
        <v>16</v>
      </c>
      <c r="F137" s="540">
        <v>14863.58</v>
      </c>
      <c r="G137" s="465">
        <f>G138</f>
        <v>16950</v>
      </c>
      <c r="H137" s="370">
        <v>9801.2199999999993</v>
      </c>
      <c r="I137" s="440">
        <f>I138</f>
        <v>15000</v>
      </c>
      <c r="J137" s="465">
        <f>J138</f>
        <v>15000</v>
      </c>
      <c r="K137" s="465">
        <f>K138</f>
        <v>15000</v>
      </c>
      <c r="L137" s="436">
        <f t="shared" si="21"/>
        <v>0</v>
      </c>
      <c r="M137" s="498">
        <f t="shared" si="22"/>
        <v>88.495575221238937</v>
      </c>
    </row>
    <row r="138" spans="1:13" ht="34" outlineLevel="7" x14ac:dyDescent="0.3">
      <c r="A138" s="438" t="s">
        <v>17</v>
      </c>
      <c r="B138" s="439" t="s">
        <v>500</v>
      </c>
      <c r="C138" s="439" t="s">
        <v>24</v>
      </c>
      <c r="D138" s="539" t="s">
        <v>278</v>
      </c>
      <c r="E138" s="539" t="s">
        <v>18</v>
      </c>
      <c r="F138" s="540">
        <v>14863.58</v>
      </c>
      <c r="G138" s="465">
        <f>15000+1950</f>
        <v>16950</v>
      </c>
      <c r="H138" s="370">
        <v>9801.2199999999993</v>
      </c>
      <c r="I138" s="440">
        <f>'[2]прил 12'!F133</f>
        <v>15000</v>
      </c>
      <c r="J138" s="510">
        <v>15000</v>
      </c>
      <c r="K138" s="510">
        <v>15000</v>
      </c>
      <c r="L138" s="436">
        <f t="shared" si="21"/>
        <v>0</v>
      </c>
      <c r="M138" s="498">
        <f t="shared" si="22"/>
        <v>88.495575221238937</v>
      </c>
    </row>
    <row r="139" spans="1:13" ht="84.9" outlineLevel="7" x14ac:dyDescent="0.3">
      <c r="A139" s="438" t="s">
        <v>722</v>
      </c>
      <c r="B139" s="439" t="s">
        <v>500</v>
      </c>
      <c r="C139" s="439" t="s">
        <v>24</v>
      </c>
      <c r="D139" s="539" t="s">
        <v>721</v>
      </c>
      <c r="E139" s="539" t="s">
        <v>6</v>
      </c>
      <c r="F139" s="540">
        <v>272232</v>
      </c>
      <c r="G139" s="465">
        <f t="shared" ref="G139:K140" si="23">G140</f>
        <v>353579</v>
      </c>
      <c r="H139" s="440">
        <f t="shared" si="23"/>
        <v>143160.51</v>
      </c>
      <c r="I139" s="440">
        <f t="shared" si="23"/>
        <v>353579</v>
      </c>
      <c r="J139" s="513">
        <f t="shared" si="23"/>
        <v>353579</v>
      </c>
      <c r="K139" s="513">
        <f t="shared" si="23"/>
        <v>353579</v>
      </c>
      <c r="L139" s="436">
        <f t="shared" si="21"/>
        <v>0</v>
      </c>
      <c r="M139" s="498">
        <f t="shared" si="22"/>
        <v>100</v>
      </c>
    </row>
    <row r="140" spans="1:13" ht="34" outlineLevel="7" x14ac:dyDescent="0.3">
      <c r="A140" s="438" t="s">
        <v>13</v>
      </c>
      <c r="B140" s="439" t="s">
        <v>500</v>
      </c>
      <c r="C140" s="439" t="s">
        <v>24</v>
      </c>
      <c r="D140" s="539" t="s">
        <v>721</v>
      </c>
      <c r="E140" s="539" t="s">
        <v>12</v>
      </c>
      <c r="F140" s="540">
        <v>272232</v>
      </c>
      <c r="G140" s="465">
        <f t="shared" si="23"/>
        <v>353579</v>
      </c>
      <c r="H140" s="370">
        <v>143160.51</v>
      </c>
      <c r="I140" s="440">
        <f t="shared" si="23"/>
        <v>353579</v>
      </c>
      <c r="J140" s="465">
        <f t="shared" si="23"/>
        <v>353579</v>
      </c>
      <c r="K140" s="465">
        <f t="shared" si="23"/>
        <v>353579</v>
      </c>
      <c r="L140" s="436">
        <f t="shared" si="21"/>
        <v>0</v>
      </c>
      <c r="M140" s="498">
        <f t="shared" si="22"/>
        <v>100</v>
      </c>
    </row>
    <row r="141" spans="1:13" ht="41.45" customHeight="1" outlineLevel="7" x14ac:dyDescent="0.3">
      <c r="A141" s="438" t="s">
        <v>13</v>
      </c>
      <c r="B141" s="439" t="s">
        <v>500</v>
      </c>
      <c r="C141" s="439" t="s">
        <v>24</v>
      </c>
      <c r="D141" s="539" t="s">
        <v>721</v>
      </c>
      <c r="E141" s="539" t="s">
        <v>14</v>
      </c>
      <c r="F141" s="540">
        <v>272232</v>
      </c>
      <c r="G141" s="465">
        <v>353579</v>
      </c>
      <c r="H141" s="370">
        <v>143160.51</v>
      </c>
      <c r="I141" s="440">
        <f>'[2]прил 12'!F136</f>
        <v>353579</v>
      </c>
      <c r="J141" s="510">
        <v>353579</v>
      </c>
      <c r="K141" s="510">
        <v>353579</v>
      </c>
      <c r="L141" s="436">
        <f t="shared" si="21"/>
        <v>0</v>
      </c>
      <c r="M141" s="498">
        <f t="shared" si="22"/>
        <v>100</v>
      </c>
    </row>
    <row r="142" spans="1:13" ht="24.8" customHeight="1" outlineLevel="7" x14ac:dyDescent="0.3">
      <c r="A142" s="393" t="s">
        <v>573</v>
      </c>
      <c r="B142" s="439" t="s">
        <v>500</v>
      </c>
      <c r="C142" s="439" t="s">
        <v>24</v>
      </c>
      <c r="D142" s="539" t="s">
        <v>580</v>
      </c>
      <c r="E142" s="539" t="s">
        <v>6</v>
      </c>
      <c r="F142" s="540">
        <v>2016764</v>
      </c>
      <c r="G142" s="465">
        <f>G143+G145</f>
        <v>2096028</v>
      </c>
      <c r="H142" s="440">
        <f>H143+H145</f>
        <v>1490075.2</v>
      </c>
      <c r="I142" s="440">
        <f>I143+I145</f>
        <v>2174817</v>
      </c>
      <c r="J142" s="513">
        <f>J143+J145</f>
        <v>2276349</v>
      </c>
      <c r="K142" s="513">
        <f>K143+K145</f>
        <v>2276349</v>
      </c>
      <c r="L142" s="436">
        <f t="shared" si="21"/>
        <v>0</v>
      </c>
      <c r="M142" s="498">
        <f t="shared" si="22"/>
        <v>108.60298621964975</v>
      </c>
    </row>
    <row r="143" spans="1:13" ht="39.75" customHeight="1" outlineLevel="7" x14ac:dyDescent="0.3">
      <c r="A143" s="438" t="s">
        <v>11</v>
      </c>
      <c r="B143" s="439" t="s">
        <v>500</v>
      </c>
      <c r="C143" s="439" t="s">
        <v>24</v>
      </c>
      <c r="D143" s="539" t="s">
        <v>580</v>
      </c>
      <c r="E143" s="539" t="s">
        <v>12</v>
      </c>
      <c r="F143" s="540">
        <v>2008305.5</v>
      </c>
      <c r="G143" s="465">
        <f>G144</f>
        <v>2081028</v>
      </c>
      <c r="H143" s="370">
        <v>1485262.04</v>
      </c>
      <c r="I143" s="440">
        <f>I144</f>
        <v>2159817</v>
      </c>
      <c r="J143" s="465">
        <f>J144</f>
        <v>0</v>
      </c>
      <c r="K143" s="465">
        <f>K144</f>
        <v>0</v>
      </c>
      <c r="L143" s="436">
        <f t="shared" si="21"/>
        <v>0</v>
      </c>
      <c r="M143" s="498">
        <f t="shared" si="22"/>
        <v>0</v>
      </c>
    </row>
    <row r="144" spans="1:13" ht="39.75" customHeight="1" outlineLevel="7" x14ac:dyDescent="0.3">
      <c r="A144" s="438" t="s">
        <v>13</v>
      </c>
      <c r="B144" s="439" t="s">
        <v>500</v>
      </c>
      <c r="C144" s="439" t="s">
        <v>24</v>
      </c>
      <c r="D144" s="539" t="s">
        <v>580</v>
      </c>
      <c r="E144" s="539" t="s">
        <v>14</v>
      </c>
      <c r="F144" s="540">
        <v>2008305.5</v>
      </c>
      <c r="G144" s="465">
        <v>2081028</v>
      </c>
      <c r="H144" s="370">
        <v>1485262.04</v>
      </c>
      <c r="I144" s="440">
        <f>'[2]прил 12'!F139</f>
        <v>2159817</v>
      </c>
      <c r="J144" s="510"/>
      <c r="K144" s="510"/>
      <c r="L144" s="436">
        <f t="shared" si="21"/>
        <v>0</v>
      </c>
      <c r="M144" s="498">
        <f t="shared" si="22"/>
        <v>0</v>
      </c>
    </row>
    <row r="145" spans="1:13" ht="34" outlineLevel="7" x14ac:dyDescent="0.3">
      <c r="A145" s="438" t="s">
        <v>15</v>
      </c>
      <c r="B145" s="439" t="s">
        <v>500</v>
      </c>
      <c r="C145" s="439" t="s">
        <v>24</v>
      </c>
      <c r="D145" s="539" t="s">
        <v>580</v>
      </c>
      <c r="E145" s="539" t="s">
        <v>16</v>
      </c>
      <c r="F145" s="540">
        <v>8458.5</v>
      </c>
      <c r="G145" s="465">
        <f>G146</f>
        <v>15000</v>
      </c>
      <c r="H145" s="370">
        <v>4813.16</v>
      </c>
      <c r="I145" s="440">
        <f>I146</f>
        <v>15000</v>
      </c>
      <c r="J145" s="465">
        <f>J146</f>
        <v>2276349</v>
      </c>
      <c r="K145" s="465">
        <f>K146</f>
        <v>2276349</v>
      </c>
      <c r="L145" s="436">
        <f t="shared" si="21"/>
        <v>0</v>
      </c>
      <c r="M145" s="498">
        <f t="shared" si="22"/>
        <v>15175.66</v>
      </c>
    </row>
    <row r="146" spans="1:13" ht="34" outlineLevel="7" x14ac:dyDescent="0.3">
      <c r="A146" s="438" t="s">
        <v>17</v>
      </c>
      <c r="B146" s="439" t="s">
        <v>500</v>
      </c>
      <c r="C146" s="439" t="s">
        <v>24</v>
      </c>
      <c r="D146" s="539" t="s">
        <v>580</v>
      </c>
      <c r="E146" s="539" t="s">
        <v>18</v>
      </c>
      <c r="F146" s="540">
        <v>8458.5</v>
      </c>
      <c r="G146" s="465">
        <v>15000</v>
      </c>
      <c r="H146" s="370">
        <v>4813.16</v>
      </c>
      <c r="I146" s="440">
        <f>'[2]прил 12'!F141</f>
        <v>15000</v>
      </c>
      <c r="J146" s="510">
        <v>2276349</v>
      </c>
      <c r="K146" s="510">
        <v>2276349</v>
      </c>
      <c r="L146" s="436">
        <f t="shared" si="21"/>
        <v>0</v>
      </c>
      <c r="M146" s="498">
        <f t="shared" si="22"/>
        <v>15175.66</v>
      </c>
    </row>
    <row r="147" spans="1:13" ht="74.05" customHeight="1" outlineLevel="7" x14ac:dyDescent="0.3">
      <c r="A147" s="393" t="s">
        <v>382</v>
      </c>
      <c r="B147" s="439" t="s">
        <v>500</v>
      </c>
      <c r="C147" s="439" t="s">
        <v>24</v>
      </c>
      <c r="D147" s="539" t="s">
        <v>279</v>
      </c>
      <c r="E147" s="539" t="s">
        <v>6</v>
      </c>
      <c r="F147" s="540">
        <v>764724.52</v>
      </c>
      <c r="G147" s="465">
        <f>G148+G150</f>
        <v>830909</v>
      </c>
      <c r="H147" s="440">
        <f>H148+H150</f>
        <v>587231.11</v>
      </c>
      <c r="I147" s="440">
        <f>I148+I150</f>
        <v>861546</v>
      </c>
      <c r="J147" s="513">
        <f>J148+J150</f>
        <v>946950</v>
      </c>
      <c r="K147" s="513">
        <f>K148+K150</f>
        <v>946950</v>
      </c>
      <c r="L147" s="436">
        <f t="shared" si="21"/>
        <v>0</v>
      </c>
      <c r="M147" s="498">
        <f t="shared" si="22"/>
        <v>113.96554857391122</v>
      </c>
    </row>
    <row r="148" spans="1:13" ht="84.9" outlineLevel="7" x14ac:dyDescent="0.3">
      <c r="A148" s="438" t="s">
        <v>11</v>
      </c>
      <c r="B148" s="439" t="s">
        <v>500</v>
      </c>
      <c r="C148" s="439" t="s">
        <v>24</v>
      </c>
      <c r="D148" s="539" t="s">
        <v>279</v>
      </c>
      <c r="E148" s="539" t="s">
        <v>12</v>
      </c>
      <c r="F148" s="540">
        <v>751053.37</v>
      </c>
      <c r="G148" s="465">
        <f>G149</f>
        <v>785909</v>
      </c>
      <c r="H148" s="370">
        <v>560781.04</v>
      </c>
      <c r="I148" s="440">
        <f>I149</f>
        <v>816546</v>
      </c>
      <c r="J148" s="465">
        <f>J149</f>
        <v>901950</v>
      </c>
      <c r="K148" s="465">
        <f>K149</f>
        <v>901950</v>
      </c>
      <c r="L148" s="436">
        <f t="shared" si="21"/>
        <v>0</v>
      </c>
      <c r="M148" s="498">
        <f t="shared" si="22"/>
        <v>114.76519546156106</v>
      </c>
    </row>
    <row r="149" spans="1:13" ht="32.6" customHeight="1" outlineLevel="7" x14ac:dyDescent="0.3">
      <c r="A149" s="438" t="s">
        <v>13</v>
      </c>
      <c r="B149" s="439" t="s">
        <v>500</v>
      </c>
      <c r="C149" s="439" t="s">
        <v>24</v>
      </c>
      <c r="D149" s="539" t="s">
        <v>279</v>
      </c>
      <c r="E149" s="539" t="s">
        <v>14</v>
      </c>
      <c r="F149" s="540">
        <v>751053.37</v>
      </c>
      <c r="G149" s="466">
        <v>785909</v>
      </c>
      <c r="H149" s="370">
        <v>560781.04</v>
      </c>
      <c r="I149" s="442">
        <f>'[2]прил 12'!F144</f>
        <v>816546</v>
      </c>
      <c r="J149" s="510">
        <f>946950-45000</f>
        <v>901950</v>
      </c>
      <c r="K149" s="510">
        <f>946950-45000</f>
        <v>901950</v>
      </c>
      <c r="L149" s="436">
        <f t="shared" si="21"/>
        <v>0</v>
      </c>
      <c r="M149" s="498">
        <f t="shared" si="22"/>
        <v>114.76519546156106</v>
      </c>
    </row>
    <row r="150" spans="1:13" ht="45" customHeight="1" outlineLevel="7" x14ac:dyDescent="0.3">
      <c r="A150" s="438" t="s">
        <v>15</v>
      </c>
      <c r="B150" s="439" t="s">
        <v>500</v>
      </c>
      <c r="C150" s="439" t="s">
        <v>24</v>
      </c>
      <c r="D150" s="539" t="s">
        <v>279</v>
      </c>
      <c r="E150" s="539" t="s">
        <v>16</v>
      </c>
      <c r="F150" s="540">
        <v>13671.15</v>
      </c>
      <c r="G150" s="465">
        <f>G151</f>
        <v>45000</v>
      </c>
      <c r="H150" s="370">
        <v>26450.07</v>
      </c>
      <c r="I150" s="440">
        <f>I151</f>
        <v>45000</v>
      </c>
      <c r="J150" s="465">
        <f>J151</f>
        <v>45000</v>
      </c>
      <c r="K150" s="465">
        <f>K151</f>
        <v>45000</v>
      </c>
      <c r="L150" s="436">
        <f t="shared" si="21"/>
        <v>0</v>
      </c>
      <c r="M150" s="498">
        <f t="shared" si="22"/>
        <v>100</v>
      </c>
    </row>
    <row r="151" spans="1:13" ht="34" outlineLevel="7" x14ac:dyDescent="0.3">
      <c r="A151" s="438" t="s">
        <v>17</v>
      </c>
      <c r="B151" s="439" t="s">
        <v>500</v>
      </c>
      <c r="C151" s="439" t="s">
        <v>24</v>
      </c>
      <c r="D151" s="539" t="s">
        <v>279</v>
      </c>
      <c r="E151" s="539" t="s">
        <v>18</v>
      </c>
      <c r="F151" s="540">
        <v>13671.15</v>
      </c>
      <c r="G151" s="465">
        <v>45000</v>
      </c>
      <c r="H151" s="370">
        <v>26450.07</v>
      </c>
      <c r="I151" s="440">
        <f>'[2]прил 12'!F146</f>
        <v>45000</v>
      </c>
      <c r="J151" s="510">
        <v>45000</v>
      </c>
      <c r="K151" s="510">
        <v>45000</v>
      </c>
      <c r="L151" s="436">
        <f t="shared" si="21"/>
        <v>0</v>
      </c>
      <c r="M151" s="498">
        <f t="shared" si="22"/>
        <v>100</v>
      </c>
    </row>
    <row r="152" spans="1:13" ht="57.25" customHeight="1" outlineLevel="7" x14ac:dyDescent="0.3">
      <c r="A152" s="438" t="s">
        <v>406</v>
      </c>
      <c r="B152" s="439" t="s">
        <v>500</v>
      </c>
      <c r="C152" s="439" t="s">
        <v>24</v>
      </c>
      <c r="D152" s="539" t="s">
        <v>407</v>
      </c>
      <c r="E152" s="539" t="s">
        <v>6</v>
      </c>
      <c r="F152" s="540">
        <v>1791402.17</v>
      </c>
      <c r="G152" s="465">
        <f>G153+G155</f>
        <v>1950219</v>
      </c>
      <c r="H152" s="440">
        <f>H153+H155</f>
        <v>1271500</v>
      </c>
      <c r="I152" s="440">
        <f>I153+I155</f>
        <v>2021924</v>
      </c>
      <c r="J152" s="513">
        <f>J153+J155</f>
        <v>2028917</v>
      </c>
      <c r="K152" s="513">
        <f>K153+K155</f>
        <v>2028917</v>
      </c>
      <c r="L152" s="436">
        <f t="shared" si="21"/>
        <v>0</v>
      </c>
      <c r="M152" s="498">
        <f t="shared" si="22"/>
        <v>104.03534167188404</v>
      </c>
    </row>
    <row r="153" spans="1:13" ht="84.9" outlineLevel="7" x14ac:dyDescent="0.3">
      <c r="A153" s="438" t="s">
        <v>11</v>
      </c>
      <c r="B153" s="439" t="s">
        <v>500</v>
      </c>
      <c r="C153" s="439" t="s">
        <v>24</v>
      </c>
      <c r="D153" s="539" t="s">
        <v>407</v>
      </c>
      <c r="E153" s="539" t="s">
        <v>12</v>
      </c>
      <c r="F153" s="540">
        <v>1659215.56</v>
      </c>
      <c r="G153" s="465">
        <f>G154</f>
        <v>1792619</v>
      </c>
      <c r="H153" s="370">
        <v>1243138.07</v>
      </c>
      <c r="I153" s="440">
        <f>I154</f>
        <v>1864324</v>
      </c>
      <c r="J153" s="465">
        <f>J154</f>
        <v>1871917</v>
      </c>
      <c r="K153" s="465">
        <f>K154</f>
        <v>1871917</v>
      </c>
      <c r="L153" s="436">
        <f t="shared" si="21"/>
        <v>0</v>
      </c>
      <c r="M153" s="498">
        <f t="shared" si="22"/>
        <v>104.42358359472928</v>
      </c>
    </row>
    <row r="154" spans="1:13" ht="21.25" customHeight="1" outlineLevel="7" x14ac:dyDescent="0.3">
      <c r="A154" s="438" t="s">
        <v>13</v>
      </c>
      <c r="B154" s="439" t="s">
        <v>500</v>
      </c>
      <c r="C154" s="439" t="s">
        <v>24</v>
      </c>
      <c r="D154" s="539" t="s">
        <v>407</v>
      </c>
      <c r="E154" s="539" t="s">
        <v>14</v>
      </c>
      <c r="F154" s="540">
        <v>1659215.56</v>
      </c>
      <c r="G154" s="465">
        <v>1792619</v>
      </c>
      <c r="H154" s="370">
        <v>1243138.07</v>
      </c>
      <c r="I154" s="440">
        <f>'[2]прил 12'!F149</f>
        <v>1864324</v>
      </c>
      <c r="J154" s="510">
        <v>1871917</v>
      </c>
      <c r="K154" s="510">
        <v>1871917</v>
      </c>
      <c r="L154" s="436">
        <f t="shared" si="21"/>
        <v>0</v>
      </c>
      <c r="M154" s="498">
        <f t="shared" si="22"/>
        <v>104.42358359472928</v>
      </c>
    </row>
    <row r="155" spans="1:13" ht="38.25" customHeight="1" outlineLevel="7" x14ac:dyDescent="0.3">
      <c r="A155" s="438" t="s">
        <v>15</v>
      </c>
      <c r="B155" s="439" t="s">
        <v>500</v>
      </c>
      <c r="C155" s="439" t="s">
        <v>24</v>
      </c>
      <c r="D155" s="539" t="s">
        <v>407</v>
      </c>
      <c r="E155" s="539" t="s">
        <v>16</v>
      </c>
      <c r="F155" s="540">
        <v>132186.60999999999</v>
      </c>
      <c r="G155" s="465">
        <f>G156</f>
        <v>157600</v>
      </c>
      <c r="H155" s="370">
        <v>28361.93</v>
      </c>
      <c r="I155" s="440">
        <f>I156</f>
        <v>157600</v>
      </c>
      <c r="J155" s="465">
        <f>J156</f>
        <v>157000</v>
      </c>
      <c r="K155" s="465">
        <f>K156</f>
        <v>157000</v>
      </c>
      <c r="L155" s="436">
        <f t="shared" si="21"/>
        <v>0</v>
      </c>
      <c r="M155" s="498">
        <f t="shared" si="22"/>
        <v>99.619289340101517</v>
      </c>
    </row>
    <row r="156" spans="1:13" ht="34" outlineLevel="7" x14ac:dyDescent="0.3">
      <c r="A156" s="438" t="s">
        <v>17</v>
      </c>
      <c r="B156" s="439" t="s">
        <v>500</v>
      </c>
      <c r="C156" s="439" t="s">
        <v>24</v>
      </c>
      <c r="D156" s="539" t="s">
        <v>407</v>
      </c>
      <c r="E156" s="539" t="s">
        <v>18</v>
      </c>
      <c r="F156" s="540">
        <v>132186.60999999999</v>
      </c>
      <c r="G156" s="465">
        <v>157600</v>
      </c>
      <c r="H156" s="370">
        <v>28361.93</v>
      </c>
      <c r="I156" s="440">
        <f>'[2]прил 12'!F151</f>
        <v>157600</v>
      </c>
      <c r="J156" s="510">
        <v>157000</v>
      </c>
      <c r="K156" s="510">
        <v>157000</v>
      </c>
      <c r="L156" s="436">
        <f t="shared" si="21"/>
        <v>0</v>
      </c>
      <c r="M156" s="498">
        <f t="shared" si="22"/>
        <v>99.619289340101517</v>
      </c>
    </row>
    <row r="157" spans="1:13" ht="101.25" customHeight="1" outlineLevel="7" x14ac:dyDescent="0.3">
      <c r="A157" s="393" t="s">
        <v>656</v>
      </c>
      <c r="B157" s="439" t="s">
        <v>500</v>
      </c>
      <c r="C157" s="439" t="s">
        <v>24</v>
      </c>
      <c r="D157" s="539" t="s">
        <v>295</v>
      </c>
      <c r="E157" s="539" t="s">
        <v>6</v>
      </c>
      <c r="F157" s="540">
        <v>688357.04</v>
      </c>
      <c r="G157" s="465">
        <f>G158+G160</f>
        <v>1985913.22</v>
      </c>
      <c r="H157" s="440">
        <f>H158+H160</f>
        <v>1203439.49</v>
      </c>
      <c r="I157" s="440">
        <f>I158+I160</f>
        <v>714000</v>
      </c>
      <c r="J157" s="513">
        <f>J158+J160</f>
        <v>714000</v>
      </c>
      <c r="K157" s="513">
        <f>K158+K160</f>
        <v>714000</v>
      </c>
      <c r="L157" s="436">
        <f t="shared" si="21"/>
        <v>0</v>
      </c>
      <c r="M157" s="498">
        <f t="shared" si="22"/>
        <v>35.953232639238891</v>
      </c>
    </row>
    <row r="158" spans="1:13" ht="84.9" outlineLevel="7" x14ac:dyDescent="0.3">
      <c r="A158" s="438" t="s">
        <v>11</v>
      </c>
      <c r="B158" s="439" t="s">
        <v>500</v>
      </c>
      <c r="C158" s="439" t="s">
        <v>24</v>
      </c>
      <c r="D158" s="539" t="s">
        <v>295</v>
      </c>
      <c r="E158" s="539" t="s">
        <v>12</v>
      </c>
      <c r="F158" s="540">
        <v>687395.61</v>
      </c>
      <c r="G158" s="465">
        <f>G159</f>
        <v>760000</v>
      </c>
      <c r="H158" s="370">
        <v>429870.59</v>
      </c>
      <c r="I158" s="440">
        <f>I159</f>
        <v>654000</v>
      </c>
      <c r="J158" s="465">
        <f>J159</f>
        <v>654000</v>
      </c>
      <c r="K158" s="465">
        <f>K159</f>
        <v>654000</v>
      </c>
      <c r="L158" s="436">
        <f t="shared" si="21"/>
        <v>0</v>
      </c>
      <c r="M158" s="498">
        <f t="shared" si="22"/>
        <v>86.05263157894737</v>
      </c>
    </row>
    <row r="159" spans="1:13" ht="19.55" customHeight="1" outlineLevel="7" x14ac:dyDescent="0.3">
      <c r="A159" s="438" t="s">
        <v>13</v>
      </c>
      <c r="B159" s="439" t="s">
        <v>500</v>
      </c>
      <c r="C159" s="439" t="s">
        <v>24</v>
      </c>
      <c r="D159" s="539" t="s">
        <v>295</v>
      </c>
      <c r="E159" s="539" t="s">
        <v>14</v>
      </c>
      <c r="F159" s="540">
        <v>687395.61</v>
      </c>
      <c r="G159" s="465">
        <f>644151.93+115848.07</f>
        <v>760000</v>
      </c>
      <c r="H159" s="370">
        <v>429870.59</v>
      </c>
      <c r="I159" s="440">
        <f>'[2]прил 12'!F154</f>
        <v>654000</v>
      </c>
      <c r="J159" s="510">
        <v>654000</v>
      </c>
      <c r="K159" s="510">
        <v>654000</v>
      </c>
      <c r="L159" s="436">
        <f t="shared" si="21"/>
        <v>0</v>
      </c>
      <c r="M159" s="498">
        <f t="shared" si="22"/>
        <v>86.05263157894737</v>
      </c>
    </row>
    <row r="160" spans="1:13" ht="46.55" customHeight="1" outlineLevel="3" x14ac:dyDescent="0.3">
      <c r="A160" s="438" t="s">
        <v>15</v>
      </c>
      <c r="B160" s="439" t="s">
        <v>500</v>
      </c>
      <c r="C160" s="439" t="s">
        <v>24</v>
      </c>
      <c r="D160" s="539" t="s">
        <v>295</v>
      </c>
      <c r="E160" s="539" t="s">
        <v>16</v>
      </c>
      <c r="F160" s="540">
        <v>961.43</v>
      </c>
      <c r="G160" s="465">
        <f>G161</f>
        <v>1225913.22</v>
      </c>
      <c r="H160" s="370">
        <v>773568.9</v>
      </c>
      <c r="I160" s="440">
        <f>I161</f>
        <v>60000</v>
      </c>
      <c r="J160" s="465">
        <f>J161</f>
        <v>60000</v>
      </c>
      <c r="K160" s="465">
        <f>K161</f>
        <v>60000</v>
      </c>
      <c r="L160" s="436">
        <f t="shared" si="21"/>
        <v>0</v>
      </c>
      <c r="M160" s="498">
        <f t="shared" si="22"/>
        <v>4.8943105450808337</v>
      </c>
    </row>
    <row r="161" spans="1:13" ht="34" outlineLevel="3" x14ac:dyDescent="0.3">
      <c r="A161" s="438" t="s">
        <v>17</v>
      </c>
      <c r="B161" s="439" t="s">
        <v>500</v>
      </c>
      <c r="C161" s="439" t="s">
        <v>24</v>
      </c>
      <c r="D161" s="539" t="s">
        <v>295</v>
      </c>
      <c r="E161" s="539" t="s">
        <v>18</v>
      </c>
      <c r="F161" s="540">
        <v>961.43</v>
      </c>
      <c r="G161" s="465">
        <f>60000+353071.62+812841.6</f>
        <v>1225913.22</v>
      </c>
      <c r="H161" s="370">
        <v>773568.9</v>
      </c>
      <c r="I161" s="440">
        <f>'[2]прил 12'!F156</f>
        <v>60000</v>
      </c>
      <c r="J161" s="510">
        <v>60000</v>
      </c>
      <c r="K161" s="510">
        <v>60000</v>
      </c>
      <c r="L161" s="436">
        <f t="shared" si="21"/>
        <v>0</v>
      </c>
      <c r="M161" s="498">
        <f t="shared" si="22"/>
        <v>4.8943105450808337</v>
      </c>
    </row>
    <row r="162" spans="1:13" ht="23.3" customHeight="1" outlineLevel="3" x14ac:dyDescent="0.3">
      <c r="A162" s="444" t="s">
        <v>581</v>
      </c>
      <c r="B162" s="445" t="s">
        <v>500</v>
      </c>
      <c r="C162" s="445" t="s">
        <v>26</v>
      </c>
      <c r="D162" s="541" t="s">
        <v>126</v>
      </c>
      <c r="E162" s="541" t="s">
        <v>6</v>
      </c>
      <c r="F162" s="540">
        <v>1465098.76</v>
      </c>
      <c r="G162" s="465">
        <f t="shared" ref="G162:K167" si="24">G163</f>
        <v>1626656</v>
      </c>
      <c r="H162" s="440">
        <f t="shared" si="24"/>
        <v>1189929.46</v>
      </c>
      <c r="I162" s="440">
        <f t="shared" si="24"/>
        <v>1700240</v>
      </c>
      <c r="J162" s="465">
        <f t="shared" si="24"/>
        <v>1951380</v>
      </c>
      <c r="K162" s="465">
        <f t="shared" si="24"/>
        <v>1951380</v>
      </c>
      <c r="L162" s="436">
        <f t="shared" si="21"/>
        <v>0</v>
      </c>
      <c r="M162" s="498">
        <f t="shared" si="22"/>
        <v>119.96267188637303</v>
      </c>
    </row>
    <row r="163" spans="1:13" ht="23.95" customHeight="1" outlineLevel="3" x14ac:dyDescent="0.3">
      <c r="A163" s="438" t="s">
        <v>582</v>
      </c>
      <c r="B163" s="439" t="s">
        <v>500</v>
      </c>
      <c r="C163" s="439" t="s">
        <v>583</v>
      </c>
      <c r="D163" s="539" t="s">
        <v>126</v>
      </c>
      <c r="E163" s="539" t="s">
        <v>6</v>
      </c>
      <c r="F163" s="540">
        <v>1465098.76</v>
      </c>
      <c r="G163" s="465">
        <f t="shared" si="24"/>
        <v>1626656</v>
      </c>
      <c r="H163" s="440">
        <f t="shared" si="24"/>
        <v>1189929.46</v>
      </c>
      <c r="I163" s="440">
        <f t="shared" si="24"/>
        <v>1700240</v>
      </c>
      <c r="J163" s="465">
        <f t="shared" si="24"/>
        <v>1951380</v>
      </c>
      <c r="K163" s="465">
        <f t="shared" si="24"/>
        <v>1951380</v>
      </c>
      <c r="L163" s="436">
        <f t="shared" si="21"/>
        <v>0</v>
      </c>
      <c r="M163" s="498">
        <f t="shared" si="22"/>
        <v>119.96267188637303</v>
      </c>
    </row>
    <row r="164" spans="1:13" ht="34" outlineLevel="3" x14ac:dyDescent="0.3">
      <c r="A164" s="438" t="s">
        <v>132</v>
      </c>
      <c r="B164" s="439" t="s">
        <v>500</v>
      </c>
      <c r="C164" s="439" t="s">
        <v>583</v>
      </c>
      <c r="D164" s="539" t="s">
        <v>127</v>
      </c>
      <c r="E164" s="539" t="s">
        <v>6</v>
      </c>
      <c r="F164" s="540">
        <v>1465098.76</v>
      </c>
      <c r="G164" s="465">
        <f>G165+G169</f>
        <v>1626656</v>
      </c>
      <c r="H164" s="440">
        <f>H165+H169</f>
        <v>1189929.46</v>
      </c>
      <c r="I164" s="440">
        <f>I165+I169</f>
        <v>1700240</v>
      </c>
      <c r="J164" s="465">
        <f>J165+J169</f>
        <v>1951380</v>
      </c>
      <c r="K164" s="465">
        <f>K165+K169</f>
        <v>1951380</v>
      </c>
      <c r="L164" s="436">
        <f t="shared" si="21"/>
        <v>0</v>
      </c>
      <c r="M164" s="498">
        <f t="shared" si="22"/>
        <v>119.96267188637303</v>
      </c>
    </row>
    <row r="165" spans="1:13" ht="19.55" customHeight="1" outlineLevel="3" x14ac:dyDescent="0.3">
      <c r="A165" s="438" t="s">
        <v>277</v>
      </c>
      <c r="B165" s="439" t="s">
        <v>500</v>
      </c>
      <c r="C165" s="439" t="s">
        <v>583</v>
      </c>
      <c r="D165" s="539" t="s">
        <v>276</v>
      </c>
      <c r="E165" s="539" t="s">
        <v>6</v>
      </c>
      <c r="F165" s="540">
        <v>1334332</v>
      </c>
      <c r="G165" s="465">
        <f t="shared" si="24"/>
        <v>1383656</v>
      </c>
      <c r="H165" s="440">
        <f t="shared" si="24"/>
        <v>968820.64</v>
      </c>
      <c r="I165" s="440">
        <f t="shared" si="24"/>
        <v>1430240</v>
      </c>
      <c r="J165" s="465">
        <f t="shared" si="24"/>
        <v>1681380</v>
      </c>
      <c r="K165" s="465">
        <f t="shared" si="24"/>
        <v>1681380</v>
      </c>
      <c r="L165" s="436">
        <f t="shared" si="21"/>
        <v>0</v>
      </c>
      <c r="M165" s="498">
        <f t="shared" si="22"/>
        <v>121.51719791624508</v>
      </c>
    </row>
    <row r="166" spans="1:13" ht="19.55" customHeight="1" outlineLevel="3" x14ac:dyDescent="0.3">
      <c r="A166" s="450" t="s">
        <v>584</v>
      </c>
      <c r="B166" s="439" t="s">
        <v>500</v>
      </c>
      <c r="C166" s="439" t="s">
        <v>583</v>
      </c>
      <c r="D166" s="539" t="s">
        <v>585</v>
      </c>
      <c r="E166" s="539" t="s">
        <v>6</v>
      </c>
      <c r="F166" s="540">
        <v>1334332</v>
      </c>
      <c r="G166" s="465">
        <f t="shared" si="24"/>
        <v>1383656</v>
      </c>
      <c r="H166" s="440">
        <f t="shared" si="24"/>
        <v>968820.64</v>
      </c>
      <c r="I166" s="440">
        <f t="shared" si="24"/>
        <v>1430240</v>
      </c>
      <c r="J166" s="513">
        <f t="shared" si="24"/>
        <v>1681380</v>
      </c>
      <c r="K166" s="513">
        <f t="shared" si="24"/>
        <v>1681380</v>
      </c>
      <c r="L166" s="436">
        <f t="shared" si="21"/>
        <v>0</v>
      </c>
      <c r="M166" s="498">
        <f t="shared" si="22"/>
        <v>121.51719791624508</v>
      </c>
    </row>
    <row r="167" spans="1:13" ht="84.9" outlineLevel="3" x14ac:dyDescent="0.3">
      <c r="A167" s="438" t="s">
        <v>11</v>
      </c>
      <c r="B167" s="439" t="s">
        <v>500</v>
      </c>
      <c r="C167" s="439" t="s">
        <v>583</v>
      </c>
      <c r="D167" s="539" t="s">
        <v>585</v>
      </c>
      <c r="E167" s="539" t="s">
        <v>12</v>
      </c>
      <c r="F167" s="540">
        <v>1334332</v>
      </c>
      <c r="G167" s="465">
        <f t="shared" si="24"/>
        <v>1383656</v>
      </c>
      <c r="H167" s="370">
        <v>968820.64</v>
      </c>
      <c r="I167" s="440">
        <f>I168</f>
        <v>1430240</v>
      </c>
      <c r="J167" s="465">
        <f>J168</f>
        <v>1681380</v>
      </c>
      <c r="K167" s="465">
        <f>K168</f>
        <v>1681380</v>
      </c>
      <c r="L167" s="436">
        <f t="shared" si="21"/>
        <v>0</v>
      </c>
      <c r="M167" s="498">
        <f t="shared" si="22"/>
        <v>121.51719791624508</v>
      </c>
    </row>
    <row r="168" spans="1:13" ht="34" outlineLevel="3" x14ac:dyDescent="0.3">
      <c r="A168" s="438" t="s">
        <v>13</v>
      </c>
      <c r="B168" s="439" t="s">
        <v>500</v>
      </c>
      <c r="C168" s="439" t="s">
        <v>583</v>
      </c>
      <c r="D168" s="539" t="s">
        <v>585</v>
      </c>
      <c r="E168" s="539" t="s">
        <v>14</v>
      </c>
      <c r="F168" s="540">
        <v>1334332</v>
      </c>
      <c r="G168" s="465">
        <v>1383656</v>
      </c>
      <c r="H168" s="370">
        <v>968820.64</v>
      </c>
      <c r="I168" s="440">
        <f>'[2]прил 12'!F163</f>
        <v>1430240</v>
      </c>
      <c r="J168" s="510">
        <v>1681380</v>
      </c>
      <c r="K168" s="510">
        <v>1681380</v>
      </c>
      <c r="L168" s="436">
        <f t="shared" si="21"/>
        <v>0</v>
      </c>
      <c r="M168" s="498">
        <f t="shared" si="22"/>
        <v>121.51719791624508</v>
      </c>
    </row>
    <row r="169" spans="1:13" ht="50.95" outlineLevel="3" x14ac:dyDescent="0.3">
      <c r="A169" s="450" t="s">
        <v>723</v>
      </c>
      <c r="B169" s="439" t="s">
        <v>500</v>
      </c>
      <c r="C169" s="439" t="s">
        <v>583</v>
      </c>
      <c r="D169" s="539" t="s">
        <v>728</v>
      </c>
      <c r="E169" s="539" t="s">
        <v>6</v>
      </c>
      <c r="F169" s="540">
        <v>130766.76</v>
      </c>
      <c r="G169" s="465">
        <f t="shared" ref="G169:K170" si="25">G170</f>
        <v>243000</v>
      </c>
      <c r="H169" s="440">
        <f t="shared" si="25"/>
        <v>221108.82</v>
      </c>
      <c r="I169" s="440">
        <f t="shared" si="25"/>
        <v>270000</v>
      </c>
      <c r="J169" s="465">
        <f t="shared" si="25"/>
        <v>270000</v>
      </c>
      <c r="K169" s="465">
        <f t="shared" si="25"/>
        <v>270000</v>
      </c>
      <c r="L169" s="436">
        <f t="shared" si="21"/>
        <v>0</v>
      </c>
      <c r="M169" s="498">
        <f t="shared" si="22"/>
        <v>111.11111111111111</v>
      </c>
    </row>
    <row r="170" spans="1:13" ht="84.9" outlineLevel="3" x14ac:dyDescent="0.3">
      <c r="A170" s="438" t="s">
        <v>11</v>
      </c>
      <c r="B170" s="439" t="s">
        <v>500</v>
      </c>
      <c r="C170" s="439" t="s">
        <v>583</v>
      </c>
      <c r="D170" s="539" t="s">
        <v>728</v>
      </c>
      <c r="E170" s="539" t="s">
        <v>12</v>
      </c>
      <c r="F170" s="540">
        <v>130766.76</v>
      </c>
      <c r="G170" s="465">
        <f t="shared" si="25"/>
        <v>243000</v>
      </c>
      <c r="H170" s="370">
        <v>221108.82</v>
      </c>
      <c r="I170" s="440">
        <f t="shared" si="25"/>
        <v>270000</v>
      </c>
      <c r="J170" s="465">
        <f t="shared" si="25"/>
        <v>270000</v>
      </c>
      <c r="K170" s="465">
        <f t="shared" si="25"/>
        <v>270000</v>
      </c>
      <c r="L170" s="436">
        <f t="shared" si="21"/>
        <v>0</v>
      </c>
      <c r="M170" s="498">
        <f t="shared" si="22"/>
        <v>111.11111111111111</v>
      </c>
    </row>
    <row r="171" spans="1:13" ht="34" outlineLevel="3" x14ac:dyDescent="0.3">
      <c r="A171" s="438" t="s">
        <v>13</v>
      </c>
      <c r="B171" s="439" t="s">
        <v>500</v>
      </c>
      <c r="C171" s="439" t="s">
        <v>583</v>
      </c>
      <c r="D171" s="539" t="s">
        <v>728</v>
      </c>
      <c r="E171" s="539" t="s">
        <v>14</v>
      </c>
      <c r="F171" s="540">
        <v>130766.76</v>
      </c>
      <c r="G171" s="465">
        <f>[2]потребность!I166</f>
        <v>243000</v>
      </c>
      <c r="H171" s="370">
        <v>221108.82</v>
      </c>
      <c r="I171" s="440">
        <f>'[2]прил 12'!F166</f>
        <v>270000</v>
      </c>
      <c r="J171" s="466">
        <v>270000</v>
      </c>
      <c r="K171" s="466">
        <v>270000</v>
      </c>
      <c r="L171" s="436">
        <f t="shared" si="21"/>
        <v>0</v>
      </c>
      <c r="M171" s="498">
        <f t="shared" si="22"/>
        <v>111.11111111111111</v>
      </c>
    </row>
    <row r="172" spans="1:13" ht="34" outlineLevel="3" x14ac:dyDescent="0.3">
      <c r="A172" s="444" t="s">
        <v>41</v>
      </c>
      <c r="B172" s="445" t="s">
        <v>500</v>
      </c>
      <c r="C172" s="445" t="s">
        <v>42</v>
      </c>
      <c r="D172" s="541" t="s">
        <v>126</v>
      </c>
      <c r="E172" s="541" t="s">
        <v>6</v>
      </c>
      <c r="F172" s="540">
        <v>11670348.939999999</v>
      </c>
      <c r="G172" s="508">
        <f>G173+G178</f>
        <v>991747.04</v>
      </c>
      <c r="H172" s="446">
        <f>H173+H178</f>
        <v>380730.4</v>
      </c>
      <c r="I172" s="446">
        <f>I173+I178</f>
        <v>400000</v>
      </c>
      <c r="J172" s="508">
        <f>J173+J178</f>
        <v>1805000</v>
      </c>
      <c r="K172" s="508">
        <f>K173+K178</f>
        <v>805000</v>
      </c>
      <c r="L172" s="436">
        <f t="shared" si="21"/>
        <v>-1000000</v>
      </c>
      <c r="M172" s="498">
        <f t="shared" si="22"/>
        <v>182.00205568549012</v>
      </c>
    </row>
    <row r="173" spans="1:13" ht="50.95" outlineLevel="3" x14ac:dyDescent="0.3">
      <c r="A173" s="438" t="s">
        <v>43</v>
      </c>
      <c r="B173" s="439" t="s">
        <v>500</v>
      </c>
      <c r="C173" s="439" t="s">
        <v>44</v>
      </c>
      <c r="D173" s="539" t="s">
        <v>126</v>
      </c>
      <c r="E173" s="539" t="s">
        <v>6</v>
      </c>
      <c r="F173" s="540">
        <v>11433943.199999999</v>
      </c>
      <c r="G173" s="465">
        <f t="shared" ref="G173:K176" si="26">G174</f>
        <v>406747.04000000004</v>
      </c>
      <c r="H173" s="440">
        <f t="shared" si="26"/>
        <v>0</v>
      </c>
      <c r="I173" s="440">
        <f t="shared" si="26"/>
        <v>200000</v>
      </c>
      <c r="J173" s="465">
        <f t="shared" si="26"/>
        <v>200000</v>
      </c>
      <c r="K173" s="465">
        <f t="shared" si="26"/>
        <v>200000</v>
      </c>
      <c r="L173" s="436">
        <f t="shared" si="21"/>
        <v>0</v>
      </c>
      <c r="M173" s="498">
        <f t="shared" si="22"/>
        <v>49.170609821770306</v>
      </c>
    </row>
    <row r="174" spans="1:13" ht="34" outlineLevel="3" x14ac:dyDescent="0.3">
      <c r="A174" s="438" t="s">
        <v>132</v>
      </c>
      <c r="B174" s="439" t="s">
        <v>500</v>
      </c>
      <c r="C174" s="439" t="s">
        <v>44</v>
      </c>
      <c r="D174" s="539" t="s">
        <v>127</v>
      </c>
      <c r="E174" s="539" t="s">
        <v>6</v>
      </c>
      <c r="F174" s="540">
        <v>11433943.199999999</v>
      </c>
      <c r="G174" s="465">
        <f t="shared" si="26"/>
        <v>406747.04000000004</v>
      </c>
      <c r="H174" s="440">
        <f t="shared" si="26"/>
        <v>0</v>
      </c>
      <c r="I174" s="440">
        <f t="shared" si="26"/>
        <v>200000</v>
      </c>
      <c r="J174" s="465">
        <f t="shared" si="26"/>
        <v>200000</v>
      </c>
      <c r="K174" s="465">
        <f t="shared" si="26"/>
        <v>200000</v>
      </c>
      <c r="L174" s="436">
        <f t="shared" si="21"/>
        <v>0</v>
      </c>
      <c r="M174" s="498">
        <f t="shared" si="22"/>
        <v>49.170609821770306</v>
      </c>
    </row>
    <row r="175" spans="1:13" s="449" customFormat="1" ht="34" outlineLevel="1" x14ac:dyDescent="0.3">
      <c r="A175" s="438" t="s">
        <v>45</v>
      </c>
      <c r="B175" s="439" t="s">
        <v>500</v>
      </c>
      <c r="C175" s="439" t="s">
        <v>44</v>
      </c>
      <c r="D175" s="539" t="s">
        <v>133</v>
      </c>
      <c r="E175" s="539" t="s">
        <v>6</v>
      </c>
      <c r="F175" s="540">
        <v>11433943.199999999</v>
      </c>
      <c r="G175" s="465">
        <f t="shared" si="26"/>
        <v>406747.04000000004</v>
      </c>
      <c r="H175" s="440">
        <f t="shared" si="26"/>
        <v>0</v>
      </c>
      <c r="I175" s="440">
        <f t="shared" si="26"/>
        <v>200000</v>
      </c>
      <c r="J175" s="465">
        <f t="shared" si="26"/>
        <v>200000</v>
      </c>
      <c r="K175" s="465">
        <f t="shared" si="26"/>
        <v>200000</v>
      </c>
      <c r="L175" s="436">
        <f t="shared" si="21"/>
        <v>0</v>
      </c>
      <c r="M175" s="498">
        <f t="shared" si="22"/>
        <v>49.170609821770306</v>
      </c>
    </row>
    <row r="176" spans="1:13" ht="34" outlineLevel="2" x14ac:dyDescent="0.3">
      <c r="A176" s="438" t="s">
        <v>15</v>
      </c>
      <c r="B176" s="439" t="s">
        <v>500</v>
      </c>
      <c r="C176" s="439" t="s">
        <v>44</v>
      </c>
      <c r="D176" s="539" t="s">
        <v>133</v>
      </c>
      <c r="E176" s="539" t="s">
        <v>16</v>
      </c>
      <c r="F176" s="540">
        <v>11433943.199999999</v>
      </c>
      <c r="G176" s="465">
        <f t="shared" si="26"/>
        <v>406747.04000000004</v>
      </c>
      <c r="H176" s="440">
        <v>0</v>
      </c>
      <c r="I176" s="440">
        <f t="shared" si="26"/>
        <v>200000</v>
      </c>
      <c r="J176" s="465">
        <f t="shared" si="26"/>
        <v>200000</v>
      </c>
      <c r="K176" s="465">
        <f t="shared" si="26"/>
        <v>200000</v>
      </c>
      <c r="L176" s="436">
        <f t="shared" si="21"/>
        <v>0</v>
      </c>
      <c r="M176" s="498">
        <f t="shared" si="22"/>
        <v>49.170609821770306</v>
      </c>
    </row>
    <row r="177" spans="1:13" ht="34" outlineLevel="4" x14ac:dyDescent="0.3">
      <c r="A177" s="438" t="s">
        <v>17</v>
      </c>
      <c r="B177" s="439" t="s">
        <v>500</v>
      </c>
      <c r="C177" s="439" t="s">
        <v>44</v>
      </c>
      <c r="D177" s="539" t="s">
        <v>133</v>
      </c>
      <c r="E177" s="539" t="s">
        <v>18</v>
      </c>
      <c r="F177" s="540">
        <v>11433943.199999999</v>
      </c>
      <c r="G177" s="465">
        <f>[2]потребность!I172</f>
        <v>406747.04000000004</v>
      </c>
      <c r="H177" s="440">
        <v>0</v>
      </c>
      <c r="I177" s="440">
        <f>'[2]прил 12'!F172</f>
        <v>200000</v>
      </c>
      <c r="J177" s="466">
        <v>200000</v>
      </c>
      <c r="K177" s="466">
        <v>200000</v>
      </c>
      <c r="L177" s="436">
        <f t="shared" si="21"/>
        <v>0</v>
      </c>
      <c r="M177" s="498">
        <f t="shared" si="22"/>
        <v>49.170609821770306</v>
      </c>
    </row>
    <row r="178" spans="1:13" outlineLevel="5" x14ac:dyDescent="0.3">
      <c r="A178" s="438" t="s">
        <v>504</v>
      </c>
      <c r="B178" s="439" t="s">
        <v>500</v>
      </c>
      <c r="C178" s="439" t="s">
        <v>505</v>
      </c>
      <c r="D178" s="539" t="s">
        <v>126</v>
      </c>
      <c r="E178" s="539" t="s">
        <v>6</v>
      </c>
      <c r="F178" s="540">
        <v>236405.74</v>
      </c>
      <c r="G178" s="465">
        <f t="shared" ref="G178:K181" si="27">G179</f>
        <v>585000</v>
      </c>
      <c r="H178" s="440">
        <f t="shared" si="27"/>
        <v>380730.4</v>
      </c>
      <c r="I178" s="440">
        <f t="shared" si="27"/>
        <v>200000</v>
      </c>
      <c r="J178" s="465">
        <f t="shared" si="27"/>
        <v>1605000</v>
      </c>
      <c r="K178" s="465">
        <f t="shared" si="27"/>
        <v>605000</v>
      </c>
      <c r="L178" s="436">
        <f t="shared" si="21"/>
        <v>-1000000</v>
      </c>
      <c r="M178" s="498">
        <f t="shared" si="22"/>
        <v>274.35897435897436</v>
      </c>
    </row>
    <row r="179" spans="1:13" ht="34" outlineLevel="6" x14ac:dyDescent="0.3">
      <c r="A179" s="438" t="s">
        <v>132</v>
      </c>
      <c r="B179" s="439" t="s">
        <v>500</v>
      </c>
      <c r="C179" s="439" t="s">
        <v>505</v>
      </c>
      <c r="D179" s="539" t="s">
        <v>127</v>
      </c>
      <c r="E179" s="539" t="s">
        <v>6</v>
      </c>
      <c r="F179" s="540">
        <v>236405.74</v>
      </c>
      <c r="G179" s="465">
        <f t="shared" si="27"/>
        <v>585000</v>
      </c>
      <c r="H179" s="440">
        <f t="shared" si="27"/>
        <v>380730.4</v>
      </c>
      <c r="I179" s="440">
        <f t="shared" si="27"/>
        <v>200000</v>
      </c>
      <c r="J179" s="465">
        <f t="shared" si="27"/>
        <v>1605000</v>
      </c>
      <c r="K179" s="465">
        <f t="shared" si="27"/>
        <v>605000</v>
      </c>
      <c r="L179" s="436">
        <f t="shared" si="21"/>
        <v>-1000000</v>
      </c>
      <c r="M179" s="498">
        <f t="shared" si="22"/>
        <v>274.35897435897436</v>
      </c>
    </row>
    <row r="180" spans="1:13" ht="36" customHeight="1" outlineLevel="7" x14ac:dyDescent="0.3">
      <c r="A180" s="438" t="s">
        <v>506</v>
      </c>
      <c r="B180" s="439" t="s">
        <v>500</v>
      </c>
      <c r="C180" s="439" t="s">
        <v>505</v>
      </c>
      <c r="D180" s="539" t="s">
        <v>685</v>
      </c>
      <c r="E180" s="539" t="s">
        <v>6</v>
      </c>
      <c r="F180" s="540">
        <v>236405.74</v>
      </c>
      <c r="G180" s="465">
        <f t="shared" si="27"/>
        <v>585000</v>
      </c>
      <c r="H180" s="440">
        <f t="shared" si="27"/>
        <v>380730.4</v>
      </c>
      <c r="I180" s="440">
        <f t="shared" si="27"/>
        <v>200000</v>
      </c>
      <c r="J180" s="465">
        <f t="shared" si="27"/>
        <v>1605000</v>
      </c>
      <c r="K180" s="465">
        <f t="shared" si="27"/>
        <v>605000</v>
      </c>
      <c r="L180" s="436">
        <f t="shared" si="21"/>
        <v>-1000000</v>
      </c>
      <c r="M180" s="498">
        <f t="shared" si="22"/>
        <v>274.35897435897436</v>
      </c>
    </row>
    <row r="181" spans="1:13" ht="20.25" customHeight="1" outlineLevel="7" x14ac:dyDescent="0.3">
      <c r="A181" s="438" t="s">
        <v>15</v>
      </c>
      <c r="B181" s="439" t="s">
        <v>500</v>
      </c>
      <c r="C181" s="439" t="s">
        <v>505</v>
      </c>
      <c r="D181" s="539" t="s">
        <v>685</v>
      </c>
      <c r="E181" s="539" t="s">
        <v>16</v>
      </c>
      <c r="F181" s="540">
        <v>236405.74</v>
      </c>
      <c r="G181" s="465">
        <f t="shared" si="27"/>
        <v>585000</v>
      </c>
      <c r="H181" s="370">
        <v>380730.4</v>
      </c>
      <c r="I181" s="440">
        <f t="shared" si="27"/>
        <v>200000</v>
      </c>
      <c r="J181" s="465">
        <f t="shared" si="27"/>
        <v>1605000</v>
      </c>
      <c r="K181" s="465">
        <f t="shared" si="27"/>
        <v>605000</v>
      </c>
      <c r="L181" s="436">
        <f t="shared" si="21"/>
        <v>-1000000</v>
      </c>
      <c r="M181" s="498">
        <f t="shared" si="22"/>
        <v>274.35897435897436</v>
      </c>
    </row>
    <row r="182" spans="1:13" ht="34" outlineLevel="7" x14ac:dyDescent="0.3">
      <c r="A182" s="438" t="s">
        <v>17</v>
      </c>
      <c r="B182" s="439" t="s">
        <v>500</v>
      </c>
      <c r="C182" s="439" t="s">
        <v>505</v>
      </c>
      <c r="D182" s="539" t="s">
        <v>685</v>
      </c>
      <c r="E182" s="539" t="s">
        <v>18</v>
      </c>
      <c r="F182" s="540">
        <v>236405.74</v>
      </c>
      <c r="G182" s="465">
        <v>585000</v>
      </c>
      <c r="H182" s="370">
        <v>380730.4</v>
      </c>
      <c r="I182" s="440">
        <f>'[2]прил 12'!F177</f>
        <v>200000</v>
      </c>
      <c r="J182" s="466">
        <v>1605000</v>
      </c>
      <c r="K182" s="512">
        <f>J182-1000000</f>
        <v>605000</v>
      </c>
      <c r="L182" s="436">
        <f t="shared" si="21"/>
        <v>-1000000</v>
      </c>
      <c r="M182" s="498">
        <f t="shared" si="22"/>
        <v>274.35897435897436</v>
      </c>
    </row>
    <row r="183" spans="1:13" ht="20.25" customHeight="1" outlineLevel="7" x14ac:dyDescent="0.3">
      <c r="A183" s="444" t="s">
        <v>119</v>
      </c>
      <c r="B183" s="445" t="s">
        <v>500</v>
      </c>
      <c r="C183" s="445" t="s">
        <v>46</v>
      </c>
      <c r="D183" s="541" t="s">
        <v>126</v>
      </c>
      <c r="E183" s="541" t="s">
        <v>6</v>
      </c>
      <c r="F183" s="540">
        <v>46732107.039999999</v>
      </c>
      <c r="G183" s="508">
        <f>G201+G190+G213+G184</f>
        <v>29220883.93</v>
      </c>
      <c r="H183" s="446">
        <f>H201+H190+H213+H184</f>
        <v>12362901.439999999</v>
      </c>
      <c r="I183" s="446">
        <f>I201+I190+I213+I184</f>
        <v>14114514.17</v>
      </c>
      <c r="J183" s="508">
        <f>J201+J190+J213+J184</f>
        <v>16168133.93</v>
      </c>
      <c r="K183" s="508">
        <f>K201+K190+K213+K184</f>
        <v>15218133.93</v>
      </c>
      <c r="L183" s="436">
        <f t="shared" si="21"/>
        <v>-950000</v>
      </c>
      <c r="M183" s="498">
        <f t="shared" si="22"/>
        <v>55.330748955888964</v>
      </c>
    </row>
    <row r="184" spans="1:13" outlineLevel="7" x14ac:dyDescent="0.3">
      <c r="A184" s="438" t="s">
        <v>121</v>
      </c>
      <c r="B184" s="439" t="s">
        <v>500</v>
      </c>
      <c r="C184" s="439" t="s">
        <v>122</v>
      </c>
      <c r="D184" s="539" t="s">
        <v>126</v>
      </c>
      <c r="E184" s="539" t="s">
        <v>6</v>
      </c>
      <c r="F184" s="539" t="s">
        <v>976</v>
      </c>
      <c r="G184" s="465">
        <f>G185</f>
        <v>1122746.8500000001</v>
      </c>
      <c r="H184" s="440">
        <f>H185</f>
        <v>217322.94</v>
      </c>
      <c r="I184" s="440">
        <f>I185</f>
        <v>324127.09000000003</v>
      </c>
      <c r="J184" s="465">
        <f>J185</f>
        <v>1122746.8500000001</v>
      </c>
      <c r="K184" s="465">
        <f>K185</f>
        <v>1122746.8500000001</v>
      </c>
      <c r="L184" s="436">
        <f t="shared" si="21"/>
        <v>0</v>
      </c>
      <c r="M184" s="498">
        <f t="shared" si="22"/>
        <v>100</v>
      </c>
    </row>
    <row r="185" spans="1:13" ht="34" outlineLevel="7" x14ac:dyDescent="0.3">
      <c r="A185" s="444" t="s">
        <v>132</v>
      </c>
      <c r="B185" s="439" t="s">
        <v>500</v>
      </c>
      <c r="C185" s="445" t="s">
        <v>122</v>
      </c>
      <c r="D185" s="541" t="s">
        <v>127</v>
      </c>
      <c r="E185" s="541" t="s">
        <v>6</v>
      </c>
      <c r="F185" s="541" t="s">
        <v>976</v>
      </c>
      <c r="G185" s="508">
        <f>G187</f>
        <v>1122746.8500000001</v>
      </c>
      <c r="H185" s="446">
        <f>H187</f>
        <v>217322.94</v>
      </c>
      <c r="I185" s="446">
        <f>I187</f>
        <v>324127.09000000003</v>
      </c>
      <c r="J185" s="508">
        <f>J187</f>
        <v>1122746.8500000001</v>
      </c>
      <c r="K185" s="508">
        <f>K187</f>
        <v>1122746.8500000001</v>
      </c>
      <c r="L185" s="436">
        <f t="shared" si="21"/>
        <v>0</v>
      </c>
      <c r="M185" s="498">
        <f t="shared" si="22"/>
        <v>100</v>
      </c>
    </row>
    <row r="186" spans="1:13" s="449" customFormat="1" outlineLevel="7" x14ac:dyDescent="0.3">
      <c r="A186" s="438" t="s">
        <v>277</v>
      </c>
      <c r="B186" s="439" t="s">
        <v>500</v>
      </c>
      <c r="C186" s="439" t="s">
        <v>122</v>
      </c>
      <c r="D186" s="539" t="s">
        <v>276</v>
      </c>
      <c r="E186" s="539" t="s">
        <v>6</v>
      </c>
      <c r="F186" s="539" t="s">
        <v>976</v>
      </c>
      <c r="G186" s="465">
        <f t="shared" ref="G186:K188" si="28">G187</f>
        <v>1122746.8500000001</v>
      </c>
      <c r="H186" s="440">
        <f t="shared" si="28"/>
        <v>217322.94</v>
      </c>
      <c r="I186" s="440">
        <f t="shared" si="28"/>
        <v>324127.09000000003</v>
      </c>
      <c r="J186" s="465">
        <f t="shared" si="28"/>
        <v>1122746.8500000001</v>
      </c>
      <c r="K186" s="465">
        <f t="shared" si="28"/>
        <v>1122746.8500000001</v>
      </c>
      <c r="L186" s="436">
        <f t="shared" si="21"/>
        <v>0</v>
      </c>
      <c r="M186" s="498">
        <f t="shared" si="22"/>
        <v>100</v>
      </c>
    </row>
    <row r="187" spans="1:13" ht="84.75" customHeight="1" outlineLevel="7" x14ac:dyDescent="0.3">
      <c r="A187" s="450" t="s">
        <v>383</v>
      </c>
      <c r="B187" s="439" t="s">
        <v>500</v>
      </c>
      <c r="C187" s="439" t="s">
        <v>122</v>
      </c>
      <c r="D187" s="539" t="s">
        <v>286</v>
      </c>
      <c r="E187" s="539" t="s">
        <v>6</v>
      </c>
      <c r="F187" s="539" t="s">
        <v>976</v>
      </c>
      <c r="G187" s="465">
        <f t="shared" si="28"/>
        <v>1122746.8500000001</v>
      </c>
      <c r="H187" s="440">
        <f t="shared" si="28"/>
        <v>217322.94</v>
      </c>
      <c r="I187" s="440">
        <f t="shared" si="28"/>
        <v>324127.09000000003</v>
      </c>
      <c r="J187" s="513">
        <f t="shared" si="28"/>
        <v>1122746.8500000001</v>
      </c>
      <c r="K187" s="513">
        <f t="shared" si="28"/>
        <v>1122746.8500000001</v>
      </c>
      <c r="L187" s="436">
        <f t="shared" si="21"/>
        <v>0</v>
      </c>
      <c r="M187" s="498">
        <f t="shared" si="22"/>
        <v>100</v>
      </c>
    </row>
    <row r="188" spans="1:13" ht="34" outlineLevel="7" x14ac:dyDescent="0.3">
      <c r="A188" s="438" t="s">
        <v>15</v>
      </c>
      <c r="B188" s="439" t="s">
        <v>500</v>
      </c>
      <c r="C188" s="439" t="s">
        <v>122</v>
      </c>
      <c r="D188" s="539" t="s">
        <v>286</v>
      </c>
      <c r="E188" s="539" t="s">
        <v>16</v>
      </c>
      <c r="F188" s="539" t="s">
        <v>976</v>
      </c>
      <c r="G188" s="465">
        <f t="shared" si="28"/>
        <v>1122746.8500000001</v>
      </c>
      <c r="H188" s="371">
        <v>217322.94</v>
      </c>
      <c r="I188" s="440">
        <f t="shared" si="28"/>
        <v>324127.09000000003</v>
      </c>
      <c r="J188" s="465">
        <f t="shared" si="28"/>
        <v>1122746.8500000001</v>
      </c>
      <c r="K188" s="465">
        <f t="shared" si="28"/>
        <v>1122746.8500000001</v>
      </c>
      <c r="L188" s="436">
        <f t="shared" si="21"/>
        <v>0</v>
      </c>
      <c r="M188" s="498">
        <f t="shared" si="22"/>
        <v>100</v>
      </c>
    </row>
    <row r="189" spans="1:13" ht="34" outlineLevel="7" x14ac:dyDescent="0.3">
      <c r="A189" s="438" t="s">
        <v>17</v>
      </c>
      <c r="B189" s="439" t="s">
        <v>500</v>
      </c>
      <c r="C189" s="439" t="s">
        <v>122</v>
      </c>
      <c r="D189" s="539" t="s">
        <v>286</v>
      </c>
      <c r="E189" s="539" t="s">
        <v>18</v>
      </c>
      <c r="F189" s="539" t="s">
        <v>976</v>
      </c>
      <c r="G189" s="465">
        <f>324127.09+798619.76</f>
        <v>1122746.8500000001</v>
      </c>
      <c r="H189" s="371">
        <v>217322.94</v>
      </c>
      <c r="I189" s="440">
        <f>'[2]прил 12'!F184</f>
        <v>324127.09000000003</v>
      </c>
      <c r="J189" s="510">
        <v>1122746.8500000001</v>
      </c>
      <c r="K189" s="510">
        <v>1122746.8500000001</v>
      </c>
      <c r="L189" s="436">
        <f t="shared" si="21"/>
        <v>0</v>
      </c>
      <c r="M189" s="498">
        <f t="shared" si="22"/>
        <v>100</v>
      </c>
    </row>
    <row r="190" spans="1:13" outlineLevel="7" x14ac:dyDescent="0.3">
      <c r="A190" s="438" t="s">
        <v>290</v>
      </c>
      <c r="B190" s="439" t="s">
        <v>500</v>
      </c>
      <c r="C190" s="439" t="s">
        <v>291</v>
      </c>
      <c r="D190" s="539" t="s">
        <v>126</v>
      </c>
      <c r="E190" s="539" t="s">
        <v>6</v>
      </c>
      <c r="F190" s="539"/>
      <c r="G190" s="465">
        <f>G191+G198</f>
        <v>103387.08</v>
      </c>
      <c r="H190" s="440">
        <f>H191+H198</f>
        <v>0</v>
      </c>
      <c r="I190" s="440">
        <f>I191+I198</f>
        <v>103387.08</v>
      </c>
      <c r="J190" s="465">
        <f>J191+J198</f>
        <v>103387.08</v>
      </c>
      <c r="K190" s="465">
        <f>K191+K198</f>
        <v>103387.08</v>
      </c>
      <c r="L190" s="436">
        <f t="shared" si="21"/>
        <v>0</v>
      </c>
      <c r="M190" s="498">
        <f t="shared" si="22"/>
        <v>100.00000000000001</v>
      </c>
    </row>
    <row r="191" spans="1:13" ht="34" outlineLevel="7" x14ac:dyDescent="0.3">
      <c r="A191" s="438" t="s">
        <v>132</v>
      </c>
      <c r="B191" s="439" t="s">
        <v>500</v>
      </c>
      <c r="C191" s="439" t="s">
        <v>291</v>
      </c>
      <c r="D191" s="539" t="s">
        <v>127</v>
      </c>
      <c r="E191" s="539" t="s">
        <v>6</v>
      </c>
      <c r="F191" s="539"/>
      <c r="G191" s="465">
        <f>G193</f>
        <v>3387.08</v>
      </c>
      <c r="H191" s="440">
        <f>H193</f>
        <v>0</v>
      </c>
      <c r="I191" s="440">
        <f t="shared" ref="I191:K194" si="29">I192</f>
        <v>3387.08</v>
      </c>
      <c r="J191" s="465">
        <f t="shared" si="29"/>
        <v>3387.08</v>
      </c>
      <c r="K191" s="465">
        <f t="shared" si="29"/>
        <v>3387.08</v>
      </c>
      <c r="L191" s="436">
        <f t="shared" si="21"/>
        <v>0</v>
      </c>
      <c r="M191" s="498">
        <f t="shared" si="22"/>
        <v>99.999999999999986</v>
      </c>
    </row>
    <row r="192" spans="1:13" ht="20.25" customHeight="1" outlineLevel="7" x14ac:dyDescent="0.3">
      <c r="A192" s="438" t="s">
        <v>277</v>
      </c>
      <c r="B192" s="439" t="s">
        <v>500</v>
      </c>
      <c r="C192" s="439" t="s">
        <v>291</v>
      </c>
      <c r="D192" s="539" t="s">
        <v>276</v>
      </c>
      <c r="E192" s="539" t="s">
        <v>6</v>
      </c>
      <c r="F192" s="539"/>
      <c r="G192" s="465">
        <f>G193</f>
        <v>3387.08</v>
      </c>
      <c r="H192" s="440">
        <f>H193</f>
        <v>0</v>
      </c>
      <c r="I192" s="440">
        <f t="shared" si="29"/>
        <v>3387.08</v>
      </c>
      <c r="J192" s="465">
        <f t="shared" si="29"/>
        <v>3387.08</v>
      </c>
      <c r="K192" s="465">
        <f t="shared" si="29"/>
        <v>3387.08</v>
      </c>
      <c r="L192" s="436">
        <f t="shared" si="21"/>
        <v>0</v>
      </c>
      <c r="M192" s="498">
        <f t="shared" si="22"/>
        <v>99.999999999999986</v>
      </c>
    </row>
    <row r="193" spans="1:13" ht="118.9" outlineLevel="7" x14ac:dyDescent="0.3">
      <c r="A193" s="393" t="s">
        <v>385</v>
      </c>
      <c r="B193" s="439" t="s">
        <v>500</v>
      </c>
      <c r="C193" s="439" t="s">
        <v>291</v>
      </c>
      <c r="D193" s="539" t="s">
        <v>384</v>
      </c>
      <c r="E193" s="539" t="s">
        <v>6</v>
      </c>
      <c r="F193" s="539"/>
      <c r="G193" s="465">
        <f>G194</f>
        <v>3387.08</v>
      </c>
      <c r="H193" s="440">
        <f>H194</f>
        <v>0</v>
      </c>
      <c r="I193" s="440">
        <f t="shared" si="29"/>
        <v>3387.08</v>
      </c>
      <c r="J193" s="513">
        <f t="shared" si="29"/>
        <v>3387.08</v>
      </c>
      <c r="K193" s="513">
        <f t="shared" si="29"/>
        <v>3387.08</v>
      </c>
      <c r="L193" s="436">
        <f t="shared" si="21"/>
        <v>0</v>
      </c>
      <c r="M193" s="498">
        <f t="shared" si="22"/>
        <v>99.999999999999986</v>
      </c>
    </row>
    <row r="194" spans="1:13" ht="34" outlineLevel="7" x14ac:dyDescent="0.3">
      <c r="A194" s="438" t="s">
        <v>15</v>
      </c>
      <c r="B194" s="439" t="s">
        <v>500</v>
      </c>
      <c r="C194" s="439" t="s">
        <v>291</v>
      </c>
      <c r="D194" s="539" t="s">
        <v>384</v>
      </c>
      <c r="E194" s="539" t="s">
        <v>16</v>
      </c>
      <c r="F194" s="539"/>
      <c r="G194" s="465">
        <f>G195</f>
        <v>3387.08</v>
      </c>
      <c r="H194" s="440">
        <v>0</v>
      </c>
      <c r="I194" s="440">
        <f t="shared" si="29"/>
        <v>3387.08</v>
      </c>
      <c r="J194" s="465">
        <f t="shared" si="29"/>
        <v>3387.08</v>
      </c>
      <c r="K194" s="465">
        <f t="shared" si="29"/>
        <v>3387.08</v>
      </c>
      <c r="L194" s="436">
        <f t="shared" si="21"/>
        <v>0</v>
      </c>
      <c r="M194" s="498">
        <f t="shared" si="22"/>
        <v>99.999999999999986</v>
      </c>
    </row>
    <row r="195" spans="1:13" s="449" customFormat="1" ht="34" outlineLevel="7" x14ac:dyDescent="0.3">
      <c r="A195" s="438" t="s">
        <v>17</v>
      </c>
      <c r="B195" s="439" t="s">
        <v>500</v>
      </c>
      <c r="C195" s="439" t="s">
        <v>291</v>
      </c>
      <c r="D195" s="539" t="s">
        <v>384</v>
      </c>
      <c r="E195" s="539" t="s">
        <v>18</v>
      </c>
      <c r="F195" s="539"/>
      <c r="G195" s="466">
        <v>3387.08</v>
      </c>
      <c r="H195" s="442">
        <v>0</v>
      </c>
      <c r="I195" s="442">
        <f>'[2]прил 12'!F190</f>
        <v>3387.08</v>
      </c>
      <c r="J195" s="514">
        <v>3387.08</v>
      </c>
      <c r="K195" s="514">
        <v>3387.08</v>
      </c>
      <c r="L195" s="436">
        <f t="shared" si="21"/>
        <v>0</v>
      </c>
      <c r="M195" s="498">
        <f t="shared" si="22"/>
        <v>99.999999999999986</v>
      </c>
    </row>
    <row r="196" spans="1:13" s="449" customFormat="1" ht="67.95" outlineLevel="7" x14ac:dyDescent="0.3">
      <c r="A196" s="451" t="s">
        <v>821</v>
      </c>
      <c r="B196" s="439" t="s">
        <v>500</v>
      </c>
      <c r="C196" s="439" t="s">
        <v>291</v>
      </c>
      <c r="D196" s="539" t="s">
        <v>320</v>
      </c>
      <c r="E196" s="539" t="s">
        <v>6</v>
      </c>
      <c r="F196" s="539"/>
      <c r="G196" s="466">
        <f t="shared" ref="G196:K199" si="30">G197</f>
        <v>100000</v>
      </c>
      <c r="H196" s="442">
        <f t="shared" si="30"/>
        <v>0</v>
      </c>
      <c r="I196" s="442">
        <f t="shared" si="30"/>
        <v>100000</v>
      </c>
      <c r="J196" s="466">
        <f t="shared" si="30"/>
        <v>100000</v>
      </c>
      <c r="K196" s="466">
        <f t="shared" si="30"/>
        <v>100000</v>
      </c>
      <c r="L196" s="436">
        <f t="shared" si="21"/>
        <v>0</v>
      </c>
      <c r="M196" s="498">
        <f t="shared" si="22"/>
        <v>100</v>
      </c>
    </row>
    <row r="197" spans="1:13" s="449" customFormat="1" ht="34" outlineLevel="7" x14ac:dyDescent="0.3">
      <c r="A197" s="455" t="s">
        <v>808</v>
      </c>
      <c r="B197" s="439" t="s">
        <v>500</v>
      </c>
      <c r="C197" s="439" t="s">
        <v>291</v>
      </c>
      <c r="D197" s="539" t="s">
        <v>809</v>
      </c>
      <c r="E197" s="539" t="s">
        <v>6</v>
      </c>
      <c r="F197" s="539"/>
      <c r="G197" s="466">
        <f t="shared" si="30"/>
        <v>100000</v>
      </c>
      <c r="H197" s="442">
        <f t="shared" si="30"/>
        <v>0</v>
      </c>
      <c r="I197" s="442">
        <f t="shared" si="30"/>
        <v>100000</v>
      </c>
      <c r="J197" s="466">
        <f t="shared" si="30"/>
        <v>100000</v>
      </c>
      <c r="K197" s="466">
        <f t="shared" si="30"/>
        <v>100000</v>
      </c>
      <c r="L197" s="436">
        <f t="shared" si="21"/>
        <v>0</v>
      </c>
      <c r="M197" s="498">
        <f t="shared" si="22"/>
        <v>100</v>
      </c>
    </row>
    <row r="198" spans="1:13" s="449" customFormat="1" ht="101.9" outlineLevel="7" x14ac:dyDescent="0.3">
      <c r="A198" s="450" t="s">
        <v>811</v>
      </c>
      <c r="B198" s="439" t="s">
        <v>500</v>
      </c>
      <c r="C198" s="439" t="s">
        <v>291</v>
      </c>
      <c r="D198" s="539" t="s">
        <v>810</v>
      </c>
      <c r="E198" s="539" t="s">
        <v>6</v>
      </c>
      <c r="F198" s="539"/>
      <c r="G198" s="466">
        <f t="shared" si="30"/>
        <v>100000</v>
      </c>
      <c r="H198" s="442">
        <f t="shared" si="30"/>
        <v>0</v>
      </c>
      <c r="I198" s="442">
        <f t="shared" si="30"/>
        <v>100000</v>
      </c>
      <c r="J198" s="466">
        <f t="shared" si="30"/>
        <v>100000</v>
      </c>
      <c r="K198" s="466">
        <f t="shared" si="30"/>
        <v>100000</v>
      </c>
      <c r="L198" s="436">
        <f t="shared" si="21"/>
        <v>0</v>
      </c>
      <c r="M198" s="498">
        <f t="shared" si="22"/>
        <v>100</v>
      </c>
    </row>
    <row r="199" spans="1:13" s="449" customFormat="1" ht="34" outlineLevel="7" x14ac:dyDescent="0.3">
      <c r="A199" s="455" t="s">
        <v>772</v>
      </c>
      <c r="B199" s="439" t="s">
        <v>500</v>
      </c>
      <c r="C199" s="439" t="s">
        <v>291</v>
      </c>
      <c r="D199" s="539" t="s">
        <v>810</v>
      </c>
      <c r="E199" s="539" t="s">
        <v>20</v>
      </c>
      <c r="F199" s="539"/>
      <c r="G199" s="466">
        <f t="shared" si="30"/>
        <v>100000</v>
      </c>
      <c r="H199" s="442">
        <v>0</v>
      </c>
      <c r="I199" s="442">
        <f t="shared" si="30"/>
        <v>100000</v>
      </c>
      <c r="J199" s="466">
        <f t="shared" si="30"/>
        <v>100000</v>
      </c>
      <c r="K199" s="466">
        <f t="shared" si="30"/>
        <v>100000</v>
      </c>
      <c r="L199" s="436">
        <f t="shared" si="21"/>
        <v>0</v>
      </c>
      <c r="M199" s="498">
        <f t="shared" si="22"/>
        <v>100</v>
      </c>
    </row>
    <row r="200" spans="1:13" s="449" customFormat="1" ht="50.95" outlineLevel="7" x14ac:dyDescent="0.3">
      <c r="A200" s="438" t="s">
        <v>47</v>
      </c>
      <c r="B200" s="439" t="s">
        <v>500</v>
      </c>
      <c r="C200" s="439" t="s">
        <v>291</v>
      </c>
      <c r="D200" s="539" t="s">
        <v>810</v>
      </c>
      <c r="E200" s="539" t="s">
        <v>48</v>
      </c>
      <c r="F200" s="539"/>
      <c r="G200" s="466">
        <v>100000</v>
      </c>
      <c r="H200" s="442">
        <v>0</v>
      </c>
      <c r="I200" s="442">
        <f>'[2]прил 12'!F195</f>
        <v>100000</v>
      </c>
      <c r="J200" s="507">
        <v>100000</v>
      </c>
      <c r="K200" s="507">
        <v>100000</v>
      </c>
      <c r="L200" s="436">
        <f t="shared" ref="L200:L263" si="31">K200-J200</f>
        <v>0</v>
      </c>
      <c r="M200" s="498">
        <f t="shared" ref="M200:M261" si="32">J200/G200%</f>
        <v>100</v>
      </c>
    </row>
    <row r="201" spans="1:13" ht="27.7" customHeight="1" outlineLevel="7" x14ac:dyDescent="0.3">
      <c r="A201" s="438" t="s">
        <v>49</v>
      </c>
      <c r="B201" s="439" t="s">
        <v>500</v>
      </c>
      <c r="C201" s="439" t="s">
        <v>50</v>
      </c>
      <c r="D201" s="539" t="s">
        <v>126</v>
      </c>
      <c r="E201" s="539" t="s">
        <v>6</v>
      </c>
      <c r="F201" s="540">
        <v>45977806.32</v>
      </c>
      <c r="G201" s="465">
        <f t="shared" ref="G201:K202" si="33">G202</f>
        <v>24051150</v>
      </c>
      <c r="H201" s="440">
        <f t="shared" si="33"/>
        <v>11934897.220000001</v>
      </c>
      <c r="I201" s="440">
        <f t="shared" si="33"/>
        <v>13157000</v>
      </c>
      <c r="J201" s="465">
        <f t="shared" si="33"/>
        <v>13057000</v>
      </c>
      <c r="K201" s="465">
        <f t="shared" si="33"/>
        <v>13057000</v>
      </c>
      <c r="L201" s="436">
        <f t="shared" si="31"/>
        <v>0</v>
      </c>
      <c r="M201" s="498">
        <f t="shared" si="32"/>
        <v>54.288464376963262</v>
      </c>
    </row>
    <row r="202" spans="1:13" ht="67.95" outlineLevel="7" x14ac:dyDescent="0.3">
      <c r="A202" s="444" t="s">
        <v>850</v>
      </c>
      <c r="B202" s="445" t="s">
        <v>500</v>
      </c>
      <c r="C202" s="445" t="s">
        <v>50</v>
      </c>
      <c r="D202" s="541" t="s">
        <v>335</v>
      </c>
      <c r="E202" s="541" t="s">
        <v>6</v>
      </c>
      <c r="F202" s="542">
        <v>45977806.32</v>
      </c>
      <c r="G202" s="508">
        <f t="shared" si="33"/>
        <v>24051150</v>
      </c>
      <c r="H202" s="446">
        <f t="shared" si="33"/>
        <v>11934897.220000001</v>
      </c>
      <c r="I202" s="446">
        <f t="shared" si="33"/>
        <v>13157000</v>
      </c>
      <c r="J202" s="508">
        <f t="shared" si="33"/>
        <v>13057000</v>
      </c>
      <c r="K202" s="508">
        <f t="shared" si="33"/>
        <v>13057000</v>
      </c>
      <c r="L202" s="436">
        <f t="shared" si="31"/>
        <v>0</v>
      </c>
      <c r="M202" s="498">
        <f t="shared" si="32"/>
        <v>54.288464376963262</v>
      </c>
    </row>
    <row r="203" spans="1:13" ht="41.45" customHeight="1" outlineLevel="7" x14ac:dyDescent="0.3">
      <c r="A203" s="438" t="s">
        <v>336</v>
      </c>
      <c r="B203" s="439" t="s">
        <v>500</v>
      </c>
      <c r="C203" s="439" t="s">
        <v>50</v>
      </c>
      <c r="D203" s="539" t="s">
        <v>337</v>
      </c>
      <c r="E203" s="539" t="s">
        <v>6</v>
      </c>
      <c r="F203" s="540">
        <v>45977806.32</v>
      </c>
      <c r="G203" s="465">
        <f>G204+G210</f>
        <v>24051150</v>
      </c>
      <c r="H203" s="440">
        <f>H204+H210</f>
        <v>11934897.220000001</v>
      </c>
      <c r="I203" s="440">
        <f>I204+I210</f>
        <v>13157000</v>
      </c>
      <c r="J203" s="465">
        <f>J204+J210</f>
        <v>13057000</v>
      </c>
      <c r="K203" s="465">
        <f>K204+K210</f>
        <v>13057000</v>
      </c>
      <c r="L203" s="436">
        <f t="shared" si="31"/>
        <v>0</v>
      </c>
      <c r="M203" s="498">
        <f t="shared" si="32"/>
        <v>54.288464376963262</v>
      </c>
    </row>
    <row r="204" spans="1:13" ht="67.95" outlineLevel="7" x14ac:dyDescent="0.3">
      <c r="A204" s="397" t="s">
        <v>822</v>
      </c>
      <c r="B204" s="439" t="s">
        <v>500</v>
      </c>
      <c r="C204" s="439" t="s">
        <v>50</v>
      </c>
      <c r="D204" s="539" t="s">
        <v>339</v>
      </c>
      <c r="E204" s="539" t="s">
        <v>6</v>
      </c>
      <c r="F204" s="540">
        <v>10511682.609999999</v>
      </c>
      <c r="G204" s="465">
        <f t="shared" ref="G204:K205" si="34">G205</f>
        <v>24051150</v>
      </c>
      <c r="H204" s="440">
        <f t="shared" si="34"/>
        <v>11934897.220000001</v>
      </c>
      <c r="I204" s="440">
        <f t="shared" si="34"/>
        <v>13057000</v>
      </c>
      <c r="J204" s="465">
        <f t="shared" si="34"/>
        <v>13057000</v>
      </c>
      <c r="K204" s="465">
        <f t="shared" si="34"/>
        <v>13057000</v>
      </c>
      <c r="L204" s="436">
        <f t="shared" si="31"/>
        <v>0</v>
      </c>
      <c r="M204" s="498">
        <f t="shared" si="32"/>
        <v>54.288464376963262</v>
      </c>
    </row>
    <row r="205" spans="1:13" s="449" customFormat="1" ht="34" outlineLevel="7" x14ac:dyDescent="0.3">
      <c r="A205" s="438" t="s">
        <v>15</v>
      </c>
      <c r="B205" s="439" t="s">
        <v>500</v>
      </c>
      <c r="C205" s="439" t="s">
        <v>50</v>
      </c>
      <c r="D205" s="539" t="s">
        <v>339</v>
      </c>
      <c r="E205" s="539" t="s">
        <v>16</v>
      </c>
      <c r="F205" s="540">
        <v>10511682.609999999</v>
      </c>
      <c r="G205" s="465">
        <f t="shared" si="34"/>
        <v>24051150</v>
      </c>
      <c r="H205" s="370">
        <v>11934897.220000001</v>
      </c>
      <c r="I205" s="440">
        <f t="shared" si="34"/>
        <v>13057000</v>
      </c>
      <c r="J205" s="465">
        <f t="shared" si="34"/>
        <v>13057000</v>
      </c>
      <c r="K205" s="465">
        <f t="shared" si="34"/>
        <v>13057000</v>
      </c>
      <c r="L205" s="436">
        <f t="shared" si="31"/>
        <v>0</v>
      </c>
      <c r="M205" s="498">
        <f t="shared" si="32"/>
        <v>54.288464376963262</v>
      </c>
    </row>
    <row r="206" spans="1:13" ht="44.5" customHeight="1" outlineLevel="7" x14ac:dyDescent="0.3">
      <c r="A206" s="438" t="s">
        <v>17</v>
      </c>
      <c r="B206" s="439" t="s">
        <v>500</v>
      </c>
      <c r="C206" s="439" t="s">
        <v>50</v>
      </c>
      <c r="D206" s="539" t="s">
        <v>339</v>
      </c>
      <c r="E206" s="539" t="s">
        <v>18</v>
      </c>
      <c r="F206" s="540">
        <v>10511682.609999999</v>
      </c>
      <c r="G206" s="465">
        <f>[2]потребность!L201-1500000-10690000</f>
        <v>24051150</v>
      </c>
      <c r="H206" s="370">
        <v>11934897.220000001</v>
      </c>
      <c r="I206" s="440">
        <f>'[2]прил 12'!F201</f>
        <v>13057000</v>
      </c>
      <c r="J206" s="466">
        <v>13057000</v>
      </c>
      <c r="K206" s="466">
        <v>13057000</v>
      </c>
      <c r="L206" s="436">
        <f t="shared" si="31"/>
        <v>0</v>
      </c>
      <c r="M206" s="498">
        <f t="shared" si="32"/>
        <v>54.288464376963262</v>
      </c>
    </row>
    <row r="207" spans="1:13" ht="57.25" customHeight="1" outlineLevel="7" x14ac:dyDescent="0.3">
      <c r="A207" s="438" t="s">
        <v>564</v>
      </c>
      <c r="B207" s="439" t="s">
        <v>500</v>
      </c>
      <c r="C207" s="439" t="s">
        <v>50</v>
      </c>
      <c r="D207" s="539" t="s">
        <v>586</v>
      </c>
      <c r="E207" s="539" t="s">
        <v>6</v>
      </c>
      <c r="F207" s="540">
        <v>34402140</v>
      </c>
      <c r="G207" s="465">
        <f>G208</f>
        <v>0</v>
      </c>
      <c r="H207" s="440">
        <f>H208</f>
        <v>0</v>
      </c>
      <c r="I207" s="440">
        <v>0</v>
      </c>
      <c r="J207" s="513">
        <f>J208</f>
        <v>0</v>
      </c>
      <c r="K207" s="513">
        <f>K208</f>
        <v>0</v>
      </c>
      <c r="L207" s="436">
        <f t="shared" si="31"/>
        <v>0</v>
      </c>
      <c r="M207" s="498"/>
    </row>
    <row r="208" spans="1:13" ht="34" outlineLevel="7" x14ac:dyDescent="0.3">
      <c r="A208" s="438" t="s">
        <v>15</v>
      </c>
      <c r="B208" s="439" t="s">
        <v>500</v>
      </c>
      <c r="C208" s="439" t="s">
        <v>50</v>
      </c>
      <c r="D208" s="539" t="s">
        <v>586</v>
      </c>
      <c r="E208" s="539" t="s">
        <v>16</v>
      </c>
      <c r="F208" s="540">
        <v>34402140</v>
      </c>
      <c r="G208" s="465">
        <f>G209</f>
        <v>0</v>
      </c>
      <c r="H208" s="440">
        <f>H209</f>
        <v>0</v>
      </c>
      <c r="I208" s="440">
        <v>0</v>
      </c>
      <c r="J208" s="465">
        <f>J209</f>
        <v>0</v>
      </c>
      <c r="K208" s="465">
        <f>K209</f>
        <v>0</v>
      </c>
      <c r="L208" s="436">
        <f t="shared" si="31"/>
        <v>0</v>
      </c>
      <c r="M208" s="498"/>
    </row>
    <row r="209" spans="1:13" ht="21.75" customHeight="1" outlineLevel="7" x14ac:dyDescent="0.3">
      <c r="A209" s="438" t="s">
        <v>17</v>
      </c>
      <c r="B209" s="439" t="s">
        <v>500</v>
      </c>
      <c r="C209" s="439" t="s">
        <v>50</v>
      </c>
      <c r="D209" s="539" t="s">
        <v>586</v>
      </c>
      <c r="E209" s="539" t="s">
        <v>18</v>
      </c>
      <c r="F209" s="540">
        <v>34402140</v>
      </c>
      <c r="G209" s="465">
        <v>0</v>
      </c>
      <c r="H209" s="440">
        <v>0</v>
      </c>
      <c r="I209" s="440">
        <v>0</v>
      </c>
      <c r="J209" s="510"/>
      <c r="K209" s="510"/>
      <c r="L209" s="436">
        <f t="shared" si="31"/>
        <v>0</v>
      </c>
      <c r="M209" s="498"/>
    </row>
    <row r="210" spans="1:13" ht="43.5" customHeight="1" outlineLevel="7" x14ac:dyDescent="0.3">
      <c r="A210" s="438" t="s">
        <v>280</v>
      </c>
      <c r="B210" s="439" t="s">
        <v>500</v>
      </c>
      <c r="C210" s="439" t="s">
        <v>50</v>
      </c>
      <c r="D210" s="539" t="s">
        <v>409</v>
      </c>
      <c r="E210" s="539" t="s">
        <v>6</v>
      </c>
      <c r="F210" s="540">
        <v>1063983.71</v>
      </c>
      <c r="G210" s="466">
        <f t="shared" ref="G210:K211" si="35">G211</f>
        <v>0</v>
      </c>
      <c r="H210" s="442">
        <f t="shared" si="35"/>
        <v>0</v>
      </c>
      <c r="I210" s="442">
        <f t="shared" si="35"/>
        <v>100000</v>
      </c>
      <c r="J210" s="466">
        <f t="shared" si="35"/>
        <v>0</v>
      </c>
      <c r="K210" s="466">
        <f t="shared" si="35"/>
        <v>0</v>
      </c>
      <c r="L210" s="436">
        <f t="shared" si="31"/>
        <v>0</v>
      </c>
      <c r="M210" s="498"/>
    </row>
    <row r="211" spans="1:13" ht="34" outlineLevel="7" x14ac:dyDescent="0.3">
      <c r="A211" s="438" t="s">
        <v>15</v>
      </c>
      <c r="B211" s="439" t="s">
        <v>500</v>
      </c>
      <c r="C211" s="439" t="s">
        <v>50</v>
      </c>
      <c r="D211" s="539" t="s">
        <v>409</v>
      </c>
      <c r="E211" s="539" t="s">
        <v>16</v>
      </c>
      <c r="F211" s="540">
        <v>1063983.71</v>
      </c>
      <c r="G211" s="466">
        <f t="shared" si="35"/>
        <v>0</v>
      </c>
      <c r="H211" s="442">
        <f t="shared" si="35"/>
        <v>0</v>
      </c>
      <c r="I211" s="442">
        <f t="shared" si="35"/>
        <v>100000</v>
      </c>
      <c r="J211" s="466">
        <f t="shared" si="35"/>
        <v>0</v>
      </c>
      <c r="K211" s="466">
        <f t="shared" si="35"/>
        <v>0</v>
      </c>
      <c r="L211" s="436">
        <f t="shared" si="31"/>
        <v>0</v>
      </c>
      <c r="M211" s="498"/>
    </row>
    <row r="212" spans="1:13" ht="34" outlineLevel="7" x14ac:dyDescent="0.3">
      <c r="A212" s="438" t="s">
        <v>17</v>
      </c>
      <c r="B212" s="439" t="s">
        <v>500</v>
      </c>
      <c r="C212" s="439" t="s">
        <v>50</v>
      </c>
      <c r="D212" s="539" t="s">
        <v>409</v>
      </c>
      <c r="E212" s="539" t="s">
        <v>18</v>
      </c>
      <c r="F212" s="540">
        <v>1063983.71</v>
      </c>
      <c r="G212" s="465">
        <f>[2]потребность!I207-310000</f>
        <v>0</v>
      </c>
      <c r="H212" s="440">
        <v>0</v>
      </c>
      <c r="I212" s="440">
        <f>'[2]прил 12'!F207</f>
        <v>100000</v>
      </c>
      <c r="J212" s="466">
        <v>0</v>
      </c>
      <c r="K212" s="466">
        <v>0</v>
      </c>
      <c r="L212" s="436">
        <f t="shared" si="31"/>
        <v>0</v>
      </c>
      <c r="M212" s="498"/>
    </row>
    <row r="213" spans="1:13" outlineLevel="7" x14ac:dyDescent="0.3">
      <c r="A213" s="438" t="s">
        <v>52</v>
      </c>
      <c r="B213" s="439" t="s">
        <v>500</v>
      </c>
      <c r="C213" s="439" t="s">
        <v>53</v>
      </c>
      <c r="D213" s="539" t="s">
        <v>126</v>
      </c>
      <c r="E213" s="539" t="s">
        <v>6</v>
      </c>
      <c r="F213" s="540">
        <v>754300.72</v>
      </c>
      <c r="G213" s="465">
        <f>G214+G219</f>
        <v>3943600</v>
      </c>
      <c r="H213" s="440">
        <f>H214+H219</f>
        <v>210681.28</v>
      </c>
      <c r="I213" s="440">
        <f>I214+I219</f>
        <v>530000</v>
      </c>
      <c r="J213" s="465">
        <f>J214+J219</f>
        <v>1885000</v>
      </c>
      <c r="K213" s="465">
        <f>K214+K219</f>
        <v>935000</v>
      </c>
      <c r="L213" s="436">
        <f t="shared" si="31"/>
        <v>-950000</v>
      </c>
      <c r="M213" s="498">
        <f t="shared" si="32"/>
        <v>47.798965412313621</v>
      </c>
    </row>
    <row r="214" spans="1:13" ht="39.25" customHeight="1" outlineLevel="7" x14ac:dyDescent="0.3">
      <c r="A214" s="444" t="s">
        <v>849</v>
      </c>
      <c r="B214" s="445" t="s">
        <v>500</v>
      </c>
      <c r="C214" s="445" t="s">
        <v>53</v>
      </c>
      <c r="D214" s="541" t="s">
        <v>412</v>
      </c>
      <c r="E214" s="541" t="s">
        <v>6</v>
      </c>
      <c r="F214" s="541" t="s">
        <v>976</v>
      </c>
      <c r="G214" s="465">
        <f t="shared" ref="G214:K217" si="36">G215</f>
        <v>100000</v>
      </c>
      <c r="H214" s="440">
        <f t="shared" si="36"/>
        <v>0</v>
      </c>
      <c r="I214" s="440">
        <f t="shared" si="36"/>
        <v>100000</v>
      </c>
      <c r="J214" s="465">
        <f t="shared" si="36"/>
        <v>100000</v>
      </c>
      <c r="K214" s="465">
        <f t="shared" si="36"/>
        <v>100000</v>
      </c>
      <c r="L214" s="436">
        <f t="shared" si="31"/>
        <v>0</v>
      </c>
      <c r="M214" s="498">
        <f t="shared" si="32"/>
        <v>100</v>
      </c>
    </row>
    <row r="215" spans="1:13" ht="34" outlineLevel="7" x14ac:dyDescent="0.3">
      <c r="A215" s="438" t="s">
        <v>780</v>
      </c>
      <c r="B215" s="439" t="s">
        <v>500</v>
      </c>
      <c r="C215" s="439" t="s">
        <v>53</v>
      </c>
      <c r="D215" s="539" t="s">
        <v>414</v>
      </c>
      <c r="E215" s="539" t="s">
        <v>6</v>
      </c>
      <c r="F215" s="539" t="s">
        <v>976</v>
      </c>
      <c r="G215" s="465">
        <f t="shared" si="36"/>
        <v>100000</v>
      </c>
      <c r="H215" s="440">
        <f t="shared" si="36"/>
        <v>0</v>
      </c>
      <c r="I215" s="440">
        <f t="shared" si="36"/>
        <v>100000</v>
      </c>
      <c r="J215" s="465">
        <f t="shared" si="36"/>
        <v>100000</v>
      </c>
      <c r="K215" s="465">
        <f t="shared" si="36"/>
        <v>100000</v>
      </c>
      <c r="L215" s="436">
        <f t="shared" si="31"/>
        <v>0</v>
      </c>
      <c r="M215" s="498">
        <f t="shared" si="32"/>
        <v>100</v>
      </c>
    </row>
    <row r="216" spans="1:13" ht="83.25" customHeight="1" outlineLevel="7" x14ac:dyDescent="0.3">
      <c r="A216" s="438" t="s">
        <v>781</v>
      </c>
      <c r="B216" s="439" t="s">
        <v>500</v>
      </c>
      <c r="C216" s="439" t="s">
        <v>53</v>
      </c>
      <c r="D216" s="539" t="s">
        <v>782</v>
      </c>
      <c r="E216" s="539" t="s">
        <v>6</v>
      </c>
      <c r="F216" s="539" t="s">
        <v>976</v>
      </c>
      <c r="G216" s="465">
        <f t="shared" si="36"/>
        <v>100000</v>
      </c>
      <c r="H216" s="440">
        <f t="shared" si="36"/>
        <v>0</v>
      </c>
      <c r="I216" s="440">
        <f t="shared" si="36"/>
        <v>100000</v>
      </c>
      <c r="J216" s="465">
        <f t="shared" si="36"/>
        <v>100000</v>
      </c>
      <c r="K216" s="465">
        <f t="shared" si="36"/>
        <v>100000</v>
      </c>
      <c r="L216" s="436">
        <f t="shared" si="31"/>
        <v>0</v>
      </c>
      <c r="M216" s="498">
        <f t="shared" si="32"/>
        <v>100</v>
      </c>
    </row>
    <row r="217" spans="1:13" outlineLevel="2" x14ac:dyDescent="0.3">
      <c r="A217" s="438" t="s">
        <v>19</v>
      </c>
      <c r="B217" s="439" t="s">
        <v>500</v>
      </c>
      <c r="C217" s="439" t="s">
        <v>53</v>
      </c>
      <c r="D217" s="539" t="s">
        <v>782</v>
      </c>
      <c r="E217" s="539" t="s">
        <v>20</v>
      </c>
      <c r="F217" s="539" t="s">
        <v>976</v>
      </c>
      <c r="G217" s="465">
        <f t="shared" si="36"/>
        <v>100000</v>
      </c>
      <c r="H217" s="440">
        <v>0</v>
      </c>
      <c r="I217" s="440">
        <f t="shared" si="36"/>
        <v>100000</v>
      </c>
      <c r="J217" s="465">
        <f t="shared" si="36"/>
        <v>100000</v>
      </c>
      <c r="K217" s="465">
        <f t="shared" si="36"/>
        <v>100000</v>
      </c>
      <c r="L217" s="436">
        <f t="shared" si="31"/>
        <v>0</v>
      </c>
      <c r="M217" s="498">
        <f t="shared" si="32"/>
        <v>100</v>
      </c>
    </row>
    <row r="218" spans="1:13" ht="50.95" outlineLevel="2" x14ac:dyDescent="0.3">
      <c r="A218" s="438" t="s">
        <v>47</v>
      </c>
      <c r="B218" s="439" t="s">
        <v>500</v>
      </c>
      <c r="C218" s="439" t="s">
        <v>53</v>
      </c>
      <c r="D218" s="539" t="s">
        <v>782</v>
      </c>
      <c r="E218" s="539" t="s">
        <v>48</v>
      </c>
      <c r="F218" s="539" t="s">
        <v>976</v>
      </c>
      <c r="G218" s="465">
        <v>100000</v>
      </c>
      <c r="H218" s="440">
        <v>0</v>
      </c>
      <c r="I218" s="440">
        <f>'[2]прил 12'!F213</f>
        <v>100000</v>
      </c>
      <c r="J218" s="466">
        <v>100000</v>
      </c>
      <c r="K218" s="466">
        <v>100000</v>
      </c>
      <c r="L218" s="436">
        <f t="shared" si="31"/>
        <v>0</v>
      </c>
      <c r="M218" s="498">
        <f t="shared" si="32"/>
        <v>100</v>
      </c>
    </row>
    <row r="219" spans="1:13" ht="60.8" customHeight="1" outlineLevel="2" x14ac:dyDescent="0.3">
      <c r="A219" s="444" t="s">
        <v>848</v>
      </c>
      <c r="B219" s="445" t="s">
        <v>500</v>
      </c>
      <c r="C219" s="445" t="s">
        <v>53</v>
      </c>
      <c r="D219" s="541" t="s">
        <v>340</v>
      </c>
      <c r="E219" s="541" t="s">
        <v>6</v>
      </c>
      <c r="F219" s="542">
        <v>464300.72</v>
      </c>
      <c r="G219" s="508">
        <f>G220+G224</f>
        <v>3843600</v>
      </c>
      <c r="H219" s="446">
        <f>H220+H224</f>
        <v>210681.28</v>
      </c>
      <c r="I219" s="446">
        <f>I220+I224</f>
        <v>430000</v>
      </c>
      <c r="J219" s="508">
        <f>J220+J224</f>
        <v>1785000</v>
      </c>
      <c r="K219" s="508">
        <f>K220+K224</f>
        <v>835000</v>
      </c>
      <c r="L219" s="436">
        <f t="shared" si="31"/>
        <v>-950000</v>
      </c>
      <c r="M219" s="498">
        <f t="shared" si="32"/>
        <v>46.440836715579145</v>
      </c>
    </row>
    <row r="220" spans="1:13" ht="34" outlineLevel="2" x14ac:dyDescent="0.3">
      <c r="A220" s="438" t="s">
        <v>386</v>
      </c>
      <c r="B220" s="439" t="s">
        <v>500</v>
      </c>
      <c r="C220" s="439" t="s">
        <v>53</v>
      </c>
      <c r="D220" s="539" t="s">
        <v>341</v>
      </c>
      <c r="E220" s="539" t="s">
        <v>6</v>
      </c>
      <c r="F220" s="540">
        <v>249600</v>
      </c>
      <c r="G220" s="466">
        <f t="shared" ref="G220:K222" si="37">G221</f>
        <v>3713600</v>
      </c>
      <c r="H220" s="442">
        <f t="shared" si="37"/>
        <v>160600</v>
      </c>
      <c r="I220" s="442">
        <f t="shared" si="37"/>
        <v>300000</v>
      </c>
      <c r="J220" s="466">
        <f t="shared" si="37"/>
        <v>235000</v>
      </c>
      <c r="K220" s="466">
        <f t="shared" si="37"/>
        <v>235000</v>
      </c>
      <c r="L220" s="436">
        <f t="shared" si="31"/>
        <v>0</v>
      </c>
      <c r="M220" s="498">
        <f t="shared" si="32"/>
        <v>6.3280913399396814</v>
      </c>
    </row>
    <row r="221" spans="1:13" ht="34" outlineLevel="2" x14ac:dyDescent="0.3">
      <c r="A221" s="438" t="s">
        <v>342</v>
      </c>
      <c r="B221" s="439" t="s">
        <v>500</v>
      </c>
      <c r="C221" s="439" t="s">
        <v>53</v>
      </c>
      <c r="D221" s="539" t="s">
        <v>343</v>
      </c>
      <c r="E221" s="539" t="s">
        <v>6</v>
      </c>
      <c r="F221" s="540">
        <v>249600</v>
      </c>
      <c r="G221" s="466">
        <f t="shared" si="37"/>
        <v>3713600</v>
      </c>
      <c r="H221" s="442">
        <f t="shared" si="37"/>
        <v>160600</v>
      </c>
      <c r="I221" s="442">
        <f t="shared" si="37"/>
        <v>300000</v>
      </c>
      <c r="J221" s="466">
        <f t="shared" si="37"/>
        <v>235000</v>
      </c>
      <c r="K221" s="466">
        <f t="shared" si="37"/>
        <v>235000</v>
      </c>
      <c r="L221" s="436">
        <f t="shared" si="31"/>
        <v>0</v>
      </c>
      <c r="M221" s="498">
        <f t="shared" si="32"/>
        <v>6.3280913399396814</v>
      </c>
    </row>
    <row r="222" spans="1:13" s="449" customFormat="1" ht="34" outlineLevel="3" x14ac:dyDescent="0.3">
      <c r="A222" s="438" t="s">
        <v>15</v>
      </c>
      <c r="B222" s="439" t="s">
        <v>500</v>
      </c>
      <c r="C222" s="439" t="s">
        <v>53</v>
      </c>
      <c r="D222" s="539" t="s">
        <v>343</v>
      </c>
      <c r="E222" s="539" t="s">
        <v>16</v>
      </c>
      <c r="F222" s="540">
        <v>249600</v>
      </c>
      <c r="G222" s="466">
        <f t="shared" si="37"/>
        <v>3713600</v>
      </c>
      <c r="H222" s="370">
        <v>160600</v>
      </c>
      <c r="I222" s="442">
        <f t="shared" si="37"/>
        <v>300000</v>
      </c>
      <c r="J222" s="466">
        <f t="shared" si="37"/>
        <v>235000</v>
      </c>
      <c r="K222" s="466">
        <f t="shared" si="37"/>
        <v>235000</v>
      </c>
      <c r="L222" s="436">
        <f t="shared" si="31"/>
        <v>0</v>
      </c>
      <c r="M222" s="498">
        <f t="shared" si="32"/>
        <v>6.3280913399396814</v>
      </c>
    </row>
    <row r="223" spans="1:13" ht="34" outlineLevel="3" x14ac:dyDescent="0.3">
      <c r="A223" s="438" t="s">
        <v>17</v>
      </c>
      <c r="B223" s="439" t="s">
        <v>500</v>
      </c>
      <c r="C223" s="439" t="s">
        <v>53</v>
      </c>
      <c r="D223" s="539" t="s">
        <v>343</v>
      </c>
      <c r="E223" s="539" t="s">
        <v>18</v>
      </c>
      <c r="F223" s="540">
        <v>249600</v>
      </c>
      <c r="G223" s="465">
        <f>[2]потребность!I222+3500000</f>
        <v>3713600</v>
      </c>
      <c r="H223" s="370">
        <v>160600</v>
      </c>
      <c r="I223" s="440">
        <f>'[2]прил 12'!F218</f>
        <v>300000</v>
      </c>
      <c r="J223" s="466">
        <v>235000</v>
      </c>
      <c r="K223" s="466">
        <v>235000</v>
      </c>
      <c r="L223" s="436">
        <f t="shared" si="31"/>
        <v>0</v>
      </c>
      <c r="M223" s="498">
        <f t="shared" si="32"/>
        <v>6.3280913399396814</v>
      </c>
    </row>
    <row r="224" spans="1:13" ht="34" outlineLevel="3" x14ac:dyDescent="0.3">
      <c r="A224" s="450" t="s">
        <v>388</v>
      </c>
      <c r="B224" s="439" t="s">
        <v>500</v>
      </c>
      <c r="C224" s="439" t="s">
        <v>53</v>
      </c>
      <c r="D224" s="539" t="s">
        <v>387</v>
      </c>
      <c r="E224" s="539" t="s">
        <v>6</v>
      </c>
      <c r="F224" s="540">
        <v>214700.72</v>
      </c>
      <c r="G224" s="465">
        <f t="shared" ref="G224:K226" si="38">G225</f>
        <v>130000</v>
      </c>
      <c r="H224" s="440">
        <f t="shared" si="38"/>
        <v>50081.279999999999</v>
      </c>
      <c r="I224" s="440">
        <f t="shared" si="38"/>
        <v>130000</v>
      </c>
      <c r="J224" s="465">
        <f t="shared" si="38"/>
        <v>1550000</v>
      </c>
      <c r="K224" s="465">
        <f t="shared" si="38"/>
        <v>600000</v>
      </c>
      <c r="L224" s="436">
        <f t="shared" si="31"/>
        <v>-950000</v>
      </c>
      <c r="M224" s="498">
        <f t="shared" si="32"/>
        <v>1192.3076923076924</v>
      </c>
    </row>
    <row r="225" spans="1:13" ht="34" outlineLevel="3" x14ac:dyDescent="0.3">
      <c r="A225" s="438" t="s">
        <v>344</v>
      </c>
      <c r="B225" s="439" t="s">
        <v>500</v>
      </c>
      <c r="C225" s="439" t="s">
        <v>53</v>
      </c>
      <c r="D225" s="539" t="s">
        <v>417</v>
      </c>
      <c r="E225" s="539" t="s">
        <v>6</v>
      </c>
      <c r="F225" s="540">
        <v>214700.72</v>
      </c>
      <c r="G225" s="465">
        <f t="shared" si="38"/>
        <v>130000</v>
      </c>
      <c r="H225" s="440">
        <f t="shared" si="38"/>
        <v>50081.279999999999</v>
      </c>
      <c r="I225" s="440">
        <f t="shared" si="38"/>
        <v>130000</v>
      </c>
      <c r="J225" s="465">
        <f t="shared" si="38"/>
        <v>1550000</v>
      </c>
      <c r="K225" s="465">
        <f t="shared" si="38"/>
        <v>600000</v>
      </c>
      <c r="L225" s="436">
        <f t="shared" si="31"/>
        <v>-950000</v>
      </c>
      <c r="M225" s="498">
        <f t="shared" si="32"/>
        <v>1192.3076923076924</v>
      </c>
    </row>
    <row r="226" spans="1:13" ht="18.7" customHeight="1" outlineLevel="3" x14ac:dyDescent="0.3">
      <c r="A226" s="438" t="s">
        <v>15</v>
      </c>
      <c r="B226" s="439" t="s">
        <v>500</v>
      </c>
      <c r="C226" s="439" t="s">
        <v>53</v>
      </c>
      <c r="D226" s="539" t="s">
        <v>417</v>
      </c>
      <c r="E226" s="539" t="s">
        <v>16</v>
      </c>
      <c r="F226" s="540">
        <v>214700.72</v>
      </c>
      <c r="G226" s="465">
        <f t="shared" si="38"/>
        <v>130000</v>
      </c>
      <c r="H226" s="370">
        <v>50081.279999999999</v>
      </c>
      <c r="I226" s="440">
        <f t="shared" si="38"/>
        <v>130000</v>
      </c>
      <c r="J226" s="465">
        <f t="shared" si="38"/>
        <v>1550000</v>
      </c>
      <c r="K226" s="465">
        <f t="shared" si="38"/>
        <v>600000</v>
      </c>
      <c r="L226" s="436">
        <f t="shared" si="31"/>
        <v>-950000</v>
      </c>
      <c r="M226" s="498">
        <f t="shared" si="32"/>
        <v>1192.3076923076924</v>
      </c>
    </row>
    <row r="227" spans="1:13" ht="19.55" customHeight="1" outlineLevel="3" x14ac:dyDescent="0.3">
      <c r="A227" s="438" t="s">
        <v>17</v>
      </c>
      <c r="B227" s="439" t="s">
        <v>500</v>
      </c>
      <c r="C227" s="439" t="s">
        <v>53</v>
      </c>
      <c r="D227" s="539" t="s">
        <v>417</v>
      </c>
      <c r="E227" s="539" t="s">
        <v>18</v>
      </c>
      <c r="F227" s="540">
        <v>214700.72</v>
      </c>
      <c r="G227" s="465">
        <v>130000</v>
      </c>
      <c r="H227" s="370">
        <v>50081.279999999999</v>
      </c>
      <c r="I227" s="440">
        <f>'[2]прил 12'!F222</f>
        <v>130000</v>
      </c>
      <c r="J227" s="466">
        <v>1550000</v>
      </c>
      <c r="K227" s="512">
        <f>1550000-950000</f>
        <v>600000</v>
      </c>
      <c r="L227" s="436">
        <f t="shared" si="31"/>
        <v>-950000</v>
      </c>
      <c r="M227" s="498">
        <f t="shared" si="32"/>
        <v>1192.3076923076924</v>
      </c>
    </row>
    <row r="228" spans="1:13" outlineLevel="5" x14ac:dyDescent="0.3">
      <c r="A228" s="444" t="s">
        <v>54</v>
      </c>
      <c r="B228" s="445" t="s">
        <v>500</v>
      </c>
      <c r="C228" s="445" t="s">
        <v>55</v>
      </c>
      <c r="D228" s="541" t="s">
        <v>126</v>
      </c>
      <c r="E228" s="541" t="s">
        <v>6</v>
      </c>
      <c r="F228" s="540">
        <v>188947675.87</v>
      </c>
      <c r="G228" s="515">
        <f>G229+G240+G272+G324</f>
        <v>126974379.52000001</v>
      </c>
      <c r="H228" s="456">
        <f>H229+H240+H272+H324</f>
        <v>91233080.129999995</v>
      </c>
      <c r="I228" s="456">
        <f>I229+I240+I272+I324</f>
        <v>48705734.209999993</v>
      </c>
      <c r="J228" s="515">
        <f>J229+J240+J272+J324</f>
        <v>62901864.480000004</v>
      </c>
      <c r="K228" s="515">
        <f>K229+K240+K272+K324</f>
        <v>61478008.659999996</v>
      </c>
      <c r="L228" s="436">
        <f t="shared" si="31"/>
        <v>-1423855.8200000077</v>
      </c>
      <c r="M228" s="498">
        <f t="shared" si="32"/>
        <v>49.539020956658582</v>
      </c>
    </row>
    <row r="229" spans="1:13" outlineLevel="6" x14ac:dyDescent="0.3">
      <c r="A229" s="438" t="s">
        <v>56</v>
      </c>
      <c r="B229" s="439" t="s">
        <v>500</v>
      </c>
      <c r="C229" s="439" t="s">
        <v>57</v>
      </c>
      <c r="D229" s="539" t="s">
        <v>126</v>
      </c>
      <c r="E229" s="539" t="s">
        <v>6</v>
      </c>
      <c r="F229" s="540">
        <v>3451807.53</v>
      </c>
      <c r="G229" s="465">
        <f>G230+G236</f>
        <v>4550000</v>
      </c>
      <c r="H229" s="440">
        <f>H230+H236</f>
        <v>3303727.39</v>
      </c>
      <c r="I229" s="440">
        <f>I230+I236</f>
        <v>2500000</v>
      </c>
      <c r="J229" s="465">
        <f>J230+J236</f>
        <v>2500000</v>
      </c>
      <c r="K229" s="465">
        <f>K230+K236</f>
        <v>2500000</v>
      </c>
      <c r="L229" s="436">
        <f t="shared" si="31"/>
        <v>0</v>
      </c>
      <c r="M229" s="498">
        <f t="shared" si="32"/>
        <v>54.945054945054942</v>
      </c>
    </row>
    <row r="230" spans="1:13" ht="61.5" customHeight="1" outlineLevel="7" x14ac:dyDescent="0.3">
      <c r="A230" s="444" t="s">
        <v>847</v>
      </c>
      <c r="B230" s="445" t="s">
        <v>500</v>
      </c>
      <c r="C230" s="445" t="s">
        <v>57</v>
      </c>
      <c r="D230" s="541" t="s">
        <v>331</v>
      </c>
      <c r="E230" s="541" t="s">
        <v>6</v>
      </c>
      <c r="F230" s="542">
        <v>3451807.53</v>
      </c>
      <c r="G230" s="508">
        <f t="shared" ref="G230:K233" si="39">G231</f>
        <v>4550000</v>
      </c>
      <c r="H230" s="446">
        <f t="shared" si="39"/>
        <v>3303727.39</v>
      </c>
      <c r="I230" s="446">
        <f t="shared" si="39"/>
        <v>2500000</v>
      </c>
      <c r="J230" s="508">
        <f t="shared" si="39"/>
        <v>2500000</v>
      </c>
      <c r="K230" s="508">
        <f t="shared" si="39"/>
        <v>2500000</v>
      </c>
      <c r="L230" s="436">
        <f t="shared" si="31"/>
        <v>0</v>
      </c>
      <c r="M230" s="498">
        <f t="shared" si="32"/>
        <v>54.945054945054942</v>
      </c>
    </row>
    <row r="231" spans="1:13" s="449" customFormat="1" ht="34" outlineLevel="1" x14ac:dyDescent="0.3">
      <c r="A231" s="438" t="s">
        <v>345</v>
      </c>
      <c r="B231" s="439" t="s">
        <v>500</v>
      </c>
      <c r="C231" s="439" t="s">
        <v>57</v>
      </c>
      <c r="D231" s="539" t="s">
        <v>332</v>
      </c>
      <c r="E231" s="539" t="s">
        <v>6</v>
      </c>
      <c r="F231" s="540">
        <v>3451807.53</v>
      </c>
      <c r="G231" s="465">
        <f t="shared" si="39"/>
        <v>4550000</v>
      </c>
      <c r="H231" s="440">
        <f t="shared" si="39"/>
        <v>3303727.39</v>
      </c>
      <c r="I231" s="440">
        <f t="shared" si="39"/>
        <v>2500000</v>
      </c>
      <c r="J231" s="465">
        <f t="shared" si="39"/>
        <v>2500000</v>
      </c>
      <c r="K231" s="465">
        <f t="shared" si="39"/>
        <v>2500000</v>
      </c>
      <c r="L231" s="436">
        <f t="shared" si="31"/>
        <v>0</v>
      </c>
      <c r="M231" s="498">
        <f t="shared" si="32"/>
        <v>54.945054945054942</v>
      </c>
    </row>
    <row r="232" spans="1:13" ht="34" outlineLevel="1" x14ac:dyDescent="0.3">
      <c r="A232" s="438" t="s">
        <v>346</v>
      </c>
      <c r="B232" s="439" t="s">
        <v>500</v>
      </c>
      <c r="C232" s="439" t="s">
        <v>57</v>
      </c>
      <c r="D232" s="539" t="s">
        <v>347</v>
      </c>
      <c r="E232" s="539" t="s">
        <v>6</v>
      </c>
      <c r="F232" s="540">
        <v>3451807.53</v>
      </c>
      <c r="G232" s="465">
        <f t="shared" si="39"/>
        <v>4550000</v>
      </c>
      <c r="H232" s="440">
        <f t="shared" si="39"/>
        <v>3303727.39</v>
      </c>
      <c r="I232" s="440">
        <f t="shared" si="39"/>
        <v>2500000</v>
      </c>
      <c r="J232" s="465">
        <f t="shared" si="39"/>
        <v>2500000</v>
      </c>
      <c r="K232" s="465">
        <f t="shared" si="39"/>
        <v>2500000</v>
      </c>
      <c r="L232" s="436">
        <f t="shared" si="31"/>
        <v>0</v>
      </c>
      <c r="M232" s="498">
        <f t="shared" si="32"/>
        <v>54.945054945054942</v>
      </c>
    </row>
    <row r="233" spans="1:13" s="449" customFormat="1" ht="34" outlineLevel="1" x14ac:dyDescent="0.3">
      <c r="A233" s="438" t="s">
        <v>15</v>
      </c>
      <c r="B233" s="439" t="s">
        <v>500</v>
      </c>
      <c r="C233" s="439" t="s">
        <v>57</v>
      </c>
      <c r="D233" s="539" t="s">
        <v>347</v>
      </c>
      <c r="E233" s="539" t="s">
        <v>16</v>
      </c>
      <c r="F233" s="540">
        <v>3451807.53</v>
      </c>
      <c r="G233" s="465">
        <f t="shared" si="39"/>
        <v>4550000</v>
      </c>
      <c r="H233" s="370">
        <v>3303727.39</v>
      </c>
      <c r="I233" s="440">
        <f t="shared" si="39"/>
        <v>2500000</v>
      </c>
      <c r="J233" s="465">
        <f t="shared" si="39"/>
        <v>2500000</v>
      </c>
      <c r="K233" s="465">
        <f t="shared" si="39"/>
        <v>2500000</v>
      </c>
      <c r="L233" s="436">
        <f t="shared" si="31"/>
        <v>0</v>
      </c>
      <c r="M233" s="498">
        <f t="shared" si="32"/>
        <v>54.945054945054942</v>
      </c>
    </row>
    <row r="234" spans="1:13" ht="36.700000000000003" customHeight="1" outlineLevel="1" x14ac:dyDescent="0.3">
      <c r="A234" s="438" t="s">
        <v>17</v>
      </c>
      <c r="B234" s="439" t="s">
        <v>500</v>
      </c>
      <c r="C234" s="439" t="s">
        <v>57</v>
      </c>
      <c r="D234" s="539" t="s">
        <v>347</v>
      </c>
      <c r="E234" s="539" t="s">
        <v>18</v>
      </c>
      <c r="F234" s="540">
        <v>3451807.53</v>
      </c>
      <c r="G234" s="466">
        <f>1500000+2800000+250000</f>
        <v>4550000</v>
      </c>
      <c r="H234" s="370">
        <v>3303727.39</v>
      </c>
      <c r="I234" s="442">
        <f>'[2]прил 12'!F229</f>
        <v>2500000</v>
      </c>
      <c r="J234" s="466">
        <v>2500000</v>
      </c>
      <c r="K234" s="512">
        <f>2500000</f>
        <v>2500000</v>
      </c>
      <c r="L234" s="436">
        <f t="shared" si="31"/>
        <v>0</v>
      </c>
      <c r="M234" s="498">
        <f t="shared" si="32"/>
        <v>54.945054945054942</v>
      </c>
    </row>
    <row r="235" spans="1:13" ht="34" outlineLevel="5" x14ac:dyDescent="0.3">
      <c r="A235" s="438" t="s">
        <v>132</v>
      </c>
      <c r="B235" s="439" t="s">
        <v>500</v>
      </c>
      <c r="C235" s="439" t="s">
        <v>57</v>
      </c>
      <c r="D235" s="539" t="s">
        <v>127</v>
      </c>
      <c r="E235" s="539" t="s">
        <v>6</v>
      </c>
      <c r="F235" s="539"/>
      <c r="G235" s="465">
        <f>G236</f>
        <v>0</v>
      </c>
      <c r="H235" s="441"/>
      <c r="I235" s="440"/>
      <c r="J235" s="466"/>
      <c r="K235" s="466"/>
      <c r="L235" s="436">
        <f t="shared" si="31"/>
        <v>0</v>
      </c>
      <c r="M235" s="498"/>
    </row>
    <row r="236" spans="1:13" outlineLevel="6" x14ac:dyDescent="0.3">
      <c r="A236" s="438" t="s">
        <v>277</v>
      </c>
      <c r="B236" s="439" t="s">
        <v>500</v>
      </c>
      <c r="C236" s="439" t="s">
        <v>57</v>
      </c>
      <c r="D236" s="539" t="s">
        <v>276</v>
      </c>
      <c r="E236" s="539" t="s">
        <v>6</v>
      </c>
      <c r="F236" s="539"/>
      <c r="G236" s="465">
        <f>G237</f>
        <v>0</v>
      </c>
      <c r="H236" s="441"/>
      <c r="I236" s="440"/>
      <c r="J236" s="466"/>
      <c r="K236" s="466"/>
      <c r="L236" s="436">
        <f t="shared" si="31"/>
        <v>0</v>
      </c>
      <c r="M236" s="498"/>
    </row>
    <row r="237" spans="1:13" ht="18" customHeight="1" outlineLevel="7" x14ac:dyDescent="0.3">
      <c r="A237" s="393" t="s">
        <v>381</v>
      </c>
      <c r="B237" s="439" t="s">
        <v>500</v>
      </c>
      <c r="C237" s="439" t="s">
        <v>57</v>
      </c>
      <c r="D237" s="539" t="s">
        <v>507</v>
      </c>
      <c r="E237" s="539" t="s">
        <v>6</v>
      </c>
      <c r="F237" s="539"/>
      <c r="G237" s="465">
        <f>G238</f>
        <v>0</v>
      </c>
      <c r="H237" s="441"/>
      <c r="I237" s="440"/>
      <c r="J237" s="466"/>
      <c r="K237" s="466"/>
      <c r="L237" s="436">
        <f t="shared" si="31"/>
        <v>0</v>
      </c>
      <c r="M237" s="498"/>
    </row>
    <row r="238" spans="1:13" ht="19.55" customHeight="1" outlineLevel="7" x14ac:dyDescent="0.3">
      <c r="A238" s="438" t="s">
        <v>15</v>
      </c>
      <c r="B238" s="439" t="s">
        <v>500</v>
      </c>
      <c r="C238" s="439" t="s">
        <v>57</v>
      </c>
      <c r="D238" s="539" t="s">
        <v>507</v>
      </c>
      <c r="E238" s="539" t="s">
        <v>16</v>
      </c>
      <c r="F238" s="539"/>
      <c r="G238" s="465">
        <f>G239</f>
        <v>0</v>
      </c>
      <c r="H238" s="441"/>
      <c r="I238" s="440"/>
      <c r="J238" s="466"/>
      <c r="K238" s="466"/>
      <c r="L238" s="436">
        <f t="shared" si="31"/>
        <v>0</v>
      </c>
      <c r="M238" s="498"/>
    </row>
    <row r="239" spans="1:13" ht="19.55" customHeight="1" outlineLevel="7" x14ac:dyDescent="0.3">
      <c r="A239" s="438" t="s">
        <v>17</v>
      </c>
      <c r="B239" s="439" t="s">
        <v>500</v>
      </c>
      <c r="C239" s="439" t="s">
        <v>57</v>
      </c>
      <c r="D239" s="539" t="s">
        <v>507</v>
      </c>
      <c r="E239" s="539" t="s">
        <v>18</v>
      </c>
      <c r="F239" s="539"/>
      <c r="G239" s="466">
        <v>0</v>
      </c>
      <c r="H239" s="443"/>
      <c r="I239" s="442"/>
      <c r="J239" s="466"/>
      <c r="K239" s="466"/>
      <c r="L239" s="436">
        <f t="shared" si="31"/>
        <v>0</v>
      </c>
      <c r="M239" s="498"/>
    </row>
    <row r="240" spans="1:13" ht="18.7" customHeight="1" outlineLevel="7" x14ac:dyDescent="0.3">
      <c r="A240" s="438" t="s">
        <v>58</v>
      </c>
      <c r="B240" s="439" t="s">
        <v>500</v>
      </c>
      <c r="C240" s="439" t="s">
        <v>59</v>
      </c>
      <c r="D240" s="539" t="s">
        <v>126</v>
      </c>
      <c r="E240" s="539" t="s">
        <v>6</v>
      </c>
      <c r="F240" s="540">
        <v>157175808.12</v>
      </c>
      <c r="G240" s="465">
        <f>G241</f>
        <v>59022607.700000003</v>
      </c>
      <c r="H240" s="440">
        <f>H241</f>
        <v>54637654.609999999</v>
      </c>
      <c r="I240" s="440">
        <f>I241</f>
        <v>15331657.939999999</v>
      </c>
      <c r="J240" s="465">
        <f>J241</f>
        <v>33060658</v>
      </c>
      <c r="K240" s="465">
        <f>K241</f>
        <v>33060658</v>
      </c>
      <c r="L240" s="436">
        <f t="shared" si="31"/>
        <v>0</v>
      </c>
      <c r="M240" s="498">
        <f t="shared" si="32"/>
        <v>56.013550211201526</v>
      </c>
    </row>
    <row r="241" spans="1:13" ht="50.95" outlineLevel="7" x14ac:dyDescent="0.3">
      <c r="A241" s="444" t="s">
        <v>845</v>
      </c>
      <c r="B241" s="445" t="s">
        <v>500</v>
      </c>
      <c r="C241" s="445" t="s">
        <v>59</v>
      </c>
      <c r="D241" s="541" t="s">
        <v>134</v>
      </c>
      <c r="E241" s="541" t="s">
        <v>6</v>
      </c>
      <c r="F241" s="540">
        <v>157175808.12</v>
      </c>
      <c r="G241" s="508">
        <f>G242+G269</f>
        <v>59022607.700000003</v>
      </c>
      <c r="H241" s="446">
        <f>H242+H269</f>
        <v>54637654.609999999</v>
      </c>
      <c r="I241" s="446">
        <f>I242+I269</f>
        <v>15331657.939999999</v>
      </c>
      <c r="J241" s="508">
        <f>J242+J269</f>
        <v>33060658</v>
      </c>
      <c r="K241" s="508">
        <f>K242+K269</f>
        <v>33060658</v>
      </c>
      <c r="L241" s="436">
        <f t="shared" si="31"/>
        <v>0</v>
      </c>
      <c r="M241" s="498">
        <f t="shared" si="32"/>
        <v>56.013550211201526</v>
      </c>
    </row>
    <row r="242" spans="1:13" ht="50.95" outlineLevel="7" x14ac:dyDescent="0.3">
      <c r="A242" s="438" t="s">
        <v>846</v>
      </c>
      <c r="B242" s="439" t="s">
        <v>500</v>
      </c>
      <c r="C242" s="439" t="s">
        <v>59</v>
      </c>
      <c r="D242" s="539" t="s">
        <v>350</v>
      </c>
      <c r="E242" s="539" t="s">
        <v>6</v>
      </c>
      <c r="F242" s="540">
        <v>39215522.909999996</v>
      </c>
      <c r="G242" s="465">
        <f>G243+G250+G253+G259+G256</f>
        <v>37683628</v>
      </c>
      <c r="H242" s="440">
        <f>H243+H250+H253+H259+H256</f>
        <v>33298674.91</v>
      </c>
      <c r="I242" s="440">
        <f>I243+I250+I253+I259+I256</f>
        <v>15331657.939999999</v>
      </c>
      <c r="J242" s="465">
        <f>J243+J250+J253+J259+J256</f>
        <v>33060658</v>
      </c>
      <c r="K242" s="465">
        <f>K243+K250+K253+K259+K256</f>
        <v>33060658</v>
      </c>
      <c r="L242" s="436">
        <f t="shared" si="31"/>
        <v>0</v>
      </c>
      <c r="M242" s="498">
        <f t="shared" si="32"/>
        <v>87.732152541151279</v>
      </c>
    </row>
    <row r="243" spans="1:13" ht="84.9" outlineLevel="1" x14ac:dyDescent="0.3">
      <c r="A243" s="438" t="s">
        <v>60</v>
      </c>
      <c r="B243" s="439" t="s">
        <v>500</v>
      </c>
      <c r="C243" s="439" t="s">
        <v>59</v>
      </c>
      <c r="D243" s="539" t="s">
        <v>351</v>
      </c>
      <c r="E243" s="539" t="s">
        <v>6</v>
      </c>
      <c r="F243" s="540">
        <v>18467321.710000001</v>
      </c>
      <c r="G243" s="465">
        <f>G244+G246+G248</f>
        <v>17205628</v>
      </c>
      <c r="H243" s="440">
        <f>H244+H246+H248</f>
        <v>11589414.24</v>
      </c>
      <c r="I243" s="440">
        <f>I244+I246+I248</f>
        <v>7110000</v>
      </c>
      <c r="J243" s="465">
        <f>J244+J246+J248</f>
        <v>12500000</v>
      </c>
      <c r="K243" s="465">
        <f>K244+K246+K248</f>
        <v>12500000</v>
      </c>
      <c r="L243" s="436">
        <f t="shared" si="31"/>
        <v>0</v>
      </c>
      <c r="M243" s="498">
        <f t="shared" si="32"/>
        <v>72.650646637251484</v>
      </c>
    </row>
    <row r="244" spans="1:13" s="449" customFormat="1" ht="34" outlineLevel="1" x14ac:dyDescent="0.3">
      <c r="A244" s="438" t="s">
        <v>15</v>
      </c>
      <c r="B244" s="439" t="s">
        <v>500</v>
      </c>
      <c r="C244" s="439" t="s">
        <v>59</v>
      </c>
      <c r="D244" s="539" t="s">
        <v>351</v>
      </c>
      <c r="E244" s="539" t="s">
        <v>16</v>
      </c>
      <c r="F244" s="540">
        <v>5173445.33</v>
      </c>
      <c r="G244" s="465">
        <f>G245</f>
        <v>6127679.0999999996</v>
      </c>
      <c r="H244" s="370">
        <v>749716.98</v>
      </c>
      <c r="I244" s="440">
        <f>I245</f>
        <v>2110000</v>
      </c>
      <c r="J244" s="465">
        <f>J245</f>
        <v>2500000</v>
      </c>
      <c r="K244" s="465">
        <f>K245</f>
        <v>2500000</v>
      </c>
      <c r="L244" s="436">
        <f t="shared" si="31"/>
        <v>0</v>
      </c>
      <c r="M244" s="498">
        <f t="shared" si="32"/>
        <v>40.798481108451</v>
      </c>
    </row>
    <row r="245" spans="1:13" ht="38.9" customHeight="1" outlineLevel="1" x14ac:dyDescent="0.3">
      <c r="A245" s="438" t="s">
        <v>17</v>
      </c>
      <c r="B245" s="439" t="s">
        <v>500</v>
      </c>
      <c r="C245" s="439" t="s">
        <v>59</v>
      </c>
      <c r="D245" s="539" t="s">
        <v>351</v>
      </c>
      <c r="E245" s="539" t="s">
        <v>18</v>
      </c>
      <c r="F245" s="540">
        <v>5173445.33</v>
      </c>
      <c r="G245" s="466">
        <f>[2]потребность!L244-482320.9+1700000</f>
        <v>6127679.0999999996</v>
      </c>
      <c r="H245" s="370">
        <v>749716.98</v>
      </c>
      <c r="I245" s="442">
        <f>'[2]прил 12'!F240</f>
        <v>2110000</v>
      </c>
      <c r="J245" s="466">
        <v>2500000</v>
      </c>
      <c r="K245" s="466">
        <v>2500000</v>
      </c>
      <c r="L245" s="436">
        <f t="shared" si="31"/>
        <v>0</v>
      </c>
      <c r="M245" s="498">
        <f t="shared" si="32"/>
        <v>40.798481108451</v>
      </c>
    </row>
    <row r="246" spans="1:13" ht="40.75" customHeight="1" outlineLevel="1" x14ac:dyDescent="0.3">
      <c r="A246" s="438" t="s">
        <v>264</v>
      </c>
      <c r="B246" s="439" t="s">
        <v>500</v>
      </c>
      <c r="C246" s="439" t="s">
        <v>59</v>
      </c>
      <c r="D246" s="539" t="s">
        <v>351</v>
      </c>
      <c r="E246" s="539" t="s">
        <v>265</v>
      </c>
      <c r="F246" s="540">
        <v>1362876.38</v>
      </c>
      <c r="G246" s="466">
        <f>G247</f>
        <v>1077948.8999999999</v>
      </c>
      <c r="H246" s="370">
        <v>839697.26</v>
      </c>
      <c r="I246" s="442">
        <f>I247</f>
        <v>0</v>
      </c>
      <c r="J246" s="466">
        <f>J247</f>
        <v>0</v>
      </c>
      <c r="K246" s="466">
        <f>K247</f>
        <v>0</v>
      </c>
      <c r="L246" s="436">
        <f t="shared" si="31"/>
        <v>0</v>
      </c>
      <c r="M246" s="498">
        <f t="shared" si="32"/>
        <v>0</v>
      </c>
    </row>
    <row r="247" spans="1:13" ht="41.3" customHeight="1" outlineLevel="1" x14ac:dyDescent="0.3">
      <c r="A247" s="438" t="s">
        <v>266</v>
      </c>
      <c r="B247" s="439" t="s">
        <v>500</v>
      </c>
      <c r="C247" s="439" t="s">
        <v>59</v>
      </c>
      <c r="D247" s="539" t="s">
        <v>351</v>
      </c>
      <c r="E247" s="539" t="s">
        <v>267</v>
      </c>
      <c r="F247" s="540">
        <v>1362876.38</v>
      </c>
      <c r="G247" s="466">
        <f>22900478.19-22304850.19+482320.9</f>
        <v>1077948.8999999999</v>
      </c>
      <c r="H247" s="370">
        <v>839697.26</v>
      </c>
      <c r="I247" s="442">
        <f>'[2]прил 12'!F242</f>
        <v>0</v>
      </c>
      <c r="J247" s="466">
        <f>'[2]прил 12'!G242</f>
        <v>0</v>
      </c>
      <c r="K247" s="466">
        <f>'[2]прил 12'!H242</f>
        <v>0</v>
      </c>
      <c r="L247" s="436">
        <f t="shared" si="31"/>
        <v>0</v>
      </c>
      <c r="M247" s="498">
        <f t="shared" si="32"/>
        <v>0</v>
      </c>
    </row>
    <row r="248" spans="1:13" ht="62.15" customHeight="1" outlineLevel="1" x14ac:dyDescent="0.3">
      <c r="A248" s="438" t="s">
        <v>19</v>
      </c>
      <c r="B248" s="439" t="s">
        <v>500</v>
      </c>
      <c r="C248" s="439" t="s">
        <v>59</v>
      </c>
      <c r="D248" s="539" t="s">
        <v>351</v>
      </c>
      <c r="E248" s="539" t="s">
        <v>20</v>
      </c>
      <c r="F248" s="540">
        <v>11931000</v>
      </c>
      <c r="G248" s="466">
        <f>G249</f>
        <v>10000000</v>
      </c>
      <c r="H248" s="370">
        <v>10000000</v>
      </c>
      <c r="I248" s="442">
        <f>I249</f>
        <v>5000000</v>
      </c>
      <c r="J248" s="466">
        <f>J249</f>
        <v>10000000</v>
      </c>
      <c r="K248" s="466">
        <f>K249</f>
        <v>10000000</v>
      </c>
      <c r="L248" s="436">
        <f t="shared" si="31"/>
        <v>0</v>
      </c>
      <c r="M248" s="498">
        <f t="shared" si="32"/>
        <v>100</v>
      </c>
    </row>
    <row r="249" spans="1:13" ht="69.45" customHeight="1" outlineLevel="1" x14ac:dyDescent="0.3">
      <c r="A249" s="438" t="s">
        <v>47</v>
      </c>
      <c r="B249" s="439" t="s">
        <v>500</v>
      </c>
      <c r="C249" s="439" t="s">
        <v>59</v>
      </c>
      <c r="D249" s="539" t="s">
        <v>351</v>
      </c>
      <c r="E249" s="539" t="s">
        <v>48</v>
      </c>
      <c r="F249" s="540">
        <v>11931000</v>
      </c>
      <c r="G249" s="466">
        <f>[2]потребность!L248</f>
        <v>10000000</v>
      </c>
      <c r="H249" s="370">
        <v>10000000</v>
      </c>
      <c r="I249" s="442">
        <f>'[2]прил 12'!F244</f>
        <v>5000000</v>
      </c>
      <c r="J249" s="466">
        <v>10000000</v>
      </c>
      <c r="K249" s="466">
        <v>10000000</v>
      </c>
      <c r="L249" s="436">
        <f t="shared" si="31"/>
        <v>0</v>
      </c>
      <c r="M249" s="498">
        <f t="shared" si="32"/>
        <v>100</v>
      </c>
    </row>
    <row r="250" spans="1:13" ht="21.25" customHeight="1" outlineLevel="1" x14ac:dyDescent="0.3">
      <c r="A250" s="438" t="s">
        <v>250</v>
      </c>
      <c r="B250" s="439" t="s">
        <v>500</v>
      </c>
      <c r="C250" s="439" t="s">
        <v>59</v>
      </c>
      <c r="D250" s="539" t="s">
        <v>352</v>
      </c>
      <c r="E250" s="539" t="s">
        <v>6</v>
      </c>
      <c r="F250" s="540">
        <v>1100000</v>
      </c>
      <c r="G250" s="466">
        <f t="shared" ref="G250:K251" si="40">G251</f>
        <v>4000000</v>
      </c>
      <c r="H250" s="442">
        <f t="shared" si="40"/>
        <v>2609040.7400000002</v>
      </c>
      <c r="I250" s="442">
        <f t="shared" si="40"/>
        <v>5000000</v>
      </c>
      <c r="J250" s="466">
        <f t="shared" si="40"/>
        <v>4400000</v>
      </c>
      <c r="K250" s="466">
        <f t="shared" si="40"/>
        <v>4400000</v>
      </c>
      <c r="L250" s="436">
        <f t="shared" si="31"/>
        <v>0</v>
      </c>
      <c r="M250" s="498">
        <f t="shared" si="32"/>
        <v>110</v>
      </c>
    </row>
    <row r="251" spans="1:13" ht="21.25" customHeight="1" outlineLevel="1" x14ac:dyDescent="0.3">
      <c r="A251" s="438" t="s">
        <v>19</v>
      </c>
      <c r="B251" s="439" t="s">
        <v>500</v>
      </c>
      <c r="C251" s="439" t="s">
        <v>59</v>
      </c>
      <c r="D251" s="539" t="s">
        <v>352</v>
      </c>
      <c r="E251" s="539" t="s">
        <v>20</v>
      </c>
      <c r="F251" s="540">
        <v>1100000</v>
      </c>
      <c r="G251" s="466">
        <f t="shared" si="40"/>
        <v>4000000</v>
      </c>
      <c r="H251" s="370">
        <v>2609040.7400000002</v>
      </c>
      <c r="I251" s="442">
        <f t="shared" si="40"/>
        <v>5000000</v>
      </c>
      <c r="J251" s="466">
        <f t="shared" si="40"/>
        <v>4400000</v>
      </c>
      <c r="K251" s="466">
        <f t="shared" si="40"/>
        <v>4400000</v>
      </c>
      <c r="L251" s="436">
        <f t="shared" si="31"/>
        <v>0</v>
      </c>
      <c r="M251" s="498">
        <f t="shared" si="32"/>
        <v>110</v>
      </c>
    </row>
    <row r="252" spans="1:13" ht="55.55" customHeight="1" outlineLevel="1" x14ac:dyDescent="0.3">
      <c r="A252" s="438" t="s">
        <v>47</v>
      </c>
      <c r="B252" s="439" t="s">
        <v>500</v>
      </c>
      <c r="C252" s="439" t="s">
        <v>59</v>
      </c>
      <c r="D252" s="539" t="s">
        <v>352</v>
      </c>
      <c r="E252" s="539" t="s">
        <v>48</v>
      </c>
      <c r="F252" s="540">
        <v>1100000</v>
      </c>
      <c r="G252" s="465">
        <f>[2]потребность!L251</f>
        <v>4000000</v>
      </c>
      <c r="H252" s="370">
        <v>2609040.7400000002</v>
      </c>
      <c r="I252" s="440">
        <f>'[2]прил 12'!F247</f>
        <v>5000000</v>
      </c>
      <c r="J252" s="466">
        <v>4400000</v>
      </c>
      <c r="K252" s="466">
        <v>4400000</v>
      </c>
      <c r="L252" s="436">
        <f t="shared" si="31"/>
        <v>0</v>
      </c>
      <c r="M252" s="498">
        <f t="shared" si="32"/>
        <v>110</v>
      </c>
    </row>
    <row r="253" spans="1:13" ht="36.700000000000003" customHeight="1" outlineLevel="1" x14ac:dyDescent="0.3">
      <c r="A253" s="438" t="s">
        <v>262</v>
      </c>
      <c r="B253" s="439" t="s">
        <v>500</v>
      </c>
      <c r="C253" s="439" t="s">
        <v>59</v>
      </c>
      <c r="D253" s="539" t="s">
        <v>353</v>
      </c>
      <c r="E253" s="539" t="s">
        <v>6</v>
      </c>
      <c r="F253" s="540">
        <v>13650000</v>
      </c>
      <c r="G253" s="466">
        <f t="shared" ref="G253:K254" si="41">G254</f>
        <v>15778000</v>
      </c>
      <c r="H253" s="442">
        <f t="shared" si="41"/>
        <v>19100219.93</v>
      </c>
      <c r="I253" s="442">
        <f t="shared" si="41"/>
        <v>2500000</v>
      </c>
      <c r="J253" s="466">
        <f t="shared" si="41"/>
        <v>15439000</v>
      </c>
      <c r="K253" s="466">
        <f t="shared" si="41"/>
        <v>15439000</v>
      </c>
      <c r="L253" s="436">
        <f t="shared" si="31"/>
        <v>0</v>
      </c>
      <c r="M253" s="498">
        <f t="shared" si="32"/>
        <v>97.851438712130815</v>
      </c>
    </row>
    <row r="254" spans="1:13" outlineLevel="1" x14ac:dyDescent="0.3">
      <c r="A254" s="438" t="s">
        <v>19</v>
      </c>
      <c r="B254" s="439" t="s">
        <v>500</v>
      </c>
      <c r="C254" s="439" t="s">
        <v>59</v>
      </c>
      <c r="D254" s="539" t="s">
        <v>353</v>
      </c>
      <c r="E254" s="539" t="s">
        <v>20</v>
      </c>
      <c r="F254" s="540">
        <v>13650000</v>
      </c>
      <c r="G254" s="466">
        <f t="shared" si="41"/>
        <v>15778000</v>
      </c>
      <c r="H254" s="370">
        <v>19100219.93</v>
      </c>
      <c r="I254" s="442">
        <f t="shared" si="41"/>
        <v>2500000</v>
      </c>
      <c r="J254" s="466">
        <f t="shared" si="41"/>
        <v>15439000</v>
      </c>
      <c r="K254" s="466">
        <f t="shared" si="41"/>
        <v>15439000</v>
      </c>
      <c r="L254" s="436">
        <f t="shared" si="31"/>
        <v>0</v>
      </c>
      <c r="M254" s="498">
        <f t="shared" si="32"/>
        <v>97.851438712130815</v>
      </c>
    </row>
    <row r="255" spans="1:13" ht="50.95" outlineLevel="1" x14ac:dyDescent="0.3">
      <c r="A255" s="438" t="s">
        <v>47</v>
      </c>
      <c r="B255" s="439" t="s">
        <v>500</v>
      </c>
      <c r="C255" s="439" t="s">
        <v>59</v>
      </c>
      <c r="D255" s="539" t="s">
        <v>353</v>
      </c>
      <c r="E255" s="539" t="s">
        <v>48</v>
      </c>
      <c r="F255" s="540">
        <v>13650000</v>
      </c>
      <c r="G255" s="465">
        <f>[2]потребность!L254+5000000</f>
        <v>15778000</v>
      </c>
      <c r="H255" s="370">
        <v>19100219.93</v>
      </c>
      <c r="I255" s="440">
        <f>'[2]прил 12'!F250</f>
        <v>2500000</v>
      </c>
      <c r="J255" s="466">
        <v>15439000</v>
      </c>
      <c r="K255" s="466">
        <v>15439000</v>
      </c>
      <c r="L255" s="436">
        <f t="shared" si="31"/>
        <v>0</v>
      </c>
      <c r="M255" s="498">
        <f t="shared" si="32"/>
        <v>97.851438712130815</v>
      </c>
    </row>
    <row r="256" spans="1:13" ht="50.95" outlineLevel="1" x14ac:dyDescent="0.3">
      <c r="A256" s="438" t="s">
        <v>299</v>
      </c>
      <c r="B256" s="439" t="s">
        <v>500</v>
      </c>
      <c r="C256" s="439" t="s">
        <v>59</v>
      </c>
      <c r="D256" s="539" t="s">
        <v>390</v>
      </c>
      <c r="E256" s="539" t="s">
        <v>6</v>
      </c>
      <c r="F256" s="539"/>
      <c r="G256" s="465">
        <f t="shared" ref="G256:K257" si="42">G257</f>
        <v>500000</v>
      </c>
      <c r="H256" s="440">
        <f t="shared" si="42"/>
        <v>0</v>
      </c>
      <c r="I256" s="440">
        <f t="shared" si="42"/>
        <v>521657.94</v>
      </c>
      <c r="J256" s="465">
        <f t="shared" si="42"/>
        <v>521658</v>
      </c>
      <c r="K256" s="465">
        <f t="shared" si="42"/>
        <v>521658</v>
      </c>
      <c r="L256" s="436">
        <f t="shared" si="31"/>
        <v>0</v>
      </c>
      <c r="M256" s="498">
        <f t="shared" si="32"/>
        <v>104.33159999999999</v>
      </c>
    </row>
    <row r="257" spans="1:13" ht="34" outlineLevel="1" x14ac:dyDescent="0.3">
      <c r="A257" s="438" t="s">
        <v>15</v>
      </c>
      <c r="B257" s="439" t="s">
        <v>500</v>
      </c>
      <c r="C257" s="439" t="s">
        <v>59</v>
      </c>
      <c r="D257" s="539" t="s">
        <v>390</v>
      </c>
      <c r="E257" s="539" t="s">
        <v>16</v>
      </c>
      <c r="F257" s="539"/>
      <c r="G257" s="465">
        <f t="shared" si="42"/>
        <v>500000</v>
      </c>
      <c r="H257" s="440">
        <v>0</v>
      </c>
      <c r="I257" s="440">
        <f t="shared" si="42"/>
        <v>521657.94</v>
      </c>
      <c r="J257" s="465">
        <f t="shared" si="42"/>
        <v>521658</v>
      </c>
      <c r="K257" s="465">
        <f t="shared" si="42"/>
        <v>521658</v>
      </c>
      <c r="L257" s="436">
        <f t="shared" si="31"/>
        <v>0</v>
      </c>
      <c r="M257" s="498">
        <f t="shared" si="32"/>
        <v>104.33159999999999</v>
      </c>
    </row>
    <row r="258" spans="1:13" ht="49.75" customHeight="1" outlineLevel="1" x14ac:dyDescent="0.3">
      <c r="A258" s="438" t="s">
        <v>17</v>
      </c>
      <c r="B258" s="439" t="s">
        <v>500</v>
      </c>
      <c r="C258" s="439" t="s">
        <v>59</v>
      </c>
      <c r="D258" s="539" t="s">
        <v>390</v>
      </c>
      <c r="E258" s="539" t="s">
        <v>18</v>
      </c>
      <c r="F258" s="539"/>
      <c r="G258" s="465">
        <v>500000</v>
      </c>
      <c r="H258" s="440">
        <v>0</v>
      </c>
      <c r="I258" s="440">
        <f>'[2]прил 12'!F253</f>
        <v>521657.94</v>
      </c>
      <c r="J258" s="466">
        <v>521658</v>
      </c>
      <c r="K258" s="466">
        <v>521658</v>
      </c>
      <c r="L258" s="436">
        <f t="shared" si="31"/>
        <v>0</v>
      </c>
      <c r="M258" s="498">
        <f t="shared" si="32"/>
        <v>104.33159999999999</v>
      </c>
    </row>
    <row r="259" spans="1:13" ht="56.25" customHeight="1" outlineLevel="1" x14ac:dyDescent="0.3">
      <c r="A259" s="438" t="s">
        <v>263</v>
      </c>
      <c r="B259" s="439" t="s">
        <v>500</v>
      </c>
      <c r="C259" s="439" t="s">
        <v>59</v>
      </c>
      <c r="D259" s="539" t="s">
        <v>391</v>
      </c>
      <c r="E259" s="539" t="s">
        <v>6</v>
      </c>
      <c r="F259" s="539"/>
      <c r="G259" s="465">
        <f t="shared" ref="G259:K260" si="43">G260</f>
        <v>200000</v>
      </c>
      <c r="H259" s="440">
        <f t="shared" si="43"/>
        <v>0</v>
      </c>
      <c r="I259" s="440">
        <f t="shared" si="43"/>
        <v>200000</v>
      </c>
      <c r="J259" s="465">
        <f t="shared" si="43"/>
        <v>200000</v>
      </c>
      <c r="K259" s="465">
        <f t="shared" si="43"/>
        <v>200000</v>
      </c>
      <c r="L259" s="436">
        <f t="shared" si="31"/>
        <v>0</v>
      </c>
      <c r="M259" s="498">
        <f t="shared" si="32"/>
        <v>100</v>
      </c>
    </row>
    <row r="260" spans="1:13" ht="37.549999999999997" customHeight="1" outlineLevel="1" x14ac:dyDescent="0.3">
      <c r="A260" s="438" t="s">
        <v>15</v>
      </c>
      <c r="B260" s="439" t="s">
        <v>500</v>
      </c>
      <c r="C260" s="439" t="s">
        <v>59</v>
      </c>
      <c r="D260" s="539" t="s">
        <v>391</v>
      </c>
      <c r="E260" s="539" t="s">
        <v>16</v>
      </c>
      <c r="F260" s="539"/>
      <c r="G260" s="465">
        <f t="shared" si="43"/>
        <v>200000</v>
      </c>
      <c r="H260" s="440">
        <v>0</v>
      </c>
      <c r="I260" s="440">
        <f t="shared" si="43"/>
        <v>200000</v>
      </c>
      <c r="J260" s="465">
        <f t="shared" si="43"/>
        <v>200000</v>
      </c>
      <c r="K260" s="465">
        <f t="shared" si="43"/>
        <v>200000</v>
      </c>
      <c r="L260" s="436">
        <f t="shared" si="31"/>
        <v>0</v>
      </c>
      <c r="M260" s="498">
        <f t="shared" si="32"/>
        <v>100</v>
      </c>
    </row>
    <row r="261" spans="1:13" ht="37.549999999999997" customHeight="1" outlineLevel="1" x14ac:dyDescent="0.3">
      <c r="A261" s="438" t="s">
        <v>17</v>
      </c>
      <c r="B261" s="439" t="s">
        <v>500</v>
      </c>
      <c r="C261" s="439" t="s">
        <v>59</v>
      </c>
      <c r="D261" s="539" t="s">
        <v>391</v>
      </c>
      <c r="E261" s="539" t="s">
        <v>18</v>
      </c>
      <c r="F261" s="539"/>
      <c r="G261" s="465">
        <v>200000</v>
      </c>
      <c r="H261" s="440">
        <v>0</v>
      </c>
      <c r="I261" s="440">
        <f>'[2]прил 12'!F256</f>
        <v>200000</v>
      </c>
      <c r="J261" s="466">
        <v>200000</v>
      </c>
      <c r="K261" s="466">
        <v>200000</v>
      </c>
      <c r="L261" s="436">
        <f t="shared" si="31"/>
        <v>0</v>
      </c>
      <c r="M261" s="498">
        <f t="shared" si="32"/>
        <v>100</v>
      </c>
    </row>
    <row r="262" spans="1:13" ht="55.7" customHeight="1" outlineLevel="1" x14ac:dyDescent="0.3">
      <c r="A262" s="438" t="s">
        <v>709</v>
      </c>
      <c r="B262" s="439" t="s">
        <v>500</v>
      </c>
      <c r="C262" s="439" t="s">
        <v>59</v>
      </c>
      <c r="D262" s="539" t="s">
        <v>708</v>
      </c>
      <c r="E262" s="539" t="s">
        <v>6</v>
      </c>
      <c r="F262" s="540">
        <v>5938219.1900000004</v>
      </c>
      <c r="G262" s="465">
        <f>G263</f>
        <v>0</v>
      </c>
      <c r="H262" s="440">
        <f>H263</f>
        <v>0</v>
      </c>
      <c r="I262" s="440">
        <v>0</v>
      </c>
      <c r="J262" s="509"/>
      <c r="K262" s="509"/>
      <c r="L262" s="436">
        <f t="shared" si="31"/>
        <v>0</v>
      </c>
      <c r="M262" s="498"/>
    </row>
    <row r="263" spans="1:13" ht="37.549999999999997" customHeight="1" outlineLevel="1" x14ac:dyDescent="0.3">
      <c r="A263" s="438" t="s">
        <v>15</v>
      </c>
      <c r="B263" s="439" t="s">
        <v>500</v>
      </c>
      <c r="C263" s="439" t="s">
        <v>59</v>
      </c>
      <c r="D263" s="539" t="s">
        <v>708</v>
      </c>
      <c r="E263" s="539" t="s">
        <v>16</v>
      </c>
      <c r="F263" s="540">
        <v>5938219.1900000004</v>
      </c>
      <c r="G263" s="465">
        <f>G264</f>
        <v>0</v>
      </c>
      <c r="H263" s="440">
        <f>H264</f>
        <v>0</v>
      </c>
      <c r="I263" s="440">
        <v>0</v>
      </c>
      <c r="J263" s="466"/>
      <c r="K263" s="466"/>
      <c r="L263" s="436">
        <f t="shared" si="31"/>
        <v>0</v>
      </c>
      <c r="M263" s="498"/>
    </row>
    <row r="264" spans="1:13" ht="37.549999999999997" customHeight="1" outlineLevel="1" x14ac:dyDescent="0.3">
      <c r="A264" s="438" t="s">
        <v>17</v>
      </c>
      <c r="B264" s="439" t="s">
        <v>500</v>
      </c>
      <c r="C264" s="439" t="s">
        <v>59</v>
      </c>
      <c r="D264" s="539" t="s">
        <v>708</v>
      </c>
      <c r="E264" s="539" t="s">
        <v>18</v>
      </c>
      <c r="F264" s="540">
        <v>5938219.1900000004</v>
      </c>
      <c r="G264" s="465"/>
      <c r="H264" s="440"/>
      <c r="I264" s="440">
        <v>0</v>
      </c>
      <c r="J264" s="510"/>
      <c r="K264" s="510"/>
      <c r="L264" s="436">
        <f t="shared" ref="L264:L327" si="44">K264-J264</f>
        <v>0</v>
      </c>
      <c r="M264" s="498"/>
    </row>
    <row r="265" spans="1:13" ht="34" outlineLevel="1" x14ac:dyDescent="0.3">
      <c r="A265" s="438" t="s">
        <v>682</v>
      </c>
      <c r="B265" s="439" t="s">
        <v>500</v>
      </c>
      <c r="C265" s="439" t="s">
        <v>59</v>
      </c>
      <c r="D265" s="539" t="s">
        <v>681</v>
      </c>
      <c r="E265" s="539" t="s">
        <v>6</v>
      </c>
      <c r="F265" s="540">
        <v>59982.01</v>
      </c>
      <c r="G265" s="465">
        <f>G266</f>
        <v>0</v>
      </c>
      <c r="H265" s="440">
        <f>H266</f>
        <v>0</v>
      </c>
      <c r="I265" s="440">
        <v>0</v>
      </c>
      <c r="J265" s="466"/>
      <c r="K265" s="466"/>
      <c r="L265" s="436">
        <f t="shared" si="44"/>
        <v>0</v>
      </c>
      <c r="M265" s="498"/>
    </row>
    <row r="266" spans="1:13" ht="34" outlineLevel="1" x14ac:dyDescent="0.3">
      <c r="A266" s="438" t="s">
        <v>15</v>
      </c>
      <c r="B266" s="439" t="s">
        <v>500</v>
      </c>
      <c r="C266" s="439" t="s">
        <v>59</v>
      </c>
      <c r="D266" s="539" t="s">
        <v>681</v>
      </c>
      <c r="E266" s="539" t="s">
        <v>16</v>
      </c>
      <c r="F266" s="540">
        <v>59982.01</v>
      </c>
      <c r="G266" s="465">
        <f>G267</f>
        <v>0</v>
      </c>
      <c r="H266" s="440">
        <f>H267</f>
        <v>0</v>
      </c>
      <c r="I266" s="440">
        <v>0</v>
      </c>
      <c r="J266" s="466"/>
      <c r="K266" s="466"/>
      <c r="L266" s="436">
        <f t="shared" si="44"/>
        <v>0</v>
      </c>
      <c r="M266" s="498"/>
    </row>
    <row r="267" spans="1:13" ht="34" outlineLevel="1" x14ac:dyDescent="0.3">
      <c r="A267" s="438" t="s">
        <v>17</v>
      </c>
      <c r="B267" s="439" t="s">
        <v>500</v>
      </c>
      <c r="C267" s="439" t="s">
        <v>59</v>
      </c>
      <c r="D267" s="539" t="s">
        <v>681</v>
      </c>
      <c r="E267" s="539" t="s">
        <v>18</v>
      </c>
      <c r="F267" s="540">
        <v>59982.01</v>
      </c>
      <c r="G267" s="465">
        <v>0</v>
      </c>
      <c r="H267" s="440">
        <v>0</v>
      </c>
      <c r="I267" s="440">
        <v>0</v>
      </c>
      <c r="J267" s="510"/>
      <c r="K267" s="510"/>
      <c r="L267" s="436">
        <f t="shared" si="44"/>
        <v>0</v>
      </c>
      <c r="M267" s="498"/>
    </row>
    <row r="268" spans="1:13" ht="27.7" customHeight="1" outlineLevel="1" x14ac:dyDescent="0.3">
      <c r="A268" s="450" t="s">
        <v>455</v>
      </c>
      <c r="B268" s="439" t="s">
        <v>500</v>
      </c>
      <c r="C268" s="439" t="s">
        <v>59</v>
      </c>
      <c r="D268" s="539" t="s">
        <v>700</v>
      </c>
      <c r="E268" s="539" t="s">
        <v>6</v>
      </c>
      <c r="F268" s="542">
        <v>117960285.20999999</v>
      </c>
      <c r="G268" s="465">
        <f>G269</f>
        <v>21338979.699999999</v>
      </c>
      <c r="H268" s="440">
        <f>H269</f>
        <v>21338979.699999999</v>
      </c>
      <c r="I268" s="440">
        <v>0</v>
      </c>
      <c r="J268" s="465">
        <f t="shared" ref="J268:K270" si="45">J269</f>
        <v>0</v>
      </c>
      <c r="K268" s="465">
        <f t="shared" si="45"/>
        <v>0</v>
      </c>
      <c r="L268" s="436">
        <f t="shared" si="44"/>
        <v>0</v>
      </c>
      <c r="M268" s="498">
        <f t="shared" ref="M268:M331" si="46">J268/G268%</f>
        <v>0</v>
      </c>
    </row>
    <row r="269" spans="1:13" ht="41.95" customHeight="1" outlineLevel="1" x14ac:dyDescent="0.3">
      <c r="A269" s="438" t="s">
        <v>460</v>
      </c>
      <c r="B269" s="439" t="s">
        <v>500</v>
      </c>
      <c r="C269" s="439" t="s">
        <v>59</v>
      </c>
      <c r="D269" s="539" t="s">
        <v>701</v>
      </c>
      <c r="E269" s="539" t="s">
        <v>6</v>
      </c>
      <c r="F269" s="540">
        <v>117960285.20999999</v>
      </c>
      <c r="G269" s="465">
        <f>G270</f>
        <v>21338979.699999999</v>
      </c>
      <c r="H269" s="440">
        <f>H270</f>
        <v>21338979.699999999</v>
      </c>
      <c r="I269" s="440">
        <v>0</v>
      </c>
      <c r="J269" s="513">
        <f t="shared" si="45"/>
        <v>0</v>
      </c>
      <c r="K269" s="513">
        <f t="shared" si="45"/>
        <v>0</v>
      </c>
      <c r="L269" s="436">
        <f t="shared" si="44"/>
        <v>0</v>
      </c>
      <c r="M269" s="498">
        <f t="shared" si="46"/>
        <v>0</v>
      </c>
    </row>
    <row r="270" spans="1:13" ht="40.75" customHeight="1" outlineLevel="1" x14ac:dyDescent="0.3">
      <c r="A270" s="438" t="s">
        <v>264</v>
      </c>
      <c r="B270" s="439" t="s">
        <v>500</v>
      </c>
      <c r="C270" s="439" t="s">
        <v>59</v>
      </c>
      <c r="D270" s="539" t="s">
        <v>701</v>
      </c>
      <c r="E270" s="539" t="s">
        <v>265</v>
      </c>
      <c r="F270" s="540">
        <v>117960285.20999999</v>
      </c>
      <c r="G270" s="465">
        <f>G271</f>
        <v>21338979.699999999</v>
      </c>
      <c r="H270" s="370">
        <v>21338979.699999999</v>
      </c>
      <c r="I270" s="440">
        <v>0</v>
      </c>
      <c r="J270" s="465">
        <f t="shared" si="45"/>
        <v>0</v>
      </c>
      <c r="K270" s="465">
        <f t="shared" si="45"/>
        <v>0</v>
      </c>
      <c r="L270" s="436">
        <f t="shared" si="44"/>
        <v>0</v>
      </c>
      <c r="M270" s="498">
        <f t="shared" si="46"/>
        <v>0</v>
      </c>
    </row>
    <row r="271" spans="1:13" ht="23.95" customHeight="1" outlineLevel="1" x14ac:dyDescent="0.3">
      <c r="A271" s="438" t="s">
        <v>266</v>
      </c>
      <c r="B271" s="439" t="s">
        <v>500</v>
      </c>
      <c r="C271" s="439" t="s">
        <v>59</v>
      </c>
      <c r="D271" s="539" t="s">
        <v>701</v>
      </c>
      <c r="E271" s="539" t="s">
        <v>267</v>
      </c>
      <c r="F271" s="540">
        <v>117960285.20999999</v>
      </c>
      <c r="G271" s="465">
        <v>21338979.699999999</v>
      </c>
      <c r="H271" s="370">
        <v>21338979.699999999</v>
      </c>
      <c r="I271" s="440">
        <v>0</v>
      </c>
      <c r="J271" s="510"/>
      <c r="K271" s="510"/>
      <c r="L271" s="436">
        <f t="shared" si="44"/>
        <v>0</v>
      </c>
      <c r="M271" s="498">
        <f t="shared" si="46"/>
        <v>0</v>
      </c>
    </row>
    <row r="272" spans="1:13" ht="27.7" customHeight="1" outlineLevel="1" x14ac:dyDescent="0.3">
      <c r="A272" s="438" t="s">
        <v>61</v>
      </c>
      <c r="B272" s="439" t="s">
        <v>500</v>
      </c>
      <c r="C272" s="439" t="s">
        <v>62</v>
      </c>
      <c r="D272" s="539" t="s">
        <v>126</v>
      </c>
      <c r="E272" s="539" t="s">
        <v>6</v>
      </c>
      <c r="F272" s="540">
        <v>25901503.52</v>
      </c>
      <c r="G272" s="465">
        <f>G273+G287+G304</f>
        <v>55940903.060000002</v>
      </c>
      <c r="H272" s="440">
        <f>H273+H287+H304</f>
        <v>27271577.329999998</v>
      </c>
      <c r="I272" s="440">
        <f>I273+I287+I304</f>
        <v>30574076.27</v>
      </c>
      <c r="J272" s="465">
        <f>J273+J287+J304</f>
        <v>24281386.560000002</v>
      </c>
      <c r="K272" s="465">
        <f>K273+K287+K304</f>
        <v>22857530.739999998</v>
      </c>
      <c r="L272" s="436">
        <f t="shared" si="44"/>
        <v>-1423855.820000004</v>
      </c>
      <c r="M272" s="498">
        <f t="shared" si="46"/>
        <v>43.405424710353252</v>
      </c>
    </row>
    <row r="273" spans="1:13" ht="50.95" outlineLevel="1" x14ac:dyDescent="0.3">
      <c r="A273" s="444" t="s">
        <v>845</v>
      </c>
      <c r="B273" s="439" t="s">
        <v>500</v>
      </c>
      <c r="C273" s="445" t="s">
        <v>62</v>
      </c>
      <c r="D273" s="541" t="s">
        <v>134</v>
      </c>
      <c r="E273" s="541" t="s">
        <v>6</v>
      </c>
      <c r="F273" s="542">
        <v>299455.2</v>
      </c>
      <c r="G273" s="465">
        <f>G274</f>
        <v>2992316</v>
      </c>
      <c r="H273" s="440">
        <f>H274</f>
        <v>2292013.5</v>
      </c>
      <c r="I273" s="440">
        <f>I274</f>
        <v>1661631</v>
      </c>
      <c r="J273" s="465">
        <f>J274</f>
        <v>1691631</v>
      </c>
      <c r="K273" s="465">
        <f>K274</f>
        <v>1691631</v>
      </c>
      <c r="L273" s="436">
        <f t="shared" si="44"/>
        <v>0</v>
      </c>
      <c r="M273" s="498">
        <f t="shared" si="46"/>
        <v>56.532498573011672</v>
      </c>
    </row>
    <row r="274" spans="1:13" ht="23.3" customHeight="1" outlineLevel="1" x14ac:dyDescent="0.3">
      <c r="A274" s="438" t="s">
        <v>354</v>
      </c>
      <c r="B274" s="439" t="s">
        <v>500</v>
      </c>
      <c r="C274" s="439" t="s">
        <v>62</v>
      </c>
      <c r="D274" s="539" t="s">
        <v>232</v>
      </c>
      <c r="E274" s="539" t="s">
        <v>6</v>
      </c>
      <c r="F274" s="540">
        <v>299455.2</v>
      </c>
      <c r="G274" s="465">
        <f>G275+G281+G278+G284</f>
        <v>2992316</v>
      </c>
      <c r="H274" s="440">
        <f>H275+H281+H278+H284</f>
        <v>2292013.5</v>
      </c>
      <c r="I274" s="440">
        <f>I275+I281+I278+I284</f>
        <v>1661631</v>
      </c>
      <c r="J274" s="465">
        <f>J275+J281+J278+J284</f>
        <v>1691631</v>
      </c>
      <c r="K274" s="465">
        <f>K275+K281+K278+K284</f>
        <v>1691631</v>
      </c>
      <c r="L274" s="436">
        <f t="shared" si="44"/>
        <v>0</v>
      </c>
      <c r="M274" s="498">
        <f t="shared" si="46"/>
        <v>56.532498573011672</v>
      </c>
    </row>
    <row r="275" spans="1:13" ht="27.7" customHeight="1" outlineLevel="1" x14ac:dyDescent="0.3">
      <c r="A275" s="438" t="s">
        <v>360</v>
      </c>
      <c r="B275" s="439" t="s">
        <v>500</v>
      </c>
      <c r="C275" s="439" t="s">
        <v>62</v>
      </c>
      <c r="D275" s="539" t="s">
        <v>461</v>
      </c>
      <c r="E275" s="539" t="s">
        <v>6</v>
      </c>
      <c r="F275" s="540">
        <v>0</v>
      </c>
      <c r="G275" s="465">
        <f t="shared" ref="G275:K276" si="47">G276</f>
        <v>2492316</v>
      </c>
      <c r="H275" s="440">
        <f t="shared" si="47"/>
        <v>2079400</v>
      </c>
      <c r="I275" s="440">
        <f t="shared" si="47"/>
        <v>400000</v>
      </c>
      <c r="J275" s="465">
        <f t="shared" si="47"/>
        <v>400000</v>
      </c>
      <c r="K275" s="465">
        <f t="shared" si="47"/>
        <v>400000</v>
      </c>
      <c r="L275" s="436">
        <f t="shared" si="44"/>
        <v>0</v>
      </c>
      <c r="M275" s="498">
        <f t="shared" si="46"/>
        <v>16.049329218285322</v>
      </c>
    </row>
    <row r="276" spans="1:13" s="449" customFormat="1" ht="34" outlineLevel="1" x14ac:dyDescent="0.3">
      <c r="A276" s="397" t="s">
        <v>15</v>
      </c>
      <c r="B276" s="439" t="s">
        <v>500</v>
      </c>
      <c r="C276" s="439" t="s">
        <v>62</v>
      </c>
      <c r="D276" s="539" t="s">
        <v>461</v>
      </c>
      <c r="E276" s="539" t="s">
        <v>16</v>
      </c>
      <c r="F276" s="540">
        <v>0</v>
      </c>
      <c r="G276" s="465">
        <f t="shared" si="47"/>
        <v>2492316</v>
      </c>
      <c r="H276" s="373">
        <v>2079400</v>
      </c>
      <c r="I276" s="440">
        <f t="shared" si="47"/>
        <v>400000</v>
      </c>
      <c r="J276" s="465">
        <f t="shared" si="47"/>
        <v>400000</v>
      </c>
      <c r="K276" s="465">
        <f t="shared" si="47"/>
        <v>400000</v>
      </c>
      <c r="L276" s="436">
        <f t="shared" si="44"/>
        <v>0</v>
      </c>
      <c r="M276" s="498">
        <f t="shared" si="46"/>
        <v>16.049329218285322</v>
      </c>
    </row>
    <row r="277" spans="1:13" ht="34" outlineLevel="1" x14ac:dyDescent="0.3">
      <c r="A277" s="397" t="s">
        <v>17</v>
      </c>
      <c r="B277" s="439" t="s">
        <v>500</v>
      </c>
      <c r="C277" s="439" t="s">
        <v>62</v>
      </c>
      <c r="D277" s="539" t="s">
        <v>461</v>
      </c>
      <c r="E277" s="539" t="s">
        <v>18</v>
      </c>
      <c r="F277" s="540">
        <v>0</v>
      </c>
      <c r="G277" s="465">
        <f>200000+2292316</f>
        <v>2492316</v>
      </c>
      <c r="H277" s="373">
        <v>2079400</v>
      </c>
      <c r="I277" s="440">
        <f>'[2]прил 12'!F272</f>
        <v>400000</v>
      </c>
      <c r="J277" s="466">
        <v>400000</v>
      </c>
      <c r="K277" s="466">
        <v>400000</v>
      </c>
      <c r="L277" s="436">
        <f t="shared" si="44"/>
        <v>0</v>
      </c>
      <c r="M277" s="498">
        <f t="shared" si="46"/>
        <v>16.049329218285322</v>
      </c>
    </row>
    <row r="278" spans="1:13" ht="49.75" customHeight="1" outlineLevel="1" x14ac:dyDescent="0.3">
      <c r="A278" s="397" t="s">
        <v>767</v>
      </c>
      <c r="B278" s="439" t="s">
        <v>500</v>
      </c>
      <c r="C278" s="439" t="s">
        <v>62</v>
      </c>
      <c r="D278" s="539" t="s">
        <v>947</v>
      </c>
      <c r="E278" s="539" t="s">
        <v>6</v>
      </c>
      <c r="F278" s="539" t="s">
        <v>976</v>
      </c>
      <c r="G278" s="465">
        <f t="shared" ref="G278:I279" si="48">G279</f>
        <v>0</v>
      </c>
      <c r="H278" s="440">
        <f t="shared" si="48"/>
        <v>0</v>
      </c>
      <c r="I278" s="457">
        <f t="shared" si="48"/>
        <v>761631</v>
      </c>
      <c r="J278" s="466">
        <f>J279</f>
        <v>791631</v>
      </c>
      <c r="K278" s="466">
        <f>K279</f>
        <v>791631</v>
      </c>
      <c r="L278" s="436">
        <f t="shared" si="44"/>
        <v>0</v>
      </c>
      <c r="M278" s="498"/>
    </row>
    <row r="279" spans="1:13" ht="34" outlineLevel="1" x14ac:dyDescent="0.3">
      <c r="A279" s="397" t="s">
        <v>15</v>
      </c>
      <c r="B279" s="439" t="s">
        <v>500</v>
      </c>
      <c r="C279" s="439" t="s">
        <v>62</v>
      </c>
      <c r="D279" s="539" t="s">
        <v>947</v>
      </c>
      <c r="E279" s="539" t="s">
        <v>16</v>
      </c>
      <c r="F279" s="539" t="s">
        <v>976</v>
      </c>
      <c r="G279" s="465">
        <f t="shared" si="48"/>
        <v>0</v>
      </c>
      <c r="H279" s="440">
        <f t="shared" si="48"/>
        <v>0</v>
      </c>
      <c r="I279" s="457">
        <f t="shared" si="48"/>
        <v>761631</v>
      </c>
      <c r="J279" s="466">
        <f>J280</f>
        <v>791631</v>
      </c>
      <c r="K279" s="466">
        <f>K280</f>
        <v>791631</v>
      </c>
      <c r="L279" s="436">
        <f t="shared" si="44"/>
        <v>0</v>
      </c>
      <c r="M279" s="498"/>
    </row>
    <row r="280" spans="1:13" ht="18.7" customHeight="1" outlineLevel="1" x14ac:dyDescent="0.3">
      <c r="A280" s="397" t="s">
        <v>17</v>
      </c>
      <c r="B280" s="439" t="s">
        <v>500</v>
      </c>
      <c r="C280" s="439" t="s">
        <v>62</v>
      </c>
      <c r="D280" s="539" t="s">
        <v>947</v>
      </c>
      <c r="E280" s="539" t="s">
        <v>18</v>
      </c>
      <c r="F280" s="539" t="s">
        <v>976</v>
      </c>
      <c r="G280" s="465">
        <v>0</v>
      </c>
      <c r="H280" s="440">
        <v>0</v>
      </c>
      <c r="I280" s="457">
        <f>'[2]прил 12'!F278</f>
        <v>761631</v>
      </c>
      <c r="J280" s="466">
        <v>791631</v>
      </c>
      <c r="K280" s="466">
        <v>791631</v>
      </c>
      <c r="L280" s="436">
        <f t="shared" si="44"/>
        <v>0</v>
      </c>
      <c r="M280" s="498"/>
    </row>
    <row r="281" spans="1:13" ht="34" outlineLevel="1" x14ac:dyDescent="0.3">
      <c r="A281" s="438" t="s">
        <v>63</v>
      </c>
      <c r="B281" s="439" t="s">
        <v>500</v>
      </c>
      <c r="C281" s="439" t="s">
        <v>62</v>
      </c>
      <c r="D281" s="539" t="s">
        <v>355</v>
      </c>
      <c r="E281" s="539" t="s">
        <v>6</v>
      </c>
      <c r="F281" s="540">
        <v>299455.2</v>
      </c>
      <c r="G281" s="465">
        <f>G282</f>
        <v>500000</v>
      </c>
      <c r="H281" s="440">
        <f>H282</f>
        <v>212613.5</v>
      </c>
      <c r="I281" s="440">
        <f>I282</f>
        <v>500000</v>
      </c>
      <c r="J281" s="466">
        <f>J282</f>
        <v>500000</v>
      </c>
      <c r="K281" s="466">
        <f>K282</f>
        <v>500000</v>
      </c>
      <c r="L281" s="436">
        <f t="shared" si="44"/>
        <v>0</v>
      </c>
      <c r="M281" s="498">
        <f t="shared" si="46"/>
        <v>100</v>
      </c>
    </row>
    <row r="282" spans="1:13" ht="34" outlineLevel="1" x14ac:dyDescent="0.3">
      <c r="A282" s="438" t="s">
        <v>15</v>
      </c>
      <c r="B282" s="439" t="s">
        <v>500</v>
      </c>
      <c r="C282" s="439" t="s">
        <v>62</v>
      </c>
      <c r="D282" s="539" t="s">
        <v>355</v>
      </c>
      <c r="E282" s="539" t="s">
        <v>16</v>
      </c>
      <c r="F282" s="540">
        <v>299455.2</v>
      </c>
      <c r="G282" s="465">
        <f>G283</f>
        <v>500000</v>
      </c>
      <c r="H282" s="370">
        <v>212613.5</v>
      </c>
      <c r="I282" s="440">
        <f>I283</f>
        <v>500000</v>
      </c>
      <c r="J282" s="466">
        <f>J283</f>
        <v>500000</v>
      </c>
      <c r="K282" s="466">
        <f>K283</f>
        <v>500000</v>
      </c>
      <c r="L282" s="436">
        <f t="shared" si="44"/>
        <v>0</v>
      </c>
      <c r="M282" s="498">
        <f t="shared" si="46"/>
        <v>100</v>
      </c>
    </row>
    <row r="283" spans="1:13" ht="22.75" customHeight="1" outlineLevel="1" x14ac:dyDescent="0.3">
      <c r="A283" s="438" t="s">
        <v>17</v>
      </c>
      <c r="B283" s="439" t="s">
        <v>500</v>
      </c>
      <c r="C283" s="439" t="s">
        <v>62</v>
      </c>
      <c r="D283" s="539" t="s">
        <v>355</v>
      </c>
      <c r="E283" s="539" t="s">
        <v>18</v>
      </c>
      <c r="F283" s="540">
        <v>299455.2</v>
      </c>
      <c r="G283" s="466">
        <v>500000</v>
      </c>
      <c r="H283" s="370">
        <v>212613.5</v>
      </c>
      <c r="I283" s="442">
        <f>'[2]прил 12'!F281</f>
        <v>500000</v>
      </c>
      <c r="J283" s="466">
        <v>500000</v>
      </c>
      <c r="K283" s="466">
        <v>500000</v>
      </c>
      <c r="L283" s="436">
        <f t="shared" si="44"/>
        <v>0</v>
      </c>
      <c r="M283" s="498">
        <f t="shared" si="46"/>
        <v>100</v>
      </c>
    </row>
    <row r="284" spans="1:13" ht="40.1" customHeight="1" outlineLevel="1" x14ac:dyDescent="0.3">
      <c r="A284" s="438" t="s">
        <v>948</v>
      </c>
      <c r="B284" s="439" t="s">
        <v>500</v>
      </c>
      <c r="C284" s="439" t="s">
        <v>62</v>
      </c>
      <c r="D284" s="539" t="s">
        <v>949</v>
      </c>
      <c r="E284" s="539" t="s">
        <v>6</v>
      </c>
      <c r="F284" s="539" t="s">
        <v>976</v>
      </c>
      <c r="G284" s="466">
        <f>G285</f>
        <v>0</v>
      </c>
      <c r="H284" s="442">
        <f>H285</f>
        <v>0</v>
      </c>
      <c r="I284" s="442">
        <v>0</v>
      </c>
      <c r="J284" s="466"/>
      <c r="K284" s="466"/>
      <c r="L284" s="436">
        <f t="shared" si="44"/>
        <v>0</v>
      </c>
      <c r="M284" s="498"/>
    </row>
    <row r="285" spans="1:13" ht="22.75" customHeight="1" outlineLevel="1" x14ac:dyDescent="0.3">
      <c r="A285" s="438" t="s">
        <v>15</v>
      </c>
      <c r="B285" s="439" t="s">
        <v>500</v>
      </c>
      <c r="C285" s="439" t="s">
        <v>62</v>
      </c>
      <c r="D285" s="539" t="s">
        <v>949</v>
      </c>
      <c r="E285" s="539" t="s">
        <v>16</v>
      </c>
      <c r="F285" s="539" t="s">
        <v>976</v>
      </c>
      <c r="G285" s="466">
        <f>G286</f>
        <v>0</v>
      </c>
      <c r="H285" s="442">
        <f>H286</f>
        <v>0</v>
      </c>
      <c r="I285" s="442">
        <v>0</v>
      </c>
      <c r="J285" s="466"/>
      <c r="K285" s="466"/>
      <c r="L285" s="436">
        <f t="shared" si="44"/>
        <v>0</v>
      </c>
      <c r="M285" s="498"/>
    </row>
    <row r="286" spans="1:13" ht="22.75" customHeight="1" outlineLevel="1" x14ac:dyDescent="0.3">
      <c r="A286" s="438" t="s">
        <v>17</v>
      </c>
      <c r="B286" s="439" t="s">
        <v>500</v>
      </c>
      <c r="C286" s="439" t="s">
        <v>62</v>
      </c>
      <c r="D286" s="539" t="s">
        <v>949</v>
      </c>
      <c r="E286" s="539" t="s">
        <v>18</v>
      </c>
      <c r="F286" s="539" t="s">
        <v>976</v>
      </c>
      <c r="G286" s="466">
        <v>0</v>
      </c>
      <c r="H286" s="442">
        <v>0</v>
      </c>
      <c r="I286" s="442">
        <v>0</v>
      </c>
      <c r="J286" s="466"/>
      <c r="K286" s="466"/>
      <c r="L286" s="436">
        <f t="shared" si="44"/>
        <v>0</v>
      </c>
      <c r="M286" s="498"/>
    </row>
    <row r="287" spans="1:13" s="449" customFormat="1" ht="50.95" outlineLevel="1" x14ac:dyDescent="0.3">
      <c r="A287" s="444" t="s">
        <v>508</v>
      </c>
      <c r="B287" s="445" t="s">
        <v>500</v>
      </c>
      <c r="C287" s="445" t="s">
        <v>62</v>
      </c>
      <c r="D287" s="541" t="s">
        <v>509</v>
      </c>
      <c r="E287" s="541" t="s">
        <v>6</v>
      </c>
      <c r="F287" s="542">
        <v>9726045.7400000002</v>
      </c>
      <c r="G287" s="465">
        <f>G288</f>
        <v>37602759.850000001</v>
      </c>
      <c r="H287" s="440">
        <f>H288</f>
        <v>12620574.139999997</v>
      </c>
      <c r="I287" s="440">
        <f>I288</f>
        <v>8938369</v>
      </c>
      <c r="J287" s="465">
        <f>J288</f>
        <v>9414506.0600000005</v>
      </c>
      <c r="K287" s="465">
        <f>K288</f>
        <v>8214506.0599999996</v>
      </c>
      <c r="L287" s="436">
        <f t="shared" si="44"/>
        <v>-1200000.0000000009</v>
      </c>
      <c r="M287" s="498">
        <f t="shared" si="46"/>
        <v>25.036742243269146</v>
      </c>
    </row>
    <row r="288" spans="1:13" ht="34" outlineLevel="1" x14ac:dyDescent="0.3">
      <c r="A288" s="438" t="s">
        <v>510</v>
      </c>
      <c r="B288" s="439" t="s">
        <v>500</v>
      </c>
      <c r="C288" s="439" t="s">
        <v>62</v>
      </c>
      <c r="D288" s="539" t="s">
        <v>511</v>
      </c>
      <c r="E288" s="539" t="s">
        <v>6</v>
      </c>
      <c r="F288" s="540">
        <v>9726045.7400000002</v>
      </c>
      <c r="G288" s="465">
        <f>G289+G292+G295+G301+G298</f>
        <v>37602759.850000001</v>
      </c>
      <c r="H288" s="440">
        <f>H289+H292+H295+H301+H298</f>
        <v>12620574.139999997</v>
      </c>
      <c r="I288" s="440">
        <f>I289+I292+I295+I301+I298</f>
        <v>8938369</v>
      </c>
      <c r="J288" s="465">
        <f>J289+J292+J295+J301+J298</f>
        <v>9414506.0600000005</v>
      </c>
      <c r="K288" s="465">
        <f>K289+K292+K295+K301+K298</f>
        <v>8214506.0599999996</v>
      </c>
      <c r="L288" s="436">
        <f t="shared" si="44"/>
        <v>-1200000.0000000009</v>
      </c>
      <c r="M288" s="498">
        <f t="shared" si="46"/>
        <v>25.036742243269146</v>
      </c>
    </row>
    <row r="289" spans="1:13" ht="56.25" customHeight="1" outlineLevel="1" x14ac:dyDescent="0.3">
      <c r="A289" s="438" t="s">
        <v>512</v>
      </c>
      <c r="B289" s="439" t="s">
        <v>500</v>
      </c>
      <c r="C289" s="439" t="s">
        <v>62</v>
      </c>
      <c r="D289" s="539" t="s">
        <v>513</v>
      </c>
      <c r="E289" s="539" t="s">
        <v>6</v>
      </c>
      <c r="F289" s="540">
        <v>1296863.18</v>
      </c>
      <c r="G289" s="465">
        <f t="shared" ref="G289:K290" si="49">G290</f>
        <v>2660000</v>
      </c>
      <c r="H289" s="440">
        <f t="shared" si="49"/>
        <v>1833684.4</v>
      </c>
      <c r="I289" s="440">
        <f t="shared" si="49"/>
        <v>2738369</v>
      </c>
      <c r="J289" s="465">
        <f t="shared" si="49"/>
        <v>2170900</v>
      </c>
      <c r="K289" s="465">
        <f t="shared" si="49"/>
        <v>2170900</v>
      </c>
      <c r="L289" s="436">
        <f t="shared" si="44"/>
        <v>0</v>
      </c>
      <c r="M289" s="498">
        <f t="shared" si="46"/>
        <v>81.612781954887211</v>
      </c>
    </row>
    <row r="290" spans="1:13" ht="34" outlineLevel="1" x14ac:dyDescent="0.3">
      <c r="A290" s="438" t="s">
        <v>15</v>
      </c>
      <c r="B290" s="439" t="s">
        <v>500</v>
      </c>
      <c r="C290" s="439" t="s">
        <v>62</v>
      </c>
      <c r="D290" s="539" t="s">
        <v>513</v>
      </c>
      <c r="E290" s="539" t="s">
        <v>16</v>
      </c>
      <c r="F290" s="540">
        <v>1296863.18</v>
      </c>
      <c r="G290" s="465">
        <f t="shared" si="49"/>
        <v>2660000</v>
      </c>
      <c r="H290" s="370">
        <v>1833684.4</v>
      </c>
      <c r="I290" s="440">
        <f t="shared" si="49"/>
        <v>2738369</v>
      </c>
      <c r="J290" s="465">
        <f t="shared" si="49"/>
        <v>2170900</v>
      </c>
      <c r="K290" s="465">
        <f t="shared" si="49"/>
        <v>2170900</v>
      </c>
      <c r="L290" s="436">
        <f t="shared" si="44"/>
        <v>0</v>
      </c>
      <c r="M290" s="498">
        <f t="shared" si="46"/>
        <v>81.612781954887211</v>
      </c>
    </row>
    <row r="291" spans="1:13" ht="34" outlineLevel="1" x14ac:dyDescent="0.3">
      <c r="A291" s="438" t="s">
        <v>17</v>
      </c>
      <c r="B291" s="439" t="s">
        <v>500</v>
      </c>
      <c r="C291" s="439" t="s">
        <v>62</v>
      </c>
      <c r="D291" s="539" t="s">
        <v>513</v>
      </c>
      <c r="E291" s="539" t="s">
        <v>18</v>
      </c>
      <c r="F291" s="540">
        <v>1296863.18</v>
      </c>
      <c r="G291" s="466">
        <f>[2]потребность!L287+160000+1000000</f>
        <v>2660000</v>
      </c>
      <c r="H291" s="370">
        <v>1833684.4</v>
      </c>
      <c r="I291" s="442">
        <f>'[2]прил 12'!F286</f>
        <v>2738369</v>
      </c>
      <c r="J291" s="466">
        <v>2170900</v>
      </c>
      <c r="K291" s="466">
        <v>2170900</v>
      </c>
      <c r="L291" s="436">
        <f t="shared" si="44"/>
        <v>0</v>
      </c>
      <c r="M291" s="498">
        <f t="shared" si="46"/>
        <v>81.612781954887211</v>
      </c>
    </row>
    <row r="292" spans="1:13" ht="38.25" customHeight="1" outlineLevel="1" x14ac:dyDescent="0.3">
      <c r="A292" s="438" t="s">
        <v>514</v>
      </c>
      <c r="B292" s="439" t="s">
        <v>500</v>
      </c>
      <c r="C292" s="439" t="s">
        <v>62</v>
      </c>
      <c r="D292" s="539" t="s">
        <v>515</v>
      </c>
      <c r="E292" s="539" t="s">
        <v>6</v>
      </c>
      <c r="F292" s="540">
        <v>3750776.94</v>
      </c>
      <c r="G292" s="465">
        <f t="shared" ref="G292:K293" si="50">G293</f>
        <v>5151000</v>
      </c>
      <c r="H292" s="440">
        <f t="shared" si="50"/>
        <v>4821119.8099999996</v>
      </c>
      <c r="I292" s="440">
        <f t="shared" si="50"/>
        <v>3700000</v>
      </c>
      <c r="J292" s="465">
        <f t="shared" si="50"/>
        <v>3348000</v>
      </c>
      <c r="K292" s="465">
        <f t="shared" si="50"/>
        <v>2848000</v>
      </c>
      <c r="L292" s="436">
        <f t="shared" si="44"/>
        <v>-500000</v>
      </c>
      <c r="M292" s="498">
        <f t="shared" si="46"/>
        <v>64.99708794408852</v>
      </c>
    </row>
    <row r="293" spans="1:13" ht="34" outlineLevel="1" x14ac:dyDescent="0.3">
      <c r="A293" s="438" t="s">
        <v>15</v>
      </c>
      <c r="B293" s="439" t="s">
        <v>500</v>
      </c>
      <c r="C293" s="439" t="s">
        <v>62</v>
      </c>
      <c r="D293" s="539" t="s">
        <v>515</v>
      </c>
      <c r="E293" s="539" t="s">
        <v>16</v>
      </c>
      <c r="F293" s="540">
        <v>3750776.94</v>
      </c>
      <c r="G293" s="465">
        <f t="shared" si="50"/>
        <v>5151000</v>
      </c>
      <c r="H293" s="370">
        <v>4821119.8099999996</v>
      </c>
      <c r="I293" s="440">
        <f t="shared" si="50"/>
        <v>3700000</v>
      </c>
      <c r="J293" s="465">
        <f t="shared" si="50"/>
        <v>3348000</v>
      </c>
      <c r="K293" s="465">
        <f t="shared" si="50"/>
        <v>2848000</v>
      </c>
      <c r="L293" s="436">
        <f t="shared" si="44"/>
        <v>-500000</v>
      </c>
      <c r="M293" s="498">
        <f t="shared" si="46"/>
        <v>64.99708794408852</v>
      </c>
    </row>
    <row r="294" spans="1:13" ht="34" outlineLevel="1" x14ac:dyDescent="0.3">
      <c r="A294" s="438" t="s">
        <v>17</v>
      </c>
      <c r="B294" s="439" t="s">
        <v>500</v>
      </c>
      <c r="C294" s="439" t="s">
        <v>62</v>
      </c>
      <c r="D294" s="539" t="s">
        <v>515</v>
      </c>
      <c r="E294" s="539" t="s">
        <v>18</v>
      </c>
      <c r="F294" s="540">
        <v>3750776.94</v>
      </c>
      <c r="G294" s="466">
        <f>3621000+1530000</f>
        <v>5151000</v>
      </c>
      <c r="H294" s="370">
        <v>4821119.8099999996</v>
      </c>
      <c r="I294" s="442">
        <f>'[2]прил 12'!F289</f>
        <v>3700000</v>
      </c>
      <c r="J294" s="466">
        <v>3348000</v>
      </c>
      <c r="K294" s="466">
        <f>3348000-500000</f>
        <v>2848000</v>
      </c>
      <c r="L294" s="436">
        <f t="shared" si="44"/>
        <v>-500000</v>
      </c>
      <c r="M294" s="498">
        <f t="shared" si="46"/>
        <v>64.99708794408852</v>
      </c>
    </row>
    <row r="295" spans="1:13" ht="34" outlineLevel="1" x14ac:dyDescent="0.3">
      <c r="A295" s="438" t="s">
        <v>516</v>
      </c>
      <c r="B295" s="439" t="s">
        <v>500</v>
      </c>
      <c r="C295" s="439" t="s">
        <v>62</v>
      </c>
      <c r="D295" s="539" t="s">
        <v>517</v>
      </c>
      <c r="E295" s="539" t="s">
        <v>6</v>
      </c>
      <c r="F295" s="540">
        <v>4678405.62</v>
      </c>
      <c r="G295" s="465">
        <f t="shared" ref="G295:K296" si="51">G296</f>
        <v>24862435</v>
      </c>
      <c r="H295" s="440">
        <f t="shared" si="51"/>
        <v>1843383.7</v>
      </c>
      <c r="I295" s="440">
        <f t="shared" si="51"/>
        <v>2500000</v>
      </c>
      <c r="J295" s="465">
        <f t="shared" si="51"/>
        <v>3835000</v>
      </c>
      <c r="K295" s="465">
        <f t="shared" si="51"/>
        <v>3135000</v>
      </c>
      <c r="L295" s="436">
        <f t="shared" si="44"/>
        <v>-700000</v>
      </c>
      <c r="M295" s="498">
        <f t="shared" si="46"/>
        <v>15.424876927782817</v>
      </c>
    </row>
    <row r="296" spans="1:13" ht="34" outlineLevel="1" x14ac:dyDescent="0.3">
      <c r="A296" s="438" t="s">
        <v>15</v>
      </c>
      <c r="B296" s="439" t="s">
        <v>500</v>
      </c>
      <c r="C296" s="439" t="s">
        <v>62</v>
      </c>
      <c r="D296" s="539" t="s">
        <v>517</v>
      </c>
      <c r="E296" s="539" t="s">
        <v>16</v>
      </c>
      <c r="F296" s="540">
        <v>4678405.62</v>
      </c>
      <c r="G296" s="465">
        <f t="shared" si="51"/>
        <v>24862435</v>
      </c>
      <c r="H296" s="370">
        <v>1843383.7</v>
      </c>
      <c r="I296" s="440">
        <f t="shared" si="51"/>
        <v>2500000</v>
      </c>
      <c r="J296" s="465">
        <f t="shared" si="51"/>
        <v>3835000</v>
      </c>
      <c r="K296" s="465">
        <f t="shared" si="51"/>
        <v>3135000</v>
      </c>
      <c r="L296" s="436">
        <f t="shared" si="44"/>
        <v>-700000</v>
      </c>
      <c r="M296" s="498">
        <f t="shared" si="46"/>
        <v>15.424876927782817</v>
      </c>
    </row>
    <row r="297" spans="1:13" ht="34" outlineLevel="1" x14ac:dyDescent="0.3">
      <c r="A297" s="438" t="s">
        <v>17</v>
      </c>
      <c r="B297" s="439" t="s">
        <v>500</v>
      </c>
      <c r="C297" s="439" t="s">
        <v>62</v>
      </c>
      <c r="D297" s="539" t="s">
        <v>517</v>
      </c>
      <c r="E297" s="539" t="s">
        <v>18</v>
      </c>
      <c r="F297" s="540">
        <v>4678405.62</v>
      </c>
      <c r="G297" s="466">
        <f>[2]потребность!L293-3000000+22186435</f>
        <v>24862435</v>
      </c>
      <c r="H297" s="370">
        <v>1843383.7</v>
      </c>
      <c r="I297" s="442">
        <f>'[2]прил 12'!F292</f>
        <v>2500000</v>
      </c>
      <c r="J297" s="466">
        <v>3835000</v>
      </c>
      <c r="K297" s="466">
        <f>3835000-500000-200000</f>
        <v>3135000</v>
      </c>
      <c r="L297" s="436">
        <f t="shared" si="44"/>
        <v>-700000</v>
      </c>
      <c r="M297" s="498">
        <f t="shared" si="46"/>
        <v>15.424876927782817</v>
      </c>
    </row>
    <row r="298" spans="1:13" ht="34" outlineLevel="1" x14ac:dyDescent="0.3">
      <c r="A298" s="438" t="s">
        <v>706</v>
      </c>
      <c r="B298" s="439" t="s">
        <v>500</v>
      </c>
      <c r="C298" s="439" t="s">
        <v>62</v>
      </c>
      <c r="D298" s="539" t="s">
        <v>916</v>
      </c>
      <c r="E298" s="539" t="s">
        <v>6</v>
      </c>
      <c r="F298" s="539"/>
      <c r="G298" s="466">
        <f>G299</f>
        <v>4868718.79</v>
      </c>
      <c r="H298" s="442">
        <f>H299</f>
        <v>4081162.36</v>
      </c>
      <c r="I298" s="442">
        <v>0</v>
      </c>
      <c r="J298" s="509">
        <v>0</v>
      </c>
      <c r="K298" s="509">
        <v>0</v>
      </c>
      <c r="L298" s="436">
        <f t="shared" si="44"/>
        <v>0</v>
      </c>
      <c r="M298" s="498">
        <f t="shared" si="46"/>
        <v>0</v>
      </c>
    </row>
    <row r="299" spans="1:13" ht="34" outlineLevel="1" x14ac:dyDescent="0.3">
      <c r="A299" s="438" t="s">
        <v>15</v>
      </c>
      <c r="B299" s="439" t="s">
        <v>500</v>
      </c>
      <c r="C299" s="439" t="s">
        <v>62</v>
      </c>
      <c r="D299" s="539" t="s">
        <v>916</v>
      </c>
      <c r="E299" s="539" t="s">
        <v>16</v>
      </c>
      <c r="F299" s="539"/>
      <c r="G299" s="466">
        <f>G300</f>
        <v>4868718.79</v>
      </c>
      <c r="H299" s="373">
        <v>4081162.36</v>
      </c>
      <c r="I299" s="442">
        <v>0</v>
      </c>
      <c r="J299" s="466">
        <v>0</v>
      </c>
      <c r="K299" s="466">
        <v>0</v>
      </c>
      <c r="L299" s="436">
        <f t="shared" si="44"/>
        <v>0</v>
      </c>
      <c r="M299" s="498">
        <f t="shared" si="46"/>
        <v>0</v>
      </c>
    </row>
    <row r="300" spans="1:13" ht="34" outlineLevel="1" x14ac:dyDescent="0.3">
      <c r="A300" s="438" t="s">
        <v>17</v>
      </c>
      <c r="B300" s="439" t="s">
        <v>500</v>
      </c>
      <c r="C300" s="439" t="s">
        <v>62</v>
      </c>
      <c r="D300" s="539" t="s">
        <v>916</v>
      </c>
      <c r="E300" s="539" t="s">
        <v>18</v>
      </c>
      <c r="F300" s="539"/>
      <c r="G300" s="466">
        <f>6000000-1131281.21</f>
        <v>4868718.79</v>
      </c>
      <c r="H300" s="373">
        <v>4081162.36</v>
      </c>
      <c r="I300" s="442">
        <v>0</v>
      </c>
      <c r="J300" s="510"/>
      <c r="K300" s="510"/>
      <c r="L300" s="436">
        <f t="shared" si="44"/>
        <v>0</v>
      </c>
      <c r="M300" s="498">
        <f t="shared" si="46"/>
        <v>0</v>
      </c>
    </row>
    <row r="301" spans="1:13" ht="34" outlineLevel="1" x14ac:dyDescent="0.3">
      <c r="A301" s="438" t="s">
        <v>682</v>
      </c>
      <c r="B301" s="439" t="s">
        <v>500</v>
      </c>
      <c r="C301" s="439" t="s">
        <v>62</v>
      </c>
      <c r="D301" s="539" t="s">
        <v>874</v>
      </c>
      <c r="E301" s="539" t="s">
        <v>6</v>
      </c>
      <c r="F301" s="539"/>
      <c r="G301" s="465">
        <f>G302</f>
        <v>60606.06</v>
      </c>
      <c r="H301" s="440">
        <f>H302</f>
        <v>41223.870000000003</v>
      </c>
      <c r="I301" s="440">
        <v>0</v>
      </c>
      <c r="J301" s="465">
        <f>J302</f>
        <v>60606.06</v>
      </c>
      <c r="K301" s="465">
        <f>K302</f>
        <v>60606.06</v>
      </c>
      <c r="L301" s="436">
        <f t="shared" si="44"/>
        <v>0</v>
      </c>
      <c r="M301" s="498">
        <f t="shared" si="46"/>
        <v>99.999999999999986</v>
      </c>
    </row>
    <row r="302" spans="1:13" ht="34" outlineLevel="1" x14ac:dyDescent="0.3">
      <c r="A302" s="438" t="s">
        <v>15</v>
      </c>
      <c r="B302" s="439" t="s">
        <v>500</v>
      </c>
      <c r="C302" s="439" t="s">
        <v>62</v>
      </c>
      <c r="D302" s="539" t="s">
        <v>874</v>
      </c>
      <c r="E302" s="539" t="s">
        <v>16</v>
      </c>
      <c r="F302" s="539"/>
      <c r="G302" s="465">
        <f>G303</f>
        <v>60606.06</v>
      </c>
      <c r="H302" s="373">
        <v>41223.870000000003</v>
      </c>
      <c r="I302" s="440">
        <v>0</v>
      </c>
      <c r="J302" s="465">
        <f>J303</f>
        <v>60606.06</v>
      </c>
      <c r="K302" s="465">
        <f>K303</f>
        <v>60606.06</v>
      </c>
      <c r="L302" s="436">
        <f t="shared" si="44"/>
        <v>0</v>
      </c>
      <c r="M302" s="498">
        <f t="shared" si="46"/>
        <v>99.999999999999986</v>
      </c>
    </row>
    <row r="303" spans="1:13" ht="34" outlineLevel="1" x14ac:dyDescent="0.3">
      <c r="A303" s="438" t="s">
        <v>17</v>
      </c>
      <c r="B303" s="439" t="s">
        <v>500</v>
      </c>
      <c r="C303" s="439" t="s">
        <v>62</v>
      </c>
      <c r="D303" s="539" t="s">
        <v>874</v>
      </c>
      <c r="E303" s="539" t="s">
        <v>18</v>
      </c>
      <c r="F303" s="539"/>
      <c r="G303" s="466">
        <f>62000-1393.94</f>
        <v>60606.06</v>
      </c>
      <c r="H303" s="373">
        <v>41223.870000000003</v>
      </c>
      <c r="I303" s="442">
        <v>0</v>
      </c>
      <c r="J303" s="466">
        <v>60606.06</v>
      </c>
      <c r="K303" s="466">
        <v>60606.06</v>
      </c>
      <c r="L303" s="436">
        <f t="shared" si="44"/>
        <v>0</v>
      </c>
      <c r="M303" s="498">
        <f t="shared" si="46"/>
        <v>99.999999999999986</v>
      </c>
    </row>
    <row r="304" spans="1:13" s="449" customFormat="1" ht="67.95" outlineLevel="1" x14ac:dyDescent="0.3">
      <c r="A304" s="444" t="s">
        <v>518</v>
      </c>
      <c r="B304" s="445" t="s">
        <v>500</v>
      </c>
      <c r="C304" s="445" t="s">
        <v>62</v>
      </c>
      <c r="D304" s="541" t="s">
        <v>519</v>
      </c>
      <c r="E304" s="541" t="s">
        <v>6</v>
      </c>
      <c r="F304" s="542">
        <v>15876002.58</v>
      </c>
      <c r="G304" s="465">
        <f>G305+G313</f>
        <v>15345827.210000001</v>
      </c>
      <c r="H304" s="440">
        <f>H305+H313</f>
        <v>12358989.689999999</v>
      </c>
      <c r="I304" s="440">
        <f>I305+I313</f>
        <v>19974076.27</v>
      </c>
      <c r="J304" s="465">
        <f>J305+J313</f>
        <v>13175249.5</v>
      </c>
      <c r="K304" s="465">
        <f>K305+K313</f>
        <v>12951393.68</v>
      </c>
      <c r="L304" s="436">
        <f t="shared" si="44"/>
        <v>-223855.8200000003</v>
      </c>
      <c r="M304" s="498">
        <f t="shared" si="46"/>
        <v>85.85558353879054</v>
      </c>
    </row>
    <row r="305" spans="1:13" s="449" customFormat="1" ht="50.95" outlineLevel="1" x14ac:dyDescent="0.3">
      <c r="A305" s="444" t="s">
        <v>550</v>
      </c>
      <c r="B305" s="445" t="s">
        <v>500</v>
      </c>
      <c r="C305" s="445" t="s">
        <v>62</v>
      </c>
      <c r="D305" s="541" t="s">
        <v>551</v>
      </c>
      <c r="E305" s="541" t="s">
        <v>6</v>
      </c>
      <c r="F305" s="540">
        <v>8247922.1500000004</v>
      </c>
      <c r="G305" s="465">
        <f>G306+G310</f>
        <v>6967934.4000000004</v>
      </c>
      <c r="H305" s="440">
        <f>H306+H310</f>
        <v>3981096.88</v>
      </c>
      <c r="I305" s="440">
        <f>I306+I310</f>
        <v>6616389.0700000003</v>
      </c>
      <c r="J305" s="465">
        <f>J306+J310</f>
        <v>6968867.6299999999</v>
      </c>
      <c r="K305" s="465">
        <f>K306+K310</f>
        <v>6968867.6299999999</v>
      </c>
      <c r="L305" s="436">
        <f t="shared" si="44"/>
        <v>0</v>
      </c>
      <c r="M305" s="498">
        <f t="shared" si="46"/>
        <v>100.01339320875351</v>
      </c>
    </row>
    <row r="306" spans="1:13" ht="34" outlineLevel="1" x14ac:dyDescent="0.3">
      <c r="A306" s="438" t="s">
        <v>549</v>
      </c>
      <c r="B306" s="439" t="s">
        <v>500</v>
      </c>
      <c r="C306" s="439" t="s">
        <v>62</v>
      </c>
      <c r="D306" s="539" t="s">
        <v>552</v>
      </c>
      <c r="E306" s="539" t="s">
        <v>6</v>
      </c>
      <c r="F306" s="540">
        <v>8247922.1500000004</v>
      </c>
      <c r="G306" s="465">
        <f t="shared" ref="G306:K308" si="52">G307</f>
        <v>6616389.0600000005</v>
      </c>
      <c r="H306" s="440">
        <f t="shared" si="52"/>
        <v>3981096.88</v>
      </c>
      <c r="I306" s="440">
        <f t="shared" si="52"/>
        <v>6616389.0700000003</v>
      </c>
      <c r="J306" s="465">
        <f t="shared" si="52"/>
        <v>6968867.6299999999</v>
      </c>
      <c r="K306" s="465">
        <f t="shared" si="52"/>
        <v>6968867.6299999999</v>
      </c>
      <c r="L306" s="436">
        <f t="shared" si="44"/>
        <v>0</v>
      </c>
      <c r="M306" s="498">
        <f t="shared" si="46"/>
        <v>105.32735555306054</v>
      </c>
    </row>
    <row r="307" spans="1:13" ht="34" outlineLevel="1" x14ac:dyDescent="0.3">
      <c r="A307" s="438" t="s">
        <v>548</v>
      </c>
      <c r="B307" s="439" t="s">
        <v>500</v>
      </c>
      <c r="C307" s="439" t="s">
        <v>62</v>
      </c>
      <c r="D307" s="539" t="s">
        <v>553</v>
      </c>
      <c r="E307" s="539" t="s">
        <v>6</v>
      </c>
      <c r="F307" s="540">
        <v>6850012.1100000003</v>
      </c>
      <c r="G307" s="465">
        <f t="shared" si="52"/>
        <v>6616389.0600000005</v>
      </c>
      <c r="H307" s="440">
        <f t="shared" si="52"/>
        <v>3981096.88</v>
      </c>
      <c r="I307" s="440">
        <f t="shared" si="52"/>
        <v>6616389.0700000003</v>
      </c>
      <c r="J307" s="513">
        <f t="shared" si="52"/>
        <v>6968867.6299999999</v>
      </c>
      <c r="K307" s="513">
        <f t="shared" si="52"/>
        <v>6968867.6299999999</v>
      </c>
      <c r="L307" s="436">
        <f t="shared" si="44"/>
        <v>0</v>
      </c>
      <c r="M307" s="498">
        <f t="shared" si="46"/>
        <v>105.32735555306054</v>
      </c>
    </row>
    <row r="308" spans="1:13" ht="34" outlineLevel="1" x14ac:dyDescent="0.3">
      <c r="A308" s="438" t="s">
        <v>15</v>
      </c>
      <c r="B308" s="439" t="s">
        <v>500</v>
      </c>
      <c r="C308" s="439" t="s">
        <v>62</v>
      </c>
      <c r="D308" s="539" t="s">
        <v>553</v>
      </c>
      <c r="E308" s="539" t="s">
        <v>16</v>
      </c>
      <c r="F308" s="540">
        <v>6850012.1100000003</v>
      </c>
      <c r="G308" s="465">
        <f t="shared" si="52"/>
        <v>6616389.0600000005</v>
      </c>
      <c r="H308" s="370">
        <v>3981096.88</v>
      </c>
      <c r="I308" s="440">
        <f t="shared" si="52"/>
        <v>6616389.0700000003</v>
      </c>
      <c r="J308" s="465">
        <f t="shared" si="52"/>
        <v>6968867.6299999999</v>
      </c>
      <c r="K308" s="465">
        <f t="shared" si="52"/>
        <v>6968867.6299999999</v>
      </c>
      <c r="L308" s="436">
        <f t="shared" si="44"/>
        <v>0</v>
      </c>
      <c r="M308" s="498">
        <f t="shared" si="46"/>
        <v>105.32735555306054</v>
      </c>
    </row>
    <row r="309" spans="1:13" ht="34" outlineLevel="1" x14ac:dyDescent="0.3">
      <c r="A309" s="438" t="s">
        <v>17</v>
      </c>
      <c r="B309" s="439" t="s">
        <v>500</v>
      </c>
      <c r="C309" s="439" t="s">
        <v>62</v>
      </c>
      <c r="D309" s="539" t="s">
        <v>553</v>
      </c>
      <c r="E309" s="539" t="s">
        <v>18</v>
      </c>
      <c r="F309" s="540">
        <v>6850012.1100000003</v>
      </c>
      <c r="G309" s="465">
        <f>6583307.11+33081.96-0.01</f>
        <v>6616389.0600000005</v>
      </c>
      <c r="H309" s="370">
        <v>3981096.88</v>
      </c>
      <c r="I309" s="440">
        <f>'[2]прил 12'!F298</f>
        <v>6616389.0700000003</v>
      </c>
      <c r="J309" s="510">
        <f>33081.95+6935785.68</f>
        <v>6968867.6299999999</v>
      </c>
      <c r="K309" s="510">
        <f>33081.95+6935785.68</f>
        <v>6968867.6299999999</v>
      </c>
      <c r="L309" s="436">
        <f t="shared" si="44"/>
        <v>0</v>
      </c>
      <c r="M309" s="498">
        <f t="shared" si="46"/>
        <v>105.32735555306054</v>
      </c>
    </row>
    <row r="310" spans="1:13" ht="50.95" outlineLevel="1" x14ac:dyDescent="0.3">
      <c r="A310" s="397" t="s">
        <v>680</v>
      </c>
      <c r="B310" s="439" t="s">
        <v>500</v>
      </c>
      <c r="C310" s="439" t="s">
        <v>62</v>
      </c>
      <c r="D310" s="539" t="s">
        <v>724</v>
      </c>
      <c r="E310" s="539" t="s">
        <v>6</v>
      </c>
      <c r="F310" s="540">
        <v>1397910.04</v>
      </c>
      <c r="G310" s="465">
        <f>G311</f>
        <v>351545.34</v>
      </c>
      <c r="H310" s="440">
        <f>H311</f>
        <v>0</v>
      </c>
      <c r="I310" s="440">
        <v>0</v>
      </c>
      <c r="J310" s="465">
        <v>0</v>
      </c>
      <c r="K310" s="465">
        <v>0</v>
      </c>
      <c r="L310" s="436">
        <f t="shared" si="44"/>
        <v>0</v>
      </c>
      <c r="M310" s="498">
        <f t="shared" si="46"/>
        <v>0</v>
      </c>
    </row>
    <row r="311" spans="1:13" ht="34" outlineLevel="1" x14ac:dyDescent="0.3">
      <c r="A311" s="438" t="s">
        <v>15</v>
      </c>
      <c r="B311" s="439" t="s">
        <v>500</v>
      </c>
      <c r="C311" s="439" t="s">
        <v>62</v>
      </c>
      <c r="D311" s="539" t="s">
        <v>724</v>
      </c>
      <c r="E311" s="539" t="s">
        <v>16</v>
      </c>
      <c r="F311" s="540">
        <v>1397910.04</v>
      </c>
      <c r="G311" s="465">
        <f>G312</f>
        <v>351545.34</v>
      </c>
      <c r="H311" s="442">
        <v>0</v>
      </c>
      <c r="I311" s="440">
        <v>0</v>
      </c>
      <c r="J311" s="465">
        <v>0</v>
      </c>
      <c r="K311" s="465">
        <v>0</v>
      </c>
      <c r="L311" s="436">
        <f t="shared" si="44"/>
        <v>0</v>
      </c>
      <c r="M311" s="498">
        <f t="shared" si="46"/>
        <v>0</v>
      </c>
    </row>
    <row r="312" spans="1:13" ht="34" outlineLevel="1" x14ac:dyDescent="0.3">
      <c r="A312" s="438" t="s">
        <v>17</v>
      </c>
      <c r="B312" s="439" t="s">
        <v>500</v>
      </c>
      <c r="C312" s="439" t="s">
        <v>62</v>
      </c>
      <c r="D312" s="539" t="s">
        <v>724</v>
      </c>
      <c r="E312" s="539" t="s">
        <v>18</v>
      </c>
      <c r="F312" s="540">
        <v>1397910.04</v>
      </c>
      <c r="G312" s="465">
        <f>215859.46+109286.29+26399.58+0.01</f>
        <v>351545.34</v>
      </c>
      <c r="H312" s="442">
        <v>0</v>
      </c>
      <c r="I312" s="440">
        <v>0</v>
      </c>
      <c r="J312" s="466">
        <v>0</v>
      </c>
      <c r="K312" s="466">
        <v>0</v>
      </c>
      <c r="L312" s="436">
        <f t="shared" si="44"/>
        <v>0</v>
      </c>
      <c r="M312" s="498">
        <f t="shared" si="46"/>
        <v>0</v>
      </c>
    </row>
    <row r="313" spans="1:13" s="449" customFormat="1" ht="50.95" outlineLevel="1" x14ac:dyDescent="0.3">
      <c r="A313" s="458" t="s">
        <v>554</v>
      </c>
      <c r="B313" s="439" t="s">
        <v>500</v>
      </c>
      <c r="C313" s="439" t="s">
        <v>62</v>
      </c>
      <c r="D313" s="541" t="s">
        <v>556</v>
      </c>
      <c r="E313" s="541" t="s">
        <v>6</v>
      </c>
      <c r="F313" s="541"/>
      <c r="G313" s="465">
        <f t="shared" ref="G313:K319" si="53">G314</f>
        <v>8377892.8099999996</v>
      </c>
      <c r="H313" s="440">
        <f t="shared" si="53"/>
        <v>8377892.8099999996</v>
      </c>
      <c r="I313" s="440">
        <f t="shared" si="53"/>
        <v>13357687.199999999</v>
      </c>
      <c r="J313" s="465">
        <f t="shared" si="53"/>
        <v>6206381.8700000001</v>
      </c>
      <c r="K313" s="465">
        <f t="shared" si="53"/>
        <v>5982526.0499999998</v>
      </c>
      <c r="L313" s="436">
        <f t="shared" si="44"/>
        <v>-223855.8200000003</v>
      </c>
      <c r="M313" s="498">
        <f t="shared" si="46"/>
        <v>74.080464034965388</v>
      </c>
    </row>
    <row r="314" spans="1:13" s="449" customFormat="1" ht="34" outlineLevel="1" x14ac:dyDescent="0.3">
      <c r="A314" s="458" t="s">
        <v>555</v>
      </c>
      <c r="B314" s="439" t="s">
        <v>500</v>
      </c>
      <c r="C314" s="439" t="s">
        <v>62</v>
      </c>
      <c r="D314" s="541" t="s">
        <v>557</v>
      </c>
      <c r="E314" s="541" t="s">
        <v>6</v>
      </c>
      <c r="F314" s="540">
        <v>7628080.4299999997</v>
      </c>
      <c r="G314" s="508">
        <f>G315+G318+G321</f>
        <v>8377892.8099999996</v>
      </c>
      <c r="H314" s="446">
        <f>H315+H318+H321</f>
        <v>8377892.8099999996</v>
      </c>
      <c r="I314" s="446">
        <f>I315+I318+I321</f>
        <v>13357687.199999999</v>
      </c>
      <c r="J314" s="508">
        <f>J315+J318+J321</f>
        <v>6206381.8700000001</v>
      </c>
      <c r="K314" s="508">
        <f>K315+K318+K321</f>
        <v>5982526.0499999998</v>
      </c>
      <c r="L314" s="436">
        <f t="shared" si="44"/>
        <v>-223855.8200000003</v>
      </c>
      <c r="M314" s="498">
        <f t="shared" si="46"/>
        <v>74.080464034965388</v>
      </c>
    </row>
    <row r="315" spans="1:13" s="449" customFormat="1" ht="57.25" customHeight="1" outlineLevel="1" x14ac:dyDescent="0.3">
      <c r="A315" s="397" t="s">
        <v>565</v>
      </c>
      <c r="B315" s="439" t="s">
        <v>500</v>
      </c>
      <c r="C315" s="439" t="s">
        <v>62</v>
      </c>
      <c r="D315" s="539" t="s">
        <v>587</v>
      </c>
      <c r="E315" s="539" t="s">
        <v>6</v>
      </c>
      <c r="F315" s="540">
        <v>6501429.3700000001</v>
      </c>
      <c r="G315" s="465">
        <f t="shared" ref="G315:K316" si="54">G316</f>
        <v>6855579.5599999996</v>
      </c>
      <c r="H315" s="440">
        <f t="shared" si="54"/>
        <v>6855579.5599999996</v>
      </c>
      <c r="I315" s="440">
        <f t="shared" si="54"/>
        <v>12956956.59</v>
      </c>
      <c r="J315" s="513">
        <f t="shared" si="54"/>
        <v>5803050.2599999998</v>
      </c>
      <c r="K315" s="513">
        <f t="shared" si="54"/>
        <v>5803050.2599999998</v>
      </c>
      <c r="L315" s="436">
        <f t="shared" si="44"/>
        <v>0</v>
      </c>
      <c r="M315" s="498">
        <f t="shared" si="46"/>
        <v>84.647114211303816</v>
      </c>
    </row>
    <row r="316" spans="1:13" s="449" customFormat="1" ht="34" outlineLevel="1" x14ac:dyDescent="0.3">
      <c r="A316" s="438" t="s">
        <v>15</v>
      </c>
      <c r="B316" s="439" t="s">
        <v>500</v>
      </c>
      <c r="C316" s="439" t="s">
        <v>62</v>
      </c>
      <c r="D316" s="539" t="s">
        <v>587</v>
      </c>
      <c r="E316" s="539" t="s">
        <v>16</v>
      </c>
      <c r="F316" s="540">
        <v>6501429.3700000001</v>
      </c>
      <c r="G316" s="465">
        <f t="shared" si="54"/>
        <v>6855579.5599999996</v>
      </c>
      <c r="H316" s="370">
        <v>6855579.5599999996</v>
      </c>
      <c r="I316" s="440">
        <f t="shared" si="54"/>
        <v>12956956.59</v>
      </c>
      <c r="J316" s="465">
        <f t="shared" si="54"/>
        <v>5803050.2599999998</v>
      </c>
      <c r="K316" s="465">
        <f t="shared" si="54"/>
        <v>5803050.2599999998</v>
      </c>
      <c r="L316" s="436">
        <f t="shared" si="44"/>
        <v>0</v>
      </c>
      <c r="M316" s="498">
        <f t="shared" si="46"/>
        <v>84.647114211303816</v>
      </c>
    </row>
    <row r="317" spans="1:13" s="449" customFormat="1" ht="34" outlineLevel="1" x14ac:dyDescent="0.3">
      <c r="A317" s="438" t="s">
        <v>17</v>
      </c>
      <c r="B317" s="439" t="s">
        <v>500</v>
      </c>
      <c r="C317" s="439" t="s">
        <v>62</v>
      </c>
      <c r="D317" s="539" t="s">
        <v>587</v>
      </c>
      <c r="E317" s="539" t="s">
        <v>18</v>
      </c>
      <c r="F317" s="540">
        <v>6501429.3700000001</v>
      </c>
      <c r="G317" s="465">
        <v>6855579.5599999996</v>
      </c>
      <c r="H317" s="370">
        <v>6855579.5599999996</v>
      </c>
      <c r="I317" s="440">
        <f>'[2]прил 12'!F306</f>
        <v>12956956.59</v>
      </c>
      <c r="J317" s="514">
        <v>5803050.2599999998</v>
      </c>
      <c r="K317" s="514">
        <v>5803050.2599999998</v>
      </c>
      <c r="L317" s="436">
        <f t="shared" si="44"/>
        <v>0</v>
      </c>
      <c r="M317" s="498">
        <f t="shared" si="46"/>
        <v>84.647114211303816</v>
      </c>
    </row>
    <row r="318" spans="1:13" ht="40.75" customHeight="1" outlineLevel="1" x14ac:dyDescent="0.3">
      <c r="A318" s="397" t="s">
        <v>559</v>
      </c>
      <c r="B318" s="439" t="s">
        <v>500</v>
      </c>
      <c r="C318" s="439" t="s">
        <v>62</v>
      </c>
      <c r="D318" s="539" t="s">
        <v>558</v>
      </c>
      <c r="E318" s="539" t="s">
        <v>6</v>
      </c>
      <c r="F318" s="540">
        <v>201075.14</v>
      </c>
      <c r="G318" s="465">
        <f t="shared" si="53"/>
        <v>212028.24</v>
      </c>
      <c r="H318" s="440">
        <f t="shared" si="53"/>
        <v>212028.24</v>
      </c>
      <c r="I318" s="440">
        <f t="shared" si="53"/>
        <v>400730.61</v>
      </c>
      <c r="J318" s="511">
        <f t="shared" si="53"/>
        <v>403331.61</v>
      </c>
      <c r="K318" s="511">
        <f t="shared" si="53"/>
        <v>179475.78999999998</v>
      </c>
      <c r="L318" s="436">
        <f t="shared" si="44"/>
        <v>-223855.82</v>
      </c>
      <c r="M318" s="498">
        <f t="shared" si="46"/>
        <v>190.2254199723584</v>
      </c>
    </row>
    <row r="319" spans="1:13" ht="34" outlineLevel="1" x14ac:dyDescent="0.3">
      <c r="A319" s="438" t="s">
        <v>15</v>
      </c>
      <c r="B319" s="439" t="s">
        <v>500</v>
      </c>
      <c r="C319" s="439" t="s">
        <v>62</v>
      </c>
      <c r="D319" s="539" t="s">
        <v>558</v>
      </c>
      <c r="E319" s="539" t="s">
        <v>16</v>
      </c>
      <c r="F319" s="540">
        <v>201075.14</v>
      </c>
      <c r="G319" s="465">
        <f t="shared" si="53"/>
        <v>212028.24</v>
      </c>
      <c r="H319" s="370">
        <v>212028.24</v>
      </c>
      <c r="I319" s="440">
        <f t="shared" si="53"/>
        <v>400730.61</v>
      </c>
      <c r="J319" s="511">
        <f t="shared" si="53"/>
        <v>403331.61</v>
      </c>
      <c r="K319" s="511">
        <f t="shared" si="53"/>
        <v>179475.78999999998</v>
      </c>
      <c r="L319" s="436">
        <f t="shared" si="44"/>
        <v>-223855.82</v>
      </c>
      <c r="M319" s="498">
        <f t="shared" si="46"/>
        <v>190.2254199723584</v>
      </c>
    </row>
    <row r="320" spans="1:13" ht="34" outlineLevel="1" x14ac:dyDescent="0.3">
      <c r="A320" s="438" t="s">
        <v>17</v>
      </c>
      <c r="B320" s="439" t="s">
        <v>500</v>
      </c>
      <c r="C320" s="439" t="s">
        <v>62</v>
      </c>
      <c r="D320" s="539" t="s">
        <v>558</v>
      </c>
      <c r="E320" s="539" t="s">
        <v>18</v>
      </c>
      <c r="F320" s="540">
        <v>201075.14</v>
      </c>
      <c r="G320" s="466">
        <f>403331.62-191303.38</f>
        <v>212028.24</v>
      </c>
      <c r="H320" s="370">
        <v>212028.24</v>
      </c>
      <c r="I320" s="442">
        <f>'[2]прил 12'!F309</f>
        <v>400730.61</v>
      </c>
      <c r="J320" s="512">
        <v>403331.61</v>
      </c>
      <c r="K320" s="512">
        <f>403331.61-223855.82</f>
        <v>179475.78999999998</v>
      </c>
      <c r="L320" s="436">
        <f t="shared" si="44"/>
        <v>-223855.82</v>
      </c>
      <c r="M320" s="498">
        <f t="shared" si="46"/>
        <v>190.2254199723584</v>
      </c>
    </row>
    <row r="321" spans="1:13" ht="50.95" outlineLevel="1" x14ac:dyDescent="0.3">
      <c r="A321" s="438" t="s">
        <v>680</v>
      </c>
      <c r="B321" s="439" t="s">
        <v>500</v>
      </c>
      <c r="C321" s="439" t="s">
        <v>62</v>
      </c>
      <c r="D321" s="539" t="s">
        <v>679</v>
      </c>
      <c r="E321" s="539" t="s">
        <v>6</v>
      </c>
      <c r="F321" s="540">
        <v>925575.92</v>
      </c>
      <c r="G321" s="465">
        <f>G322</f>
        <v>1310285.0099999998</v>
      </c>
      <c r="H321" s="440">
        <f>H322</f>
        <v>1310285.01</v>
      </c>
      <c r="I321" s="440">
        <v>0</v>
      </c>
      <c r="J321" s="465">
        <v>0</v>
      </c>
      <c r="K321" s="465">
        <v>0</v>
      </c>
      <c r="L321" s="436">
        <f t="shared" si="44"/>
        <v>0</v>
      </c>
      <c r="M321" s="498">
        <f t="shared" si="46"/>
        <v>0</v>
      </c>
    </row>
    <row r="322" spans="1:13" ht="34" outlineLevel="1" x14ac:dyDescent="0.3">
      <c r="A322" s="438" t="s">
        <v>15</v>
      </c>
      <c r="B322" s="439" t="s">
        <v>500</v>
      </c>
      <c r="C322" s="439" t="s">
        <v>62</v>
      </c>
      <c r="D322" s="539" t="s">
        <v>679</v>
      </c>
      <c r="E322" s="539" t="s">
        <v>16</v>
      </c>
      <c r="F322" s="540">
        <v>925575.92</v>
      </c>
      <c r="G322" s="465">
        <f>G323</f>
        <v>1310285.0099999998</v>
      </c>
      <c r="H322" s="370">
        <v>1310285.01</v>
      </c>
      <c r="I322" s="440">
        <v>0</v>
      </c>
      <c r="J322" s="465">
        <v>0</v>
      </c>
      <c r="K322" s="465">
        <v>0</v>
      </c>
      <c r="L322" s="436">
        <f t="shared" si="44"/>
        <v>0</v>
      </c>
      <c r="M322" s="498">
        <f t="shared" si="46"/>
        <v>0</v>
      </c>
    </row>
    <row r="323" spans="1:13" ht="38.25" customHeight="1" outlineLevel="1" x14ac:dyDescent="0.3">
      <c r="A323" s="438" t="s">
        <v>17</v>
      </c>
      <c r="B323" s="439" t="s">
        <v>500</v>
      </c>
      <c r="C323" s="439" t="s">
        <v>62</v>
      </c>
      <c r="D323" s="539" t="s">
        <v>679</v>
      </c>
      <c r="E323" s="539" t="s">
        <v>18</v>
      </c>
      <c r="F323" s="540">
        <v>925575.92</v>
      </c>
      <c r="G323" s="466">
        <f>[2]потребность!L313-7169178.83</f>
        <v>1310285.0099999998</v>
      </c>
      <c r="H323" s="370">
        <v>1310285.01</v>
      </c>
      <c r="I323" s="442">
        <v>0</v>
      </c>
      <c r="J323" s="466">
        <v>0</v>
      </c>
      <c r="K323" s="466">
        <v>0</v>
      </c>
      <c r="L323" s="436">
        <f t="shared" si="44"/>
        <v>0</v>
      </c>
      <c r="M323" s="498">
        <f t="shared" si="46"/>
        <v>0</v>
      </c>
    </row>
    <row r="324" spans="1:13" ht="34" outlineLevel="1" x14ac:dyDescent="0.3">
      <c r="A324" s="438" t="s">
        <v>292</v>
      </c>
      <c r="B324" s="439" t="s">
        <v>500</v>
      </c>
      <c r="C324" s="439" t="s">
        <v>293</v>
      </c>
      <c r="D324" s="539" t="s">
        <v>126</v>
      </c>
      <c r="E324" s="539" t="s">
        <v>6</v>
      </c>
      <c r="F324" s="540">
        <v>2418556.7000000002</v>
      </c>
      <c r="G324" s="466">
        <f t="shared" ref="G324:K325" si="55">G325</f>
        <v>7460868.7599999998</v>
      </c>
      <c r="H324" s="442">
        <f t="shared" si="55"/>
        <v>6020120.7999999998</v>
      </c>
      <c r="I324" s="442">
        <f t="shared" si="55"/>
        <v>300000</v>
      </c>
      <c r="J324" s="466">
        <f t="shared" si="55"/>
        <v>3059819.92</v>
      </c>
      <c r="K324" s="466">
        <f t="shared" si="55"/>
        <v>3059819.92</v>
      </c>
      <c r="L324" s="436">
        <f t="shared" si="44"/>
        <v>0</v>
      </c>
      <c r="M324" s="498">
        <f t="shared" si="46"/>
        <v>41.011576780503503</v>
      </c>
    </row>
    <row r="325" spans="1:13" ht="50.95" outlineLevel="1" x14ac:dyDescent="0.3">
      <c r="A325" s="444" t="s">
        <v>843</v>
      </c>
      <c r="B325" s="445" t="s">
        <v>500</v>
      </c>
      <c r="C325" s="445" t="s">
        <v>293</v>
      </c>
      <c r="D325" s="541" t="s">
        <v>134</v>
      </c>
      <c r="E325" s="541" t="s">
        <v>6</v>
      </c>
      <c r="F325" s="542">
        <v>2418556.7000000002</v>
      </c>
      <c r="G325" s="507">
        <f t="shared" si="55"/>
        <v>7460868.7599999998</v>
      </c>
      <c r="H325" s="448">
        <f t="shared" si="55"/>
        <v>6020120.7999999998</v>
      </c>
      <c r="I325" s="448">
        <f t="shared" si="55"/>
        <v>300000</v>
      </c>
      <c r="J325" s="507">
        <f t="shared" si="55"/>
        <v>3059819.92</v>
      </c>
      <c r="K325" s="507">
        <f t="shared" si="55"/>
        <v>3059819.92</v>
      </c>
      <c r="L325" s="436">
        <f t="shared" si="44"/>
        <v>0</v>
      </c>
      <c r="M325" s="498">
        <f t="shared" si="46"/>
        <v>41.011576780503503</v>
      </c>
    </row>
    <row r="326" spans="1:13" ht="50.95" outlineLevel="1" x14ac:dyDescent="0.3">
      <c r="A326" s="438" t="s">
        <v>844</v>
      </c>
      <c r="B326" s="439" t="s">
        <v>500</v>
      </c>
      <c r="C326" s="439" t="s">
        <v>293</v>
      </c>
      <c r="D326" s="539" t="s">
        <v>350</v>
      </c>
      <c r="E326" s="539" t="s">
        <v>6</v>
      </c>
      <c r="F326" s="540">
        <v>2418556.7000000002</v>
      </c>
      <c r="G326" s="466">
        <f>G327+G330</f>
        <v>7460868.7599999998</v>
      </c>
      <c r="H326" s="442">
        <f>H327+H330</f>
        <v>6020120.7999999998</v>
      </c>
      <c r="I326" s="442">
        <f>I327+I330</f>
        <v>300000</v>
      </c>
      <c r="J326" s="466">
        <f>J330+J327</f>
        <v>3059819.92</v>
      </c>
      <c r="K326" s="466">
        <f>K330+K327</f>
        <v>3059819.92</v>
      </c>
      <c r="L326" s="436">
        <f t="shared" si="44"/>
        <v>0</v>
      </c>
      <c r="M326" s="498">
        <f t="shared" si="46"/>
        <v>41.011576780503503</v>
      </c>
    </row>
    <row r="327" spans="1:13" ht="37.549999999999997" customHeight="1" outlineLevel="1" x14ac:dyDescent="0.3">
      <c r="A327" s="393" t="s">
        <v>563</v>
      </c>
      <c r="B327" s="439" t="s">
        <v>500</v>
      </c>
      <c r="C327" s="439" t="s">
        <v>293</v>
      </c>
      <c r="D327" s="539" t="s">
        <v>588</v>
      </c>
      <c r="E327" s="539" t="s">
        <v>6</v>
      </c>
      <c r="F327" s="540">
        <v>2346000</v>
      </c>
      <c r="G327" s="466">
        <f>G328</f>
        <v>7160868.7599999998</v>
      </c>
      <c r="H327" s="442">
        <f>H328</f>
        <v>5839517.1600000001</v>
      </c>
      <c r="I327" s="442">
        <v>0</v>
      </c>
      <c r="J327" s="509">
        <f>J328</f>
        <v>2759819.92</v>
      </c>
      <c r="K327" s="509">
        <f>K328</f>
        <v>2759819.92</v>
      </c>
      <c r="L327" s="436">
        <f t="shared" si="44"/>
        <v>0</v>
      </c>
      <c r="M327" s="498">
        <f t="shared" si="46"/>
        <v>38.540294655532826</v>
      </c>
    </row>
    <row r="328" spans="1:13" outlineLevel="1" x14ac:dyDescent="0.3">
      <c r="A328" s="438" t="s">
        <v>19</v>
      </c>
      <c r="B328" s="439" t="s">
        <v>500</v>
      </c>
      <c r="C328" s="439" t="s">
        <v>293</v>
      </c>
      <c r="D328" s="539" t="s">
        <v>588</v>
      </c>
      <c r="E328" s="539" t="s">
        <v>20</v>
      </c>
      <c r="F328" s="540">
        <v>2346000</v>
      </c>
      <c r="G328" s="466">
        <f>G329</f>
        <v>7160868.7599999998</v>
      </c>
      <c r="H328" s="370">
        <v>5839517.1600000001</v>
      </c>
      <c r="I328" s="442">
        <v>0</v>
      </c>
      <c r="J328" s="466">
        <f>J329</f>
        <v>2759819.92</v>
      </c>
      <c r="K328" s="466">
        <f>K329</f>
        <v>2759819.92</v>
      </c>
      <c r="L328" s="436">
        <f t="shared" ref="L328:L391" si="56">K328-J328</f>
        <v>0</v>
      </c>
      <c r="M328" s="498">
        <f t="shared" si="46"/>
        <v>38.540294655532826</v>
      </c>
    </row>
    <row r="329" spans="1:13" ht="50.95" outlineLevel="1" x14ac:dyDescent="0.3">
      <c r="A329" s="438" t="s">
        <v>47</v>
      </c>
      <c r="B329" s="439" t="s">
        <v>500</v>
      </c>
      <c r="C329" s="439" t="s">
        <v>293</v>
      </c>
      <c r="D329" s="539" t="s">
        <v>588</v>
      </c>
      <c r="E329" s="539" t="s">
        <v>48</v>
      </c>
      <c r="F329" s="540">
        <v>2346000</v>
      </c>
      <c r="G329" s="466">
        <v>7160868.7599999998</v>
      </c>
      <c r="H329" s="370">
        <v>5839517.1600000001</v>
      </c>
      <c r="I329" s="442">
        <v>0</v>
      </c>
      <c r="J329" s="466">
        <v>2759819.92</v>
      </c>
      <c r="K329" s="466">
        <v>2759819.92</v>
      </c>
      <c r="L329" s="436">
        <f t="shared" si="56"/>
        <v>0</v>
      </c>
      <c r="M329" s="498">
        <f t="shared" si="46"/>
        <v>38.540294655532826</v>
      </c>
    </row>
    <row r="330" spans="1:13" s="449" customFormat="1" ht="39.4" customHeight="1" outlineLevel="1" x14ac:dyDescent="0.3">
      <c r="A330" s="438" t="s">
        <v>306</v>
      </c>
      <c r="B330" s="439" t="s">
        <v>500</v>
      </c>
      <c r="C330" s="439" t="s">
        <v>293</v>
      </c>
      <c r="D330" s="539" t="s">
        <v>357</v>
      </c>
      <c r="E330" s="539" t="s">
        <v>6</v>
      </c>
      <c r="F330" s="540">
        <v>72556.7</v>
      </c>
      <c r="G330" s="466">
        <f t="shared" ref="G330:K331" si="57">G331</f>
        <v>300000</v>
      </c>
      <c r="H330" s="442">
        <f t="shared" si="57"/>
        <v>180603.64</v>
      </c>
      <c r="I330" s="442">
        <f t="shared" si="57"/>
        <v>300000</v>
      </c>
      <c r="J330" s="466">
        <f t="shared" si="57"/>
        <v>300000</v>
      </c>
      <c r="K330" s="466">
        <f t="shared" si="57"/>
        <v>300000</v>
      </c>
      <c r="L330" s="436">
        <f t="shared" si="56"/>
        <v>0</v>
      </c>
      <c r="M330" s="498">
        <f t="shared" si="46"/>
        <v>100</v>
      </c>
    </row>
    <row r="331" spans="1:13" outlineLevel="2" x14ac:dyDescent="0.3">
      <c r="A331" s="438" t="s">
        <v>19</v>
      </c>
      <c r="B331" s="439" t="s">
        <v>500</v>
      </c>
      <c r="C331" s="439" t="s">
        <v>293</v>
      </c>
      <c r="D331" s="539" t="s">
        <v>357</v>
      </c>
      <c r="E331" s="539" t="s">
        <v>20</v>
      </c>
      <c r="F331" s="540">
        <v>72556.7</v>
      </c>
      <c r="G331" s="466">
        <f t="shared" si="57"/>
        <v>300000</v>
      </c>
      <c r="H331" s="370">
        <v>180603.64</v>
      </c>
      <c r="I331" s="442">
        <f t="shared" si="57"/>
        <v>300000</v>
      </c>
      <c r="J331" s="466">
        <f t="shared" si="57"/>
        <v>300000</v>
      </c>
      <c r="K331" s="466">
        <f t="shared" si="57"/>
        <v>300000</v>
      </c>
      <c r="L331" s="436">
        <f t="shared" si="56"/>
        <v>0</v>
      </c>
      <c r="M331" s="498">
        <f t="shared" si="46"/>
        <v>100</v>
      </c>
    </row>
    <row r="332" spans="1:13" s="449" customFormat="1" ht="59.3" customHeight="1" outlineLevel="3" x14ac:dyDescent="0.3">
      <c r="A332" s="438" t="s">
        <v>47</v>
      </c>
      <c r="B332" s="439" t="s">
        <v>500</v>
      </c>
      <c r="C332" s="439" t="s">
        <v>293</v>
      </c>
      <c r="D332" s="539" t="s">
        <v>357</v>
      </c>
      <c r="E332" s="539" t="s">
        <v>48</v>
      </c>
      <c r="F332" s="540">
        <v>72556.7</v>
      </c>
      <c r="G332" s="466">
        <v>300000</v>
      </c>
      <c r="H332" s="370">
        <v>180603.64</v>
      </c>
      <c r="I332" s="442">
        <v>300000</v>
      </c>
      <c r="J332" s="507">
        <v>300000</v>
      </c>
      <c r="K332" s="507">
        <v>300000</v>
      </c>
      <c r="L332" s="436">
        <f t="shared" si="56"/>
        <v>0</v>
      </c>
      <c r="M332" s="498">
        <f t="shared" ref="M332:M395" si="58">J332/G332%</f>
        <v>100</v>
      </c>
    </row>
    <row r="333" spans="1:13" ht="27" customHeight="1" outlineLevel="3" x14ac:dyDescent="0.3">
      <c r="A333" s="444" t="s">
        <v>64</v>
      </c>
      <c r="B333" s="439" t="s">
        <v>500</v>
      </c>
      <c r="C333" s="445" t="s">
        <v>65</v>
      </c>
      <c r="D333" s="541" t="s">
        <v>126</v>
      </c>
      <c r="E333" s="541" t="s">
        <v>6</v>
      </c>
      <c r="F333" s="540">
        <v>514749.4</v>
      </c>
      <c r="G333" s="508">
        <f>G334</f>
        <v>555000</v>
      </c>
      <c r="H333" s="446">
        <f>H334</f>
        <v>53200</v>
      </c>
      <c r="I333" s="446">
        <f>I334</f>
        <v>515000</v>
      </c>
      <c r="J333" s="508">
        <f>J334</f>
        <v>515000</v>
      </c>
      <c r="K333" s="508">
        <f>K334</f>
        <v>515000</v>
      </c>
      <c r="L333" s="436">
        <f t="shared" si="56"/>
        <v>0</v>
      </c>
      <c r="M333" s="498">
        <f t="shared" si="58"/>
        <v>92.792792792792795</v>
      </c>
    </row>
    <row r="334" spans="1:13" ht="23.3" customHeight="1" outlineLevel="3" x14ac:dyDescent="0.3">
      <c r="A334" s="438" t="s">
        <v>66</v>
      </c>
      <c r="B334" s="439" t="s">
        <v>500</v>
      </c>
      <c r="C334" s="439" t="s">
        <v>67</v>
      </c>
      <c r="D334" s="539" t="s">
        <v>126</v>
      </c>
      <c r="E334" s="539" t="s">
        <v>6</v>
      </c>
      <c r="F334" s="540">
        <v>514749.4</v>
      </c>
      <c r="G334" s="465">
        <f>G335+G344</f>
        <v>555000</v>
      </c>
      <c r="H334" s="440">
        <f>H335+H344</f>
        <v>53200</v>
      </c>
      <c r="I334" s="440">
        <f>I335+I344</f>
        <v>515000</v>
      </c>
      <c r="J334" s="465">
        <f>J335+J344</f>
        <v>515000</v>
      </c>
      <c r="K334" s="465">
        <f>K335+K344</f>
        <v>515000</v>
      </c>
      <c r="L334" s="436">
        <f t="shared" si="56"/>
        <v>0</v>
      </c>
      <c r="M334" s="498">
        <f t="shared" si="58"/>
        <v>92.792792792792795</v>
      </c>
    </row>
    <row r="335" spans="1:13" ht="43.5" customHeight="1" outlineLevel="3" x14ac:dyDescent="0.3">
      <c r="A335" s="444" t="s">
        <v>841</v>
      </c>
      <c r="B335" s="445" t="s">
        <v>500</v>
      </c>
      <c r="C335" s="445" t="s">
        <v>67</v>
      </c>
      <c r="D335" s="541" t="s">
        <v>135</v>
      </c>
      <c r="E335" s="541" t="s">
        <v>6</v>
      </c>
      <c r="F335" s="542">
        <v>469935.4</v>
      </c>
      <c r="G335" s="508">
        <f>G336+G340</f>
        <v>470000</v>
      </c>
      <c r="H335" s="446">
        <f>H336+H340</f>
        <v>8200</v>
      </c>
      <c r="I335" s="446">
        <f>I336+I340</f>
        <v>470000</v>
      </c>
      <c r="J335" s="508">
        <f>J336+J340</f>
        <v>470000</v>
      </c>
      <c r="K335" s="508">
        <f>K336+K340</f>
        <v>470000</v>
      </c>
      <c r="L335" s="436">
        <f t="shared" si="56"/>
        <v>0</v>
      </c>
      <c r="M335" s="498">
        <f t="shared" si="58"/>
        <v>100</v>
      </c>
    </row>
    <row r="336" spans="1:13" ht="62.5" customHeight="1" outlineLevel="3" x14ac:dyDescent="0.3">
      <c r="A336" s="438" t="s">
        <v>842</v>
      </c>
      <c r="B336" s="439" t="s">
        <v>500</v>
      </c>
      <c r="C336" s="439" t="s">
        <v>67</v>
      </c>
      <c r="D336" s="539" t="s">
        <v>392</v>
      </c>
      <c r="E336" s="539" t="s">
        <v>6</v>
      </c>
      <c r="F336" s="540">
        <v>439940.4</v>
      </c>
      <c r="G336" s="465">
        <f t="shared" ref="G336:K338" si="59">G337</f>
        <v>440000</v>
      </c>
      <c r="H336" s="440">
        <f t="shared" si="59"/>
        <v>0</v>
      </c>
      <c r="I336" s="440">
        <f t="shared" si="59"/>
        <v>440000</v>
      </c>
      <c r="J336" s="465">
        <f t="shared" si="59"/>
        <v>440000</v>
      </c>
      <c r="K336" s="465">
        <f t="shared" si="59"/>
        <v>440000</v>
      </c>
      <c r="L336" s="436">
        <f t="shared" si="56"/>
        <v>0</v>
      </c>
      <c r="M336" s="498">
        <f t="shared" si="58"/>
        <v>100</v>
      </c>
    </row>
    <row r="337" spans="1:13" ht="30.25" customHeight="1" outlineLevel="7" x14ac:dyDescent="0.3">
      <c r="A337" s="438" t="s">
        <v>244</v>
      </c>
      <c r="B337" s="439" t="s">
        <v>500</v>
      </c>
      <c r="C337" s="439" t="s">
        <v>67</v>
      </c>
      <c r="D337" s="539" t="s">
        <v>361</v>
      </c>
      <c r="E337" s="539" t="s">
        <v>6</v>
      </c>
      <c r="F337" s="540">
        <v>439940.4</v>
      </c>
      <c r="G337" s="465">
        <f t="shared" si="59"/>
        <v>440000</v>
      </c>
      <c r="H337" s="440">
        <f t="shared" si="59"/>
        <v>0</v>
      </c>
      <c r="I337" s="440">
        <f t="shared" si="59"/>
        <v>440000</v>
      </c>
      <c r="J337" s="465">
        <f t="shared" si="59"/>
        <v>440000</v>
      </c>
      <c r="K337" s="465">
        <f t="shared" si="59"/>
        <v>440000</v>
      </c>
      <c r="L337" s="436">
        <f t="shared" si="56"/>
        <v>0</v>
      </c>
      <c r="M337" s="498">
        <f t="shared" si="58"/>
        <v>100</v>
      </c>
    </row>
    <row r="338" spans="1:13" ht="25.5" customHeight="1" outlineLevel="5" x14ac:dyDescent="0.3">
      <c r="A338" s="438" t="s">
        <v>15</v>
      </c>
      <c r="B338" s="439" t="s">
        <v>500</v>
      </c>
      <c r="C338" s="439" t="s">
        <v>67</v>
      </c>
      <c r="D338" s="539" t="s">
        <v>361</v>
      </c>
      <c r="E338" s="539" t="s">
        <v>16</v>
      </c>
      <c r="F338" s="540">
        <v>439940.4</v>
      </c>
      <c r="G338" s="465">
        <f t="shared" si="59"/>
        <v>440000</v>
      </c>
      <c r="H338" s="440">
        <v>0</v>
      </c>
      <c r="I338" s="440">
        <f t="shared" si="59"/>
        <v>440000</v>
      </c>
      <c r="J338" s="465">
        <f t="shared" si="59"/>
        <v>440000</v>
      </c>
      <c r="K338" s="465">
        <f t="shared" si="59"/>
        <v>440000</v>
      </c>
      <c r="L338" s="436">
        <f t="shared" si="56"/>
        <v>0</v>
      </c>
      <c r="M338" s="498">
        <f t="shared" si="58"/>
        <v>100</v>
      </c>
    </row>
    <row r="339" spans="1:13" ht="34" outlineLevel="6" x14ac:dyDescent="0.3">
      <c r="A339" s="438" t="s">
        <v>17</v>
      </c>
      <c r="B339" s="439" t="s">
        <v>500</v>
      </c>
      <c r="C339" s="439" t="s">
        <v>67</v>
      </c>
      <c r="D339" s="539" t="s">
        <v>361</v>
      </c>
      <c r="E339" s="539" t="s">
        <v>18</v>
      </c>
      <c r="F339" s="540">
        <v>439940.4</v>
      </c>
      <c r="G339" s="465">
        <v>440000</v>
      </c>
      <c r="H339" s="440">
        <v>0</v>
      </c>
      <c r="I339" s="440">
        <f>'[2]прил 12'!F331</f>
        <v>440000</v>
      </c>
      <c r="J339" s="466">
        <v>440000</v>
      </c>
      <c r="K339" s="466">
        <v>440000</v>
      </c>
      <c r="L339" s="436">
        <f t="shared" si="56"/>
        <v>0</v>
      </c>
      <c r="M339" s="498">
        <f t="shared" si="58"/>
        <v>100</v>
      </c>
    </row>
    <row r="340" spans="1:13" ht="44.5" customHeight="1" outlineLevel="7" x14ac:dyDescent="0.3">
      <c r="A340" s="438" t="s">
        <v>362</v>
      </c>
      <c r="B340" s="439" t="s">
        <v>500</v>
      </c>
      <c r="C340" s="439" t="s">
        <v>67</v>
      </c>
      <c r="D340" s="539" t="s">
        <v>246</v>
      </c>
      <c r="E340" s="539" t="s">
        <v>6</v>
      </c>
      <c r="F340" s="540">
        <v>29995</v>
      </c>
      <c r="G340" s="466">
        <f t="shared" ref="G340:K342" si="60">G341</f>
        <v>30000</v>
      </c>
      <c r="H340" s="442">
        <f t="shared" si="60"/>
        <v>8200</v>
      </c>
      <c r="I340" s="442">
        <f t="shared" si="60"/>
        <v>30000</v>
      </c>
      <c r="J340" s="466">
        <f t="shared" si="60"/>
        <v>30000</v>
      </c>
      <c r="K340" s="466">
        <f t="shared" si="60"/>
        <v>30000</v>
      </c>
      <c r="L340" s="436">
        <f t="shared" si="56"/>
        <v>0</v>
      </c>
      <c r="M340" s="498">
        <f t="shared" si="58"/>
        <v>100</v>
      </c>
    </row>
    <row r="341" spans="1:13" s="449" customFormat="1" ht="27" customHeight="1" outlineLevel="3" x14ac:dyDescent="0.3">
      <c r="A341" s="438" t="s">
        <v>68</v>
      </c>
      <c r="B341" s="439" t="s">
        <v>500</v>
      </c>
      <c r="C341" s="439" t="s">
        <v>67</v>
      </c>
      <c r="D341" s="539" t="s">
        <v>245</v>
      </c>
      <c r="E341" s="539" t="s">
        <v>6</v>
      </c>
      <c r="F341" s="540">
        <v>29995</v>
      </c>
      <c r="G341" s="465">
        <f t="shared" si="60"/>
        <v>30000</v>
      </c>
      <c r="H341" s="440">
        <f t="shared" si="60"/>
        <v>8200</v>
      </c>
      <c r="I341" s="440">
        <f t="shared" si="60"/>
        <v>30000</v>
      </c>
      <c r="J341" s="465">
        <f t="shared" si="60"/>
        <v>30000</v>
      </c>
      <c r="K341" s="465">
        <f t="shared" si="60"/>
        <v>30000</v>
      </c>
      <c r="L341" s="436">
        <f t="shared" si="56"/>
        <v>0</v>
      </c>
      <c r="M341" s="498">
        <f t="shared" si="58"/>
        <v>100</v>
      </c>
    </row>
    <row r="342" spans="1:13" ht="34" outlineLevel="5" x14ac:dyDescent="0.3">
      <c r="A342" s="438" t="s">
        <v>15</v>
      </c>
      <c r="B342" s="439" t="s">
        <v>500</v>
      </c>
      <c r="C342" s="439" t="s">
        <v>67</v>
      </c>
      <c r="D342" s="539" t="s">
        <v>245</v>
      </c>
      <c r="E342" s="539" t="s">
        <v>16</v>
      </c>
      <c r="F342" s="540">
        <v>29995</v>
      </c>
      <c r="G342" s="465">
        <f t="shared" si="60"/>
        <v>30000</v>
      </c>
      <c r="H342" s="370">
        <v>8200</v>
      </c>
      <c r="I342" s="440">
        <f t="shared" si="60"/>
        <v>30000</v>
      </c>
      <c r="J342" s="465">
        <f t="shared" si="60"/>
        <v>30000</v>
      </c>
      <c r="K342" s="465">
        <f t="shared" si="60"/>
        <v>30000</v>
      </c>
      <c r="L342" s="436">
        <f t="shared" si="56"/>
        <v>0</v>
      </c>
      <c r="M342" s="498">
        <f t="shared" si="58"/>
        <v>100</v>
      </c>
    </row>
    <row r="343" spans="1:13" ht="34" outlineLevel="5" x14ac:dyDescent="0.3">
      <c r="A343" s="438" t="s">
        <v>17</v>
      </c>
      <c r="B343" s="439" t="s">
        <v>500</v>
      </c>
      <c r="C343" s="439" t="s">
        <v>67</v>
      </c>
      <c r="D343" s="539" t="s">
        <v>245</v>
      </c>
      <c r="E343" s="539" t="s">
        <v>18</v>
      </c>
      <c r="F343" s="540">
        <v>29995</v>
      </c>
      <c r="G343" s="465">
        <v>30000</v>
      </c>
      <c r="H343" s="370">
        <v>8200</v>
      </c>
      <c r="I343" s="440">
        <f>'[2]прил 12'!F335</f>
        <v>30000</v>
      </c>
      <c r="J343" s="466">
        <v>30000</v>
      </c>
      <c r="K343" s="466">
        <v>30000</v>
      </c>
      <c r="L343" s="436">
        <f t="shared" si="56"/>
        <v>0</v>
      </c>
      <c r="M343" s="498">
        <f t="shared" si="58"/>
        <v>100</v>
      </c>
    </row>
    <row r="344" spans="1:13" ht="67.95" outlineLevel="6" x14ac:dyDescent="0.3">
      <c r="A344" s="444" t="s">
        <v>840</v>
      </c>
      <c r="B344" s="445" t="s">
        <v>500</v>
      </c>
      <c r="C344" s="445" t="s">
        <v>67</v>
      </c>
      <c r="D344" s="541" t="s">
        <v>363</v>
      </c>
      <c r="E344" s="541" t="s">
        <v>6</v>
      </c>
      <c r="F344" s="542">
        <v>44814</v>
      </c>
      <c r="G344" s="508">
        <f>G345</f>
        <v>85000</v>
      </c>
      <c r="H344" s="446">
        <f>H345</f>
        <v>45000</v>
      </c>
      <c r="I344" s="446">
        <f>I345</f>
        <v>45000</v>
      </c>
      <c r="J344" s="508">
        <f>J345</f>
        <v>45000</v>
      </c>
      <c r="K344" s="508">
        <f>K345</f>
        <v>45000</v>
      </c>
      <c r="L344" s="436">
        <f t="shared" si="56"/>
        <v>0</v>
      </c>
      <c r="M344" s="498">
        <f t="shared" si="58"/>
        <v>52.941176470588232</v>
      </c>
    </row>
    <row r="345" spans="1:13" ht="41.3" customHeight="1" outlineLevel="7" x14ac:dyDescent="0.3">
      <c r="A345" s="438" t="s">
        <v>364</v>
      </c>
      <c r="B345" s="439" t="s">
        <v>500</v>
      </c>
      <c r="C345" s="439" t="s">
        <v>67</v>
      </c>
      <c r="D345" s="539" t="s">
        <v>365</v>
      </c>
      <c r="E345" s="539" t="s">
        <v>6</v>
      </c>
      <c r="F345" s="540">
        <v>44814</v>
      </c>
      <c r="G345" s="465">
        <f>G347</f>
        <v>85000</v>
      </c>
      <c r="H345" s="440">
        <f>H347</f>
        <v>45000</v>
      </c>
      <c r="I345" s="440">
        <f t="shared" ref="I345:K347" si="61">I346</f>
        <v>45000</v>
      </c>
      <c r="J345" s="465">
        <f t="shared" si="61"/>
        <v>45000</v>
      </c>
      <c r="K345" s="465">
        <f t="shared" si="61"/>
        <v>45000</v>
      </c>
      <c r="L345" s="436">
        <f t="shared" si="56"/>
        <v>0</v>
      </c>
      <c r="M345" s="498">
        <f t="shared" si="58"/>
        <v>52.941176470588232</v>
      </c>
    </row>
    <row r="346" spans="1:13" s="449" customFormat="1" outlineLevel="1" x14ac:dyDescent="0.3">
      <c r="A346" s="438" t="s">
        <v>366</v>
      </c>
      <c r="B346" s="439" t="s">
        <v>500</v>
      </c>
      <c r="C346" s="439" t="s">
        <v>67</v>
      </c>
      <c r="D346" s="539" t="s">
        <v>367</v>
      </c>
      <c r="E346" s="539" t="s">
        <v>6</v>
      </c>
      <c r="F346" s="540">
        <v>44814</v>
      </c>
      <c r="G346" s="465">
        <f>G347</f>
        <v>85000</v>
      </c>
      <c r="H346" s="440">
        <f>H347</f>
        <v>45000</v>
      </c>
      <c r="I346" s="440">
        <f t="shared" si="61"/>
        <v>45000</v>
      </c>
      <c r="J346" s="465">
        <f t="shared" si="61"/>
        <v>45000</v>
      </c>
      <c r="K346" s="465">
        <f t="shared" si="61"/>
        <v>45000</v>
      </c>
      <c r="L346" s="436">
        <f t="shared" si="56"/>
        <v>0</v>
      </c>
      <c r="M346" s="498">
        <f t="shared" si="58"/>
        <v>52.941176470588232</v>
      </c>
    </row>
    <row r="347" spans="1:13" ht="34" outlineLevel="2" x14ac:dyDescent="0.3">
      <c r="A347" s="438" t="s">
        <v>15</v>
      </c>
      <c r="B347" s="439" t="s">
        <v>500</v>
      </c>
      <c r="C347" s="439" t="s">
        <v>67</v>
      </c>
      <c r="D347" s="539" t="s">
        <v>367</v>
      </c>
      <c r="E347" s="539" t="s">
        <v>16</v>
      </c>
      <c r="F347" s="540">
        <v>44814</v>
      </c>
      <c r="G347" s="465">
        <f>G348</f>
        <v>85000</v>
      </c>
      <c r="H347" s="371">
        <v>45000</v>
      </c>
      <c r="I347" s="440">
        <f t="shared" si="61"/>
        <v>45000</v>
      </c>
      <c r="J347" s="465">
        <f t="shared" si="61"/>
        <v>45000</v>
      </c>
      <c r="K347" s="465">
        <f t="shared" si="61"/>
        <v>45000</v>
      </c>
      <c r="L347" s="436">
        <f t="shared" si="56"/>
        <v>0</v>
      </c>
      <c r="M347" s="498">
        <f t="shared" si="58"/>
        <v>52.941176470588232</v>
      </c>
    </row>
    <row r="348" spans="1:13" s="449" customFormat="1" ht="34" outlineLevel="3" x14ac:dyDescent="0.3">
      <c r="A348" s="438" t="s">
        <v>17</v>
      </c>
      <c r="B348" s="439" t="s">
        <v>500</v>
      </c>
      <c r="C348" s="439" t="s">
        <v>67</v>
      </c>
      <c r="D348" s="539" t="s">
        <v>367</v>
      </c>
      <c r="E348" s="539" t="s">
        <v>18</v>
      </c>
      <c r="F348" s="540">
        <v>44814</v>
      </c>
      <c r="G348" s="466">
        <f>45000+40000</f>
        <v>85000</v>
      </c>
      <c r="H348" s="371">
        <v>45000</v>
      </c>
      <c r="I348" s="442">
        <f>'[2]прил 12'!F340</f>
        <v>45000</v>
      </c>
      <c r="J348" s="507">
        <v>45000</v>
      </c>
      <c r="K348" s="507">
        <v>45000</v>
      </c>
      <c r="L348" s="436">
        <f t="shared" si="56"/>
        <v>0</v>
      </c>
      <c r="M348" s="498">
        <f t="shared" si="58"/>
        <v>52.941176470588232</v>
      </c>
    </row>
    <row r="349" spans="1:13" outlineLevel="3" x14ac:dyDescent="0.3">
      <c r="A349" s="444" t="s">
        <v>69</v>
      </c>
      <c r="B349" s="445" t="s">
        <v>500</v>
      </c>
      <c r="C349" s="445" t="s">
        <v>70</v>
      </c>
      <c r="D349" s="541" t="s">
        <v>126</v>
      </c>
      <c r="E349" s="541" t="s">
        <v>6</v>
      </c>
      <c r="F349" s="540">
        <v>16476920</v>
      </c>
      <c r="G349" s="508">
        <f t="shared" ref="G349:K354" si="62">G350</f>
        <v>19091462.579999998</v>
      </c>
      <c r="H349" s="446">
        <f t="shared" si="62"/>
        <v>14464275.869999999</v>
      </c>
      <c r="I349" s="446">
        <f t="shared" si="62"/>
        <v>23510454.439999998</v>
      </c>
      <c r="J349" s="508">
        <f t="shared" si="62"/>
        <v>25296418.239999998</v>
      </c>
      <c r="K349" s="508">
        <f t="shared" si="62"/>
        <v>25296418.239999998</v>
      </c>
      <c r="L349" s="436">
        <f t="shared" si="56"/>
        <v>0</v>
      </c>
      <c r="M349" s="498">
        <f t="shared" si="58"/>
        <v>132.50120641097578</v>
      </c>
    </row>
    <row r="350" spans="1:13" outlineLevel="5" x14ac:dyDescent="0.3">
      <c r="A350" s="438" t="s">
        <v>257</v>
      </c>
      <c r="B350" s="439" t="s">
        <v>500</v>
      </c>
      <c r="C350" s="439" t="s">
        <v>256</v>
      </c>
      <c r="D350" s="539" t="s">
        <v>126</v>
      </c>
      <c r="E350" s="539" t="s">
        <v>6</v>
      </c>
      <c r="F350" s="540">
        <v>16476920</v>
      </c>
      <c r="G350" s="465">
        <f t="shared" si="62"/>
        <v>19091462.579999998</v>
      </c>
      <c r="H350" s="440">
        <f t="shared" si="62"/>
        <v>14464275.869999999</v>
      </c>
      <c r="I350" s="440">
        <f t="shared" si="62"/>
        <v>23510454.439999998</v>
      </c>
      <c r="J350" s="465">
        <f t="shared" si="62"/>
        <v>25296418.239999998</v>
      </c>
      <c r="K350" s="465">
        <f t="shared" si="62"/>
        <v>25296418.239999998</v>
      </c>
      <c r="L350" s="436">
        <f t="shared" si="56"/>
        <v>0</v>
      </c>
      <c r="M350" s="498">
        <f t="shared" si="58"/>
        <v>132.50120641097578</v>
      </c>
    </row>
    <row r="351" spans="1:13" ht="50.95" outlineLevel="6" x14ac:dyDescent="0.3">
      <c r="A351" s="444" t="s">
        <v>839</v>
      </c>
      <c r="B351" s="445" t="s">
        <v>500</v>
      </c>
      <c r="C351" s="445" t="s">
        <v>256</v>
      </c>
      <c r="D351" s="541" t="s">
        <v>136</v>
      </c>
      <c r="E351" s="541" t="s">
        <v>6</v>
      </c>
      <c r="F351" s="542">
        <v>16476920</v>
      </c>
      <c r="G351" s="508">
        <f>G352+G359</f>
        <v>19091462.579999998</v>
      </c>
      <c r="H351" s="446">
        <f>H352+H359</f>
        <v>14464275.869999999</v>
      </c>
      <c r="I351" s="446">
        <f>I352+I359+I366</f>
        <v>23510454.439999998</v>
      </c>
      <c r="J351" s="508">
        <f>J352+J359+J366</f>
        <v>25296418.239999998</v>
      </c>
      <c r="K351" s="508">
        <f>K352+K359+K366</f>
        <v>25296418.239999998</v>
      </c>
      <c r="L351" s="436">
        <f t="shared" si="56"/>
        <v>0</v>
      </c>
      <c r="M351" s="498">
        <f t="shared" si="58"/>
        <v>132.50120641097578</v>
      </c>
    </row>
    <row r="352" spans="1:13" ht="34" outlineLevel="7" x14ac:dyDescent="0.3">
      <c r="A352" s="438" t="s">
        <v>368</v>
      </c>
      <c r="B352" s="439" t="s">
        <v>500</v>
      </c>
      <c r="C352" s="439" t="s">
        <v>256</v>
      </c>
      <c r="D352" s="539" t="s">
        <v>228</v>
      </c>
      <c r="E352" s="539" t="s">
        <v>6</v>
      </c>
      <c r="F352" s="540">
        <v>16476920</v>
      </c>
      <c r="G352" s="465">
        <f>G353+G356+G363</f>
        <v>19091462.579999998</v>
      </c>
      <c r="H352" s="440">
        <f>H353+H356+H363</f>
        <v>14464275.869999999</v>
      </c>
      <c r="I352" s="440">
        <f>I353+I356+I363</f>
        <v>19052341.359999999</v>
      </c>
      <c r="J352" s="465">
        <f>J353+J356+J363</f>
        <v>20792637.34</v>
      </c>
      <c r="K352" s="465">
        <f>K353+K356+K363</f>
        <v>20792637.34</v>
      </c>
      <c r="L352" s="436">
        <f t="shared" si="56"/>
        <v>0</v>
      </c>
      <c r="M352" s="498">
        <f t="shared" si="58"/>
        <v>108.91065706920817</v>
      </c>
    </row>
    <row r="353" spans="1:13" ht="50.95" outlineLevel="7" x14ac:dyDescent="0.3">
      <c r="A353" s="438" t="s">
        <v>73</v>
      </c>
      <c r="B353" s="439" t="s">
        <v>500</v>
      </c>
      <c r="C353" s="439" t="s">
        <v>256</v>
      </c>
      <c r="D353" s="539" t="s">
        <v>137</v>
      </c>
      <c r="E353" s="539" t="s">
        <v>6</v>
      </c>
      <c r="F353" s="540">
        <v>16476920</v>
      </c>
      <c r="G353" s="465">
        <f t="shared" si="62"/>
        <v>18193102.579999998</v>
      </c>
      <c r="H353" s="440">
        <f t="shared" si="62"/>
        <v>13952527.77</v>
      </c>
      <c r="I353" s="440">
        <f t="shared" si="62"/>
        <v>18953228.359999999</v>
      </c>
      <c r="J353" s="465">
        <f t="shared" si="62"/>
        <v>20693524.34</v>
      </c>
      <c r="K353" s="465">
        <f t="shared" si="62"/>
        <v>20693524.34</v>
      </c>
      <c r="L353" s="436">
        <f t="shared" si="56"/>
        <v>0</v>
      </c>
      <c r="M353" s="498">
        <f t="shared" si="58"/>
        <v>113.74378970824229</v>
      </c>
    </row>
    <row r="354" spans="1:13" ht="34" outlineLevel="7" x14ac:dyDescent="0.3">
      <c r="A354" s="438" t="s">
        <v>37</v>
      </c>
      <c r="B354" s="439" t="s">
        <v>500</v>
      </c>
      <c r="C354" s="439" t="s">
        <v>256</v>
      </c>
      <c r="D354" s="539" t="s">
        <v>137</v>
      </c>
      <c r="E354" s="539" t="s">
        <v>38</v>
      </c>
      <c r="F354" s="540">
        <v>16476920</v>
      </c>
      <c r="G354" s="465">
        <f t="shared" si="62"/>
        <v>18193102.579999998</v>
      </c>
      <c r="H354" s="370">
        <v>13952527.77</v>
      </c>
      <c r="I354" s="440">
        <f t="shared" si="62"/>
        <v>18953228.359999999</v>
      </c>
      <c r="J354" s="465">
        <f t="shared" si="62"/>
        <v>20693524.34</v>
      </c>
      <c r="K354" s="465">
        <f t="shared" si="62"/>
        <v>20693524.34</v>
      </c>
      <c r="L354" s="436">
        <f t="shared" si="56"/>
        <v>0</v>
      </c>
      <c r="M354" s="498">
        <f t="shared" si="58"/>
        <v>113.74378970824229</v>
      </c>
    </row>
    <row r="355" spans="1:13" outlineLevel="7" x14ac:dyDescent="0.3">
      <c r="A355" s="438" t="s">
        <v>74</v>
      </c>
      <c r="B355" s="439" t="s">
        <v>500</v>
      </c>
      <c r="C355" s="439" t="s">
        <v>256</v>
      </c>
      <c r="D355" s="539" t="s">
        <v>137</v>
      </c>
      <c r="E355" s="539" t="s">
        <v>75</v>
      </c>
      <c r="F355" s="540">
        <v>16476920</v>
      </c>
      <c r="G355" s="465">
        <f>[2]потребность!I348</f>
        <v>18193102.579999998</v>
      </c>
      <c r="H355" s="370">
        <v>13952527.77</v>
      </c>
      <c r="I355" s="440">
        <f>'[2]прил 12'!F347</f>
        <v>18953228.359999999</v>
      </c>
      <c r="J355" s="466">
        <v>20693524.34</v>
      </c>
      <c r="K355" s="466">
        <v>20693524.34</v>
      </c>
      <c r="L355" s="436">
        <f t="shared" si="56"/>
        <v>0</v>
      </c>
      <c r="M355" s="498">
        <f t="shared" si="58"/>
        <v>113.74378970824229</v>
      </c>
    </row>
    <row r="356" spans="1:13" ht="77.95" customHeight="1" outlineLevel="7" x14ac:dyDescent="0.3">
      <c r="A356" s="438" t="s">
        <v>710</v>
      </c>
      <c r="B356" s="439" t="s">
        <v>500</v>
      </c>
      <c r="C356" s="439" t="s">
        <v>256</v>
      </c>
      <c r="D356" s="539" t="s">
        <v>711</v>
      </c>
      <c r="E356" s="539" t="s">
        <v>6</v>
      </c>
      <c r="F356" s="539" t="s">
        <v>976</v>
      </c>
      <c r="G356" s="465">
        <f t="shared" ref="G356:K357" si="63">G357</f>
        <v>98360</v>
      </c>
      <c r="H356" s="440">
        <f t="shared" si="63"/>
        <v>0</v>
      </c>
      <c r="I356" s="440">
        <f t="shared" si="63"/>
        <v>99113</v>
      </c>
      <c r="J356" s="465">
        <f t="shared" si="63"/>
        <v>99113</v>
      </c>
      <c r="K356" s="465">
        <f t="shared" si="63"/>
        <v>99113</v>
      </c>
      <c r="L356" s="436">
        <f t="shared" si="56"/>
        <v>0</v>
      </c>
      <c r="M356" s="498">
        <f t="shared" si="58"/>
        <v>100.76555510370069</v>
      </c>
    </row>
    <row r="357" spans="1:13" s="449" customFormat="1" ht="34" outlineLevel="1" x14ac:dyDescent="0.3">
      <c r="A357" s="438" t="s">
        <v>37</v>
      </c>
      <c r="B357" s="439" t="s">
        <v>500</v>
      </c>
      <c r="C357" s="439" t="s">
        <v>256</v>
      </c>
      <c r="D357" s="539" t="s">
        <v>711</v>
      </c>
      <c r="E357" s="539" t="s">
        <v>38</v>
      </c>
      <c r="F357" s="539" t="s">
        <v>976</v>
      </c>
      <c r="G357" s="465">
        <f t="shared" si="63"/>
        <v>98360</v>
      </c>
      <c r="H357" s="440">
        <v>0</v>
      </c>
      <c r="I357" s="440">
        <f t="shared" si="63"/>
        <v>99113</v>
      </c>
      <c r="J357" s="465">
        <f t="shared" si="63"/>
        <v>99113</v>
      </c>
      <c r="K357" s="465">
        <f t="shared" si="63"/>
        <v>99113</v>
      </c>
      <c r="L357" s="436">
        <f t="shared" si="56"/>
        <v>0</v>
      </c>
      <c r="M357" s="498">
        <f t="shared" si="58"/>
        <v>100.76555510370069</v>
      </c>
    </row>
    <row r="358" spans="1:13" ht="16.5" customHeight="1" outlineLevel="2" x14ac:dyDescent="0.3">
      <c r="A358" s="438" t="s">
        <v>74</v>
      </c>
      <c r="B358" s="439" t="s">
        <v>500</v>
      </c>
      <c r="C358" s="439" t="s">
        <v>256</v>
      </c>
      <c r="D358" s="539" t="s">
        <v>711</v>
      </c>
      <c r="E358" s="539" t="s">
        <v>75</v>
      </c>
      <c r="F358" s="539" t="s">
        <v>976</v>
      </c>
      <c r="G358" s="465">
        <v>98360</v>
      </c>
      <c r="H358" s="440">
        <v>0</v>
      </c>
      <c r="I358" s="440">
        <v>99113</v>
      </c>
      <c r="J358" s="466">
        <v>99113</v>
      </c>
      <c r="K358" s="466">
        <v>99113</v>
      </c>
      <c r="L358" s="436">
        <f t="shared" si="56"/>
        <v>0</v>
      </c>
      <c r="M358" s="498">
        <f t="shared" si="58"/>
        <v>100.76555510370069</v>
      </c>
    </row>
    <row r="359" spans="1:13" s="449" customFormat="1" ht="31.75" customHeight="1" outlineLevel="3" x14ac:dyDescent="0.3">
      <c r="A359" s="458" t="s">
        <v>597</v>
      </c>
      <c r="B359" s="460" t="s">
        <v>500</v>
      </c>
      <c r="C359" s="460" t="s">
        <v>256</v>
      </c>
      <c r="D359" s="545" t="s">
        <v>1008</v>
      </c>
      <c r="E359" s="546" t="s">
        <v>6</v>
      </c>
      <c r="F359" s="546"/>
      <c r="G359" s="465">
        <f>G360</f>
        <v>0</v>
      </c>
      <c r="H359" s="440">
        <v>0</v>
      </c>
      <c r="I359" s="440">
        <v>0</v>
      </c>
      <c r="J359" s="516"/>
      <c r="K359" s="516"/>
      <c r="L359" s="436">
        <f t="shared" si="56"/>
        <v>0</v>
      </c>
      <c r="M359" s="498"/>
    </row>
    <row r="360" spans="1:13" ht="93.75" customHeight="1" outlineLevel="3" x14ac:dyDescent="0.3">
      <c r="A360" s="438" t="s">
        <v>1009</v>
      </c>
      <c r="B360" s="461" t="s">
        <v>500</v>
      </c>
      <c r="C360" s="461" t="s">
        <v>256</v>
      </c>
      <c r="D360" s="545" t="s">
        <v>1008</v>
      </c>
      <c r="E360" s="545" t="s">
        <v>6</v>
      </c>
      <c r="F360" s="545"/>
      <c r="G360" s="465">
        <f>G361</f>
        <v>0</v>
      </c>
      <c r="H360" s="440">
        <v>0</v>
      </c>
      <c r="I360" s="440">
        <v>0</v>
      </c>
      <c r="J360" s="466"/>
      <c r="K360" s="466"/>
      <c r="L360" s="436">
        <f t="shared" si="56"/>
        <v>0</v>
      </c>
      <c r="M360" s="498"/>
    </row>
    <row r="361" spans="1:13" ht="34" outlineLevel="7" x14ac:dyDescent="0.3">
      <c r="A361" s="438" t="s">
        <v>37</v>
      </c>
      <c r="B361" s="461" t="s">
        <v>500</v>
      </c>
      <c r="C361" s="461" t="s">
        <v>256</v>
      </c>
      <c r="D361" s="545" t="s">
        <v>1008</v>
      </c>
      <c r="E361" s="545" t="s">
        <v>38</v>
      </c>
      <c r="F361" s="545"/>
      <c r="G361" s="465">
        <f>G362</f>
        <v>0</v>
      </c>
      <c r="H361" s="440">
        <v>0</v>
      </c>
      <c r="I361" s="440">
        <v>0</v>
      </c>
      <c r="J361" s="466"/>
      <c r="K361" s="466"/>
      <c r="L361" s="436">
        <f t="shared" si="56"/>
        <v>0</v>
      </c>
      <c r="M361" s="498"/>
    </row>
    <row r="362" spans="1:13" outlineLevel="7" x14ac:dyDescent="0.3">
      <c r="A362" s="438" t="s">
        <v>74</v>
      </c>
      <c r="B362" s="439" t="s">
        <v>500</v>
      </c>
      <c r="C362" s="439" t="s">
        <v>256</v>
      </c>
      <c r="D362" s="539" t="s">
        <v>521</v>
      </c>
      <c r="E362" s="539" t="s">
        <v>75</v>
      </c>
      <c r="F362" s="539" t="s">
        <v>976</v>
      </c>
      <c r="G362" s="465">
        <v>0</v>
      </c>
      <c r="H362" s="440">
        <v>0</v>
      </c>
      <c r="I362" s="440">
        <v>0</v>
      </c>
      <c r="J362" s="466"/>
      <c r="K362" s="466"/>
      <c r="L362" s="436">
        <f t="shared" si="56"/>
        <v>0</v>
      </c>
      <c r="M362" s="498"/>
    </row>
    <row r="363" spans="1:13" ht="50.95" outlineLevel="7" x14ac:dyDescent="0.3">
      <c r="A363" s="462" t="s">
        <v>937</v>
      </c>
      <c r="B363" s="439" t="s">
        <v>500</v>
      </c>
      <c r="C363" s="439" t="s">
        <v>256</v>
      </c>
      <c r="D363" s="533">
        <v>292270100</v>
      </c>
      <c r="E363" s="539" t="s">
        <v>6</v>
      </c>
      <c r="F363" s="539" t="s">
        <v>976</v>
      </c>
      <c r="G363" s="465">
        <f>G364</f>
        <v>800000</v>
      </c>
      <c r="H363" s="440">
        <f>H364</f>
        <v>511748.1</v>
      </c>
      <c r="I363" s="440">
        <v>0</v>
      </c>
      <c r="J363" s="465">
        <v>0</v>
      </c>
      <c r="K363" s="465">
        <v>0</v>
      </c>
      <c r="L363" s="436">
        <f t="shared" si="56"/>
        <v>0</v>
      </c>
      <c r="M363" s="498">
        <f t="shared" si="58"/>
        <v>0</v>
      </c>
    </row>
    <row r="364" spans="1:13" ht="34" outlineLevel="7" x14ac:dyDescent="0.3">
      <c r="A364" s="438" t="s">
        <v>37</v>
      </c>
      <c r="B364" s="439" t="s">
        <v>500</v>
      </c>
      <c r="C364" s="439" t="s">
        <v>256</v>
      </c>
      <c r="D364" s="533">
        <v>292270100</v>
      </c>
      <c r="E364" s="539" t="s">
        <v>38</v>
      </c>
      <c r="F364" s="539" t="s">
        <v>976</v>
      </c>
      <c r="G364" s="465">
        <f>G365</f>
        <v>800000</v>
      </c>
      <c r="H364" s="370">
        <v>511748.1</v>
      </c>
      <c r="I364" s="440">
        <v>0</v>
      </c>
      <c r="J364" s="465">
        <v>0</v>
      </c>
      <c r="K364" s="465">
        <v>0</v>
      </c>
      <c r="L364" s="436">
        <f t="shared" si="56"/>
        <v>0</v>
      </c>
      <c r="M364" s="498">
        <f t="shared" si="58"/>
        <v>0</v>
      </c>
    </row>
    <row r="365" spans="1:13" outlineLevel="7" x14ac:dyDescent="0.3">
      <c r="A365" s="438" t="s">
        <v>74</v>
      </c>
      <c r="B365" s="439" t="s">
        <v>500</v>
      </c>
      <c r="C365" s="439" t="s">
        <v>256</v>
      </c>
      <c r="D365" s="533">
        <v>292270100</v>
      </c>
      <c r="E365" s="539" t="s">
        <v>75</v>
      </c>
      <c r="F365" s="539" t="s">
        <v>976</v>
      </c>
      <c r="G365" s="465">
        <f>500000+300000</f>
        <v>800000</v>
      </c>
      <c r="H365" s="370">
        <v>511748.1</v>
      </c>
      <c r="I365" s="440">
        <v>0</v>
      </c>
      <c r="J365" s="465">
        <v>0</v>
      </c>
      <c r="K365" s="465">
        <v>0</v>
      </c>
      <c r="L365" s="436">
        <f t="shared" si="56"/>
        <v>0</v>
      </c>
      <c r="M365" s="498">
        <f t="shared" si="58"/>
        <v>0</v>
      </c>
    </row>
    <row r="366" spans="1:13" outlineLevel="7" x14ac:dyDescent="0.3">
      <c r="A366" s="458" t="s">
        <v>597</v>
      </c>
      <c r="B366" s="445" t="s">
        <v>500</v>
      </c>
      <c r="C366" s="445" t="s">
        <v>256</v>
      </c>
      <c r="D366" s="541" t="s">
        <v>598</v>
      </c>
      <c r="E366" s="547" t="s">
        <v>6</v>
      </c>
      <c r="F366" s="547" t="s">
        <v>976</v>
      </c>
      <c r="G366" s="466">
        <v>0</v>
      </c>
      <c r="H366" s="442">
        <v>0</v>
      </c>
      <c r="I366" s="440">
        <f t="shared" ref="I366:K368" si="64">I367</f>
        <v>4458113.08</v>
      </c>
      <c r="J366" s="465">
        <f t="shared" si="64"/>
        <v>4503780.8999999994</v>
      </c>
      <c r="K366" s="465">
        <f t="shared" si="64"/>
        <v>4503780.8999999994</v>
      </c>
      <c r="L366" s="436">
        <f t="shared" si="56"/>
        <v>0</v>
      </c>
      <c r="M366" s="498"/>
    </row>
    <row r="367" spans="1:13" ht="84.9" outlineLevel="7" x14ac:dyDescent="0.3">
      <c r="A367" s="438" t="s">
        <v>575</v>
      </c>
      <c r="B367" s="439" t="s">
        <v>500</v>
      </c>
      <c r="C367" s="439" t="s">
        <v>256</v>
      </c>
      <c r="D367" s="539" t="s">
        <v>599</v>
      </c>
      <c r="E367" s="548" t="s">
        <v>6</v>
      </c>
      <c r="F367" s="548" t="s">
        <v>976</v>
      </c>
      <c r="G367" s="466">
        <v>0</v>
      </c>
      <c r="H367" s="442">
        <v>0</v>
      </c>
      <c r="I367" s="440">
        <f t="shared" si="64"/>
        <v>4458113.08</v>
      </c>
      <c r="J367" s="513">
        <f t="shared" si="64"/>
        <v>4503780.8999999994</v>
      </c>
      <c r="K367" s="513">
        <f t="shared" si="64"/>
        <v>4503780.8999999994</v>
      </c>
      <c r="L367" s="436">
        <f t="shared" si="56"/>
        <v>0</v>
      </c>
      <c r="M367" s="498"/>
    </row>
    <row r="368" spans="1:13" ht="34" outlineLevel="7" x14ac:dyDescent="0.3">
      <c r="A368" s="438" t="s">
        <v>37</v>
      </c>
      <c r="B368" s="439" t="s">
        <v>500</v>
      </c>
      <c r="C368" s="439" t="s">
        <v>256</v>
      </c>
      <c r="D368" s="539" t="s">
        <v>599</v>
      </c>
      <c r="E368" s="548" t="s">
        <v>38</v>
      </c>
      <c r="F368" s="548" t="s">
        <v>976</v>
      </c>
      <c r="G368" s="466">
        <v>0</v>
      </c>
      <c r="H368" s="442">
        <v>0</v>
      </c>
      <c r="I368" s="440">
        <f t="shared" si="64"/>
        <v>4458113.08</v>
      </c>
      <c r="J368" s="465">
        <f t="shared" si="64"/>
        <v>4503780.8999999994</v>
      </c>
      <c r="K368" s="465">
        <f t="shared" si="64"/>
        <v>4503780.8999999994</v>
      </c>
      <c r="L368" s="436">
        <f t="shared" si="56"/>
        <v>0</v>
      </c>
      <c r="M368" s="498"/>
    </row>
    <row r="369" spans="1:13" outlineLevel="7" x14ac:dyDescent="0.3">
      <c r="A369" s="438" t="s">
        <v>74</v>
      </c>
      <c r="B369" s="439" t="s">
        <v>500</v>
      </c>
      <c r="C369" s="439" t="s">
        <v>256</v>
      </c>
      <c r="D369" s="539" t="s">
        <v>599</v>
      </c>
      <c r="E369" s="548" t="s">
        <v>75</v>
      </c>
      <c r="F369" s="548" t="s">
        <v>976</v>
      </c>
      <c r="G369" s="466">
        <v>0</v>
      </c>
      <c r="H369" s="442">
        <v>0</v>
      </c>
      <c r="I369" s="440">
        <f>4368667.47+89445.61</f>
        <v>4458113.08</v>
      </c>
      <c r="J369" s="510">
        <f>4368667.47+135113.43</f>
        <v>4503780.8999999994</v>
      </c>
      <c r="K369" s="510">
        <f>4368667.47+135113.43</f>
        <v>4503780.8999999994</v>
      </c>
      <c r="L369" s="436">
        <f t="shared" si="56"/>
        <v>0</v>
      </c>
      <c r="M369" s="498"/>
    </row>
    <row r="370" spans="1:13" outlineLevel="7" x14ac:dyDescent="0.3">
      <c r="A370" s="444" t="s">
        <v>79</v>
      </c>
      <c r="B370" s="445" t="s">
        <v>500</v>
      </c>
      <c r="C370" s="445" t="s">
        <v>80</v>
      </c>
      <c r="D370" s="541" t="s">
        <v>126</v>
      </c>
      <c r="E370" s="541" t="s">
        <v>6</v>
      </c>
      <c r="F370" s="540">
        <v>33822841.700000003</v>
      </c>
      <c r="G370" s="508">
        <f>G371+G401</f>
        <v>41452318.13000001</v>
      </c>
      <c r="H370" s="446">
        <f>H371+H401</f>
        <v>27370092.920000002</v>
      </c>
      <c r="I370" s="446">
        <f>I371+I401</f>
        <v>39865848.490000002</v>
      </c>
      <c r="J370" s="508">
        <f>J371+J401</f>
        <v>43751559.600000001</v>
      </c>
      <c r="K370" s="508">
        <f>K371+K401</f>
        <v>43751559.600000001</v>
      </c>
      <c r="L370" s="436">
        <f t="shared" si="56"/>
        <v>0</v>
      </c>
      <c r="M370" s="498">
        <f t="shared" si="58"/>
        <v>105.54671384791861</v>
      </c>
    </row>
    <row r="371" spans="1:13" outlineLevel="7" x14ac:dyDescent="0.3">
      <c r="A371" s="438" t="s">
        <v>81</v>
      </c>
      <c r="B371" s="439" t="s">
        <v>500</v>
      </c>
      <c r="C371" s="439" t="s">
        <v>82</v>
      </c>
      <c r="D371" s="539" t="s">
        <v>126</v>
      </c>
      <c r="E371" s="539" t="s">
        <v>6</v>
      </c>
      <c r="F371" s="540">
        <v>33822841.700000003</v>
      </c>
      <c r="G371" s="465">
        <f>G372</f>
        <v>39083239.790000007</v>
      </c>
      <c r="H371" s="440">
        <f>H372</f>
        <v>25298078.920000002</v>
      </c>
      <c r="I371" s="440">
        <f>I372</f>
        <v>36253940.93</v>
      </c>
      <c r="J371" s="465">
        <f>J372</f>
        <v>38078949.649999999</v>
      </c>
      <c r="K371" s="465">
        <f>K372</f>
        <v>38078949.649999999</v>
      </c>
      <c r="L371" s="436">
        <f t="shared" si="56"/>
        <v>0</v>
      </c>
      <c r="M371" s="498">
        <f t="shared" si="58"/>
        <v>97.430381551283347</v>
      </c>
    </row>
    <row r="372" spans="1:13" ht="50.95" outlineLevel="7" x14ac:dyDescent="0.3">
      <c r="A372" s="444" t="s">
        <v>839</v>
      </c>
      <c r="B372" s="445" t="s">
        <v>500</v>
      </c>
      <c r="C372" s="445" t="s">
        <v>82</v>
      </c>
      <c r="D372" s="541" t="s">
        <v>136</v>
      </c>
      <c r="E372" s="541" t="s">
        <v>6</v>
      </c>
      <c r="F372" s="542">
        <v>33822841.700000003</v>
      </c>
      <c r="G372" s="508">
        <f>G373+G393+G383</f>
        <v>39083239.790000007</v>
      </c>
      <c r="H372" s="446">
        <f>H373+H393+H383</f>
        <v>25298078.920000002</v>
      </c>
      <c r="I372" s="446">
        <f>I373+I393+I383</f>
        <v>36253940.93</v>
      </c>
      <c r="J372" s="508">
        <f>J373+J393+J383</f>
        <v>38078949.649999999</v>
      </c>
      <c r="K372" s="508">
        <f>K373+K393+K383</f>
        <v>38078949.649999999</v>
      </c>
      <c r="L372" s="436">
        <f t="shared" si="56"/>
        <v>0</v>
      </c>
      <c r="M372" s="498">
        <f t="shared" si="58"/>
        <v>97.430381551283347</v>
      </c>
    </row>
    <row r="373" spans="1:13" ht="34" outlineLevel="7" x14ac:dyDescent="0.3">
      <c r="A373" s="438" t="s">
        <v>370</v>
      </c>
      <c r="B373" s="439" t="s">
        <v>500</v>
      </c>
      <c r="C373" s="439" t="s">
        <v>82</v>
      </c>
      <c r="D373" s="539" t="s">
        <v>227</v>
      </c>
      <c r="E373" s="539" t="s">
        <v>6</v>
      </c>
      <c r="F373" s="540">
        <v>8468322.4199999999</v>
      </c>
      <c r="G373" s="465">
        <f>G387+G374</f>
        <v>10660454.050000001</v>
      </c>
      <c r="H373" s="440">
        <f>H387+H374</f>
        <v>7987098.5700000003</v>
      </c>
      <c r="I373" s="440">
        <f>I377+I387+I374+I380</f>
        <v>9978834.7300000004</v>
      </c>
      <c r="J373" s="465">
        <f>J377+J387+J374+J380</f>
        <v>10667747.949999999</v>
      </c>
      <c r="K373" s="465">
        <f>K377+K387+K374+K380</f>
        <v>10667747.949999999</v>
      </c>
      <c r="L373" s="436">
        <f t="shared" si="56"/>
        <v>0</v>
      </c>
      <c r="M373" s="498">
        <f t="shared" si="58"/>
        <v>100.06842016264775</v>
      </c>
    </row>
    <row r="374" spans="1:13" ht="50.95" outlineLevel="7" x14ac:dyDescent="0.3">
      <c r="A374" s="397" t="s">
        <v>84</v>
      </c>
      <c r="B374" s="439" t="s">
        <v>500</v>
      </c>
      <c r="C374" s="439" t="s">
        <v>82</v>
      </c>
      <c r="D374" s="539" t="s">
        <v>141</v>
      </c>
      <c r="E374" s="539" t="s">
        <v>6</v>
      </c>
      <c r="F374" s="540">
        <v>8234876.1399999997</v>
      </c>
      <c r="G374" s="465">
        <f t="shared" ref="G374:K375" si="65">G375</f>
        <v>9380236.4600000009</v>
      </c>
      <c r="H374" s="440">
        <f t="shared" si="65"/>
        <v>6706880.9800000004</v>
      </c>
      <c r="I374" s="440">
        <f t="shared" si="65"/>
        <v>9805789.5800000001</v>
      </c>
      <c r="J374" s="465">
        <f t="shared" si="65"/>
        <v>10494546.92</v>
      </c>
      <c r="K374" s="465">
        <f t="shared" si="65"/>
        <v>10494546.92</v>
      </c>
      <c r="L374" s="436">
        <f t="shared" si="56"/>
        <v>0</v>
      </c>
      <c r="M374" s="498">
        <f t="shared" si="58"/>
        <v>111.87934296487872</v>
      </c>
    </row>
    <row r="375" spans="1:13" ht="34" outlineLevel="7" x14ac:dyDescent="0.3">
      <c r="A375" s="438" t="s">
        <v>37</v>
      </c>
      <c r="B375" s="439" t="s">
        <v>500</v>
      </c>
      <c r="C375" s="439" t="s">
        <v>82</v>
      </c>
      <c r="D375" s="539" t="s">
        <v>141</v>
      </c>
      <c r="E375" s="539" t="s">
        <v>38</v>
      </c>
      <c r="F375" s="540">
        <v>8234876.1399999997</v>
      </c>
      <c r="G375" s="465">
        <f t="shared" si="65"/>
        <v>9380236.4600000009</v>
      </c>
      <c r="H375" s="370">
        <v>6706880.9800000004</v>
      </c>
      <c r="I375" s="440">
        <f t="shared" si="65"/>
        <v>9805789.5800000001</v>
      </c>
      <c r="J375" s="465">
        <f t="shared" si="65"/>
        <v>10494546.92</v>
      </c>
      <c r="K375" s="465">
        <f t="shared" si="65"/>
        <v>10494546.92</v>
      </c>
      <c r="L375" s="436">
        <f t="shared" si="56"/>
        <v>0</v>
      </c>
      <c r="M375" s="498">
        <f t="shared" si="58"/>
        <v>111.87934296487872</v>
      </c>
    </row>
    <row r="376" spans="1:13" outlineLevel="7" x14ac:dyDescent="0.3">
      <c r="A376" s="438" t="s">
        <v>74</v>
      </c>
      <c r="B376" s="439" t="s">
        <v>500</v>
      </c>
      <c r="C376" s="439" t="s">
        <v>82</v>
      </c>
      <c r="D376" s="539" t="s">
        <v>141</v>
      </c>
      <c r="E376" s="539" t="s">
        <v>75</v>
      </c>
      <c r="F376" s="540">
        <v>8234876.1399999997</v>
      </c>
      <c r="G376" s="466">
        <f>[2]потребность!I362+85565.85-34359.85</f>
        <v>9380236.4600000009</v>
      </c>
      <c r="H376" s="370">
        <v>6706880.9800000004</v>
      </c>
      <c r="I376" s="442">
        <f>'[2]прил 12'!F361</f>
        <v>9805789.5800000001</v>
      </c>
      <c r="J376" s="466">
        <v>10494546.92</v>
      </c>
      <c r="K376" s="466">
        <v>10494546.92</v>
      </c>
      <c r="L376" s="436">
        <f t="shared" si="56"/>
        <v>0</v>
      </c>
      <c r="M376" s="498">
        <f t="shared" si="58"/>
        <v>111.87934296487872</v>
      </c>
    </row>
    <row r="377" spans="1:13" ht="84.9" outlineLevel="7" x14ac:dyDescent="0.3">
      <c r="A377" s="393" t="s">
        <v>393</v>
      </c>
      <c r="B377" s="439" t="s">
        <v>500</v>
      </c>
      <c r="C377" s="439" t="s">
        <v>82</v>
      </c>
      <c r="D377" s="539" t="s">
        <v>294</v>
      </c>
      <c r="E377" s="548" t="s">
        <v>6</v>
      </c>
      <c r="F377" s="540">
        <v>226442.89</v>
      </c>
      <c r="G377" s="549">
        <v>0</v>
      </c>
      <c r="H377" s="463">
        <v>0</v>
      </c>
      <c r="I377" s="440">
        <f t="shared" ref="I377:K378" si="66">I378</f>
        <v>168005</v>
      </c>
      <c r="J377" s="513">
        <f t="shared" si="66"/>
        <v>168005</v>
      </c>
      <c r="K377" s="513">
        <f t="shared" si="66"/>
        <v>168005</v>
      </c>
      <c r="L377" s="436">
        <f t="shared" si="56"/>
        <v>0</v>
      </c>
      <c r="M377" s="498"/>
    </row>
    <row r="378" spans="1:13" ht="34" outlineLevel="7" x14ac:dyDescent="0.3">
      <c r="A378" s="438" t="s">
        <v>37</v>
      </c>
      <c r="B378" s="439" t="s">
        <v>500</v>
      </c>
      <c r="C378" s="439" t="s">
        <v>82</v>
      </c>
      <c r="D378" s="539" t="s">
        <v>294</v>
      </c>
      <c r="E378" s="548" t="s">
        <v>38</v>
      </c>
      <c r="F378" s="540">
        <v>226442.89</v>
      </c>
      <c r="G378" s="549">
        <v>0</v>
      </c>
      <c r="H378" s="463">
        <v>0</v>
      </c>
      <c r="I378" s="440">
        <f t="shared" si="66"/>
        <v>168005</v>
      </c>
      <c r="J378" s="465">
        <f t="shared" si="66"/>
        <v>168005</v>
      </c>
      <c r="K378" s="465">
        <f t="shared" si="66"/>
        <v>168005</v>
      </c>
      <c r="L378" s="436">
        <f t="shared" si="56"/>
        <v>0</v>
      </c>
      <c r="M378" s="498"/>
    </row>
    <row r="379" spans="1:13" outlineLevel="7" x14ac:dyDescent="0.3">
      <c r="A379" s="438" t="s">
        <v>74</v>
      </c>
      <c r="B379" s="439" t="s">
        <v>500</v>
      </c>
      <c r="C379" s="439" t="s">
        <v>82</v>
      </c>
      <c r="D379" s="539" t="s">
        <v>294</v>
      </c>
      <c r="E379" s="548" t="s">
        <v>75</v>
      </c>
      <c r="F379" s="540">
        <v>226442.89</v>
      </c>
      <c r="G379" s="549">
        <v>0</v>
      </c>
      <c r="H379" s="463">
        <v>0</v>
      </c>
      <c r="I379" s="442">
        <v>168005</v>
      </c>
      <c r="J379" s="510">
        <v>168005</v>
      </c>
      <c r="K379" s="510">
        <v>168005</v>
      </c>
      <c r="L379" s="436">
        <f t="shared" si="56"/>
        <v>0</v>
      </c>
      <c r="M379" s="498"/>
    </row>
    <row r="380" spans="1:13" ht="67.95" outlineLevel="7" x14ac:dyDescent="0.3">
      <c r="A380" s="438" t="s">
        <v>307</v>
      </c>
      <c r="B380" s="439" t="s">
        <v>500</v>
      </c>
      <c r="C380" s="439" t="s">
        <v>82</v>
      </c>
      <c r="D380" s="539" t="s">
        <v>308</v>
      </c>
      <c r="E380" s="548" t="s">
        <v>6</v>
      </c>
      <c r="F380" s="540">
        <v>7003.39</v>
      </c>
      <c r="G380" s="466">
        <v>0</v>
      </c>
      <c r="H380" s="442">
        <v>0</v>
      </c>
      <c r="I380" s="440">
        <f t="shared" ref="I380:K381" si="67">I381</f>
        <v>5040.1499999999996</v>
      </c>
      <c r="J380" s="511">
        <f t="shared" si="67"/>
        <v>5196.03</v>
      </c>
      <c r="K380" s="511">
        <f t="shared" si="67"/>
        <v>5196.03</v>
      </c>
      <c r="L380" s="436">
        <f t="shared" si="56"/>
        <v>0</v>
      </c>
      <c r="M380" s="498"/>
    </row>
    <row r="381" spans="1:13" ht="34" outlineLevel="7" x14ac:dyDescent="0.3">
      <c r="A381" s="438" t="s">
        <v>37</v>
      </c>
      <c r="B381" s="439" t="s">
        <v>500</v>
      </c>
      <c r="C381" s="439" t="s">
        <v>82</v>
      </c>
      <c r="D381" s="539" t="s">
        <v>308</v>
      </c>
      <c r="E381" s="548" t="s">
        <v>38</v>
      </c>
      <c r="F381" s="540">
        <v>7003.39</v>
      </c>
      <c r="G381" s="466">
        <v>0</v>
      </c>
      <c r="H381" s="442">
        <v>0</v>
      </c>
      <c r="I381" s="440">
        <f t="shared" si="67"/>
        <v>5040.1499999999996</v>
      </c>
      <c r="J381" s="511">
        <f t="shared" si="67"/>
        <v>5196.03</v>
      </c>
      <c r="K381" s="511">
        <f t="shared" si="67"/>
        <v>5196.03</v>
      </c>
      <c r="L381" s="436">
        <f t="shared" si="56"/>
        <v>0</v>
      </c>
      <c r="M381" s="498"/>
    </row>
    <row r="382" spans="1:13" outlineLevel="7" x14ac:dyDescent="0.3">
      <c r="A382" s="438" t="s">
        <v>74</v>
      </c>
      <c r="B382" s="439" t="s">
        <v>500</v>
      </c>
      <c r="C382" s="439" t="s">
        <v>82</v>
      </c>
      <c r="D382" s="539" t="s">
        <v>308</v>
      </c>
      <c r="E382" s="548" t="s">
        <v>75</v>
      </c>
      <c r="F382" s="540">
        <v>7003.39</v>
      </c>
      <c r="G382" s="466">
        <v>0</v>
      </c>
      <c r="H382" s="442">
        <v>0</v>
      </c>
      <c r="I382" s="442">
        <v>5040.1499999999996</v>
      </c>
      <c r="J382" s="512">
        <v>5196.03</v>
      </c>
      <c r="K382" s="512">
        <v>5196.03</v>
      </c>
      <c r="L382" s="436">
        <f t="shared" si="56"/>
        <v>0</v>
      </c>
      <c r="M382" s="498"/>
    </row>
    <row r="383" spans="1:13" ht="34" outlineLevel="7" x14ac:dyDescent="0.3">
      <c r="A383" s="438" t="s">
        <v>678</v>
      </c>
      <c r="B383" s="439" t="s">
        <v>500</v>
      </c>
      <c r="C383" s="439" t="s">
        <v>82</v>
      </c>
      <c r="D383" s="539" t="s">
        <v>677</v>
      </c>
      <c r="E383" s="539" t="s">
        <v>6</v>
      </c>
      <c r="F383" s="540">
        <v>23473533.550000001</v>
      </c>
      <c r="G383" s="465">
        <f>G384+G390</f>
        <v>26656285.740000002</v>
      </c>
      <c r="H383" s="440">
        <f>H384+H390</f>
        <v>16802005.420000002</v>
      </c>
      <c r="I383" s="440">
        <f>I384+I390</f>
        <v>25737149.199999999</v>
      </c>
      <c r="J383" s="465">
        <f>J384+J390</f>
        <v>26664701.699999999</v>
      </c>
      <c r="K383" s="465">
        <f>K384+K390</f>
        <v>26664701.699999999</v>
      </c>
      <c r="L383" s="436">
        <f t="shared" si="56"/>
        <v>0</v>
      </c>
      <c r="M383" s="498">
        <f t="shared" si="58"/>
        <v>100.03157214055283</v>
      </c>
    </row>
    <row r="384" spans="1:13" ht="36.700000000000003" customHeight="1" outlineLevel="3" x14ac:dyDescent="0.3">
      <c r="A384" s="397" t="s">
        <v>84</v>
      </c>
      <c r="B384" s="439" t="s">
        <v>500</v>
      </c>
      <c r="C384" s="439" t="s">
        <v>82</v>
      </c>
      <c r="D384" s="539" t="s">
        <v>676</v>
      </c>
      <c r="E384" s="539" t="s">
        <v>6</v>
      </c>
      <c r="F384" s="540">
        <v>23473533.550000001</v>
      </c>
      <c r="G384" s="465">
        <f t="shared" ref="G384:K385" si="68">G385</f>
        <v>24239342.940000001</v>
      </c>
      <c r="H384" s="440">
        <f t="shared" si="68"/>
        <v>16802005.420000002</v>
      </c>
      <c r="I384" s="440">
        <f t="shared" si="68"/>
        <v>25737149.199999999</v>
      </c>
      <c r="J384" s="465">
        <f t="shared" si="68"/>
        <v>26664701.699999999</v>
      </c>
      <c r="K384" s="465">
        <f t="shared" si="68"/>
        <v>26664701.699999999</v>
      </c>
      <c r="L384" s="436">
        <f t="shared" si="56"/>
        <v>0</v>
      </c>
      <c r="M384" s="498">
        <f t="shared" si="58"/>
        <v>110.00587666919654</v>
      </c>
    </row>
    <row r="385" spans="1:13" ht="34" outlineLevel="3" x14ac:dyDescent="0.3">
      <c r="A385" s="438" t="s">
        <v>37</v>
      </c>
      <c r="B385" s="439" t="s">
        <v>500</v>
      </c>
      <c r="C385" s="439" t="s">
        <v>82</v>
      </c>
      <c r="D385" s="539" t="s">
        <v>676</v>
      </c>
      <c r="E385" s="539" t="s">
        <v>38</v>
      </c>
      <c r="F385" s="540">
        <v>23473533.550000001</v>
      </c>
      <c r="G385" s="465">
        <f t="shared" si="68"/>
        <v>24239342.940000001</v>
      </c>
      <c r="H385" s="370">
        <v>16802005.420000002</v>
      </c>
      <c r="I385" s="440">
        <f t="shared" si="68"/>
        <v>25737149.199999999</v>
      </c>
      <c r="J385" s="465">
        <f t="shared" si="68"/>
        <v>26664701.699999999</v>
      </c>
      <c r="K385" s="465">
        <f t="shared" si="68"/>
        <v>26664701.699999999</v>
      </c>
      <c r="L385" s="436">
        <f t="shared" si="56"/>
        <v>0</v>
      </c>
      <c r="M385" s="498">
        <f t="shared" si="58"/>
        <v>110.00587666919654</v>
      </c>
    </row>
    <row r="386" spans="1:13" ht="21.25" customHeight="1" outlineLevel="3" x14ac:dyDescent="0.3">
      <c r="A386" s="438" t="s">
        <v>74</v>
      </c>
      <c r="B386" s="439" t="s">
        <v>500</v>
      </c>
      <c r="C386" s="439" t="s">
        <v>82</v>
      </c>
      <c r="D386" s="539" t="s">
        <v>676</v>
      </c>
      <c r="E386" s="539" t="s">
        <v>75</v>
      </c>
      <c r="F386" s="540">
        <v>23473533.550000001</v>
      </c>
      <c r="G386" s="466">
        <f>[2]потребность!L366</f>
        <v>24239342.940000001</v>
      </c>
      <c r="H386" s="370">
        <v>16802005.420000002</v>
      </c>
      <c r="I386" s="442">
        <f>'[2]прил 12'!F365</f>
        <v>25737149.199999999</v>
      </c>
      <c r="J386" s="466">
        <v>26664701.699999999</v>
      </c>
      <c r="K386" s="466">
        <v>26664701.699999999</v>
      </c>
      <c r="L386" s="436">
        <f t="shared" si="56"/>
        <v>0</v>
      </c>
      <c r="M386" s="498">
        <f t="shared" si="58"/>
        <v>110.00587666919654</v>
      </c>
    </row>
    <row r="387" spans="1:13" ht="84.9" outlineLevel="7" x14ac:dyDescent="0.3">
      <c r="A387" s="393" t="s">
        <v>936</v>
      </c>
      <c r="B387" s="439" t="s">
        <v>500</v>
      </c>
      <c r="C387" s="439" t="s">
        <v>82</v>
      </c>
      <c r="D387" s="539" t="s">
        <v>935</v>
      </c>
      <c r="E387" s="539" t="s">
        <v>6</v>
      </c>
      <c r="F387" s="539" t="s">
        <v>976</v>
      </c>
      <c r="G387" s="465">
        <f>G388</f>
        <v>1280217.5899999999</v>
      </c>
      <c r="H387" s="440">
        <f>H388</f>
        <v>1280217.5900000001</v>
      </c>
      <c r="I387" s="440">
        <v>0</v>
      </c>
      <c r="J387" s="465">
        <f>J388</f>
        <v>0</v>
      </c>
      <c r="K387" s="465">
        <f>K388</f>
        <v>0</v>
      </c>
      <c r="L387" s="436">
        <f t="shared" si="56"/>
        <v>0</v>
      </c>
      <c r="M387" s="498">
        <f t="shared" si="58"/>
        <v>0</v>
      </c>
    </row>
    <row r="388" spans="1:13" ht="34" outlineLevel="7" x14ac:dyDescent="0.3">
      <c r="A388" s="438" t="s">
        <v>37</v>
      </c>
      <c r="B388" s="439" t="s">
        <v>500</v>
      </c>
      <c r="C388" s="439" t="s">
        <v>82</v>
      </c>
      <c r="D388" s="539" t="s">
        <v>935</v>
      </c>
      <c r="E388" s="539" t="s">
        <v>38</v>
      </c>
      <c r="F388" s="539" t="s">
        <v>976</v>
      </c>
      <c r="G388" s="465">
        <f>G389</f>
        <v>1280217.5899999999</v>
      </c>
      <c r="H388" s="370">
        <v>1280217.5900000001</v>
      </c>
      <c r="I388" s="440">
        <v>0</v>
      </c>
      <c r="J388" s="465">
        <f>J389</f>
        <v>0</v>
      </c>
      <c r="K388" s="465">
        <f>K389</f>
        <v>0</v>
      </c>
      <c r="L388" s="436">
        <f t="shared" si="56"/>
        <v>0</v>
      </c>
      <c r="M388" s="498">
        <f t="shared" si="58"/>
        <v>0</v>
      </c>
    </row>
    <row r="389" spans="1:13" outlineLevel="7" x14ac:dyDescent="0.3">
      <c r="A389" s="438" t="s">
        <v>74</v>
      </c>
      <c r="B389" s="439" t="s">
        <v>500</v>
      </c>
      <c r="C389" s="439" t="s">
        <v>82</v>
      </c>
      <c r="D389" s="539" t="s">
        <v>935</v>
      </c>
      <c r="E389" s="539" t="s">
        <v>75</v>
      </c>
      <c r="F389" s="539" t="s">
        <v>976</v>
      </c>
      <c r="G389" s="466">
        <f>1273913.69+39400-33096.1</f>
        <v>1280217.5899999999</v>
      </c>
      <c r="H389" s="370">
        <v>1280217.5900000001</v>
      </c>
      <c r="I389" s="442">
        <v>0</v>
      </c>
      <c r="J389" s="510"/>
      <c r="K389" s="510"/>
      <c r="L389" s="436">
        <f t="shared" si="56"/>
        <v>0</v>
      </c>
      <c r="M389" s="498">
        <f t="shared" si="58"/>
        <v>0</v>
      </c>
    </row>
    <row r="390" spans="1:13" ht="44.15" customHeight="1" outlineLevel="7" x14ac:dyDescent="0.3">
      <c r="A390" s="438" t="s">
        <v>917</v>
      </c>
      <c r="B390" s="439" t="s">
        <v>500</v>
      </c>
      <c r="C390" s="439" t="s">
        <v>82</v>
      </c>
      <c r="D390" s="539" t="s">
        <v>918</v>
      </c>
      <c r="E390" s="539" t="s">
        <v>6</v>
      </c>
      <c r="F390" s="539" t="s">
        <v>976</v>
      </c>
      <c r="G390" s="519">
        <f>G391</f>
        <v>2416942.7999999998</v>
      </c>
      <c r="H390" s="442">
        <f>H391</f>
        <v>0</v>
      </c>
      <c r="I390" s="442">
        <v>0</v>
      </c>
      <c r="J390" s="466">
        <f>J391</f>
        <v>0</v>
      </c>
      <c r="K390" s="466">
        <f>K391</f>
        <v>0</v>
      </c>
      <c r="L390" s="436">
        <f t="shared" si="56"/>
        <v>0</v>
      </c>
      <c r="M390" s="498">
        <f t="shared" si="58"/>
        <v>0</v>
      </c>
    </row>
    <row r="391" spans="1:13" ht="34" outlineLevel="7" x14ac:dyDescent="0.3">
      <c r="A391" s="438" t="s">
        <v>37</v>
      </c>
      <c r="B391" s="439" t="s">
        <v>500</v>
      </c>
      <c r="C391" s="439" t="s">
        <v>82</v>
      </c>
      <c r="D391" s="539" t="s">
        <v>918</v>
      </c>
      <c r="E391" s="539" t="s">
        <v>38</v>
      </c>
      <c r="F391" s="539" t="s">
        <v>976</v>
      </c>
      <c r="G391" s="519">
        <f>G392</f>
        <v>2416942.7999999998</v>
      </c>
      <c r="H391" s="442">
        <v>0</v>
      </c>
      <c r="I391" s="442">
        <v>0</v>
      </c>
      <c r="J391" s="466">
        <f>J392</f>
        <v>0</v>
      </c>
      <c r="K391" s="466">
        <f>K392</f>
        <v>0</v>
      </c>
      <c r="L391" s="436">
        <f t="shared" si="56"/>
        <v>0</v>
      </c>
      <c r="M391" s="498">
        <f t="shared" si="58"/>
        <v>0</v>
      </c>
    </row>
    <row r="392" spans="1:13" outlineLevel="7" x14ac:dyDescent="0.3">
      <c r="A392" s="438" t="s">
        <v>74</v>
      </c>
      <c r="B392" s="439" t="s">
        <v>500</v>
      </c>
      <c r="C392" s="439" t="s">
        <v>82</v>
      </c>
      <c r="D392" s="539" t="s">
        <v>918</v>
      </c>
      <c r="E392" s="539" t="s">
        <v>75</v>
      </c>
      <c r="F392" s="539" t="s">
        <v>976</v>
      </c>
      <c r="G392" s="519">
        <f>2155894.2-2155894.2+900000+1516942.8</f>
        <v>2416942.7999999998</v>
      </c>
      <c r="H392" s="442">
        <v>0</v>
      </c>
      <c r="I392" s="442">
        <v>0</v>
      </c>
      <c r="J392" s="466">
        <v>0</v>
      </c>
      <c r="K392" s="466">
        <v>0</v>
      </c>
      <c r="L392" s="436">
        <f t="shared" ref="L392:L455" si="69">K392-J392</f>
        <v>0</v>
      </c>
      <c r="M392" s="498">
        <f t="shared" si="58"/>
        <v>0</v>
      </c>
    </row>
    <row r="393" spans="1:13" ht="27" customHeight="1" outlineLevel="7" x14ac:dyDescent="0.3">
      <c r="A393" s="438" t="s">
        <v>211</v>
      </c>
      <c r="B393" s="439" t="s">
        <v>500</v>
      </c>
      <c r="C393" s="439" t="s">
        <v>82</v>
      </c>
      <c r="D393" s="539" t="s">
        <v>229</v>
      </c>
      <c r="E393" s="539" t="s">
        <v>6</v>
      </c>
      <c r="F393" s="540">
        <v>1880985.73</v>
      </c>
      <c r="G393" s="466">
        <f>G394+G398</f>
        <v>1766500</v>
      </c>
      <c r="H393" s="442">
        <f>H394+H398</f>
        <v>508974.93</v>
      </c>
      <c r="I393" s="442">
        <f>I394+I398</f>
        <v>537957</v>
      </c>
      <c r="J393" s="466">
        <f>J394+J398</f>
        <v>746500</v>
      </c>
      <c r="K393" s="466">
        <f>K394+K398</f>
        <v>746500</v>
      </c>
      <c r="L393" s="436">
        <f t="shared" si="69"/>
        <v>0</v>
      </c>
      <c r="M393" s="498">
        <f t="shared" si="58"/>
        <v>42.25870365128786</v>
      </c>
    </row>
    <row r="394" spans="1:13" ht="32.6" customHeight="1" outlineLevel="7" x14ac:dyDescent="0.3">
      <c r="A394" s="438" t="s">
        <v>83</v>
      </c>
      <c r="B394" s="439" t="s">
        <v>500</v>
      </c>
      <c r="C394" s="439" t="s">
        <v>82</v>
      </c>
      <c r="D394" s="539" t="s">
        <v>140</v>
      </c>
      <c r="E394" s="539" t="s">
        <v>6</v>
      </c>
      <c r="F394" s="540">
        <v>1880985.73</v>
      </c>
      <c r="G394" s="465">
        <f>G395</f>
        <v>746500</v>
      </c>
      <c r="H394" s="440">
        <f>H395</f>
        <v>508974.93</v>
      </c>
      <c r="I394" s="440">
        <f>I395</f>
        <v>537957</v>
      </c>
      <c r="J394" s="465">
        <f>J395</f>
        <v>746500</v>
      </c>
      <c r="K394" s="465">
        <f>K395</f>
        <v>746500</v>
      </c>
      <c r="L394" s="436">
        <f t="shared" si="69"/>
        <v>0</v>
      </c>
      <c r="M394" s="498">
        <f t="shared" si="58"/>
        <v>100</v>
      </c>
    </row>
    <row r="395" spans="1:13" s="449" customFormat="1" ht="34" outlineLevel="1" x14ac:dyDescent="0.3">
      <c r="A395" s="438" t="s">
        <v>37</v>
      </c>
      <c r="B395" s="439" t="s">
        <v>500</v>
      </c>
      <c r="C395" s="439" t="s">
        <v>82</v>
      </c>
      <c r="D395" s="539" t="s">
        <v>140</v>
      </c>
      <c r="E395" s="539" t="s">
        <v>38</v>
      </c>
      <c r="F395" s="540">
        <v>1880985.73</v>
      </c>
      <c r="G395" s="465">
        <f>G396+G397</f>
        <v>746500</v>
      </c>
      <c r="H395" s="370">
        <v>508974.93</v>
      </c>
      <c r="I395" s="440">
        <f>I396+I397</f>
        <v>537957</v>
      </c>
      <c r="J395" s="465">
        <f>J396+J397</f>
        <v>746500</v>
      </c>
      <c r="K395" s="511">
        <f>K396+K397</f>
        <v>746500</v>
      </c>
      <c r="L395" s="436">
        <f t="shared" si="69"/>
        <v>0</v>
      </c>
      <c r="M395" s="498">
        <f t="shared" si="58"/>
        <v>100</v>
      </c>
    </row>
    <row r="396" spans="1:13" outlineLevel="2" x14ac:dyDescent="0.3">
      <c r="A396" s="438" t="s">
        <v>74</v>
      </c>
      <c r="B396" s="439" t="s">
        <v>500</v>
      </c>
      <c r="C396" s="439" t="s">
        <v>82</v>
      </c>
      <c r="D396" s="539" t="s">
        <v>140</v>
      </c>
      <c r="E396" s="539" t="s">
        <v>75</v>
      </c>
      <c r="F396" s="540">
        <v>1766985.73</v>
      </c>
      <c r="G396" s="465">
        <f>632500</f>
        <v>632500</v>
      </c>
      <c r="H396" s="370">
        <v>410474.93</v>
      </c>
      <c r="I396" s="440">
        <v>423957</v>
      </c>
      <c r="J396" s="466">
        <v>632500</v>
      </c>
      <c r="K396" s="466">
        <v>632500</v>
      </c>
      <c r="L396" s="436">
        <f t="shared" si="69"/>
        <v>0</v>
      </c>
      <c r="M396" s="498">
        <f t="shared" ref="M396:M459" si="70">J396/G396%</f>
        <v>100</v>
      </c>
    </row>
    <row r="397" spans="1:13" ht="50.95" outlineLevel="4" x14ac:dyDescent="0.3">
      <c r="A397" s="438" t="s">
        <v>371</v>
      </c>
      <c r="B397" s="439" t="s">
        <v>500</v>
      </c>
      <c r="C397" s="439" t="s">
        <v>82</v>
      </c>
      <c r="D397" s="539" t="s">
        <v>140</v>
      </c>
      <c r="E397" s="539" t="s">
        <v>252</v>
      </c>
      <c r="F397" s="540">
        <v>114000</v>
      </c>
      <c r="G397" s="465">
        <v>114000</v>
      </c>
      <c r="H397" s="370">
        <v>98500</v>
      </c>
      <c r="I397" s="440">
        <v>114000</v>
      </c>
      <c r="J397" s="466">
        <v>114000</v>
      </c>
      <c r="K397" s="466">
        <v>114000</v>
      </c>
      <c r="L397" s="436">
        <f t="shared" si="69"/>
        <v>0</v>
      </c>
      <c r="M397" s="498">
        <f t="shared" si="70"/>
        <v>100</v>
      </c>
    </row>
    <row r="398" spans="1:13" ht="34" outlineLevel="4" x14ac:dyDescent="0.3">
      <c r="A398" s="438" t="s">
        <v>955</v>
      </c>
      <c r="B398" s="439" t="s">
        <v>500</v>
      </c>
      <c r="C398" s="439" t="s">
        <v>82</v>
      </c>
      <c r="D398" s="539" t="s">
        <v>956</v>
      </c>
      <c r="E398" s="539" t="s">
        <v>6</v>
      </c>
      <c r="F398" s="539" t="s">
        <v>976</v>
      </c>
      <c r="G398" s="465">
        <f>G399</f>
        <v>1020000</v>
      </c>
      <c r="H398" s="440">
        <f>H399</f>
        <v>0</v>
      </c>
      <c r="I398" s="440">
        <v>0</v>
      </c>
      <c r="J398" s="465">
        <f>J399</f>
        <v>0</v>
      </c>
      <c r="K398" s="465">
        <f>K399</f>
        <v>0</v>
      </c>
      <c r="L398" s="436">
        <f t="shared" si="69"/>
        <v>0</v>
      </c>
      <c r="M398" s="498">
        <f t="shared" si="70"/>
        <v>0</v>
      </c>
    </row>
    <row r="399" spans="1:13" ht="34" outlineLevel="4" x14ac:dyDescent="0.3">
      <c r="A399" s="438" t="s">
        <v>37</v>
      </c>
      <c r="B399" s="439" t="s">
        <v>500</v>
      </c>
      <c r="C399" s="439" t="s">
        <v>82</v>
      </c>
      <c r="D399" s="539" t="s">
        <v>956</v>
      </c>
      <c r="E399" s="539" t="s">
        <v>38</v>
      </c>
      <c r="F399" s="539" t="s">
        <v>976</v>
      </c>
      <c r="G399" s="465">
        <f>G400</f>
        <v>1020000</v>
      </c>
      <c r="H399" s="440">
        <v>0</v>
      </c>
      <c r="I399" s="440">
        <v>0</v>
      </c>
      <c r="J399" s="465">
        <f>J400</f>
        <v>0</v>
      </c>
      <c r="K399" s="465">
        <f>K400</f>
        <v>0</v>
      </c>
      <c r="L399" s="436">
        <f t="shared" si="69"/>
        <v>0</v>
      </c>
      <c r="M399" s="498">
        <f t="shared" si="70"/>
        <v>0</v>
      </c>
    </row>
    <row r="400" spans="1:13" outlineLevel="4" x14ac:dyDescent="0.3">
      <c r="A400" s="438" t="s">
        <v>74</v>
      </c>
      <c r="B400" s="439" t="s">
        <v>500</v>
      </c>
      <c r="C400" s="439" t="s">
        <v>82</v>
      </c>
      <c r="D400" s="539" t="s">
        <v>956</v>
      </c>
      <c r="E400" s="539" t="s">
        <v>75</v>
      </c>
      <c r="F400" s="539" t="s">
        <v>976</v>
      </c>
      <c r="G400" s="465">
        <f>1000000+20000</f>
        <v>1020000</v>
      </c>
      <c r="H400" s="440">
        <v>0</v>
      </c>
      <c r="I400" s="440">
        <v>0</v>
      </c>
      <c r="J400" s="466">
        <v>0</v>
      </c>
      <c r="K400" s="466">
        <v>0</v>
      </c>
      <c r="L400" s="436">
        <f t="shared" si="69"/>
        <v>0</v>
      </c>
      <c r="M400" s="498">
        <f t="shared" si="70"/>
        <v>0</v>
      </c>
    </row>
    <row r="401" spans="1:13" outlineLevel="5" x14ac:dyDescent="0.3">
      <c r="A401" s="438" t="s">
        <v>522</v>
      </c>
      <c r="B401" s="439" t="s">
        <v>500</v>
      </c>
      <c r="C401" s="439" t="s">
        <v>523</v>
      </c>
      <c r="D401" s="539" t="s">
        <v>126</v>
      </c>
      <c r="E401" s="539" t="s">
        <v>6</v>
      </c>
      <c r="F401" s="539"/>
      <c r="G401" s="465">
        <f>G402+G413</f>
        <v>2369078.34</v>
      </c>
      <c r="H401" s="440">
        <f>H402+H413</f>
        <v>2072014</v>
      </c>
      <c r="I401" s="440">
        <f>I402+I413</f>
        <v>3611907.56</v>
      </c>
      <c r="J401" s="465">
        <f>J402+J413</f>
        <v>5672609.9500000002</v>
      </c>
      <c r="K401" s="465">
        <f>K402+K413</f>
        <v>5672609.9500000002</v>
      </c>
      <c r="L401" s="436">
        <f t="shared" si="69"/>
        <v>0</v>
      </c>
      <c r="M401" s="498">
        <f t="shared" si="70"/>
        <v>239.44374714092402</v>
      </c>
    </row>
    <row r="402" spans="1:13" ht="48.25" customHeight="1" outlineLevel="6" x14ac:dyDescent="0.3">
      <c r="A402" s="444" t="s">
        <v>839</v>
      </c>
      <c r="B402" s="439" t="s">
        <v>500</v>
      </c>
      <c r="C402" s="439" t="s">
        <v>523</v>
      </c>
      <c r="D402" s="539" t="s">
        <v>136</v>
      </c>
      <c r="E402" s="539" t="s">
        <v>6</v>
      </c>
      <c r="F402" s="539" t="s">
        <v>976</v>
      </c>
      <c r="G402" s="465">
        <f>G403</f>
        <v>202147.39</v>
      </c>
      <c r="H402" s="440">
        <f>H403</f>
        <v>0</v>
      </c>
      <c r="I402" s="440">
        <v>208543</v>
      </c>
      <c r="J402" s="465">
        <f>J403</f>
        <v>3405960.55</v>
      </c>
      <c r="K402" s="465">
        <f>K403</f>
        <v>3405960.55</v>
      </c>
      <c r="L402" s="436">
        <f t="shared" si="69"/>
        <v>0</v>
      </c>
      <c r="M402" s="498">
        <f t="shared" si="70"/>
        <v>1684.889698551141</v>
      </c>
    </row>
    <row r="403" spans="1:13" ht="23.3" customHeight="1" outlineLevel="7" x14ac:dyDescent="0.3">
      <c r="A403" s="438" t="s">
        <v>211</v>
      </c>
      <c r="B403" s="439" t="s">
        <v>500</v>
      </c>
      <c r="C403" s="439" t="s">
        <v>523</v>
      </c>
      <c r="D403" s="539" t="s">
        <v>229</v>
      </c>
      <c r="E403" s="539" t="s">
        <v>6</v>
      </c>
      <c r="F403" s="539" t="s">
        <v>976</v>
      </c>
      <c r="G403" s="465">
        <f>G404+G407</f>
        <v>202147.39</v>
      </c>
      <c r="H403" s="440">
        <f>H404+H407</f>
        <v>0</v>
      </c>
      <c r="I403" s="440">
        <v>208543</v>
      </c>
      <c r="J403" s="465">
        <f>J404+J407+J410</f>
        <v>3405960.55</v>
      </c>
      <c r="K403" s="465">
        <f>K404+K407+K410</f>
        <v>3405960.55</v>
      </c>
      <c r="L403" s="436">
        <f t="shared" si="69"/>
        <v>0</v>
      </c>
      <c r="M403" s="498">
        <f t="shared" si="70"/>
        <v>1684.889698551141</v>
      </c>
    </row>
    <row r="404" spans="1:13" ht="50.95" outlineLevel="7" x14ac:dyDescent="0.3">
      <c r="A404" s="438" t="s">
        <v>524</v>
      </c>
      <c r="B404" s="439" t="s">
        <v>500</v>
      </c>
      <c r="C404" s="439" t="s">
        <v>523</v>
      </c>
      <c r="D404" s="539" t="s">
        <v>525</v>
      </c>
      <c r="E404" s="539" t="s">
        <v>6</v>
      </c>
      <c r="F404" s="539" t="s">
        <v>976</v>
      </c>
      <c r="G404" s="465">
        <f>G405</f>
        <v>202147.39</v>
      </c>
      <c r="H404" s="440">
        <f>H405</f>
        <v>0</v>
      </c>
      <c r="I404" s="440">
        <v>208543</v>
      </c>
      <c r="J404" s="465">
        <f>J405</f>
        <v>0</v>
      </c>
      <c r="K404" s="465">
        <f>K405</f>
        <v>0</v>
      </c>
      <c r="L404" s="436">
        <f t="shared" si="69"/>
        <v>0</v>
      </c>
      <c r="M404" s="498">
        <f t="shared" si="70"/>
        <v>0</v>
      </c>
    </row>
    <row r="405" spans="1:13" s="449" customFormat="1" ht="34" outlineLevel="7" x14ac:dyDescent="0.3">
      <c r="A405" s="438" t="s">
        <v>37</v>
      </c>
      <c r="B405" s="439" t="s">
        <v>500</v>
      </c>
      <c r="C405" s="439" t="s">
        <v>523</v>
      </c>
      <c r="D405" s="539" t="s">
        <v>525</v>
      </c>
      <c r="E405" s="539" t="s">
        <v>38</v>
      </c>
      <c r="F405" s="539" t="s">
        <v>976</v>
      </c>
      <c r="G405" s="465">
        <f>G406</f>
        <v>202147.39</v>
      </c>
      <c r="H405" s="440">
        <f>H406</f>
        <v>0</v>
      </c>
      <c r="I405" s="440">
        <v>208543</v>
      </c>
      <c r="J405" s="465">
        <f>J406</f>
        <v>0</v>
      </c>
      <c r="K405" s="465">
        <f>K406</f>
        <v>0</v>
      </c>
      <c r="L405" s="436">
        <f t="shared" si="69"/>
        <v>0</v>
      </c>
      <c r="M405" s="498">
        <f t="shared" si="70"/>
        <v>0</v>
      </c>
    </row>
    <row r="406" spans="1:13" ht="24.8" customHeight="1" outlineLevel="7" x14ac:dyDescent="0.3">
      <c r="A406" s="438" t="s">
        <v>74</v>
      </c>
      <c r="B406" s="439" t="s">
        <v>500</v>
      </c>
      <c r="C406" s="439" t="s">
        <v>523</v>
      </c>
      <c r="D406" s="539" t="s">
        <v>525</v>
      </c>
      <c r="E406" s="539" t="s">
        <v>75</v>
      </c>
      <c r="F406" s="539" t="s">
        <v>976</v>
      </c>
      <c r="G406" s="465">
        <v>202147.39</v>
      </c>
      <c r="H406" s="440">
        <v>0</v>
      </c>
      <c r="I406" s="440">
        <v>208543</v>
      </c>
      <c r="J406" s="466">
        <v>0</v>
      </c>
      <c r="K406" s="466">
        <v>0</v>
      </c>
      <c r="L406" s="436">
        <f t="shared" si="69"/>
        <v>0</v>
      </c>
      <c r="M406" s="498">
        <f t="shared" si="70"/>
        <v>0</v>
      </c>
    </row>
    <row r="407" spans="1:13" ht="27.2" customHeight="1" outlineLevel="7" x14ac:dyDescent="0.3">
      <c r="A407" s="464" t="s">
        <v>986</v>
      </c>
      <c r="B407" s="439" t="s">
        <v>500</v>
      </c>
      <c r="C407" s="439" t="s">
        <v>523</v>
      </c>
      <c r="D407" s="539" t="s">
        <v>1014</v>
      </c>
      <c r="E407" s="539" t="s">
        <v>6</v>
      </c>
      <c r="F407" s="539" t="s">
        <v>976</v>
      </c>
      <c r="G407" s="465">
        <f>G408</f>
        <v>0</v>
      </c>
      <c r="H407" s="441"/>
      <c r="I407" s="440">
        <v>0</v>
      </c>
      <c r="J407" s="465">
        <f>J408</f>
        <v>3303781.73</v>
      </c>
      <c r="K407" s="465">
        <f>K408</f>
        <v>3303781.73</v>
      </c>
      <c r="L407" s="436">
        <f t="shared" si="69"/>
        <v>0</v>
      </c>
      <c r="M407" s="498"/>
    </row>
    <row r="408" spans="1:13" ht="24.8" customHeight="1" outlineLevel="7" x14ac:dyDescent="0.3">
      <c r="A408" s="438" t="s">
        <v>37</v>
      </c>
      <c r="B408" s="439" t="s">
        <v>500</v>
      </c>
      <c r="C408" s="439" t="s">
        <v>523</v>
      </c>
      <c r="D408" s="539" t="s">
        <v>1014</v>
      </c>
      <c r="E408" s="539" t="s">
        <v>38</v>
      </c>
      <c r="F408" s="539" t="s">
        <v>976</v>
      </c>
      <c r="G408" s="465">
        <f>G409</f>
        <v>0</v>
      </c>
      <c r="H408" s="441"/>
      <c r="I408" s="440">
        <v>0</v>
      </c>
      <c r="J408" s="513">
        <f>J409</f>
        <v>3303781.73</v>
      </c>
      <c r="K408" s="513">
        <f>K409</f>
        <v>3303781.73</v>
      </c>
      <c r="L408" s="436">
        <f t="shared" si="69"/>
        <v>0</v>
      </c>
      <c r="M408" s="498"/>
    </row>
    <row r="409" spans="1:13" ht="23.3" customHeight="1" outlineLevel="7" x14ac:dyDescent="0.3">
      <c r="A409" s="438" t="s">
        <v>74</v>
      </c>
      <c r="B409" s="439" t="s">
        <v>500</v>
      </c>
      <c r="C409" s="439" t="s">
        <v>523</v>
      </c>
      <c r="D409" s="539" t="s">
        <v>1014</v>
      </c>
      <c r="E409" s="539" t="s">
        <v>75</v>
      </c>
      <c r="F409" s="539" t="s">
        <v>976</v>
      </c>
      <c r="G409" s="465">
        <v>0</v>
      </c>
      <c r="H409" s="441"/>
      <c r="I409" s="440">
        <v>0</v>
      </c>
      <c r="J409" s="465">
        <v>3303781.73</v>
      </c>
      <c r="K409" s="465">
        <v>3303781.73</v>
      </c>
      <c r="L409" s="436">
        <f t="shared" si="69"/>
        <v>0</v>
      </c>
      <c r="M409" s="498"/>
    </row>
    <row r="410" spans="1:13" ht="44.15" customHeight="1" outlineLevel="7" x14ac:dyDescent="0.3">
      <c r="A410" s="438" t="s">
        <v>1015</v>
      </c>
      <c r="B410" s="439" t="s">
        <v>500</v>
      </c>
      <c r="C410" s="439" t="s">
        <v>523</v>
      </c>
      <c r="D410" s="539" t="s">
        <v>1016</v>
      </c>
      <c r="E410" s="539" t="s">
        <v>6</v>
      </c>
      <c r="F410" s="539"/>
      <c r="G410" s="465"/>
      <c r="H410" s="441"/>
      <c r="I410" s="440"/>
      <c r="J410" s="511">
        <f>J411</f>
        <v>102178.82</v>
      </c>
      <c r="K410" s="511">
        <f>K411</f>
        <v>102178.82</v>
      </c>
      <c r="L410" s="436">
        <f t="shared" si="69"/>
        <v>0</v>
      </c>
      <c r="M410" s="498"/>
    </row>
    <row r="411" spans="1:13" ht="23.3" customHeight="1" outlineLevel="7" x14ac:dyDescent="0.3">
      <c r="A411" s="438" t="s">
        <v>37</v>
      </c>
      <c r="B411" s="439" t="s">
        <v>500</v>
      </c>
      <c r="C411" s="439" t="s">
        <v>523</v>
      </c>
      <c r="D411" s="539" t="s">
        <v>1016</v>
      </c>
      <c r="E411" s="539" t="s">
        <v>38</v>
      </c>
      <c r="F411" s="539"/>
      <c r="G411" s="465"/>
      <c r="H411" s="441"/>
      <c r="I411" s="440"/>
      <c r="J411" s="511">
        <f>J412</f>
        <v>102178.82</v>
      </c>
      <c r="K411" s="511">
        <f>K412</f>
        <v>102178.82</v>
      </c>
      <c r="L411" s="436">
        <f t="shared" si="69"/>
        <v>0</v>
      </c>
      <c r="M411" s="498"/>
    </row>
    <row r="412" spans="1:13" ht="23.3" customHeight="1" outlineLevel="7" x14ac:dyDescent="0.3">
      <c r="A412" s="438" t="s">
        <v>74</v>
      </c>
      <c r="B412" s="439" t="s">
        <v>500</v>
      </c>
      <c r="C412" s="439" t="s">
        <v>523</v>
      </c>
      <c r="D412" s="539" t="s">
        <v>1016</v>
      </c>
      <c r="E412" s="539" t="s">
        <v>75</v>
      </c>
      <c r="F412" s="539"/>
      <c r="G412" s="465"/>
      <c r="H412" s="441"/>
      <c r="I412" s="440"/>
      <c r="J412" s="511">
        <v>102178.82</v>
      </c>
      <c r="K412" s="511">
        <v>102178.82</v>
      </c>
      <c r="L412" s="436">
        <f t="shared" si="69"/>
        <v>0</v>
      </c>
      <c r="M412" s="498"/>
    </row>
    <row r="413" spans="1:13" ht="42.45" customHeight="1" outlineLevel="7" x14ac:dyDescent="0.3">
      <c r="A413" s="444" t="s">
        <v>847</v>
      </c>
      <c r="B413" s="445" t="s">
        <v>500</v>
      </c>
      <c r="C413" s="439" t="s">
        <v>523</v>
      </c>
      <c r="D413" s="539" t="s">
        <v>331</v>
      </c>
      <c r="E413" s="541" t="s">
        <v>6</v>
      </c>
      <c r="F413" s="541" t="s">
        <v>976</v>
      </c>
      <c r="G413" s="465">
        <f t="shared" ref="G413:K416" si="71">G414</f>
        <v>2166930.9499999997</v>
      </c>
      <c r="H413" s="440">
        <f t="shared" si="71"/>
        <v>2072014</v>
      </c>
      <c r="I413" s="440">
        <f t="shared" si="71"/>
        <v>3403364.56</v>
      </c>
      <c r="J413" s="465">
        <f>J414</f>
        <v>2266649.4000000004</v>
      </c>
      <c r="K413" s="465">
        <f>K414</f>
        <v>2266649.4000000004</v>
      </c>
      <c r="L413" s="436">
        <f t="shared" si="69"/>
        <v>0</v>
      </c>
      <c r="M413" s="498">
        <f t="shared" si="70"/>
        <v>104.60182868309674</v>
      </c>
    </row>
    <row r="414" spans="1:13" ht="40.75" customHeight="1" outlineLevel="7" x14ac:dyDescent="0.3">
      <c r="A414" s="438" t="s">
        <v>345</v>
      </c>
      <c r="B414" s="439" t="s">
        <v>500</v>
      </c>
      <c r="C414" s="439" t="s">
        <v>523</v>
      </c>
      <c r="D414" s="539" t="s">
        <v>332</v>
      </c>
      <c r="E414" s="539" t="s">
        <v>6</v>
      </c>
      <c r="F414" s="539" t="s">
        <v>976</v>
      </c>
      <c r="G414" s="465">
        <f t="shared" si="71"/>
        <v>2166930.9499999997</v>
      </c>
      <c r="H414" s="440">
        <f t="shared" si="71"/>
        <v>2072014</v>
      </c>
      <c r="I414" s="440">
        <f t="shared" si="71"/>
        <v>3403364.56</v>
      </c>
      <c r="J414" s="465">
        <f>J415+J418</f>
        <v>2266649.4000000004</v>
      </c>
      <c r="K414" s="465">
        <f>K415+K418</f>
        <v>2266649.4000000004</v>
      </c>
      <c r="L414" s="436">
        <f t="shared" si="69"/>
        <v>0</v>
      </c>
      <c r="M414" s="498">
        <f t="shared" si="70"/>
        <v>104.60182868309674</v>
      </c>
    </row>
    <row r="415" spans="1:13" ht="75.400000000000006" customHeight="1" outlineLevel="7" x14ac:dyDescent="0.3">
      <c r="A415" s="438" t="s">
        <v>872</v>
      </c>
      <c r="B415" s="439" t="s">
        <v>500</v>
      </c>
      <c r="C415" s="439" t="s">
        <v>523</v>
      </c>
      <c r="D415" s="539" t="s">
        <v>908</v>
      </c>
      <c r="E415" s="539" t="s">
        <v>6</v>
      </c>
      <c r="F415" s="539" t="s">
        <v>976</v>
      </c>
      <c r="G415" s="465">
        <f t="shared" si="71"/>
        <v>2166930.9499999997</v>
      </c>
      <c r="H415" s="440">
        <f t="shared" si="71"/>
        <v>2072014</v>
      </c>
      <c r="I415" s="440">
        <f t="shared" si="71"/>
        <v>3403364.56</v>
      </c>
      <c r="J415" s="513">
        <f t="shared" si="71"/>
        <v>1174110.1200000001</v>
      </c>
      <c r="K415" s="513">
        <f t="shared" si="71"/>
        <v>1174110.1200000001</v>
      </c>
      <c r="L415" s="436">
        <f t="shared" si="69"/>
        <v>0</v>
      </c>
      <c r="M415" s="498">
        <f t="shared" si="70"/>
        <v>54.183088759704148</v>
      </c>
    </row>
    <row r="416" spans="1:13" ht="23.3" customHeight="1" outlineLevel="7" x14ac:dyDescent="0.3">
      <c r="A416" s="438" t="s">
        <v>15</v>
      </c>
      <c r="B416" s="439" t="s">
        <v>500</v>
      </c>
      <c r="C416" s="439" t="s">
        <v>523</v>
      </c>
      <c r="D416" s="539" t="s">
        <v>908</v>
      </c>
      <c r="E416" s="539" t="s">
        <v>16</v>
      </c>
      <c r="F416" s="539" t="s">
        <v>976</v>
      </c>
      <c r="G416" s="465">
        <f t="shared" si="71"/>
        <v>2166930.9499999997</v>
      </c>
      <c r="H416" s="370">
        <v>2072014</v>
      </c>
      <c r="I416" s="440">
        <f t="shared" si="71"/>
        <v>3403364.56</v>
      </c>
      <c r="J416" s="465">
        <f t="shared" si="71"/>
        <v>1174110.1200000001</v>
      </c>
      <c r="K416" s="465">
        <f t="shared" si="71"/>
        <v>1174110.1200000001</v>
      </c>
      <c r="L416" s="436">
        <f t="shared" si="69"/>
        <v>0</v>
      </c>
      <c r="M416" s="498">
        <f t="shared" si="70"/>
        <v>54.183088759704148</v>
      </c>
    </row>
    <row r="417" spans="1:13" ht="23.3" customHeight="1" outlineLevel="7" x14ac:dyDescent="0.3">
      <c r="A417" s="438" t="s">
        <v>17</v>
      </c>
      <c r="B417" s="439" t="s">
        <v>500</v>
      </c>
      <c r="C417" s="439" t="s">
        <v>523</v>
      </c>
      <c r="D417" s="539" t="s">
        <v>908</v>
      </c>
      <c r="E417" s="539" t="s">
        <v>18</v>
      </c>
      <c r="F417" s="539" t="s">
        <v>976</v>
      </c>
      <c r="G417" s="465">
        <f>2430452.42+72913.58+2255.05-338690.1</f>
        <v>2166930.9499999997</v>
      </c>
      <c r="H417" s="370">
        <v>2072014</v>
      </c>
      <c r="I417" s="440">
        <f>3301263.62+102100.94</f>
        <v>3403364.56</v>
      </c>
      <c r="J417" s="510">
        <f>102100.94+1104785.36-32776.18</f>
        <v>1174110.1200000001</v>
      </c>
      <c r="K417" s="510">
        <f>102100.94+1104785.36-32776.18</f>
        <v>1174110.1200000001</v>
      </c>
      <c r="L417" s="436">
        <f t="shared" si="69"/>
        <v>0</v>
      </c>
      <c r="M417" s="498">
        <f t="shared" si="70"/>
        <v>54.183088759704148</v>
      </c>
    </row>
    <row r="418" spans="1:13" ht="92.4" customHeight="1" outlineLevel="7" x14ac:dyDescent="0.3">
      <c r="A418" s="438" t="s">
        <v>1021</v>
      </c>
      <c r="B418" s="439" t="s">
        <v>500</v>
      </c>
      <c r="C418" s="439" t="s">
        <v>523</v>
      </c>
      <c r="D418" s="539" t="s">
        <v>1020</v>
      </c>
      <c r="E418" s="539" t="s">
        <v>6</v>
      </c>
      <c r="F418" s="539"/>
      <c r="G418" s="465"/>
      <c r="H418" s="370"/>
      <c r="I418" s="440"/>
      <c r="J418" s="509">
        <f>J419</f>
        <v>1092539.28</v>
      </c>
      <c r="K418" s="509">
        <f>K419</f>
        <v>1092539.28</v>
      </c>
      <c r="L418" s="436">
        <f t="shared" si="69"/>
        <v>0</v>
      </c>
      <c r="M418" s="498"/>
    </row>
    <row r="419" spans="1:13" ht="23.3" customHeight="1" outlineLevel="7" x14ac:dyDescent="0.3">
      <c r="A419" s="438" t="s">
        <v>15</v>
      </c>
      <c r="B419" s="439" t="s">
        <v>500</v>
      </c>
      <c r="C419" s="439" t="s">
        <v>523</v>
      </c>
      <c r="D419" s="539" t="s">
        <v>1020</v>
      </c>
      <c r="E419" s="539" t="s">
        <v>16</v>
      </c>
      <c r="F419" s="539"/>
      <c r="G419" s="465"/>
      <c r="H419" s="370"/>
      <c r="I419" s="440"/>
      <c r="J419" s="510">
        <f>J420</f>
        <v>1092539.28</v>
      </c>
      <c r="K419" s="510">
        <f>K420</f>
        <v>1092539.28</v>
      </c>
      <c r="L419" s="436">
        <f t="shared" si="69"/>
        <v>0</v>
      </c>
      <c r="M419" s="498"/>
    </row>
    <row r="420" spans="1:13" ht="23.3" customHeight="1" outlineLevel="7" x14ac:dyDescent="0.3">
      <c r="A420" s="438" t="s">
        <v>17</v>
      </c>
      <c r="B420" s="439" t="s">
        <v>500</v>
      </c>
      <c r="C420" s="439" t="s">
        <v>523</v>
      </c>
      <c r="D420" s="539" t="s">
        <v>1020</v>
      </c>
      <c r="E420" s="539" t="s">
        <v>18</v>
      </c>
      <c r="F420" s="539"/>
      <c r="G420" s="465"/>
      <c r="H420" s="370"/>
      <c r="I420" s="440"/>
      <c r="J420" s="510">
        <f>1059763.1+32776.18</f>
        <v>1092539.28</v>
      </c>
      <c r="K420" s="510">
        <f>1059763.1+32776.18</f>
        <v>1092539.28</v>
      </c>
      <c r="L420" s="436">
        <f t="shared" si="69"/>
        <v>0</v>
      </c>
      <c r="M420" s="498"/>
    </row>
    <row r="421" spans="1:13" outlineLevel="7" x14ac:dyDescent="0.3">
      <c r="A421" s="444" t="s">
        <v>85</v>
      </c>
      <c r="B421" s="445" t="s">
        <v>500</v>
      </c>
      <c r="C421" s="445" t="s">
        <v>86</v>
      </c>
      <c r="D421" s="541" t="s">
        <v>126</v>
      </c>
      <c r="E421" s="541" t="s">
        <v>6</v>
      </c>
      <c r="F421" s="550">
        <v>37352716.880000003</v>
      </c>
      <c r="G421" s="508">
        <f>G422+G427+G442</f>
        <v>54369845.619999997</v>
      </c>
      <c r="H421" s="446">
        <f>H422+H427+H442</f>
        <v>25467567.349999998</v>
      </c>
      <c r="I421" s="446">
        <f>I422+I427+I442</f>
        <v>65496624.950000003</v>
      </c>
      <c r="J421" s="508">
        <f>J422+J427+J442</f>
        <v>90525266.789999992</v>
      </c>
      <c r="K421" s="508">
        <f>K422+K427+K442</f>
        <v>90525266.789999992</v>
      </c>
      <c r="L421" s="436">
        <f t="shared" si="69"/>
        <v>0</v>
      </c>
      <c r="M421" s="498">
        <f t="shared" si="70"/>
        <v>166.49903224426333</v>
      </c>
    </row>
    <row r="422" spans="1:13" outlineLevel="7" x14ac:dyDescent="0.3">
      <c r="A422" s="438" t="s">
        <v>87</v>
      </c>
      <c r="B422" s="439" t="s">
        <v>500</v>
      </c>
      <c r="C422" s="439" t="s">
        <v>88</v>
      </c>
      <c r="D422" s="539" t="s">
        <v>126</v>
      </c>
      <c r="E422" s="539" t="s">
        <v>6</v>
      </c>
      <c r="F422" s="540">
        <v>5273116.22</v>
      </c>
      <c r="G422" s="465">
        <f t="shared" ref="G422:K425" si="72">G423</f>
        <v>5386176</v>
      </c>
      <c r="H422" s="440">
        <f t="shared" si="72"/>
        <v>4028416.23</v>
      </c>
      <c r="I422" s="440">
        <f t="shared" si="72"/>
        <v>5386176</v>
      </c>
      <c r="J422" s="465">
        <f t="shared" si="72"/>
        <v>5533145.6699999999</v>
      </c>
      <c r="K422" s="465">
        <f t="shared" si="72"/>
        <v>5533145.6699999999</v>
      </c>
      <c r="L422" s="436">
        <f t="shared" si="69"/>
        <v>0</v>
      </c>
      <c r="M422" s="498">
        <f t="shared" si="70"/>
        <v>102.72864588903147</v>
      </c>
    </row>
    <row r="423" spans="1:13" ht="34" outlineLevel="7" x14ac:dyDescent="0.3">
      <c r="A423" s="444" t="s">
        <v>132</v>
      </c>
      <c r="B423" s="445" t="s">
        <v>500</v>
      </c>
      <c r="C423" s="445" t="s">
        <v>88</v>
      </c>
      <c r="D423" s="541" t="s">
        <v>127</v>
      </c>
      <c r="E423" s="541" t="s">
        <v>6</v>
      </c>
      <c r="F423" s="540">
        <v>5273116.22</v>
      </c>
      <c r="G423" s="508">
        <f t="shared" si="72"/>
        <v>5386176</v>
      </c>
      <c r="H423" s="446">
        <f t="shared" si="72"/>
        <v>4028416.23</v>
      </c>
      <c r="I423" s="446">
        <f t="shared" si="72"/>
        <v>5386176</v>
      </c>
      <c r="J423" s="508">
        <f t="shared" si="72"/>
        <v>5533145.6699999999</v>
      </c>
      <c r="K423" s="508">
        <f t="shared" si="72"/>
        <v>5533145.6699999999</v>
      </c>
      <c r="L423" s="436">
        <f t="shared" si="69"/>
        <v>0</v>
      </c>
      <c r="M423" s="498">
        <f t="shared" si="70"/>
        <v>102.72864588903147</v>
      </c>
    </row>
    <row r="424" spans="1:13" s="449" customFormat="1" ht="26.5" customHeight="1" outlineLevel="7" x14ac:dyDescent="0.3">
      <c r="A424" s="438" t="s">
        <v>89</v>
      </c>
      <c r="B424" s="439" t="s">
        <v>500</v>
      </c>
      <c r="C424" s="439" t="s">
        <v>88</v>
      </c>
      <c r="D424" s="539" t="s">
        <v>142</v>
      </c>
      <c r="E424" s="539" t="s">
        <v>6</v>
      </c>
      <c r="F424" s="540">
        <v>5273116.22</v>
      </c>
      <c r="G424" s="465">
        <f t="shared" si="72"/>
        <v>5386176</v>
      </c>
      <c r="H424" s="440">
        <f t="shared" si="72"/>
        <v>4028416.23</v>
      </c>
      <c r="I424" s="440">
        <f t="shared" si="72"/>
        <v>5386176</v>
      </c>
      <c r="J424" s="465">
        <f t="shared" si="72"/>
        <v>5533145.6699999999</v>
      </c>
      <c r="K424" s="465">
        <f t="shared" si="72"/>
        <v>5533145.6699999999</v>
      </c>
      <c r="L424" s="436">
        <f t="shared" si="69"/>
        <v>0</v>
      </c>
      <c r="M424" s="498">
        <f t="shared" si="70"/>
        <v>102.72864588903147</v>
      </c>
    </row>
    <row r="425" spans="1:13" ht="25.5" customHeight="1" outlineLevel="7" x14ac:dyDescent="0.3">
      <c r="A425" s="438" t="s">
        <v>90</v>
      </c>
      <c r="B425" s="439" t="s">
        <v>500</v>
      </c>
      <c r="C425" s="439" t="s">
        <v>88</v>
      </c>
      <c r="D425" s="539" t="s">
        <v>142</v>
      </c>
      <c r="E425" s="539" t="s">
        <v>91</v>
      </c>
      <c r="F425" s="540">
        <v>5273116.22</v>
      </c>
      <c r="G425" s="465">
        <f t="shared" si="72"/>
        <v>5386176</v>
      </c>
      <c r="H425" s="373">
        <v>4028416.23</v>
      </c>
      <c r="I425" s="440">
        <f t="shared" si="72"/>
        <v>5386176</v>
      </c>
      <c r="J425" s="465">
        <f t="shared" si="72"/>
        <v>5533145.6699999999</v>
      </c>
      <c r="K425" s="465">
        <f t="shared" si="72"/>
        <v>5533145.6699999999</v>
      </c>
      <c r="L425" s="436">
        <f t="shared" si="69"/>
        <v>0</v>
      </c>
      <c r="M425" s="498">
        <f t="shared" si="70"/>
        <v>102.72864588903147</v>
      </c>
    </row>
    <row r="426" spans="1:13" ht="34" outlineLevel="7" x14ac:dyDescent="0.3">
      <c r="A426" s="438" t="s">
        <v>92</v>
      </c>
      <c r="B426" s="439" t="s">
        <v>500</v>
      </c>
      <c r="C426" s="439" t="s">
        <v>88</v>
      </c>
      <c r="D426" s="539" t="s">
        <v>142</v>
      </c>
      <c r="E426" s="539" t="s">
        <v>93</v>
      </c>
      <c r="F426" s="540">
        <v>5273116.22</v>
      </c>
      <c r="G426" s="466">
        <v>5386176</v>
      </c>
      <c r="H426" s="373">
        <v>4028416.23</v>
      </c>
      <c r="I426" s="442">
        <v>5386176</v>
      </c>
      <c r="J426" s="466">
        <v>5533145.6699999999</v>
      </c>
      <c r="K426" s="466">
        <v>5533145.6699999999</v>
      </c>
      <c r="L426" s="436">
        <f t="shared" si="69"/>
        <v>0</v>
      </c>
      <c r="M426" s="498">
        <f t="shared" si="70"/>
        <v>102.72864588903147</v>
      </c>
    </row>
    <row r="427" spans="1:13" outlineLevel="7" x14ac:dyDescent="0.3">
      <c r="A427" s="438" t="s">
        <v>94</v>
      </c>
      <c r="B427" s="439" t="s">
        <v>500</v>
      </c>
      <c r="C427" s="439" t="s">
        <v>95</v>
      </c>
      <c r="D427" s="539" t="s">
        <v>126</v>
      </c>
      <c r="E427" s="539" t="s">
        <v>6</v>
      </c>
      <c r="F427" s="540">
        <v>679404.39</v>
      </c>
      <c r="G427" s="465">
        <f>G428+G438+G433</f>
        <v>1526800</v>
      </c>
      <c r="H427" s="440">
        <f>H428+H438+H433</f>
        <v>1351800</v>
      </c>
      <c r="I427" s="440">
        <f>I428+I438+I433</f>
        <v>985609.95</v>
      </c>
      <c r="J427" s="465">
        <f>J428+J438+J433</f>
        <v>984438.26</v>
      </c>
      <c r="K427" s="465">
        <f>K428+K438+K433</f>
        <v>984438.26</v>
      </c>
      <c r="L427" s="436">
        <f t="shared" si="69"/>
        <v>0</v>
      </c>
      <c r="M427" s="498">
        <f t="shared" si="70"/>
        <v>64.477224259889965</v>
      </c>
    </row>
    <row r="428" spans="1:13" ht="50.95" outlineLevel="7" x14ac:dyDescent="0.3">
      <c r="A428" s="444" t="s">
        <v>933</v>
      </c>
      <c r="B428" s="439" t="s">
        <v>500</v>
      </c>
      <c r="C428" s="445" t="s">
        <v>95</v>
      </c>
      <c r="D428" s="541" t="s">
        <v>129</v>
      </c>
      <c r="E428" s="541" t="s">
        <v>6</v>
      </c>
      <c r="F428" s="542">
        <v>60804.39</v>
      </c>
      <c r="G428" s="508">
        <f t="shared" ref="G428:K431" si="73">G429</f>
        <v>150000</v>
      </c>
      <c r="H428" s="446">
        <f t="shared" si="73"/>
        <v>0</v>
      </c>
      <c r="I428" s="446">
        <f t="shared" si="73"/>
        <v>150000</v>
      </c>
      <c r="J428" s="508">
        <f t="shared" si="73"/>
        <v>150000</v>
      </c>
      <c r="K428" s="508">
        <f t="shared" si="73"/>
        <v>150000</v>
      </c>
      <c r="L428" s="436">
        <f t="shared" si="69"/>
        <v>0</v>
      </c>
      <c r="M428" s="498">
        <f t="shared" si="70"/>
        <v>100</v>
      </c>
    </row>
    <row r="429" spans="1:13" ht="34" outlineLevel="7" x14ac:dyDescent="0.3">
      <c r="A429" s="438" t="s">
        <v>372</v>
      </c>
      <c r="B429" s="439" t="s">
        <v>500</v>
      </c>
      <c r="C429" s="439" t="s">
        <v>95</v>
      </c>
      <c r="D429" s="539" t="s">
        <v>441</v>
      </c>
      <c r="E429" s="539" t="s">
        <v>6</v>
      </c>
      <c r="F429" s="540">
        <v>60804.39</v>
      </c>
      <c r="G429" s="465">
        <f t="shared" si="73"/>
        <v>150000</v>
      </c>
      <c r="H429" s="440">
        <f t="shared" si="73"/>
        <v>0</v>
      </c>
      <c r="I429" s="440">
        <f t="shared" si="73"/>
        <v>150000</v>
      </c>
      <c r="J429" s="465">
        <f t="shared" si="73"/>
        <v>150000</v>
      </c>
      <c r="K429" s="465">
        <f t="shared" si="73"/>
        <v>150000</v>
      </c>
      <c r="L429" s="436">
        <f t="shared" si="69"/>
        <v>0</v>
      </c>
      <c r="M429" s="498">
        <f t="shared" si="70"/>
        <v>100</v>
      </c>
    </row>
    <row r="430" spans="1:13" ht="34" outlineLevel="7" x14ac:dyDescent="0.3">
      <c r="A430" s="438" t="s">
        <v>99</v>
      </c>
      <c r="B430" s="439" t="s">
        <v>500</v>
      </c>
      <c r="C430" s="439" t="s">
        <v>95</v>
      </c>
      <c r="D430" s="539" t="s">
        <v>416</v>
      </c>
      <c r="E430" s="539" t="s">
        <v>6</v>
      </c>
      <c r="F430" s="540">
        <v>60804.39</v>
      </c>
      <c r="G430" s="465">
        <f t="shared" si="73"/>
        <v>150000</v>
      </c>
      <c r="H430" s="440">
        <f t="shared" si="73"/>
        <v>0</v>
      </c>
      <c r="I430" s="440">
        <f t="shared" si="73"/>
        <v>150000</v>
      </c>
      <c r="J430" s="465">
        <f t="shared" si="73"/>
        <v>150000</v>
      </c>
      <c r="K430" s="465">
        <f t="shared" si="73"/>
        <v>150000</v>
      </c>
      <c r="L430" s="436">
        <f t="shared" si="69"/>
        <v>0</v>
      </c>
      <c r="M430" s="498">
        <f t="shared" si="70"/>
        <v>100</v>
      </c>
    </row>
    <row r="431" spans="1:13" outlineLevel="7" x14ac:dyDescent="0.3">
      <c r="A431" s="438" t="s">
        <v>90</v>
      </c>
      <c r="B431" s="439" t="s">
        <v>500</v>
      </c>
      <c r="C431" s="439" t="s">
        <v>95</v>
      </c>
      <c r="D431" s="539" t="s">
        <v>416</v>
      </c>
      <c r="E431" s="539" t="s">
        <v>91</v>
      </c>
      <c r="F431" s="540">
        <v>60804.39</v>
      </c>
      <c r="G431" s="465">
        <f t="shared" si="73"/>
        <v>150000</v>
      </c>
      <c r="H431" s="465">
        <v>0</v>
      </c>
      <c r="I431" s="440">
        <f t="shared" si="73"/>
        <v>150000</v>
      </c>
      <c r="J431" s="465">
        <f t="shared" si="73"/>
        <v>150000</v>
      </c>
      <c r="K431" s="465">
        <f t="shared" si="73"/>
        <v>150000</v>
      </c>
      <c r="L431" s="436">
        <f t="shared" si="69"/>
        <v>0</v>
      </c>
      <c r="M431" s="498">
        <f t="shared" si="70"/>
        <v>100</v>
      </c>
    </row>
    <row r="432" spans="1:13" ht="34" outlineLevel="7" x14ac:dyDescent="0.3">
      <c r="A432" s="438" t="s">
        <v>97</v>
      </c>
      <c r="B432" s="439" t="s">
        <v>500</v>
      </c>
      <c r="C432" s="439" t="s">
        <v>95</v>
      </c>
      <c r="D432" s="539" t="s">
        <v>416</v>
      </c>
      <c r="E432" s="539" t="s">
        <v>98</v>
      </c>
      <c r="F432" s="540">
        <v>60804.39</v>
      </c>
      <c r="G432" s="466">
        <v>150000</v>
      </c>
      <c r="H432" s="466">
        <v>0</v>
      </c>
      <c r="I432" s="442">
        <v>150000</v>
      </c>
      <c r="J432" s="466">
        <v>150000</v>
      </c>
      <c r="K432" s="466">
        <v>150000</v>
      </c>
      <c r="L432" s="436">
        <f t="shared" si="69"/>
        <v>0</v>
      </c>
      <c r="M432" s="498">
        <f t="shared" si="70"/>
        <v>100</v>
      </c>
    </row>
    <row r="433" spans="1:13" ht="50.95" outlineLevel="1" x14ac:dyDescent="0.3">
      <c r="A433" s="444" t="s">
        <v>838</v>
      </c>
      <c r="B433" s="439" t="s">
        <v>500</v>
      </c>
      <c r="C433" s="445" t="s">
        <v>95</v>
      </c>
      <c r="D433" s="541" t="s">
        <v>374</v>
      </c>
      <c r="E433" s="541" t="s">
        <v>6</v>
      </c>
      <c r="F433" s="542">
        <v>558600</v>
      </c>
      <c r="G433" s="507">
        <f t="shared" ref="G433:K436" si="74">G434</f>
        <v>1276800</v>
      </c>
      <c r="H433" s="448">
        <f t="shared" si="74"/>
        <v>1276800</v>
      </c>
      <c r="I433" s="448">
        <f t="shared" si="74"/>
        <v>735609.95</v>
      </c>
      <c r="J433" s="507">
        <f t="shared" si="74"/>
        <v>734438.26</v>
      </c>
      <c r="K433" s="507">
        <f t="shared" si="74"/>
        <v>734438.26</v>
      </c>
      <c r="L433" s="436">
        <f t="shared" si="69"/>
        <v>0</v>
      </c>
      <c r="M433" s="498">
        <f t="shared" si="70"/>
        <v>57.521793546365913</v>
      </c>
    </row>
    <row r="434" spans="1:13" ht="44.5" customHeight="1" outlineLevel="1" x14ac:dyDescent="0.3">
      <c r="A434" s="438" t="s">
        <v>394</v>
      </c>
      <c r="B434" s="439" t="s">
        <v>500</v>
      </c>
      <c r="C434" s="439" t="s">
        <v>95</v>
      </c>
      <c r="D434" s="539" t="s">
        <v>375</v>
      </c>
      <c r="E434" s="539" t="s">
        <v>6</v>
      </c>
      <c r="F434" s="540">
        <v>558600</v>
      </c>
      <c r="G434" s="466">
        <f t="shared" si="74"/>
        <v>1276800</v>
      </c>
      <c r="H434" s="442">
        <f t="shared" si="74"/>
        <v>1276800</v>
      </c>
      <c r="I434" s="442">
        <f t="shared" si="74"/>
        <v>735609.95</v>
      </c>
      <c r="J434" s="509">
        <f t="shared" si="74"/>
        <v>734438.26</v>
      </c>
      <c r="K434" s="509">
        <f t="shared" si="74"/>
        <v>734438.26</v>
      </c>
      <c r="L434" s="436">
        <f t="shared" si="69"/>
        <v>0</v>
      </c>
      <c r="M434" s="498">
        <f t="shared" si="70"/>
        <v>57.521793546365913</v>
      </c>
    </row>
    <row r="435" spans="1:13" ht="34" outlineLevel="1" x14ac:dyDescent="0.3">
      <c r="A435" s="438" t="s">
        <v>96</v>
      </c>
      <c r="B435" s="439" t="s">
        <v>500</v>
      </c>
      <c r="C435" s="439" t="s">
        <v>95</v>
      </c>
      <c r="D435" s="539" t="s">
        <v>376</v>
      </c>
      <c r="E435" s="539" t="s">
        <v>6</v>
      </c>
      <c r="F435" s="540">
        <v>558600</v>
      </c>
      <c r="G435" s="465">
        <f t="shared" si="74"/>
        <v>1276800</v>
      </c>
      <c r="H435" s="440">
        <f t="shared" si="74"/>
        <v>1276800</v>
      </c>
      <c r="I435" s="440">
        <f t="shared" si="74"/>
        <v>735609.95</v>
      </c>
      <c r="J435" s="465">
        <f t="shared" si="74"/>
        <v>734438.26</v>
      </c>
      <c r="K435" s="465">
        <f t="shared" si="74"/>
        <v>734438.26</v>
      </c>
      <c r="L435" s="436">
        <f t="shared" si="69"/>
        <v>0</v>
      </c>
      <c r="M435" s="498">
        <f t="shared" si="70"/>
        <v>57.521793546365913</v>
      </c>
    </row>
    <row r="436" spans="1:13" outlineLevel="1" x14ac:dyDescent="0.3">
      <c r="A436" s="438" t="s">
        <v>90</v>
      </c>
      <c r="B436" s="439" t="s">
        <v>500</v>
      </c>
      <c r="C436" s="439" t="s">
        <v>95</v>
      </c>
      <c r="D436" s="539" t="s">
        <v>376</v>
      </c>
      <c r="E436" s="539" t="s">
        <v>91</v>
      </c>
      <c r="F436" s="540">
        <v>558600</v>
      </c>
      <c r="G436" s="466">
        <f t="shared" si="74"/>
        <v>1276800</v>
      </c>
      <c r="H436" s="370">
        <v>1276800</v>
      </c>
      <c r="I436" s="442">
        <f t="shared" si="74"/>
        <v>735609.95</v>
      </c>
      <c r="J436" s="466">
        <f t="shared" si="74"/>
        <v>734438.26</v>
      </c>
      <c r="K436" s="466">
        <f t="shared" si="74"/>
        <v>734438.26</v>
      </c>
      <c r="L436" s="436">
        <f t="shared" si="69"/>
        <v>0</v>
      </c>
      <c r="M436" s="498">
        <f t="shared" si="70"/>
        <v>57.521793546365913</v>
      </c>
    </row>
    <row r="437" spans="1:13" ht="34" outlineLevel="1" x14ac:dyDescent="0.3">
      <c r="A437" s="438" t="s">
        <v>97</v>
      </c>
      <c r="B437" s="439" t="s">
        <v>500</v>
      </c>
      <c r="C437" s="439" t="s">
        <v>95</v>
      </c>
      <c r="D437" s="539" t="s">
        <v>376</v>
      </c>
      <c r="E437" s="539" t="s">
        <v>98</v>
      </c>
      <c r="F437" s="540">
        <v>558600</v>
      </c>
      <c r="G437" s="465">
        <f>742359.04+534440.96</f>
        <v>1276800</v>
      </c>
      <c r="H437" s="370">
        <v>1276800</v>
      </c>
      <c r="I437" s="440">
        <v>735609.95</v>
      </c>
      <c r="J437" s="510">
        <f>173500+560938.26</f>
        <v>734438.26</v>
      </c>
      <c r="K437" s="510">
        <f>173500+560938.26</f>
        <v>734438.26</v>
      </c>
      <c r="L437" s="436">
        <f t="shared" si="69"/>
        <v>0</v>
      </c>
      <c r="M437" s="498">
        <f t="shared" si="70"/>
        <v>57.521793546365913</v>
      </c>
    </row>
    <row r="438" spans="1:13" ht="34" outlineLevel="1" x14ac:dyDescent="0.3">
      <c r="A438" s="444" t="s">
        <v>132</v>
      </c>
      <c r="B438" s="445" t="s">
        <v>500</v>
      </c>
      <c r="C438" s="445" t="s">
        <v>95</v>
      </c>
      <c r="D438" s="541" t="s">
        <v>127</v>
      </c>
      <c r="E438" s="541" t="s">
        <v>6</v>
      </c>
      <c r="F438" s="540">
        <v>60000</v>
      </c>
      <c r="G438" s="507">
        <f t="shared" ref="G438:K440" si="75">G439</f>
        <v>100000</v>
      </c>
      <c r="H438" s="448">
        <f t="shared" si="75"/>
        <v>75000</v>
      </c>
      <c r="I438" s="448">
        <f t="shared" si="75"/>
        <v>100000</v>
      </c>
      <c r="J438" s="507">
        <f t="shared" si="75"/>
        <v>100000</v>
      </c>
      <c r="K438" s="507">
        <f t="shared" si="75"/>
        <v>100000</v>
      </c>
      <c r="L438" s="436">
        <f t="shared" si="69"/>
        <v>0</v>
      </c>
      <c r="M438" s="498">
        <f t="shared" si="70"/>
        <v>100</v>
      </c>
    </row>
    <row r="439" spans="1:13" ht="34" outlineLevel="1" x14ac:dyDescent="0.3">
      <c r="A439" s="438" t="s">
        <v>526</v>
      </c>
      <c r="B439" s="439" t="s">
        <v>500</v>
      </c>
      <c r="C439" s="439" t="s">
        <v>95</v>
      </c>
      <c r="D439" s="539" t="s">
        <v>539</v>
      </c>
      <c r="E439" s="539" t="s">
        <v>6</v>
      </c>
      <c r="F439" s="540">
        <v>60000</v>
      </c>
      <c r="G439" s="466">
        <f t="shared" si="75"/>
        <v>100000</v>
      </c>
      <c r="H439" s="442">
        <f t="shared" si="75"/>
        <v>75000</v>
      </c>
      <c r="I439" s="442">
        <f t="shared" si="75"/>
        <v>100000</v>
      </c>
      <c r="J439" s="466">
        <f t="shared" si="75"/>
        <v>100000</v>
      </c>
      <c r="K439" s="466">
        <f t="shared" si="75"/>
        <v>100000</v>
      </c>
      <c r="L439" s="436">
        <f t="shared" si="69"/>
        <v>0</v>
      </c>
      <c r="M439" s="498">
        <f t="shared" si="70"/>
        <v>100</v>
      </c>
    </row>
    <row r="440" spans="1:13" outlineLevel="1" x14ac:dyDescent="0.3">
      <c r="A440" s="438" t="s">
        <v>90</v>
      </c>
      <c r="B440" s="439" t="s">
        <v>500</v>
      </c>
      <c r="C440" s="439" t="s">
        <v>95</v>
      </c>
      <c r="D440" s="539" t="s">
        <v>539</v>
      </c>
      <c r="E440" s="539" t="s">
        <v>91</v>
      </c>
      <c r="F440" s="540">
        <v>60000</v>
      </c>
      <c r="G440" s="466">
        <f t="shared" si="75"/>
        <v>100000</v>
      </c>
      <c r="H440" s="370">
        <v>75000</v>
      </c>
      <c r="I440" s="442">
        <f t="shared" si="75"/>
        <v>100000</v>
      </c>
      <c r="J440" s="466">
        <f t="shared" si="75"/>
        <v>100000</v>
      </c>
      <c r="K440" s="466">
        <f t="shared" si="75"/>
        <v>100000</v>
      </c>
      <c r="L440" s="436">
        <f t="shared" si="69"/>
        <v>0</v>
      </c>
      <c r="M440" s="498">
        <f t="shared" si="70"/>
        <v>100</v>
      </c>
    </row>
    <row r="441" spans="1:13" ht="20.25" customHeight="1" outlineLevel="1" x14ac:dyDescent="0.3">
      <c r="A441" s="438" t="s">
        <v>309</v>
      </c>
      <c r="B441" s="439" t="s">
        <v>500</v>
      </c>
      <c r="C441" s="439" t="s">
        <v>95</v>
      </c>
      <c r="D441" s="539" t="s">
        <v>539</v>
      </c>
      <c r="E441" s="539" t="s">
        <v>310</v>
      </c>
      <c r="F441" s="540">
        <v>60000</v>
      </c>
      <c r="G441" s="465">
        <f>[2]потребность!I407</f>
        <v>100000</v>
      </c>
      <c r="H441" s="370">
        <v>75000</v>
      </c>
      <c r="I441" s="440">
        <v>100000</v>
      </c>
      <c r="J441" s="465">
        <v>100000</v>
      </c>
      <c r="K441" s="465">
        <v>100000</v>
      </c>
      <c r="L441" s="436">
        <f t="shared" si="69"/>
        <v>0</v>
      </c>
      <c r="M441" s="498">
        <f t="shared" si="70"/>
        <v>100</v>
      </c>
    </row>
    <row r="442" spans="1:13" outlineLevel="1" x14ac:dyDescent="0.3">
      <c r="A442" s="438" t="s">
        <v>123</v>
      </c>
      <c r="B442" s="439" t="s">
        <v>500</v>
      </c>
      <c r="C442" s="439" t="s">
        <v>124</v>
      </c>
      <c r="D442" s="539" t="s">
        <v>126</v>
      </c>
      <c r="E442" s="539" t="s">
        <v>6</v>
      </c>
      <c r="F442" s="540">
        <v>31400196.27</v>
      </c>
      <c r="G442" s="466">
        <f t="shared" ref="G442:K443" si="76">G443</f>
        <v>47456869.619999997</v>
      </c>
      <c r="H442" s="442">
        <f t="shared" si="76"/>
        <v>20087351.119999997</v>
      </c>
      <c r="I442" s="442">
        <f t="shared" si="76"/>
        <v>59124839</v>
      </c>
      <c r="J442" s="466">
        <f t="shared" si="76"/>
        <v>84007682.859999999</v>
      </c>
      <c r="K442" s="466">
        <f t="shared" si="76"/>
        <v>84007682.859999999</v>
      </c>
      <c r="L442" s="436">
        <f t="shared" si="69"/>
        <v>0</v>
      </c>
      <c r="M442" s="498">
        <f t="shared" si="70"/>
        <v>177.0190143864782</v>
      </c>
    </row>
    <row r="443" spans="1:13" ht="34" outlineLevel="1" x14ac:dyDescent="0.3">
      <c r="A443" s="444" t="s">
        <v>132</v>
      </c>
      <c r="B443" s="445" t="s">
        <v>500</v>
      </c>
      <c r="C443" s="445" t="s">
        <v>124</v>
      </c>
      <c r="D443" s="541" t="s">
        <v>127</v>
      </c>
      <c r="E443" s="541" t="s">
        <v>6</v>
      </c>
      <c r="F443" s="540">
        <v>31400196.27</v>
      </c>
      <c r="G443" s="507">
        <f t="shared" si="76"/>
        <v>47456869.619999997</v>
      </c>
      <c r="H443" s="448">
        <f t="shared" si="76"/>
        <v>20087351.119999997</v>
      </c>
      <c r="I443" s="448">
        <f t="shared" si="76"/>
        <v>59124839</v>
      </c>
      <c r="J443" s="507">
        <f t="shared" si="76"/>
        <v>84007682.859999999</v>
      </c>
      <c r="K443" s="507">
        <f t="shared" si="76"/>
        <v>84007682.859999999</v>
      </c>
      <c r="L443" s="436">
        <f t="shared" si="69"/>
        <v>0</v>
      </c>
      <c r="M443" s="498">
        <f t="shared" si="70"/>
        <v>177.0190143864782</v>
      </c>
    </row>
    <row r="444" spans="1:13" outlineLevel="1" x14ac:dyDescent="0.3">
      <c r="A444" s="438" t="s">
        <v>277</v>
      </c>
      <c r="B444" s="439" t="s">
        <v>500</v>
      </c>
      <c r="C444" s="439" t="s">
        <v>124</v>
      </c>
      <c r="D444" s="539" t="s">
        <v>276</v>
      </c>
      <c r="E444" s="539" t="s">
        <v>6</v>
      </c>
      <c r="F444" s="540">
        <v>31400196.27</v>
      </c>
      <c r="G444" s="466">
        <f>G454+G445+G451</f>
        <v>47456869.619999997</v>
      </c>
      <c r="H444" s="442">
        <f>H454+H445+H451</f>
        <v>20087351.119999997</v>
      </c>
      <c r="I444" s="442">
        <f>I454+I445+I451</f>
        <v>59124839</v>
      </c>
      <c r="J444" s="466">
        <f>J454+J445+J451</f>
        <v>84007682.859999999</v>
      </c>
      <c r="K444" s="466">
        <f>K454+K445+K451</f>
        <v>84007682.859999999</v>
      </c>
      <c r="L444" s="436">
        <f t="shared" si="69"/>
        <v>0</v>
      </c>
      <c r="M444" s="498">
        <f t="shared" si="70"/>
        <v>177.0190143864782</v>
      </c>
    </row>
    <row r="445" spans="1:13" s="449" customFormat="1" ht="101.9" outlineLevel="1" x14ac:dyDescent="0.3">
      <c r="A445" s="393" t="s">
        <v>431</v>
      </c>
      <c r="B445" s="439" t="s">
        <v>500</v>
      </c>
      <c r="C445" s="439" t="s">
        <v>124</v>
      </c>
      <c r="D445" s="539" t="s">
        <v>432</v>
      </c>
      <c r="E445" s="539" t="s">
        <v>6</v>
      </c>
      <c r="F445" s="540">
        <v>456463.12</v>
      </c>
      <c r="G445" s="465">
        <f>G446+G448</f>
        <v>22326590.18</v>
      </c>
      <c r="H445" s="440">
        <f>H446+H448</f>
        <v>10072207.699999999</v>
      </c>
      <c r="I445" s="440">
        <f>I446+I448</f>
        <v>22604954.34</v>
      </c>
      <c r="J445" s="513">
        <f>J446+J448</f>
        <v>36028492.670000002</v>
      </c>
      <c r="K445" s="513">
        <f>K446+K448</f>
        <v>36028492.670000002</v>
      </c>
      <c r="L445" s="436">
        <f t="shared" si="69"/>
        <v>0</v>
      </c>
      <c r="M445" s="498">
        <f t="shared" si="70"/>
        <v>161.37033187572936</v>
      </c>
    </row>
    <row r="446" spans="1:13" ht="34" outlineLevel="1" x14ac:dyDescent="0.3">
      <c r="A446" s="438" t="s">
        <v>15</v>
      </c>
      <c r="B446" s="439" t="s">
        <v>500</v>
      </c>
      <c r="C446" s="439" t="s">
        <v>124</v>
      </c>
      <c r="D446" s="539" t="s">
        <v>432</v>
      </c>
      <c r="E446" s="539" t="s">
        <v>16</v>
      </c>
      <c r="F446" s="540">
        <v>456463.12</v>
      </c>
      <c r="G446" s="465">
        <f>G447</f>
        <v>130000</v>
      </c>
      <c r="H446" s="370">
        <v>74643.25</v>
      </c>
      <c r="I446" s="440">
        <f>I447</f>
        <v>130000</v>
      </c>
      <c r="J446" s="465">
        <f>J447</f>
        <v>130000</v>
      </c>
      <c r="K446" s="465">
        <f>K447</f>
        <v>130000</v>
      </c>
      <c r="L446" s="436">
        <f t="shared" si="69"/>
        <v>0</v>
      </c>
      <c r="M446" s="498">
        <f t="shared" si="70"/>
        <v>100</v>
      </c>
    </row>
    <row r="447" spans="1:13" s="449" customFormat="1" ht="37.549999999999997" customHeight="1" outlineLevel="1" x14ac:dyDescent="0.3">
      <c r="A447" s="438" t="s">
        <v>17</v>
      </c>
      <c r="B447" s="439" t="s">
        <v>500</v>
      </c>
      <c r="C447" s="439" t="s">
        <v>124</v>
      </c>
      <c r="D447" s="539" t="s">
        <v>432</v>
      </c>
      <c r="E447" s="539" t="s">
        <v>18</v>
      </c>
      <c r="F447" s="540">
        <v>456463.12</v>
      </c>
      <c r="G447" s="465">
        <v>130000</v>
      </c>
      <c r="H447" s="370">
        <v>74643.25</v>
      </c>
      <c r="I447" s="440">
        <v>130000</v>
      </c>
      <c r="J447" s="507">
        <v>130000</v>
      </c>
      <c r="K447" s="507">
        <v>130000</v>
      </c>
      <c r="L447" s="436">
        <f t="shared" si="69"/>
        <v>0</v>
      </c>
      <c r="M447" s="498">
        <f t="shared" si="70"/>
        <v>100</v>
      </c>
    </row>
    <row r="448" spans="1:13" outlineLevel="1" x14ac:dyDescent="0.3">
      <c r="A448" s="438" t="s">
        <v>90</v>
      </c>
      <c r="B448" s="439" t="s">
        <v>500</v>
      </c>
      <c r="C448" s="439" t="s">
        <v>124</v>
      </c>
      <c r="D448" s="539" t="s">
        <v>432</v>
      </c>
      <c r="E448" s="539" t="s">
        <v>91</v>
      </c>
      <c r="F448" s="540">
        <v>13734787.529999999</v>
      </c>
      <c r="G448" s="465">
        <f>G449+G450</f>
        <v>22196590.18</v>
      </c>
      <c r="H448" s="370">
        <v>9997564.4499999993</v>
      </c>
      <c r="I448" s="440">
        <f>I449+I450</f>
        <v>22474954.34</v>
      </c>
      <c r="J448" s="465">
        <f>J449+J450</f>
        <v>35898492.670000002</v>
      </c>
      <c r="K448" s="465">
        <f>K449+K450</f>
        <v>35898492.670000002</v>
      </c>
      <c r="L448" s="436">
        <f t="shared" si="69"/>
        <v>0</v>
      </c>
      <c r="M448" s="498">
        <f t="shared" si="70"/>
        <v>161.72976290000594</v>
      </c>
    </row>
    <row r="449" spans="1:13" ht="39.4" customHeight="1" outlineLevel="1" x14ac:dyDescent="0.3">
      <c r="A449" s="438" t="s">
        <v>92</v>
      </c>
      <c r="B449" s="439" t="s">
        <v>500</v>
      </c>
      <c r="C449" s="439" t="s">
        <v>124</v>
      </c>
      <c r="D449" s="539" t="s">
        <v>432</v>
      </c>
      <c r="E449" s="539" t="s">
        <v>93</v>
      </c>
      <c r="F449" s="540">
        <v>105651.19</v>
      </c>
      <c r="G449" s="465">
        <f>19797344.4+399245.78</f>
        <v>20196590.18</v>
      </c>
      <c r="H449" s="370">
        <v>8539128.2200000007</v>
      </c>
      <c r="I449" s="440">
        <v>20474954.34</v>
      </c>
      <c r="J449" s="510">
        <v>33898492.670000002</v>
      </c>
      <c r="K449" s="510">
        <v>33898492.670000002</v>
      </c>
      <c r="L449" s="436">
        <f t="shared" si="69"/>
        <v>0</v>
      </c>
      <c r="M449" s="498">
        <f t="shared" si="70"/>
        <v>167.84265248679716</v>
      </c>
    </row>
    <row r="450" spans="1:13" ht="47.25" customHeight="1" outlineLevel="1" x14ac:dyDescent="0.3">
      <c r="A450" s="438" t="s">
        <v>97</v>
      </c>
      <c r="B450" s="439" t="s">
        <v>500</v>
      </c>
      <c r="C450" s="439" t="s">
        <v>124</v>
      </c>
      <c r="D450" s="539" t="s">
        <v>432</v>
      </c>
      <c r="E450" s="539" t="s">
        <v>98</v>
      </c>
      <c r="F450" s="540">
        <v>105651.19</v>
      </c>
      <c r="G450" s="465">
        <v>2000000</v>
      </c>
      <c r="H450" s="370">
        <v>1458436.23</v>
      </c>
      <c r="I450" s="440">
        <v>2000000</v>
      </c>
      <c r="J450" s="510">
        <v>2000000</v>
      </c>
      <c r="K450" s="510">
        <v>2000000</v>
      </c>
      <c r="L450" s="436">
        <f t="shared" si="69"/>
        <v>0</v>
      </c>
      <c r="M450" s="498">
        <f t="shared" si="70"/>
        <v>100</v>
      </c>
    </row>
    <row r="451" spans="1:13" ht="84.25" customHeight="1" outlineLevel="1" x14ac:dyDescent="0.3">
      <c r="A451" s="393" t="s">
        <v>760</v>
      </c>
      <c r="B451" s="439" t="s">
        <v>500</v>
      </c>
      <c r="C451" s="439" t="s">
        <v>124</v>
      </c>
      <c r="D451" s="539" t="s">
        <v>792</v>
      </c>
      <c r="E451" s="539" t="s">
        <v>6</v>
      </c>
      <c r="F451" s="540">
        <v>13629136.34</v>
      </c>
      <c r="G451" s="465">
        <f t="shared" ref="G451:K452" si="77">G452</f>
        <v>16214571.039999999</v>
      </c>
      <c r="H451" s="440">
        <f t="shared" si="77"/>
        <v>10015143.42</v>
      </c>
      <c r="I451" s="440">
        <f t="shared" si="77"/>
        <v>16214571.039999999</v>
      </c>
      <c r="J451" s="465">
        <f t="shared" si="77"/>
        <v>21307950</v>
      </c>
      <c r="K451" s="465">
        <f t="shared" si="77"/>
        <v>21307950</v>
      </c>
      <c r="L451" s="436">
        <f t="shared" si="69"/>
        <v>0</v>
      </c>
      <c r="M451" s="498">
        <f t="shared" si="70"/>
        <v>131.41235711654079</v>
      </c>
    </row>
    <row r="452" spans="1:13" ht="42.8" customHeight="1" outlineLevel="1" x14ac:dyDescent="0.3">
      <c r="A452" s="438" t="s">
        <v>264</v>
      </c>
      <c r="B452" s="439" t="s">
        <v>500</v>
      </c>
      <c r="C452" s="439" t="s">
        <v>124</v>
      </c>
      <c r="D452" s="539" t="s">
        <v>792</v>
      </c>
      <c r="E452" s="539" t="s">
        <v>265</v>
      </c>
      <c r="F452" s="540">
        <v>11719309.77</v>
      </c>
      <c r="G452" s="465">
        <f t="shared" si="77"/>
        <v>16214571.039999999</v>
      </c>
      <c r="H452" s="370">
        <v>10015143.42</v>
      </c>
      <c r="I452" s="440">
        <f t="shared" si="77"/>
        <v>16214571.039999999</v>
      </c>
      <c r="J452" s="513">
        <f t="shared" si="77"/>
        <v>21307950</v>
      </c>
      <c r="K452" s="513">
        <f t="shared" si="77"/>
        <v>21307950</v>
      </c>
      <c r="L452" s="436">
        <f t="shared" si="69"/>
        <v>0</v>
      </c>
      <c r="M452" s="498">
        <f t="shared" si="70"/>
        <v>131.41235711654079</v>
      </c>
    </row>
    <row r="453" spans="1:13" ht="28.55" customHeight="1" outlineLevel="1" x14ac:dyDescent="0.3">
      <c r="A453" s="438" t="s">
        <v>266</v>
      </c>
      <c r="B453" s="439" t="s">
        <v>500</v>
      </c>
      <c r="C453" s="439" t="s">
        <v>124</v>
      </c>
      <c r="D453" s="539" t="s">
        <v>792</v>
      </c>
      <c r="E453" s="539" t="s">
        <v>267</v>
      </c>
      <c r="F453" s="540">
        <v>1909826.57</v>
      </c>
      <c r="G453" s="465">
        <v>16214571.039999999</v>
      </c>
      <c r="H453" s="370">
        <v>10015143.42</v>
      </c>
      <c r="I453" s="440">
        <v>16214571.039999999</v>
      </c>
      <c r="J453" s="510">
        <v>21307950</v>
      </c>
      <c r="K453" s="510">
        <v>21307950</v>
      </c>
      <c r="L453" s="436">
        <f t="shared" si="69"/>
        <v>0</v>
      </c>
      <c r="M453" s="498">
        <f t="shared" si="70"/>
        <v>131.41235711654079</v>
      </c>
    </row>
    <row r="454" spans="1:13" ht="99" customHeight="1" outlineLevel="1" x14ac:dyDescent="0.3">
      <c r="A454" s="393" t="s">
        <v>656</v>
      </c>
      <c r="B454" s="439" t="s">
        <v>500</v>
      </c>
      <c r="C454" s="439" t="s">
        <v>124</v>
      </c>
      <c r="D454" s="539" t="s">
        <v>295</v>
      </c>
      <c r="E454" s="539" t="s">
        <v>6</v>
      </c>
      <c r="F454" s="540">
        <v>17208945.620000001</v>
      </c>
      <c r="G454" s="466">
        <f t="shared" ref="G454:K455" si="78">G455</f>
        <v>8915708.4000000004</v>
      </c>
      <c r="H454" s="442">
        <f t="shared" si="78"/>
        <v>0</v>
      </c>
      <c r="I454" s="442">
        <f t="shared" si="78"/>
        <v>20305313.620000001</v>
      </c>
      <c r="J454" s="466">
        <f t="shared" si="78"/>
        <v>26671240.190000001</v>
      </c>
      <c r="K454" s="466">
        <f t="shared" si="78"/>
        <v>26671240.190000001</v>
      </c>
      <c r="L454" s="436">
        <f t="shared" si="69"/>
        <v>0</v>
      </c>
      <c r="M454" s="498">
        <f t="shared" si="70"/>
        <v>299.14886168776002</v>
      </c>
    </row>
    <row r="455" spans="1:13" ht="50.95" outlineLevel="1" x14ac:dyDescent="0.3">
      <c r="A455" s="438" t="s">
        <v>264</v>
      </c>
      <c r="B455" s="439" t="s">
        <v>500</v>
      </c>
      <c r="C455" s="439" t="s">
        <v>124</v>
      </c>
      <c r="D455" s="539" t="s">
        <v>295</v>
      </c>
      <c r="E455" s="539" t="s">
        <v>265</v>
      </c>
      <c r="F455" s="540">
        <v>17208945.620000001</v>
      </c>
      <c r="G455" s="466">
        <f t="shared" si="78"/>
        <v>8915708.4000000004</v>
      </c>
      <c r="H455" s="442">
        <v>0</v>
      </c>
      <c r="I455" s="442">
        <f t="shared" si="78"/>
        <v>20305313.620000001</v>
      </c>
      <c r="J455" s="509">
        <f t="shared" si="78"/>
        <v>26671240.190000001</v>
      </c>
      <c r="K455" s="509">
        <f t="shared" si="78"/>
        <v>26671240.190000001</v>
      </c>
      <c r="L455" s="436">
        <f t="shared" si="69"/>
        <v>0</v>
      </c>
      <c r="M455" s="498">
        <f t="shared" si="70"/>
        <v>299.14886168776002</v>
      </c>
    </row>
    <row r="456" spans="1:13" outlineLevel="1" x14ac:dyDescent="0.3">
      <c r="A456" s="438" t="s">
        <v>266</v>
      </c>
      <c r="B456" s="439" t="s">
        <v>500</v>
      </c>
      <c r="C456" s="439" t="s">
        <v>124</v>
      </c>
      <c r="D456" s="539" t="s">
        <v>295</v>
      </c>
      <c r="E456" s="539" t="s">
        <v>267</v>
      </c>
      <c r="F456" s="540">
        <v>17208945.620000001</v>
      </c>
      <c r="G456" s="465">
        <f>10197469.69-468919.69-812841.6</f>
        <v>8915708.4000000004</v>
      </c>
      <c r="H456" s="440">
        <v>0</v>
      </c>
      <c r="I456" s="440">
        <v>20305313.620000001</v>
      </c>
      <c r="J456" s="510">
        <v>26671240.190000001</v>
      </c>
      <c r="K456" s="510">
        <v>26671240.190000001</v>
      </c>
      <c r="L456" s="436">
        <f t="shared" ref="L456:L519" si="79">K456-J456</f>
        <v>0</v>
      </c>
      <c r="M456" s="498">
        <f t="shared" si="70"/>
        <v>299.14886168776002</v>
      </c>
    </row>
    <row r="457" spans="1:13" outlineLevel="1" x14ac:dyDescent="0.3">
      <c r="A457" s="444" t="s">
        <v>100</v>
      </c>
      <c r="B457" s="445" t="s">
        <v>500</v>
      </c>
      <c r="C457" s="445" t="s">
        <v>101</v>
      </c>
      <c r="D457" s="541" t="s">
        <v>126</v>
      </c>
      <c r="E457" s="541" t="s">
        <v>6</v>
      </c>
      <c r="F457" s="540">
        <v>710998.64</v>
      </c>
      <c r="G457" s="507">
        <f>G458</f>
        <v>11156395.439999999</v>
      </c>
      <c r="H457" s="448">
        <f>H458</f>
        <v>10079819.859999999</v>
      </c>
      <c r="I457" s="448">
        <f>I458</f>
        <v>1973229.4</v>
      </c>
      <c r="J457" s="507">
        <f>J458</f>
        <v>4199318.82</v>
      </c>
      <c r="K457" s="507">
        <f>K458</f>
        <v>4199318.82</v>
      </c>
      <c r="L457" s="436">
        <f t="shared" si="79"/>
        <v>0</v>
      </c>
      <c r="M457" s="498">
        <f t="shared" si="70"/>
        <v>37.640462303297497</v>
      </c>
    </row>
    <row r="458" spans="1:13" ht="22.75" customHeight="1" outlineLevel="1" x14ac:dyDescent="0.3">
      <c r="A458" s="438" t="s">
        <v>301</v>
      </c>
      <c r="B458" s="439" t="s">
        <v>500</v>
      </c>
      <c r="C458" s="439" t="s">
        <v>300</v>
      </c>
      <c r="D458" s="539" t="s">
        <v>126</v>
      </c>
      <c r="E458" s="539" t="s">
        <v>6</v>
      </c>
      <c r="F458" s="540">
        <v>710998.64</v>
      </c>
      <c r="G458" s="466">
        <f>G459+G500</f>
        <v>11156395.439999999</v>
      </c>
      <c r="H458" s="442">
        <f>H459+H500</f>
        <v>10079819.859999999</v>
      </c>
      <c r="I458" s="442">
        <f>I459+I500</f>
        <v>1973229.4</v>
      </c>
      <c r="J458" s="466">
        <f>J459+J500</f>
        <v>4199318.82</v>
      </c>
      <c r="K458" s="466">
        <f>K459+K500</f>
        <v>4199318.82</v>
      </c>
      <c r="L458" s="436">
        <f t="shared" si="79"/>
        <v>0</v>
      </c>
      <c r="M458" s="498">
        <f t="shared" si="70"/>
        <v>37.640462303297497</v>
      </c>
    </row>
    <row r="459" spans="1:13" ht="48.75" customHeight="1" outlineLevel="1" x14ac:dyDescent="0.3">
      <c r="A459" s="444" t="s">
        <v>836</v>
      </c>
      <c r="B459" s="445" t="s">
        <v>500</v>
      </c>
      <c r="C459" s="445" t="s">
        <v>300</v>
      </c>
      <c r="D459" s="541" t="s">
        <v>200</v>
      </c>
      <c r="E459" s="541" t="s">
        <v>6</v>
      </c>
      <c r="F459" s="542">
        <v>660998.64</v>
      </c>
      <c r="G459" s="507">
        <f>G460+G484</f>
        <v>11106395.439999999</v>
      </c>
      <c r="H459" s="448">
        <f>H460+H484</f>
        <v>10029819.859999999</v>
      </c>
      <c r="I459" s="448">
        <f>I460+I484</f>
        <v>1923229.4</v>
      </c>
      <c r="J459" s="507">
        <f>J460+J484</f>
        <v>4149318.8200000003</v>
      </c>
      <c r="K459" s="507">
        <f>K460+K484</f>
        <v>4149318.8200000003</v>
      </c>
      <c r="L459" s="436">
        <f t="shared" si="79"/>
        <v>0</v>
      </c>
      <c r="M459" s="498">
        <f t="shared" si="70"/>
        <v>37.359725235931279</v>
      </c>
    </row>
    <row r="460" spans="1:13" ht="50.95" outlineLevel="1" x14ac:dyDescent="0.3">
      <c r="A460" s="438" t="s">
        <v>837</v>
      </c>
      <c r="B460" s="439" t="s">
        <v>500</v>
      </c>
      <c r="C460" s="439" t="s">
        <v>300</v>
      </c>
      <c r="D460" s="539" t="s">
        <v>230</v>
      </c>
      <c r="E460" s="539" t="s">
        <v>6</v>
      </c>
      <c r="F460" s="540">
        <v>660998.64</v>
      </c>
      <c r="G460" s="466">
        <f>G461+G466+G469+G472+G475</f>
        <v>9907138.4499999993</v>
      </c>
      <c r="H460" s="442">
        <f>H461+H466+H469+H472+H475</f>
        <v>9833329.7299999986</v>
      </c>
      <c r="I460" s="442">
        <f>I461+I466+I469+I472+I475</f>
        <v>661000</v>
      </c>
      <c r="J460" s="466">
        <f>J461+J466+J469+J472+J475+J478+J481</f>
        <v>777071.62</v>
      </c>
      <c r="K460" s="466">
        <f>K461+K466+K469+K472+K475+K478+K481</f>
        <v>777071.62</v>
      </c>
      <c r="L460" s="436">
        <f t="shared" si="79"/>
        <v>0</v>
      </c>
      <c r="M460" s="498">
        <f t="shared" ref="M460:M523" si="80">J460/G460%</f>
        <v>7.8435526456178684</v>
      </c>
    </row>
    <row r="461" spans="1:13" ht="28.55" customHeight="1" outlineLevel="1" x14ac:dyDescent="0.3">
      <c r="A461" s="438" t="s">
        <v>102</v>
      </c>
      <c r="B461" s="439" t="s">
        <v>500</v>
      </c>
      <c r="C461" s="439" t="s">
        <v>300</v>
      </c>
      <c r="D461" s="539" t="s">
        <v>201</v>
      </c>
      <c r="E461" s="539" t="s">
        <v>6</v>
      </c>
      <c r="F461" s="540">
        <v>660998.64</v>
      </c>
      <c r="G461" s="466">
        <f>G462+G464</f>
        <v>704500</v>
      </c>
      <c r="H461" s="442">
        <f>H462+H464</f>
        <v>630691.68000000005</v>
      </c>
      <c r="I461" s="442">
        <f>I462+I464</f>
        <v>661000</v>
      </c>
      <c r="J461" s="466">
        <f>J462+J464</f>
        <v>661000</v>
      </c>
      <c r="K461" s="466">
        <f>K462+K464</f>
        <v>661000</v>
      </c>
      <c r="L461" s="436">
        <f t="shared" si="79"/>
        <v>0</v>
      </c>
      <c r="M461" s="498">
        <f t="shared" si="80"/>
        <v>93.825408090844576</v>
      </c>
    </row>
    <row r="462" spans="1:13" ht="21.25" customHeight="1" outlineLevel="1" x14ac:dyDescent="0.3">
      <c r="A462" s="438" t="s">
        <v>15</v>
      </c>
      <c r="B462" s="439" t="s">
        <v>500</v>
      </c>
      <c r="C462" s="439" t="s">
        <v>300</v>
      </c>
      <c r="D462" s="539" t="s">
        <v>201</v>
      </c>
      <c r="E462" s="539" t="s">
        <v>16</v>
      </c>
      <c r="F462" s="540">
        <v>639298.64</v>
      </c>
      <c r="G462" s="466">
        <f>G463</f>
        <v>674500</v>
      </c>
      <c r="H462" s="370">
        <v>607991.68000000005</v>
      </c>
      <c r="I462" s="442">
        <f>I463</f>
        <v>631000</v>
      </c>
      <c r="J462" s="466">
        <f>J463</f>
        <v>631000</v>
      </c>
      <c r="K462" s="466">
        <f>K463</f>
        <v>631000</v>
      </c>
      <c r="L462" s="436">
        <f t="shared" si="79"/>
        <v>0</v>
      </c>
      <c r="M462" s="498">
        <f t="shared" si="80"/>
        <v>93.550778354336543</v>
      </c>
    </row>
    <row r="463" spans="1:13" s="449" customFormat="1" ht="34" outlineLevel="1" x14ac:dyDescent="0.3">
      <c r="A463" s="438" t="s">
        <v>17</v>
      </c>
      <c r="B463" s="439" t="s">
        <v>500</v>
      </c>
      <c r="C463" s="439" t="s">
        <v>300</v>
      </c>
      <c r="D463" s="539" t="s">
        <v>201</v>
      </c>
      <c r="E463" s="539" t="s">
        <v>18</v>
      </c>
      <c r="F463" s="540">
        <v>639298.64</v>
      </c>
      <c r="G463" s="466">
        <f>[2]потребность!L432-156500</f>
        <v>674500</v>
      </c>
      <c r="H463" s="370">
        <v>607991.68000000005</v>
      </c>
      <c r="I463" s="442">
        <v>631000</v>
      </c>
      <c r="J463" s="507">
        <v>631000</v>
      </c>
      <c r="K463" s="507">
        <v>631000</v>
      </c>
      <c r="L463" s="436">
        <f t="shared" si="79"/>
        <v>0</v>
      </c>
      <c r="M463" s="498">
        <f t="shared" si="80"/>
        <v>93.550778354336543</v>
      </c>
    </row>
    <row r="464" spans="1:13" ht="24.8" customHeight="1" outlineLevel="2" x14ac:dyDescent="0.3">
      <c r="A464" s="438" t="s">
        <v>271</v>
      </c>
      <c r="B464" s="439" t="s">
        <v>500</v>
      </c>
      <c r="C464" s="439" t="s">
        <v>300</v>
      </c>
      <c r="D464" s="539" t="s">
        <v>201</v>
      </c>
      <c r="E464" s="539" t="s">
        <v>20</v>
      </c>
      <c r="F464" s="540">
        <v>21700</v>
      </c>
      <c r="G464" s="466">
        <f>G465</f>
        <v>30000</v>
      </c>
      <c r="H464" s="370">
        <v>22700</v>
      </c>
      <c r="I464" s="442">
        <f>I465</f>
        <v>30000</v>
      </c>
      <c r="J464" s="466">
        <f>J465</f>
        <v>30000</v>
      </c>
      <c r="K464" s="466">
        <f>K465</f>
        <v>30000</v>
      </c>
      <c r="L464" s="436">
        <f t="shared" si="79"/>
        <v>0</v>
      </c>
      <c r="M464" s="498">
        <f t="shared" si="80"/>
        <v>100</v>
      </c>
    </row>
    <row r="465" spans="1:13" s="449" customFormat="1" ht="27.7" customHeight="1" outlineLevel="3" x14ac:dyDescent="0.3">
      <c r="A465" s="438" t="s">
        <v>272</v>
      </c>
      <c r="B465" s="439" t="s">
        <v>500</v>
      </c>
      <c r="C465" s="439" t="s">
        <v>300</v>
      </c>
      <c r="D465" s="539" t="s">
        <v>201</v>
      </c>
      <c r="E465" s="539" t="s">
        <v>22</v>
      </c>
      <c r="F465" s="540">
        <v>21700</v>
      </c>
      <c r="G465" s="466">
        <v>30000</v>
      </c>
      <c r="H465" s="370">
        <v>22700</v>
      </c>
      <c r="I465" s="442">
        <v>30000</v>
      </c>
      <c r="J465" s="507">
        <v>30000</v>
      </c>
      <c r="K465" s="507">
        <v>30000</v>
      </c>
      <c r="L465" s="436">
        <f t="shared" si="79"/>
        <v>0</v>
      </c>
      <c r="M465" s="498">
        <f t="shared" si="80"/>
        <v>100</v>
      </c>
    </row>
    <row r="466" spans="1:13" s="449" customFormat="1" ht="43.5" customHeight="1" outlineLevel="3" x14ac:dyDescent="0.3">
      <c r="A466" s="438" t="s">
        <v>281</v>
      </c>
      <c r="B466" s="439" t="s">
        <v>500</v>
      </c>
      <c r="C466" s="439" t="s">
        <v>300</v>
      </c>
      <c r="D466" s="539" t="s">
        <v>920</v>
      </c>
      <c r="E466" s="539" t="s">
        <v>6</v>
      </c>
      <c r="F466" s="539"/>
      <c r="G466" s="466">
        <f>G467</f>
        <v>6553690</v>
      </c>
      <c r="H466" s="442">
        <f>H467</f>
        <v>6553689.5999999996</v>
      </c>
      <c r="I466" s="442">
        <v>0</v>
      </c>
      <c r="J466" s="466">
        <f>J467</f>
        <v>0</v>
      </c>
      <c r="K466" s="466">
        <f>K467</f>
        <v>0</v>
      </c>
      <c r="L466" s="436">
        <f t="shared" si="79"/>
        <v>0</v>
      </c>
      <c r="M466" s="498">
        <f t="shared" si="80"/>
        <v>0</v>
      </c>
    </row>
    <row r="467" spans="1:13" s="449" customFormat="1" ht="27.7" customHeight="1" outlineLevel="3" x14ac:dyDescent="0.3">
      <c r="A467" s="438" t="s">
        <v>15</v>
      </c>
      <c r="B467" s="439" t="s">
        <v>500</v>
      </c>
      <c r="C467" s="439" t="s">
        <v>300</v>
      </c>
      <c r="D467" s="539" t="s">
        <v>920</v>
      </c>
      <c r="E467" s="539" t="s">
        <v>16</v>
      </c>
      <c r="F467" s="539"/>
      <c r="G467" s="466">
        <f>G468</f>
        <v>6553690</v>
      </c>
      <c r="H467" s="370">
        <v>6553689.5999999996</v>
      </c>
      <c r="I467" s="442">
        <v>0</v>
      </c>
      <c r="J467" s="466">
        <f>J468</f>
        <v>0</v>
      </c>
      <c r="K467" s="466">
        <f>K468</f>
        <v>0</v>
      </c>
      <c r="L467" s="436">
        <f t="shared" si="79"/>
        <v>0</v>
      </c>
      <c r="M467" s="498">
        <f t="shared" si="80"/>
        <v>0</v>
      </c>
    </row>
    <row r="468" spans="1:13" s="449" customFormat="1" ht="49.75" customHeight="1" outlineLevel="3" x14ac:dyDescent="0.3">
      <c r="A468" s="438" t="s">
        <v>17</v>
      </c>
      <c r="B468" s="439" t="s">
        <v>500</v>
      </c>
      <c r="C468" s="439" t="s">
        <v>300</v>
      </c>
      <c r="D468" s="539" t="s">
        <v>920</v>
      </c>
      <c r="E468" s="539" t="s">
        <v>18</v>
      </c>
      <c r="F468" s="539"/>
      <c r="G468" s="466">
        <v>6553690</v>
      </c>
      <c r="H468" s="370">
        <v>6553689.5999999996</v>
      </c>
      <c r="I468" s="442">
        <v>0</v>
      </c>
      <c r="J468" s="507">
        <v>0</v>
      </c>
      <c r="K468" s="507">
        <v>0</v>
      </c>
      <c r="L468" s="436">
        <f t="shared" si="79"/>
        <v>0</v>
      </c>
      <c r="M468" s="498">
        <f t="shared" si="80"/>
        <v>0</v>
      </c>
    </row>
    <row r="469" spans="1:13" s="449" customFormat="1" ht="38.049999999999997" customHeight="1" outlineLevel="3" x14ac:dyDescent="0.3">
      <c r="A469" s="438" t="s">
        <v>919</v>
      </c>
      <c r="B469" s="439" t="s">
        <v>500</v>
      </c>
      <c r="C469" s="439" t="s">
        <v>300</v>
      </c>
      <c r="D469" s="539" t="s">
        <v>921</v>
      </c>
      <c r="E469" s="539" t="s">
        <v>6</v>
      </c>
      <c r="F469" s="539"/>
      <c r="G469" s="466">
        <f>G470</f>
        <v>0</v>
      </c>
      <c r="H469" s="442">
        <f>H470</f>
        <v>0</v>
      </c>
      <c r="I469" s="442">
        <v>0</v>
      </c>
      <c r="J469" s="466">
        <f>J470</f>
        <v>0</v>
      </c>
      <c r="K469" s="466">
        <f>K470</f>
        <v>0</v>
      </c>
      <c r="L469" s="436">
        <f t="shared" si="79"/>
        <v>0</v>
      </c>
      <c r="M469" s="498"/>
    </row>
    <row r="470" spans="1:13" s="449" customFormat="1" ht="27.7" customHeight="1" outlineLevel="3" x14ac:dyDescent="0.3">
      <c r="A470" s="438" t="s">
        <v>15</v>
      </c>
      <c r="B470" s="439" t="s">
        <v>500</v>
      </c>
      <c r="C470" s="439" t="s">
        <v>300</v>
      </c>
      <c r="D470" s="539" t="s">
        <v>921</v>
      </c>
      <c r="E470" s="539" t="s">
        <v>16</v>
      </c>
      <c r="F470" s="539"/>
      <c r="G470" s="466">
        <f>G471</f>
        <v>0</v>
      </c>
      <c r="H470" s="442">
        <f>H471</f>
        <v>0</v>
      </c>
      <c r="I470" s="442">
        <v>0</v>
      </c>
      <c r="J470" s="466">
        <f>J471</f>
        <v>0</v>
      </c>
      <c r="K470" s="466">
        <f>K471</f>
        <v>0</v>
      </c>
      <c r="L470" s="436">
        <f t="shared" si="79"/>
        <v>0</v>
      </c>
      <c r="M470" s="498"/>
    </row>
    <row r="471" spans="1:13" s="449" customFormat="1" ht="41.95" customHeight="1" outlineLevel="3" x14ac:dyDescent="0.3">
      <c r="A471" s="438" t="s">
        <v>17</v>
      </c>
      <c r="B471" s="439" t="s">
        <v>500</v>
      </c>
      <c r="C471" s="439" t="s">
        <v>300</v>
      </c>
      <c r="D471" s="539" t="s">
        <v>921</v>
      </c>
      <c r="E471" s="539" t="s">
        <v>18</v>
      </c>
      <c r="F471" s="539"/>
      <c r="G471" s="466">
        <f>647275.5-317251-330024.5</f>
        <v>0</v>
      </c>
      <c r="H471" s="442">
        <f>647275.5-317251-330024.5</f>
        <v>0</v>
      </c>
      <c r="I471" s="442">
        <v>0</v>
      </c>
      <c r="J471" s="466">
        <f>647275.5-317251-330024.5</f>
        <v>0</v>
      </c>
      <c r="K471" s="466">
        <f>647275.5-317251-330024.5</f>
        <v>0</v>
      </c>
      <c r="L471" s="436">
        <f t="shared" si="79"/>
        <v>0</v>
      </c>
      <c r="M471" s="498"/>
    </row>
    <row r="472" spans="1:13" s="449" customFormat="1" ht="59.8" customHeight="1" outlineLevel="3" x14ac:dyDescent="0.3">
      <c r="A472" s="453" t="s">
        <v>945</v>
      </c>
      <c r="B472" s="439" t="s">
        <v>500</v>
      </c>
      <c r="C472" s="439" t="s">
        <v>300</v>
      </c>
      <c r="D472" s="539" t="s">
        <v>946</v>
      </c>
      <c r="E472" s="539" t="s">
        <v>6</v>
      </c>
      <c r="F472" s="539"/>
      <c r="G472" s="466">
        <f t="shared" ref="G472:K473" si="81">G473</f>
        <v>2569480</v>
      </c>
      <c r="H472" s="442">
        <f t="shared" si="81"/>
        <v>2569480</v>
      </c>
      <c r="I472" s="442">
        <f t="shared" si="81"/>
        <v>0</v>
      </c>
      <c r="J472" s="509">
        <f t="shared" si="81"/>
        <v>0</v>
      </c>
      <c r="K472" s="509">
        <f t="shared" si="81"/>
        <v>0</v>
      </c>
      <c r="L472" s="436">
        <f t="shared" si="79"/>
        <v>0</v>
      </c>
      <c r="M472" s="498">
        <f t="shared" si="80"/>
        <v>0</v>
      </c>
    </row>
    <row r="473" spans="1:13" s="449" customFormat="1" ht="41.95" customHeight="1" outlineLevel="3" x14ac:dyDescent="0.3">
      <c r="A473" s="438" t="s">
        <v>15</v>
      </c>
      <c r="B473" s="439" t="s">
        <v>500</v>
      </c>
      <c r="C473" s="439" t="s">
        <v>300</v>
      </c>
      <c r="D473" s="539" t="s">
        <v>946</v>
      </c>
      <c r="E473" s="539" t="s">
        <v>16</v>
      </c>
      <c r="F473" s="539"/>
      <c r="G473" s="466">
        <f t="shared" si="81"/>
        <v>2569480</v>
      </c>
      <c r="H473" s="370">
        <v>2569480</v>
      </c>
      <c r="I473" s="442">
        <f t="shared" si="81"/>
        <v>0</v>
      </c>
      <c r="J473" s="466">
        <f t="shared" si="81"/>
        <v>0</v>
      </c>
      <c r="K473" s="466">
        <f t="shared" si="81"/>
        <v>0</v>
      </c>
      <c r="L473" s="436">
        <f t="shared" si="79"/>
        <v>0</v>
      </c>
      <c r="M473" s="498">
        <f t="shared" si="80"/>
        <v>0</v>
      </c>
    </row>
    <row r="474" spans="1:13" s="449" customFormat="1" ht="27.7" customHeight="1" outlineLevel="3" x14ac:dyDescent="0.3">
      <c r="A474" s="438" t="s">
        <v>17</v>
      </c>
      <c r="B474" s="439" t="s">
        <v>500</v>
      </c>
      <c r="C474" s="439" t="s">
        <v>300</v>
      </c>
      <c r="D474" s="539" t="s">
        <v>946</v>
      </c>
      <c r="E474" s="539" t="s">
        <v>18</v>
      </c>
      <c r="F474" s="539"/>
      <c r="G474" s="466">
        <v>2569480</v>
      </c>
      <c r="H474" s="370">
        <v>2569480</v>
      </c>
      <c r="I474" s="442">
        <v>0</v>
      </c>
      <c r="J474" s="514">
        <v>0</v>
      </c>
      <c r="K474" s="514">
        <v>0</v>
      </c>
      <c r="L474" s="436">
        <f t="shared" si="79"/>
        <v>0</v>
      </c>
      <c r="M474" s="498">
        <f t="shared" si="80"/>
        <v>0</v>
      </c>
    </row>
    <row r="475" spans="1:13" s="449" customFormat="1" ht="44.5" customHeight="1" outlineLevel="3" x14ac:dyDescent="0.3">
      <c r="A475" s="438" t="s">
        <v>943</v>
      </c>
      <c r="B475" s="439" t="s">
        <v>500</v>
      </c>
      <c r="C475" s="439" t="s">
        <v>300</v>
      </c>
      <c r="D475" s="539" t="s">
        <v>944</v>
      </c>
      <c r="E475" s="539" t="s">
        <v>6</v>
      </c>
      <c r="F475" s="539"/>
      <c r="G475" s="466">
        <f t="shared" ref="G475:K476" si="82">G476</f>
        <v>79468.45</v>
      </c>
      <c r="H475" s="442">
        <f t="shared" si="82"/>
        <v>79468.45</v>
      </c>
      <c r="I475" s="442">
        <f t="shared" si="82"/>
        <v>0</v>
      </c>
      <c r="J475" s="466">
        <f t="shared" si="82"/>
        <v>0</v>
      </c>
      <c r="K475" s="466">
        <f t="shared" si="82"/>
        <v>0</v>
      </c>
      <c r="L475" s="436">
        <f t="shared" si="79"/>
        <v>0</v>
      </c>
      <c r="M475" s="498">
        <f t="shared" si="80"/>
        <v>0</v>
      </c>
    </row>
    <row r="476" spans="1:13" s="449" customFormat="1" ht="27.7" customHeight="1" outlineLevel="3" x14ac:dyDescent="0.3">
      <c r="A476" s="438" t="s">
        <v>15</v>
      </c>
      <c r="B476" s="439" t="s">
        <v>500</v>
      </c>
      <c r="C476" s="439" t="s">
        <v>300</v>
      </c>
      <c r="D476" s="539" t="s">
        <v>944</v>
      </c>
      <c r="E476" s="539" t="s">
        <v>16</v>
      </c>
      <c r="F476" s="539"/>
      <c r="G476" s="466">
        <f t="shared" si="82"/>
        <v>79468.45</v>
      </c>
      <c r="H476" s="371">
        <v>79468.45</v>
      </c>
      <c r="I476" s="442">
        <f t="shared" si="82"/>
        <v>0</v>
      </c>
      <c r="J476" s="466">
        <f t="shared" si="82"/>
        <v>0</v>
      </c>
      <c r="K476" s="466">
        <f t="shared" si="82"/>
        <v>0</v>
      </c>
      <c r="L476" s="436">
        <f t="shared" si="79"/>
        <v>0</v>
      </c>
      <c r="M476" s="498">
        <f t="shared" si="80"/>
        <v>0</v>
      </c>
    </row>
    <row r="477" spans="1:13" s="449" customFormat="1" ht="55.7" customHeight="1" outlineLevel="3" x14ac:dyDescent="0.3">
      <c r="A477" s="438" t="s">
        <v>17</v>
      </c>
      <c r="B477" s="439" t="s">
        <v>500</v>
      </c>
      <c r="C477" s="439" t="s">
        <v>300</v>
      </c>
      <c r="D477" s="539" t="s">
        <v>944</v>
      </c>
      <c r="E477" s="539" t="s">
        <v>18</v>
      </c>
      <c r="F477" s="539"/>
      <c r="G477" s="466">
        <v>79468.45</v>
      </c>
      <c r="H477" s="371">
        <v>79468.45</v>
      </c>
      <c r="I477" s="442">
        <v>0</v>
      </c>
      <c r="J477" s="507">
        <v>0</v>
      </c>
      <c r="K477" s="507">
        <v>0</v>
      </c>
      <c r="L477" s="436">
        <f t="shared" si="79"/>
        <v>0</v>
      </c>
      <c r="M477" s="498">
        <f t="shared" si="80"/>
        <v>0</v>
      </c>
    </row>
    <row r="478" spans="1:13" s="449" customFormat="1" ht="44.85" customHeight="1" outlineLevel="3" x14ac:dyDescent="0.3">
      <c r="A478" s="467" t="s">
        <v>989</v>
      </c>
      <c r="B478" s="439" t="s">
        <v>500</v>
      </c>
      <c r="C478" s="439" t="s">
        <v>300</v>
      </c>
      <c r="D478" s="539" t="s">
        <v>1017</v>
      </c>
      <c r="E478" s="539" t="s">
        <v>6</v>
      </c>
      <c r="F478" s="539"/>
      <c r="G478" s="466"/>
      <c r="H478" s="371"/>
      <c r="I478" s="442"/>
      <c r="J478" s="516">
        <f>J479</f>
        <v>112589.47</v>
      </c>
      <c r="K478" s="516">
        <f>K479</f>
        <v>112589.47</v>
      </c>
      <c r="L478" s="436">
        <f t="shared" si="79"/>
        <v>0</v>
      </c>
      <c r="M478" s="498"/>
    </row>
    <row r="479" spans="1:13" s="449" customFormat="1" ht="44.15" customHeight="1" outlineLevel="3" x14ac:dyDescent="0.3">
      <c r="A479" s="438" t="s">
        <v>15</v>
      </c>
      <c r="B479" s="439" t="s">
        <v>500</v>
      </c>
      <c r="C479" s="439" t="s">
        <v>300</v>
      </c>
      <c r="D479" s="539" t="s">
        <v>1017</v>
      </c>
      <c r="E479" s="539" t="s">
        <v>16</v>
      </c>
      <c r="F479" s="539"/>
      <c r="G479" s="466"/>
      <c r="H479" s="371"/>
      <c r="I479" s="442"/>
      <c r="J479" s="507">
        <f>J480</f>
        <v>112589.47</v>
      </c>
      <c r="K479" s="507">
        <f>K480</f>
        <v>112589.47</v>
      </c>
      <c r="L479" s="436">
        <f t="shared" si="79"/>
        <v>0</v>
      </c>
      <c r="M479" s="498"/>
    </row>
    <row r="480" spans="1:13" s="449" customFormat="1" ht="50.3" customHeight="1" outlineLevel="3" x14ac:dyDescent="0.3">
      <c r="A480" s="438" t="s">
        <v>17</v>
      </c>
      <c r="B480" s="439" t="s">
        <v>500</v>
      </c>
      <c r="C480" s="439" t="s">
        <v>300</v>
      </c>
      <c r="D480" s="539" t="s">
        <v>1017</v>
      </c>
      <c r="E480" s="539" t="s">
        <v>18</v>
      </c>
      <c r="F480" s="539"/>
      <c r="G480" s="466"/>
      <c r="H480" s="371"/>
      <c r="I480" s="442"/>
      <c r="J480" s="466">
        <v>112589.47</v>
      </c>
      <c r="K480" s="466">
        <v>112589.47</v>
      </c>
      <c r="L480" s="436">
        <f t="shared" si="79"/>
        <v>0</v>
      </c>
      <c r="M480" s="498"/>
    </row>
    <row r="481" spans="1:13" s="449" customFormat="1" ht="53.7" customHeight="1" outlineLevel="3" x14ac:dyDescent="0.3">
      <c r="A481" s="438" t="s">
        <v>1018</v>
      </c>
      <c r="B481" s="439" t="s">
        <v>500</v>
      </c>
      <c r="C481" s="439" t="s">
        <v>300</v>
      </c>
      <c r="D481" s="539" t="s">
        <v>1019</v>
      </c>
      <c r="E481" s="539" t="s">
        <v>6</v>
      </c>
      <c r="F481" s="539"/>
      <c r="G481" s="466"/>
      <c r="H481" s="371"/>
      <c r="I481" s="442"/>
      <c r="J481" s="466">
        <f>J482</f>
        <v>3482.15</v>
      </c>
      <c r="K481" s="466">
        <f>K482</f>
        <v>3482.15</v>
      </c>
      <c r="L481" s="436">
        <f t="shared" si="79"/>
        <v>0</v>
      </c>
      <c r="M481" s="498"/>
    </row>
    <row r="482" spans="1:13" s="449" customFormat="1" ht="36" customHeight="1" outlineLevel="3" x14ac:dyDescent="0.3">
      <c r="A482" s="438" t="s">
        <v>15</v>
      </c>
      <c r="B482" s="439" t="s">
        <v>500</v>
      </c>
      <c r="C482" s="439" t="s">
        <v>300</v>
      </c>
      <c r="D482" s="539" t="s">
        <v>1019</v>
      </c>
      <c r="E482" s="539" t="s">
        <v>16</v>
      </c>
      <c r="F482" s="539"/>
      <c r="G482" s="466"/>
      <c r="H482" s="371"/>
      <c r="I482" s="442"/>
      <c r="J482" s="466">
        <f>J483</f>
        <v>3482.15</v>
      </c>
      <c r="K482" s="466">
        <f>K483</f>
        <v>3482.15</v>
      </c>
      <c r="L482" s="436">
        <f t="shared" si="79"/>
        <v>0</v>
      </c>
      <c r="M482" s="498"/>
    </row>
    <row r="483" spans="1:13" s="449" customFormat="1" ht="47.9" customHeight="1" outlineLevel="3" x14ac:dyDescent="0.3">
      <c r="A483" s="438" t="s">
        <v>17</v>
      </c>
      <c r="B483" s="439" t="s">
        <v>500</v>
      </c>
      <c r="C483" s="439" t="s">
        <v>300</v>
      </c>
      <c r="D483" s="539" t="s">
        <v>1019</v>
      </c>
      <c r="E483" s="539" t="s">
        <v>18</v>
      </c>
      <c r="F483" s="539"/>
      <c r="G483" s="466"/>
      <c r="H483" s="371"/>
      <c r="I483" s="442"/>
      <c r="J483" s="466">
        <v>3482.15</v>
      </c>
      <c r="K483" s="466">
        <v>3482.15</v>
      </c>
      <c r="L483" s="436">
        <f t="shared" si="79"/>
        <v>0</v>
      </c>
      <c r="M483" s="498"/>
    </row>
    <row r="484" spans="1:13" ht="31.75" customHeight="1" outlineLevel="4" x14ac:dyDescent="0.3">
      <c r="A484" s="438" t="s">
        <v>378</v>
      </c>
      <c r="B484" s="439" t="s">
        <v>500</v>
      </c>
      <c r="C484" s="439" t="s">
        <v>300</v>
      </c>
      <c r="D484" s="539" t="s">
        <v>303</v>
      </c>
      <c r="E484" s="539" t="s">
        <v>6</v>
      </c>
      <c r="F484" s="539"/>
      <c r="G484" s="465">
        <f>G485+G488+G491</f>
        <v>1199256.99</v>
      </c>
      <c r="H484" s="440">
        <f>H485+H488+H491</f>
        <v>196490.13</v>
      </c>
      <c r="I484" s="440">
        <f>I485+I488+I491+I494+I497</f>
        <v>1262229.3999999999</v>
      </c>
      <c r="J484" s="465">
        <f>J485+J488+J491+J494+J497</f>
        <v>3372247.2</v>
      </c>
      <c r="K484" s="465">
        <f>K485+K488+K491+K494+K497</f>
        <v>3372247.2</v>
      </c>
      <c r="L484" s="436">
        <f t="shared" si="79"/>
        <v>0</v>
      </c>
      <c r="M484" s="498">
        <f t="shared" si="80"/>
        <v>281.19470873378026</v>
      </c>
    </row>
    <row r="485" spans="1:13" ht="49.75" customHeight="1" outlineLevel="5" x14ac:dyDescent="0.3">
      <c r="A485" s="438" t="s">
        <v>281</v>
      </c>
      <c r="B485" s="439" t="s">
        <v>500</v>
      </c>
      <c r="C485" s="439" t="s">
        <v>300</v>
      </c>
      <c r="D485" s="539" t="s">
        <v>302</v>
      </c>
      <c r="E485" s="539" t="s">
        <v>6</v>
      </c>
      <c r="F485" s="539"/>
      <c r="G485" s="465">
        <f t="shared" ref="G485:K486" si="83">G486</f>
        <v>0</v>
      </c>
      <c r="H485" s="440">
        <f t="shared" si="83"/>
        <v>0</v>
      </c>
      <c r="I485" s="440">
        <f t="shared" si="83"/>
        <v>1093747.2</v>
      </c>
      <c r="J485" s="465">
        <f t="shared" si="83"/>
        <v>1093747.2</v>
      </c>
      <c r="K485" s="465">
        <f t="shared" si="83"/>
        <v>1093747.2</v>
      </c>
      <c r="L485" s="436">
        <f t="shared" si="79"/>
        <v>0</v>
      </c>
      <c r="M485" s="498"/>
    </row>
    <row r="486" spans="1:13" ht="50.95" outlineLevel="6" x14ac:dyDescent="0.3">
      <c r="A486" s="438" t="s">
        <v>264</v>
      </c>
      <c r="B486" s="439" t="s">
        <v>500</v>
      </c>
      <c r="C486" s="439" t="s">
        <v>300</v>
      </c>
      <c r="D486" s="539" t="s">
        <v>302</v>
      </c>
      <c r="E486" s="539" t="s">
        <v>265</v>
      </c>
      <c r="F486" s="539"/>
      <c r="G486" s="465">
        <f t="shared" si="83"/>
        <v>0</v>
      </c>
      <c r="H486" s="440">
        <f t="shared" si="83"/>
        <v>0</v>
      </c>
      <c r="I486" s="440">
        <f t="shared" si="83"/>
        <v>1093747.2</v>
      </c>
      <c r="J486" s="465">
        <f t="shared" si="83"/>
        <v>1093747.2</v>
      </c>
      <c r="K486" s="465">
        <f t="shared" si="83"/>
        <v>1093747.2</v>
      </c>
      <c r="L486" s="436">
        <f t="shared" si="79"/>
        <v>0</v>
      </c>
      <c r="M486" s="498"/>
    </row>
    <row r="487" spans="1:13" outlineLevel="7" x14ac:dyDescent="0.3">
      <c r="A487" s="438" t="s">
        <v>266</v>
      </c>
      <c r="B487" s="439" t="s">
        <v>500</v>
      </c>
      <c r="C487" s="439" t="s">
        <v>300</v>
      </c>
      <c r="D487" s="539" t="s">
        <v>302</v>
      </c>
      <c r="E487" s="539" t="s">
        <v>267</v>
      </c>
      <c r="F487" s="539"/>
      <c r="G487" s="466">
        <f>1127310-1127310</f>
        <v>0</v>
      </c>
      <c r="H487" s="442">
        <f>1127310-1127310</f>
        <v>0</v>
      </c>
      <c r="I487" s="442">
        <v>1093747.2</v>
      </c>
      <c r="J487" s="466">
        <v>1093747.2</v>
      </c>
      <c r="K487" s="466">
        <v>1093747.2</v>
      </c>
      <c r="L487" s="436">
        <f t="shared" si="79"/>
        <v>0</v>
      </c>
      <c r="M487" s="498"/>
    </row>
    <row r="488" spans="1:13" ht="50.95" outlineLevel="7" x14ac:dyDescent="0.3">
      <c r="A488" s="438" t="s">
        <v>788</v>
      </c>
      <c r="B488" s="439" t="s">
        <v>500</v>
      </c>
      <c r="C488" s="439" t="s">
        <v>300</v>
      </c>
      <c r="D488" s="539" t="s">
        <v>1022</v>
      </c>
      <c r="E488" s="539" t="s">
        <v>6</v>
      </c>
      <c r="F488" s="539"/>
      <c r="G488" s="466">
        <f>G489</f>
        <v>703249.99</v>
      </c>
      <c r="H488" s="442">
        <f>H489</f>
        <v>190595.43</v>
      </c>
      <c r="I488" s="442">
        <v>0</v>
      </c>
      <c r="J488" s="509">
        <f>J489</f>
        <v>2210145</v>
      </c>
      <c r="K488" s="509">
        <f>K489</f>
        <v>2210145</v>
      </c>
      <c r="L488" s="436">
        <f t="shared" si="79"/>
        <v>0</v>
      </c>
      <c r="M488" s="498">
        <f t="shared" si="80"/>
        <v>314.27586653787228</v>
      </c>
    </row>
    <row r="489" spans="1:13" ht="34" outlineLevel="7" x14ac:dyDescent="0.3">
      <c r="A489" s="438" t="s">
        <v>15</v>
      </c>
      <c r="B489" s="439" t="s">
        <v>500</v>
      </c>
      <c r="C489" s="439" t="s">
        <v>300</v>
      </c>
      <c r="D489" s="539" t="s">
        <v>764</v>
      </c>
      <c r="E489" s="539" t="s">
        <v>16</v>
      </c>
      <c r="F489" s="539"/>
      <c r="G489" s="466">
        <f>G490</f>
        <v>703249.99</v>
      </c>
      <c r="H489" s="370">
        <v>190595.43</v>
      </c>
      <c r="I489" s="442">
        <v>0</v>
      </c>
      <c r="J489" s="466">
        <f>J490</f>
        <v>2210145</v>
      </c>
      <c r="K489" s="466">
        <f>K490</f>
        <v>2210145</v>
      </c>
      <c r="L489" s="436">
        <f t="shared" si="79"/>
        <v>0</v>
      </c>
      <c r="M489" s="498">
        <f t="shared" si="80"/>
        <v>314.27586653787228</v>
      </c>
    </row>
    <row r="490" spans="1:13" ht="34" outlineLevel="7" x14ac:dyDescent="0.3">
      <c r="A490" s="438" t="s">
        <v>17</v>
      </c>
      <c r="B490" s="439" t="s">
        <v>500</v>
      </c>
      <c r="C490" s="439" t="s">
        <v>300</v>
      </c>
      <c r="D490" s="539" t="s">
        <v>764</v>
      </c>
      <c r="E490" s="539" t="s">
        <v>18</v>
      </c>
      <c r="F490" s="539"/>
      <c r="G490" s="466">
        <f>[2]потребность!I441+0.99</f>
        <v>703249.99</v>
      </c>
      <c r="H490" s="370">
        <v>190595.43</v>
      </c>
      <c r="I490" s="442">
        <v>0</v>
      </c>
      <c r="J490" s="510">
        <v>2210145</v>
      </c>
      <c r="K490" s="510">
        <v>2210145</v>
      </c>
      <c r="L490" s="436">
        <f t="shared" si="79"/>
        <v>0</v>
      </c>
      <c r="M490" s="498">
        <f t="shared" si="80"/>
        <v>314.27586653787228</v>
      </c>
    </row>
    <row r="491" spans="1:13" ht="67.95" outlineLevel="7" x14ac:dyDescent="0.3">
      <c r="A491" s="438" t="s">
        <v>911</v>
      </c>
      <c r="B491" s="439" t="s">
        <v>500</v>
      </c>
      <c r="C491" s="439" t="s">
        <v>300</v>
      </c>
      <c r="D491" s="539" t="s">
        <v>1023</v>
      </c>
      <c r="E491" s="539" t="s">
        <v>6</v>
      </c>
      <c r="F491" s="539"/>
      <c r="G491" s="466">
        <f>G492</f>
        <v>496007</v>
      </c>
      <c r="H491" s="442">
        <f>H492</f>
        <v>5894.7</v>
      </c>
      <c r="I491" s="442">
        <v>0</v>
      </c>
      <c r="J491" s="512">
        <f>J492</f>
        <v>68355</v>
      </c>
      <c r="K491" s="512">
        <f>K492</f>
        <v>68355</v>
      </c>
      <c r="L491" s="436">
        <f t="shared" si="79"/>
        <v>0</v>
      </c>
      <c r="M491" s="498">
        <f t="shared" si="80"/>
        <v>13.781055509297248</v>
      </c>
    </row>
    <row r="492" spans="1:13" ht="34" outlineLevel="7" x14ac:dyDescent="0.3">
      <c r="A492" s="438" t="s">
        <v>15</v>
      </c>
      <c r="B492" s="439" t="s">
        <v>500</v>
      </c>
      <c r="C492" s="439" t="s">
        <v>300</v>
      </c>
      <c r="D492" s="539" t="s">
        <v>769</v>
      </c>
      <c r="E492" s="539" t="s">
        <v>16</v>
      </c>
      <c r="F492" s="539"/>
      <c r="G492" s="466">
        <f>G493</f>
        <v>496007</v>
      </c>
      <c r="H492" s="370">
        <v>5894.7</v>
      </c>
      <c r="I492" s="442">
        <v>0</v>
      </c>
      <c r="J492" s="512">
        <f>J493</f>
        <v>68355</v>
      </c>
      <c r="K492" s="512">
        <f>K493</f>
        <v>68355</v>
      </c>
      <c r="L492" s="436">
        <f t="shared" si="79"/>
        <v>0</v>
      </c>
      <c r="M492" s="498">
        <f t="shared" si="80"/>
        <v>13.781055509297248</v>
      </c>
    </row>
    <row r="493" spans="1:13" ht="25.5" customHeight="1" outlineLevel="7" x14ac:dyDescent="0.3">
      <c r="A493" s="438" t="s">
        <v>17</v>
      </c>
      <c r="B493" s="439" t="s">
        <v>500</v>
      </c>
      <c r="C493" s="439" t="s">
        <v>300</v>
      </c>
      <c r="D493" s="539" t="s">
        <v>769</v>
      </c>
      <c r="E493" s="539" t="s">
        <v>18</v>
      </c>
      <c r="F493" s="539"/>
      <c r="G493" s="466">
        <f>22000+156756+317251</f>
        <v>496007</v>
      </c>
      <c r="H493" s="370">
        <v>5894.7</v>
      </c>
      <c r="I493" s="442">
        <v>0</v>
      </c>
      <c r="J493" s="512">
        <v>68355</v>
      </c>
      <c r="K493" s="512">
        <v>68355</v>
      </c>
      <c r="L493" s="436">
        <f t="shared" si="79"/>
        <v>0</v>
      </c>
      <c r="M493" s="498">
        <f t="shared" si="80"/>
        <v>13.781055509297248</v>
      </c>
    </row>
    <row r="494" spans="1:13" ht="61.15" customHeight="1" outlineLevel="7" x14ac:dyDescent="0.3">
      <c r="A494" s="438" t="s">
        <v>771</v>
      </c>
      <c r="B494" s="439" t="s">
        <v>500</v>
      </c>
      <c r="C494" s="439" t="s">
        <v>300</v>
      </c>
      <c r="D494" s="539" t="s">
        <v>796</v>
      </c>
      <c r="E494" s="548" t="s">
        <v>6</v>
      </c>
      <c r="F494" s="548"/>
      <c r="G494" s="466">
        <v>0</v>
      </c>
      <c r="H494" s="442">
        <v>0</v>
      </c>
      <c r="I494" s="442">
        <f t="shared" ref="I494:K495" si="84">I495</f>
        <v>163718</v>
      </c>
      <c r="J494" s="509">
        <f t="shared" si="84"/>
        <v>0</v>
      </c>
      <c r="K494" s="509">
        <f t="shared" si="84"/>
        <v>0</v>
      </c>
      <c r="L494" s="436">
        <f t="shared" si="79"/>
        <v>0</v>
      </c>
      <c r="M494" s="498"/>
    </row>
    <row r="495" spans="1:13" ht="25.5" customHeight="1" outlineLevel="7" x14ac:dyDescent="0.3">
      <c r="A495" s="438" t="s">
        <v>15</v>
      </c>
      <c r="B495" s="439" t="s">
        <v>500</v>
      </c>
      <c r="C495" s="439" t="s">
        <v>300</v>
      </c>
      <c r="D495" s="539" t="s">
        <v>796</v>
      </c>
      <c r="E495" s="548" t="s">
        <v>16</v>
      </c>
      <c r="F495" s="548"/>
      <c r="G495" s="466">
        <v>0</v>
      </c>
      <c r="H495" s="442">
        <v>0</v>
      </c>
      <c r="I495" s="442">
        <f t="shared" si="84"/>
        <v>163718</v>
      </c>
      <c r="J495" s="466">
        <f t="shared" si="84"/>
        <v>0</v>
      </c>
      <c r="K495" s="466">
        <f t="shared" si="84"/>
        <v>0</v>
      </c>
      <c r="L495" s="436">
        <f t="shared" si="79"/>
        <v>0</v>
      </c>
      <c r="M495" s="498"/>
    </row>
    <row r="496" spans="1:13" ht="42.45" customHeight="1" outlineLevel="7" x14ac:dyDescent="0.3">
      <c r="A496" s="438" t="s">
        <v>17</v>
      </c>
      <c r="B496" s="439" t="s">
        <v>500</v>
      </c>
      <c r="C496" s="439" t="s">
        <v>300</v>
      </c>
      <c r="D496" s="539" t="s">
        <v>796</v>
      </c>
      <c r="E496" s="548" t="s">
        <v>18</v>
      </c>
      <c r="F496" s="548"/>
      <c r="G496" s="466">
        <v>0</v>
      </c>
      <c r="H496" s="442">
        <v>0</v>
      </c>
      <c r="I496" s="442">
        <v>163718</v>
      </c>
      <c r="J496" s="510"/>
      <c r="K496" s="510"/>
      <c r="L496" s="436">
        <f t="shared" si="79"/>
        <v>0</v>
      </c>
      <c r="M496" s="498"/>
    </row>
    <row r="497" spans="1:13" ht="78.8" customHeight="1" outlineLevel="7" x14ac:dyDescent="0.3">
      <c r="A497" s="438" t="s">
        <v>1024</v>
      </c>
      <c r="B497" s="439" t="s">
        <v>500</v>
      </c>
      <c r="C497" s="439" t="s">
        <v>300</v>
      </c>
      <c r="D497" s="539" t="s">
        <v>797</v>
      </c>
      <c r="E497" s="548" t="s">
        <v>6</v>
      </c>
      <c r="F497" s="548"/>
      <c r="G497" s="466">
        <v>0</v>
      </c>
      <c r="H497" s="442">
        <v>0</v>
      </c>
      <c r="I497" s="459">
        <f t="shared" ref="I497:K498" si="85">I498</f>
        <v>4764.2</v>
      </c>
      <c r="J497" s="466">
        <f t="shared" si="85"/>
        <v>0</v>
      </c>
      <c r="K497" s="466">
        <f t="shared" si="85"/>
        <v>0</v>
      </c>
      <c r="L497" s="436">
        <f t="shared" si="79"/>
        <v>0</v>
      </c>
      <c r="M497" s="498"/>
    </row>
    <row r="498" spans="1:13" ht="25.15" customHeight="1" outlineLevel="7" x14ac:dyDescent="0.3">
      <c r="A498" s="438" t="s">
        <v>15</v>
      </c>
      <c r="B498" s="439" t="s">
        <v>500</v>
      </c>
      <c r="C498" s="439" t="s">
        <v>300</v>
      </c>
      <c r="D498" s="539" t="s">
        <v>797</v>
      </c>
      <c r="E498" s="548" t="s">
        <v>16</v>
      </c>
      <c r="F498" s="548"/>
      <c r="G498" s="466">
        <v>0</v>
      </c>
      <c r="H498" s="442">
        <v>0</v>
      </c>
      <c r="I498" s="459">
        <f t="shared" si="85"/>
        <v>4764.2</v>
      </c>
      <c r="J498" s="466">
        <f t="shared" si="85"/>
        <v>0</v>
      </c>
      <c r="K498" s="466">
        <f t="shared" si="85"/>
        <v>0</v>
      </c>
      <c r="L498" s="436">
        <f t="shared" si="79"/>
        <v>0</v>
      </c>
      <c r="M498" s="498"/>
    </row>
    <row r="499" spans="1:13" ht="26.5" customHeight="1" outlineLevel="7" x14ac:dyDescent="0.3">
      <c r="A499" s="438" t="s">
        <v>17</v>
      </c>
      <c r="B499" s="439" t="s">
        <v>500</v>
      </c>
      <c r="C499" s="439" t="s">
        <v>300</v>
      </c>
      <c r="D499" s="551" t="s">
        <v>797</v>
      </c>
      <c r="E499" s="548" t="s">
        <v>18</v>
      </c>
      <c r="F499" s="548"/>
      <c r="G499" s="466">
        <v>0</v>
      </c>
      <c r="H499" s="442">
        <v>0</v>
      </c>
      <c r="I499" s="459">
        <v>4764.2</v>
      </c>
      <c r="J499" s="466">
        <v>0</v>
      </c>
      <c r="K499" s="466">
        <v>0</v>
      </c>
      <c r="L499" s="436">
        <f t="shared" si="79"/>
        <v>0</v>
      </c>
      <c r="M499" s="498"/>
    </row>
    <row r="500" spans="1:13" s="437" customFormat="1" ht="66.75" customHeight="1" x14ac:dyDescent="0.3">
      <c r="A500" s="451" t="s">
        <v>828</v>
      </c>
      <c r="B500" s="445" t="s">
        <v>500</v>
      </c>
      <c r="C500" s="445" t="s">
        <v>300</v>
      </c>
      <c r="D500" s="541" t="s">
        <v>463</v>
      </c>
      <c r="E500" s="541" t="s">
        <v>6</v>
      </c>
      <c r="F500" s="542">
        <v>50000</v>
      </c>
      <c r="G500" s="465">
        <f t="shared" ref="G500:K503" si="86">G501</f>
        <v>50000</v>
      </c>
      <c r="H500" s="440">
        <f t="shared" si="86"/>
        <v>50000</v>
      </c>
      <c r="I500" s="440">
        <f t="shared" si="86"/>
        <v>50000</v>
      </c>
      <c r="J500" s="465">
        <f t="shared" si="86"/>
        <v>50000</v>
      </c>
      <c r="K500" s="465">
        <f t="shared" si="86"/>
        <v>50000</v>
      </c>
      <c r="L500" s="436">
        <f t="shared" si="79"/>
        <v>0</v>
      </c>
      <c r="M500" s="498">
        <f t="shared" si="80"/>
        <v>100</v>
      </c>
    </row>
    <row r="501" spans="1:13" outlineLevel="1" x14ac:dyDescent="0.3">
      <c r="A501" s="468" t="s">
        <v>464</v>
      </c>
      <c r="B501" s="439" t="s">
        <v>500</v>
      </c>
      <c r="C501" s="439" t="s">
        <v>300</v>
      </c>
      <c r="D501" s="539" t="s">
        <v>465</v>
      </c>
      <c r="E501" s="539" t="s">
        <v>6</v>
      </c>
      <c r="F501" s="540">
        <v>50000</v>
      </c>
      <c r="G501" s="465">
        <f t="shared" si="86"/>
        <v>50000</v>
      </c>
      <c r="H501" s="440">
        <f t="shared" si="86"/>
        <v>50000</v>
      </c>
      <c r="I501" s="440">
        <f t="shared" si="86"/>
        <v>50000</v>
      </c>
      <c r="J501" s="465">
        <f t="shared" si="86"/>
        <v>50000</v>
      </c>
      <c r="K501" s="465">
        <f t="shared" si="86"/>
        <v>50000</v>
      </c>
      <c r="L501" s="436">
        <f t="shared" si="79"/>
        <v>0</v>
      </c>
      <c r="M501" s="498">
        <f t="shared" si="80"/>
        <v>100</v>
      </c>
    </row>
    <row r="502" spans="1:13" ht="37.549999999999997" customHeight="1" outlineLevel="2" x14ac:dyDescent="0.3">
      <c r="A502" s="438" t="s">
        <v>466</v>
      </c>
      <c r="B502" s="439" t="s">
        <v>500</v>
      </c>
      <c r="C502" s="439" t="s">
        <v>300</v>
      </c>
      <c r="D502" s="539" t="s">
        <v>467</v>
      </c>
      <c r="E502" s="539" t="s">
        <v>6</v>
      </c>
      <c r="F502" s="540">
        <v>50000</v>
      </c>
      <c r="G502" s="465">
        <f t="shared" si="86"/>
        <v>50000</v>
      </c>
      <c r="H502" s="440">
        <f t="shared" si="86"/>
        <v>50000</v>
      </c>
      <c r="I502" s="440">
        <f t="shared" si="86"/>
        <v>50000</v>
      </c>
      <c r="J502" s="465">
        <f t="shared" si="86"/>
        <v>50000</v>
      </c>
      <c r="K502" s="465">
        <f t="shared" si="86"/>
        <v>50000</v>
      </c>
      <c r="L502" s="436">
        <f t="shared" si="79"/>
        <v>0</v>
      </c>
      <c r="M502" s="498">
        <f t="shared" si="80"/>
        <v>100</v>
      </c>
    </row>
    <row r="503" spans="1:13" ht="34" outlineLevel="4" x14ac:dyDescent="0.3">
      <c r="A503" s="438" t="s">
        <v>15</v>
      </c>
      <c r="B503" s="439" t="s">
        <v>500</v>
      </c>
      <c r="C503" s="439" t="s">
        <v>300</v>
      </c>
      <c r="D503" s="539" t="s">
        <v>467</v>
      </c>
      <c r="E503" s="539" t="s">
        <v>16</v>
      </c>
      <c r="F503" s="540">
        <v>50000</v>
      </c>
      <c r="G503" s="465">
        <f t="shared" si="86"/>
        <v>50000</v>
      </c>
      <c r="H503" s="370">
        <v>50000</v>
      </c>
      <c r="I503" s="440">
        <f t="shared" si="86"/>
        <v>50000</v>
      </c>
      <c r="J503" s="465">
        <f t="shared" si="86"/>
        <v>50000</v>
      </c>
      <c r="K503" s="465">
        <f t="shared" si="86"/>
        <v>50000</v>
      </c>
      <c r="L503" s="436">
        <f t="shared" si="79"/>
        <v>0</v>
      </c>
      <c r="M503" s="498">
        <f t="shared" si="80"/>
        <v>100</v>
      </c>
    </row>
    <row r="504" spans="1:13" ht="34" outlineLevel="5" x14ac:dyDescent="0.3">
      <c r="A504" s="438" t="s">
        <v>17</v>
      </c>
      <c r="B504" s="439" t="s">
        <v>500</v>
      </c>
      <c r="C504" s="439" t="s">
        <v>300</v>
      </c>
      <c r="D504" s="539" t="s">
        <v>467</v>
      </c>
      <c r="E504" s="539" t="s">
        <v>18</v>
      </c>
      <c r="F504" s="540">
        <v>50000</v>
      </c>
      <c r="G504" s="466">
        <v>50000</v>
      </c>
      <c r="H504" s="370">
        <v>50000</v>
      </c>
      <c r="I504" s="442">
        <v>50000</v>
      </c>
      <c r="J504" s="466">
        <v>50000</v>
      </c>
      <c r="K504" s="466">
        <v>50000</v>
      </c>
      <c r="L504" s="436">
        <f t="shared" si="79"/>
        <v>0</v>
      </c>
      <c r="M504" s="498">
        <f t="shared" si="80"/>
        <v>100</v>
      </c>
    </row>
    <row r="505" spans="1:13" outlineLevel="6" x14ac:dyDescent="0.3">
      <c r="A505" s="444" t="s">
        <v>103</v>
      </c>
      <c r="B505" s="439" t="s">
        <v>500</v>
      </c>
      <c r="C505" s="445" t="s">
        <v>104</v>
      </c>
      <c r="D505" s="541" t="s">
        <v>126</v>
      </c>
      <c r="E505" s="541" t="s">
        <v>6</v>
      </c>
      <c r="F505" s="540">
        <v>2562000</v>
      </c>
      <c r="G505" s="508">
        <f t="shared" ref="G505:K510" si="87">G506</f>
        <v>3357000</v>
      </c>
      <c r="H505" s="446">
        <f t="shared" si="87"/>
        <v>2408600</v>
      </c>
      <c r="I505" s="446">
        <f t="shared" si="87"/>
        <v>2500000</v>
      </c>
      <c r="J505" s="508">
        <f t="shared" si="87"/>
        <v>3357000</v>
      </c>
      <c r="K505" s="508">
        <f t="shared" si="87"/>
        <v>3357000</v>
      </c>
      <c r="L505" s="436">
        <f t="shared" si="79"/>
        <v>0</v>
      </c>
      <c r="M505" s="498">
        <f t="shared" si="80"/>
        <v>100</v>
      </c>
    </row>
    <row r="506" spans="1:13" outlineLevel="7" x14ac:dyDescent="0.3">
      <c r="A506" s="438" t="s">
        <v>105</v>
      </c>
      <c r="B506" s="439" t="s">
        <v>500</v>
      </c>
      <c r="C506" s="439" t="s">
        <v>106</v>
      </c>
      <c r="D506" s="539" t="s">
        <v>126</v>
      </c>
      <c r="E506" s="539" t="s">
        <v>6</v>
      </c>
      <c r="F506" s="540">
        <v>2562000</v>
      </c>
      <c r="G506" s="465">
        <f t="shared" si="87"/>
        <v>3357000</v>
      </c>
      <c r="H506" s="440">
        <f t="shared" si="87"/>
        <v>2408600</v>
      </c>
      <c r="I506" s="440">
        <f t="shared" si="87"/>
        <v>2500000</v>
      </c>
      <c r="J506" s="465">
        <f t="shared" si="87"/>
        <v>3357000</v>
      </c>
      <c r="K506" s="465">
        <f t="shared" si="87"/>
        <v>3357000</v>
      </c>
      <c r="L506" s="436">
        <f t="shared" si="79"/>
        <v>0</v>
      </c>
      <c r="M506" s="498">
        <f t="shared" si="80"/>
        <v>100</v>
      </c>
    </row>
    <row r="507" spans="1:13" ht="50.95" outlineLevel="5" x14ac:dyDescent="0.3">
      <c r="A507" s="444" t="s">
        <v>829</v>
      </c>
      <c r="B507" s="439" t="s">
        <v>500</v>
      </c>
      <c r="C507" s="445" t="s">
        <v>106</v>
      </c>
      <c r="D507" s="541" t="s">
        <v>317</v>
      </c>
      <c r="E507" s="541" t="s">
        <v>6</v>
      </c>
      <c r="F507" s="542">
        <v>2562000</v>
      </c>
      <c r="G507" s="508">
        <f>G508</f>
        <v>3357000</v>
      </c>
      <c r="H507" s="446">
        <f>H508</f>
        <v>2408600</v>
      </c>
      <c r="I507" s="446">
        <f>I508</f>
        <v>2500000</v>
      </c>
      <c r="J507" s="508">
        <f>J508</f>
        <v>3357000</v>
      </c>
      <c r="K507" s="508">
        <f>K508</f>
        <v>3357000</v>
      </c>
      <c r="L507" s="436">
        <f t="shared" si="79"/>
        <v>0</v>
      </c>
      <c r="M507" s="498">
        <f t="shared" si="80"/>
        <v>100</v>
      </c>
    </row>
    <row r="508" spans="1:13" ht="34" outlineLevel="6" x14ac:dyDescent="0.3">
      <c r="A508" s="450" t="s">
        <v>327</v>
      </c>
      <c r="B508" s="439" t="s">
        <v>500</v>
      </c>
      <c r="C508" s="439" t="s">
        <v>106</v>
      </c>
      <c r="D508" s="539" t="s">
        <v>318</v>
      </c>
      <c r="E508" s="539" t="s">
        <v>6</v>
      </c>
      <c r="F508" s="540">
        <v>2562000</v>
      </c>
      <c r="G508" s="465">
        <f t="shared" si="87"/>
        <v>3357000</v>
      </c>
      <c r="H508" s="440">
        <f t="shared" si="87"/>
        <v>2408600</v>
      </c>
      <c r="I508" s="440">
        <f t="shared" si="87"/>
        <v>2500000</v>
      </c>
      <c r="J508" s="465">
        <f t="shared" si="87"/>
        <v>3357000</v>
      </c>
      <c r="K508" s="465">
        <f t="shared" si="87"/>
        <v>3357000</v>
      </c>
      <c r="L508" s="436">
        <f t="shared" si="79"/>
        <v>0</v>
      </c>
      <c r="M508" s="498">
        <f t="shared" si="80"/>
        <v>100</v>
      </c>
    </row>
    <row r="509" spans="1:13" ht="50.95" outlineLevel="7" x14ac:dyDescent="0.3">
      <c r="A509" s="438" t="s">
        <v>107</v>
      </c>
      <c r="B509" s="439" t="s">
        <v>500</v>
      </c>
      <c r="C509" s="439" t="s">
        <v>106</v>
      </c>
      <c r="D509" s="539" t="s">
        <v>319</v>
      </c>
      <c r="E509" s="539" t="s">
        <v>6</v>
      </c>
      <c r="F509" s="540">
        <v>2562000</v>
      </c>
      <c r="G509" s="465">
        <f t="shared" si="87"/>
        <v>3357000</v>
      </c>
      <c r="H509" s="440">
        <f t="shared" si="87"/>
        <v>2408600</v>
      </c>
      <c r="I509" s="440">
        <f t="shared" si="87"/>
        <v>2500000</v>
      </c>
      <c r="J509" s="465">
        <f t="shared" si="87"/>
        <v>3357000</v>
      </c>
      <c r="K509" s="465">
        <f t="shared" si="87"/>
        <v>3357000</v>
      </c>
      <c r="L509" s="436">
        <f t="shared" si="79"/>
        <v>0</v>
      </c>
      <c r="M509" s="498">
        <f t="shared" si="80"/>
        <v>100</v>
      </c>
    </row>
    <row r="510" spans="1:13" ht="34" outlineLevel="6" x14ac:dyDescent="0.3">
      <c r="A510" s="438" t="s">
        <v>37</v>
      </c>
      <c r="B510" s="439" t="s">
        <v>500</v>
      </c>
      <c r="C510" s="439" t="s">
        <v>106</v>
      </c>
      <c r="D510" s="539" t="s">
        <v>319</v>
      </c>
      <c r="E510" s="539" t="s">
        <v>38</v>
      </c>
      <c r="F510" s="540">
        <v>2562000</v>
      </c>
      <c r="G510" s="465">
        <f t="shared" si="87"/>
        <v>3357000</v>
      </c>
      <c r="H510" s="370">
        <v>2408600</v>
      </c>
      <c r="I510" s="440">
        <f t="shared" si="87"/>
        <v>2500000</v>
      </c>
      <c r="J510" s="465">
        <f t="shared" si="87"/>
        <v>3357000</v>
      </c>
      <c r="K510" s="465">
        <f t="shared" si="87"/>
        <v>3357000</v>
      </c>
      <c r="L510" s="436">
        <f t="shared" si="79"/>
        <v>0</v>
      </c>
      <c r="M510" s="498">
        <f t="shared" si="80"/>
        <v>100</v>
      </c>
    </row>
    <row r="511" spans="1:13" ht="20.25" customHeight="1" outlineLevel="7" x14ac:dyDescent="0.3">
      <c r="A511" s="438" t="s">
        <v>39</v>
      </c>
      <c r="B511" s="439" t="s">
        <v>500</v>
      </c>
      <c r="C511" s="439" t="s">
        <v>106</v>
      </c>
      <c r="D511" s="539" t="s">
        <v>319</v>
      </c>
      <c r="E511" s="539" t="s">
        <v>40</v>
      </c>
      <c r="F511" s="540">
        <v>2562000</v>
      </c>
      <c r="G511" s="465">
        <f>[2]потребность!I456+247000+610000</f>
        <v>3357000</v>
      </c>
      <c r="H511" s="370">
        <v>2408600</v>
      </c>
      <c r="I511" s="440">
        <v>2500000</v>
      </c>
      <c r="J511" s="466">
        <v>3357000</v>
      </c>
      <c r="K511" s="466">
        <v>3357000</v>
      </c>
      <c r="L511" s="436">
        <f t="shared" si="79"/>
        <v>0</v>
      </c>
      <c r="M511" s="498">
        <f t="shared" si="80"/>
        <v>100</v>
      </c>
    </row>
    <row r="512" spans="1:13" ht="29.9" customHeight="1" outlineLevel="6" x14ac:dyDescent="0.3">
      <c r="A512" s="433" t="s">
        <v>527</v>
      </c>
      <c r="B512" s="434" t="s">
        <v>501</v>
      </c>
      <c r="C512" s="434" t="s">
        <v>5</v>
      </c>
      <c r="D512" s="537" t="s">
        <v>126</v>
      </c>
      <c r="E512" s="537" t="s">
        <v>6</v>
      </c>
      <c r="F512" s="538">
        <v>6282947.6699999999</v>
      </c>
      <c r="G512" s="506">
        <f>G513</f>
        <v>5488017.29</v>
      </c>
      <c r="H512" s="435">
        <f>H513</f>
        <v>4018836.4699999997</v>
      </c>
      <c r="I512" s="435">
        <f>I513</f>
        <v>5805481.6399999997</v>
      </c>
      <c r="J512" s="506">
        <f>J513</f>
        <v>5780338.2999999998</v>
      </c>
      <c r="K512" s="506">
        <f>K513</f>
        <v>5780338.2999999998</v>
      </c>
      <c r="L512" s="436">
        <f t="shared" si="79"/>
        <v>0</v>
      </c>
      <c r="M512" s="498">
        <f t="shared" si="80"/>
        <v>105.32653223474082</v>
      </c>
    </row>
    <row r="513" spans="1:13" outlineLevel="7" x14ac:dyDescent="0.3">
      <c r="A513" s="438" t="s">
        <v>7</v>
      </c>
      <c r="B513" s="439" t="s">
        <v>501</v>
      </c>
      <c r="C513" s="439" t="s">
        <v>8</v>
      </c>
      <c r="D513" s="539" t="s">
        <v>126</v>
      </c>
      <c r="E513" s="539" t="s">
        <v>6</v>
      </c>
      <c r="F513" s="540">
        <v>6282947.6699999999</v>
      </c>
      <c r="G513" s="465">
        <f>G514+G529+G534</f>
        <v>5488017.29</v>
      </c>
      <c r="H513" s="440">
        <f>H514+H529+H534</f>
        <v>4018836.4699999997</v>
      </c>
      <c r="I513" s="440">
        <f>I514+I529+I534</f>
        <v>5805481.6399999997</v>
      </c>
      <c r="J513" s="465">
        <f>J514+J529+J534</f>
        <v>5780338.2999999998</v>
      </c>
      <c r="K513" s="465">
        <f>K514+K529+K534</f>
        <v>5780338.2999999998</v>
      </c>
      <c r="L513" s="436">
        <f t="shared" si="79"/>
        <v>0</v>
      </c>
      <c r="M513" s="498">
        <f t="shared" si="80"/>
        <v>105.32653223474082</v>
      </c>
    </row>
    <row r="514" spans="1:13" ht="67.95" outlineLevel="5" x14ac:dyDescent="0.3">
      <c r="A514" s="438" t="s">
        <v>108</v>
      </c>
      <c r="B514" s="439" t="s">
        <v>501</v>
      </c>
      <c r="C514" s="439" t="s">
        <v>109</v>
      </c>
      <c r="D514" s="539" t="s">
        <v>126</v>
      </c>
      <c r="E514" s="539" t="s">
        <v>6</v>
      </c>
      <c r="F514" s="540">
        <v>5081721.7699999996</v>
      </c>
      <c r="G514" s="465">
        <f>G515</f>
        <v>5350737.29</v>
      </c>
      <c r="H514" s="440">
        <f>H515</f>
        <v>3890917.9699999997</v>
      </c>
      <c r="I514" s="440">
        <f>I515</f>
        <v>5668201.6399999997</v>
      </c>
      <c r="J514" s="465">
        <f>J515</f>
        <v>5529388.2999999998</v>
      </c>
      <c r="K514" s="465">
        <f>K515</f>
        <v>5529388.2999999998</v>
      </c>
      <c r="L514" s="436">
        <f t="shared" si="79"/>
        <v>0</v>
      </c>
      <c r="M514" s="498">
        <f t="shared" si="80"/>
        <v>103.33881108934054</v>
      </c>
    </row>
    <row r="515" spans="1:13" ht="34" outlineLevel="6" x14ac:dyDescent="0.3">
      <c r="A515" s="438" t="s">
        <v>132</v>
      </c>
      <c r="B515" s="439" t="s">
        <v>501</v>
      </c>
      <c r="C515" s="439" t="s">
        <v>109</v>
      </c>
      <c r="D515" s="539" t="s">
        <v>127</v>
      </c>
      <c r="E515" s="539" t="s">
        <v>6</v>
      </c>
      <c r="F515" s="540">
        <v>5081721.7699999996</v>
      </c>
      <c r="G515" s="465">
        <f>G516+G519+G526</f>
        <v>5350737.29</v>
      </c>
      <c r="H515" s="440">
        <f>H516+H519+H526</f>
        <v>3890917.9699999997</v>
      </c>
      <c r="I515" s="440">
        <f>I516+I519+I526</f>
        <v>5668201.6399999997</v>
      </c>
      <c r="J515" s="465">
        <f>J516+J519+J526</f>
        <v>5529388.2999999998</v>
      </c>
      <c r="K515" s="465">
        <f>K516+K519+K526</f>
        <v>5529388.2999999998</v>
      </c>
      <c r="L515" s="436">
        <f t="shared" si="79"/>
        <v>0</v>
      </c>
      <c r="M515" s="498">
        <f t="shared" si="80"/>
        <v>103.33881108934054</v>
      </c>
    </row>
    <row r="516" spans="1:13" ht="34" outlineLevel="7" x14ac:dyDescent="0.3">
      <c r="A516" s="438" t="s">
        <v>528</v>
      </c>
      <c r="B516" s="439" t="s">
        <v>501</v>
      </c>
      <c r="C516" s="439" t="s">
        <v>109</v>
      </c>
      <c r="D516" s="539" t="s">
        <v>529</v>
      </c>
      <c r="E516" s="539" t="s">
        <v>6</v>
      </c>
      <c r="F516" s="540">
        <v>2365763.5699999998</v>
      </c>
      <c r="G516" s="465">
        <f t="shared" ref="G516:K517" si="88">G517</f>
        <v>2472253.96</v>
      </c>
      <c r="H516" s="440">
        <f t="shared" si="88"/>
        <v>1921124.34</v>
      </c>
      <c r="I516" s="440">
        <f t="shared" si="88"/>
        <v>2618572.2799999998</v>
      </c>
      <c r="J516" s="466">
        <f t="shared" si="88"/>
        <v>2537974.2999999998</v>
      </c>
      <c r="K516" s="466">
        <f t="shared" si="88"/>
        <v>2537974.2999999998</v>
      </c>
      <c r="L516" s="436">
        <f t="shared" si="79"/>
        <v>0</v>
      </c>
      <c r="M516" s="498">
        <f t="shared" si="80"/>
        <v>102.65831670464793</v>
      </c>
    </row>
    <row r="517" spans="1:13" ht="37.549999999999997" customHeight="1" outlineLevel="2" x14ac:dyDescent="0.3">
      <c r="A517" s="438" t="s">
        <v>11</v>
      </c>
      <c r="B517" s="439" t="s">
        <v>501</v>
      </c>
      <c r="C517" s="439" t="s">
        <v>109</v>
      </c>
      <c r="D517" s="539" t="s">
        <v>529</v>
      </c>
      <c r="E517" s="539" t="s">
        <v>12</v>
      </c>
      <c r="F517" s="540">
        <v>2365763.5699999998</v>
      </c>
      <c r="G517" s="465">
        <f t="shared" si="88"/>
        <v>2472253.96</v>
      </c>
      <c r="H517" s="373">
        <v>1921124.34</v>
      </c>
      <c r="I517" s="440">
        <f t="shared" si="88"/>
        <v>2618572.2799999998</v>
      </c>
      <c r="J517" s="466">
        <f t="shared" si="88"/>
        <v>2537974.2999999998</v>
      </c>
      <c r="K517" s="466">
        <f t="shared" si="88"/>
        <v>2537974.2999999998</v>
      </c>
      <c r="L517" s="436">
        <f t="shared" si="79"/>
        <v>0</v>
      </c>
      <c r="M517" s="498">
        <f t="shared" si="80"/>
        <v>102.65831670464793</v>
      </c>
    </row>
    <row r="518" spans="1:13" ht="34" outlineLevel="4" x14ac:dyDescent="0.3">
      <c r="A518" s="438" t="s">
        <v>13</v>
      </c>
      <c r="B518" s="439" t="s">
        <v>501</v>
      </c>
      <c r="C518" s="439" t="s">
        <v>109</v>
      </c>
      <c r="D518" s="539" t="s">
        <v>529</v>
      </c>
      <c r="E518" s="539" t="s">
        <v>14</v>
      </c>
      <c r="F518" s="540">
        <v>2365763.5699999998</v>
      </c>
      <c r="G518" s="466">
        <f>[2]потребность!I463-45604</f>
        <v>2472253.96</v>
      </c>
      <c r="H518" s="373">
        <v>1921124.34</v>
      </c>
      <c r="I518" s="442">
        <f>'[2]прил 12'!F476</f>
        <v>2618572.2799999998</v>
      </c>
      <c r="J518" s="466">
        <v>2537974.2999999998</v>
      </c>
      <c r="K518" s="466">
        <v>2537974.2999999998</v>
      </c>
      <c r="L518" s="436">
        <f t="shared" si="79"/>
        <v>0</v>
      </c>
      <c r="M518" s="498">
        <f t="shared" si="80"/>
        <v>102.65831670464793</v>
      </c>
    </row>
    <row r="519" spans="1:13" ht="50.95" outlineLevel="5" x14ac:dyDescent="0.3">
      <c r="A519" s="438" t="s">
        <v>494</v>
      </c>
      <c r="B519" s="439" t="s">
        <v>501</v>
      </c>
      <c r="C519" s="439" t="s">
        <v>109</v>
      </c>
      <c r="D519" s="539" t="s">
        <v>495</v>
      </c>
      <c r="E519" s="539" t="s">
        <v>6</v>
      </c>
      <c r="F519" s="540">
        <v>2535958.2000000002</v>
      </c>
      <c r="G519" s="465">
        <f>G520+G522+G524</f>
        <v>2698483.33</v>
      </c>
      <c r="H519" s="440">
        <f>H520+H522+H524</f>
        <v>1834793.63</v>
      </c>
      <c r="I519" s="440">
        <f>I520+I522+I524</f>
        <v>2869629.36</v>
      </c>
      <c r="J519" s="465">
        <f>J520+J522+J524</f>
        <v>2811414</v>
      </c>
      <c r="K519" s="465">
        <f>K520+K522+K524</f>
        <v>2811414</v>
      </c>
      <c r="L519" s="436">
        <f t="shared" si="79"/>
        <v>0</v>
      </c>
      <c r="M519" s="498">
        <f t="shared" si="80"/>
        <v>104.18496822806016</v>
      </c>
    </row>
    <row r="520" spans="1:13" ht="84.9" outlineLevel="6" x14ac:dyDescent="0.3">
      <c r="A520" s="438" t="s">
        <v>11</v>
      </c>
      <c r="B520" s="439" t="s">
        <v>501</v>
      </c>
      <c r="C520" s="439" t="s">
        <v>109</v>
      </c>
      <c r="D520" s="539" t="s">
        <v>495</v>
      </c>
      <c r="E520" s="539" t="s">
        <v>12</v>
      </c>
      <c r="F520" s="540">
        <v>2387673</v>
      </c>
      <c r="G520" s="465">
        <f>G521</f>
        <v>2446983.33</v>
      </c>
      <c r="H520" s="370">
        <v>1724385.69</v>
      </c>
      <c r="I520" s="440">
        <f>I521</f>
        <v>2618129.36</v>
      </c>
      <c r="J520" s="466">
        <f>J521</f>
        <v>2560414</v>
      </c>
      <c r="K520" s="466">
        <f>K521</f>
        <v>2560414</v>
      </c>
      <c r="L520" s="436">
        <f t="shared" ref="L520:L583" si="89">K520-J520</f>
        <v>0</v>
      </c>
      <c r="M520" s="498">
        <f t="shared" si="80"/>
        <v>104.635530966204</v>
      </c>
    </row>
    <row r="521" spans="1:13" ht="34" outlineLevel="7" x14ac:dyDescent="0.3">
      <c r="A521" s="438" t="s">
        <v>13</v>
      </c>
      <c r="B521" s="439" t="s">
        <v>501</v>
      </c>
      <c r="C521" s="439" t="s">
        <v>109</v>
      </c>
      <c r="D521" s="539" t="s">
        <v>495</v>
      </c>
      <c r="E521" s="539" t="s">
        <v>14</v>
      </c>
      <c r="F521" s="540">
        <v>2387673</v>
      </c>
      <c r="G521" s="465">
        <f>[2]потребность!I466-70449</f>
        <v>2446983.33</v>
      </c>
      <c r="H521" s="370">
        <v>1724385.69</v>
      </c>
      <c r="I521" s="440">
        <f>'[2]прил 12'!F479</f>
        <v>2618129.36</v>
      </c>
      <c r="J521" s="466">
        <f>2681114-120700</f>
        <v>2560414</v>
      </c>
      <c r="K521" s="466">
        <f>2681114-120700</f>
        <v>2560414</v>
      </c>
      <c r="L521" s="436">
        <f t="shared" si="89"/>
        <v>0</v>
      </c>
      <c r="M521" s="498">
        <f t="shared" si="80"/>
        <v>104.635530966204</v>
      </c>
    </row>
    <row r="522" spans="1:13" ht="34" outlineLevel="7" x14ac:dyDescent="0.3">
      <c r="A522" s="438" t="s">
        <v>15</v>
      </c>
      <c r="B522" s="439" t="s">
        <v>501</v>
      </c>
      <c r="C522" s="439" t="s">
        <v>109</v>
      </c>
      <c r="D522" s="539" t="s">
        <v>495</v>
      </c>
      <c r="E522" s="539" t="s">
        <v>16</v>
      </c>
      <c r="F522" s="540">
        <v>146395.20000000001</v>
      </c>
      <c r="G522" s="465">
        <f>G523</f>
        <v>246000</v>
      </c>
      <c r="H522" s="370">
        <v>110407.94</v>
      </c>
      <c r="I522" s="440">
        <f>I523</f>
        <v>246000</v>
      </c>
      <c r="J522" s="466">
        <f>J523</f>
        <v>246000</v>
      </c>
      <c r="K522" s="466">
        <f>K523</f>
        <v>246000</v>
      </c>
      <c r="L522" s="436">
        <f t="shared" si="89"/>
        <v>0</v>
      </c>
      <c r="M522" s="498">
        <f t="shared" si="80"/>
        <v>100</v>
      </c>
    </row>
    <row r="523" spans="1:13" ht="34" outlineLevel="7" x14ac:dyDescent="0.3">
      <c r="A523" s="438" t="s">
        <v>17</v>
      </c>
      <c r="B523" s="439" t="s">
        <v>501</v>
      </c>
      <c r="C523" s="439" t="s">
        <v>109</v>
      </c>
      <c r="D523" s="539" t="s">
        <v>495</v>
      </c>
      <c r="E523" s="539" t="s">
        <v>18</v>
      </c>
      <c r="F523" s="540">
        <v>146395.20000000001</v>
      </c>
      <c r="G523" s="466">
        <v>246000</v>
      </c>
      <c r="H523" s="370">
        <v>110407.94</v>
      </c>
      <c r="I523" s="442">
        <f>'[2]прил 12'!F481</f>
        <v>246000</v>
      </c>
      <c r="J523" s="466">
        <v>246000</v>
      </c>
      <c r="K523" s="466">
        <v>246000</v>
      </c>
      <c r="L523" s="436">
        <f t="shared" si="89"/>
        <v>0</v>
      </c>
      <c r="M523" s="498">
        <f t="shared" si="80"/>
        <v>100</v>
      </c>
    </row>
    <row r="524" spans="1:13" outlineLevel="2" x14ac:dyDescent="0.3">
      <c r="A524" s="438" t="s">
        <v>19</v>
      </c>
      <c r="B524" s="439" t="s">
        <v>501</v>
      </c>
      <c r="C524" s="439" t="s">
        <v>109</v>
      </c>
      <c r="D524" s="539" t="s">
        <v>495</v>
      </c>
      <c r="E524" s="539" t="s">
        <v>20</v>
      </c>
      <c r="F524" s="540">
        <v>1890</v>
      </c>
      <c r="G524" s="465">
        <f>G525</f>
        <v>5500</v>
      </c>
      <c r="H524" s="441"/>
      <c r="I524" s="440">
        <f>I525</f>
        <v>5500</v>
      </c>
      <c r="J524" s="466">
        <f>J525</f>
        <v>5000</v>
      </c>
      <c r="K524" s="466">
        <f>K525</f>
        <v>5000</v>
      </c>
      <c r="L524" s="436">
        <f t="shared" si="89"/>
        <v>0</v>
      </c>
      <c r="M524" s="498">
        <f t="shared" ref="M524:M576" si="90">J524/G524%</f>
        <v>90.909090909090907</v>
      </c>
    </row>
    <row r="525" spans="1:13" s="449" customFormat="1" outlineLevel="3" x14ac:dyDescent="0.3">
      <c r="A525" s="438" t="s">
        <v>21</v>
      </c>
      <c r="B525" s="439" t="s">
        <v>501</v>
      </c>
      <c r="C525" s="439" t="s">
        <v>109</v>
      </c>
      <c r="D525" s="539" t="s">
        <v>495</v>
      </c>
      <c r="E525" s="539" t="s">
        <v>22</v>
      </c>
      <c r="F525" s="540">
        <v>1890</v>
      </c>
      <c r="G525" s="466">
        <v>5500</v>
      </c>
      <c r="H525" s="443"/>
      <c r="I525" s="442">
        <f>'[2]прил 12'!F483</f>
        <v>5500</v>
      </c>
      <c r="J525" s="507">
        <v>5000</v>
      </c>
      <c r="K525" s="507">
        <v>5000</v>
      </c>
      <c r="L525" s="436">
        <f t="shared" si="89"/>
        <v>0</v>
      </c>
      <c r="M525" s="498">
        <f t="shared" si="90"/>
        <v>90.909090909090907</v>
      </c>
    </row>
    <row r="526" spans="1:13" outlineLevel="4" x14ac:dyDescent="0.3">
      <c r="A526" s="438" t="s">
        <v>531</v>
      </c>
      <c r="B526" s="439" t="s">
        <v>501</v>
      </c>
      <c r="C526" s="439" t="s">
        <v>109</v>
      </c>
      <c r="D526" s="539" t="s">
        <v>530</v>
      </c>
      <c r="E526" s="539" t="s">
        <v>6</v>
      </c>
      <c r="F526" s="540">
        <v>180000</v>
      </c>
      <c r="G526" s="465">
        <f t="shared" ref="G526:K527" si="91">G527</f>
        <v>180000</v>
      </c>
      <c r="H526" s="440">
        <f t="shared" si="91"/>
        <v>135000</v>
      </c>
      <c r="I526" s="440">
        <f t="shared" si="91"/>
        <v>180000</v>
      </c>
      <c r="J526" s="466">
        <f t="shared" si="91"/>
        <v>180000</v>
      </c>
      <c r="K526" s="466">
        <f t="shared" si="91"/>
        <v>180000</v>
      </c>
      <c r="L526" s="436">
        <f t="shared" si="89"/>
        <v>0</v>
      </c>
      <c r="M526" s="498">
        <f t="shared" si="90"/>
        <v>100</v>
      </c>
    </row>
    <row r="527" spans="1:13" ht="84.9" outlineLevel="5" x14ac:dyDescent="0.3">
      <c r="A527" s="438" t="s">
        <v>11</v>
      </c>
      <c r="B527" s="439" t="s">
        <v>501</v>
      </c>
      <c r="C527" s="439" t="s">
        <v>109</v>
      </c>
      <c r="D527" s="539" t="s">
        <v>530</v>
      </c>
      <c r="E527" s="539" t="s">
        <v>12</v>
      </c>
      <c r="F527" s="540">
        <v>180000</v>
      </c>
      <c r="G527" s="465">
        <f t="shared" si="91"/>
        <v>180000</v>
      </c>
      <c r="H527" s="370">
        <v>135000</v>
      </c>
      <c r="I527" s="440">
        <f t="shared" si="91"/>
        <v>180000</v>
      </c>
      <c r="J527" s="466">
        <f t="shared" si="91"/>
        <v>180000</v>
      </c>
      <c r="K527" s="466">
        <f t="shared" si="91"/>
        <v>180000</v>
      </c>
      <c r="L527" s="436">
        <f t="shared" si="89"/>
        <v>0</v>
      </c>
      <c r="M527" s="498">
        <f t="shared" si="90"/>
        <v>100</v>
      </c>
    </row>
    <row r="528" spans="1:13" ht="45.7" customHeight="1" outlineLevel="6" x14ac:dyDescent="0.3">
      <c r="A528" s="438" t="s">
        <v>13</v>
      </c>
      <c r="B528" s="439" t="s">
        <v>501</v>
      </c>
      <c r="C528" s="439" t="s">
        <v>109</v>
      </c>
      <c r="D528" s="539" t="s">
        <v>530</v>
      </c>
      <c r="E528" s="539" t="s">
        <v>14</v>
      </c>
      <c r="F528" s="540">
        <v>180000</v>
      </c>
      <c r="G528" s="466">
        <v>180000</v>
      </c>
      <c r="H528" s="370">
        <v>135000</v>
      </c>
      <c r="I528" s="442">
        <f>'[2]прил 12'!F486</f>
        <v>180000</v>
      </c>
      <c r="J528" s="466">
        <v>180000</v>
      </c>
      <c r="K528" s="466">
        <v>180000</v>
      </c>
      <c r="L528" s="436">
        <f t="shared" si="89"/>
        <v>0</v>
      </c>
      <c r="M528" s="498">
        <f t="shared" si="90"/>
        <v>100</v>
      </c>
    </row>
    <row r="529" spans="1:13" ht="46.2" customHeight="1" outlineLevel="7" x14ac:dyDescent="0.3">
      <c r="A529" s="438" t="s">
        <v>9</v>
      </c>
      <c r="B529" s="439" t="s">
        <v>501</v>
      </c>
      <c r="C529" s="439" t="s">
        <v>10</v>
      </c>
      <c r="D529" s="539" t="s">
        <v>126</v>
      </c>
      <c r="E529" s="539" t="s">
        <v>6</v>
      </c>
      <c r="F529" s="540">
        <v>1105064.8999999999</v>
      </c>
      <c r="G529" s="465">
        <f t="shared" ref="G529:H532" si="92">G530</f>
        <v>0</v>
      </c>
      <c r="H529" s="440">
        <f t="shared" si="92"/>
        <v>0</v>
      </c>
      <c r="I529" s="440"/>
      <c r="J529" s="466"/>
      <c r="K529" s="466"/>
      <c r="L529" s="436">
        <f t="shared" si="89"/>
        <v>0</v>
      </c>
      <c r="M529" s="498"/>
    </row>
    <row r="530" spans="1:13" s="449" customFormat="1" ht="34" outlineLevel="7" x14ac:dyDescent="0.3">
      <c r="A530" s="438" t="s">
        <v>132</v>
      </c>
      <c r="B530" s="439" t="s">
        <v>501</v>
      </c>
      <c r="C530" s="439" t="s">
        <v>10</v>
      </c>
      <c r="D530" s="539" t="s">
        <v>127</v>
      </c>
      <c r="E530" s="539" t="s">
        <v>6</v>
      </c>
      <c r="F530" s="540">
        <v>1105064.8999999999</v>
      </c>
      <c r="G530" s="465">
        <f t="shared" si="92"/>
        <v>0</v>
      </c>
      <c r="H530" s="440">
        <f t="shared" si="92"/>
        <v>0</v>
      </c>
      <c r="I530" s="440"/>
      <c r="J530" s="507"/>
      <c r="K530" s="507"/>
      <c r="L530" s="436">
        <f t="shared" si="89"/>
        <v>0</v>
      </c>
      <c r="M530" s="498"/>
    </row>
    <row r="531" spans="1:13" outlineLevel="7" x14ac:dyDescent="0.3">
      <c r="A531" s="438" t="s">
        <v>120</v>
      </c>
      <c r="B531" s="439" t="s">
        <v>501</v>
      </c>
      <c r="C531" s="439" t="s">
        <v>10</v>
      </c>
      <c r="D531" s="539" t="s">
        <v>143</v>
      </c>
      <c r="E531" s="539" t="s">
        <v>6</v>
      </c>
      <c r="F531" s="540">
        <v>1105064.8999999999</v>
      </c>
      <c r="G531" s="465">
        <f t="shared" si="92"/>
        <v>0</v>
      </c>
      <c r="H531" s="440">
        <f t="shared" si="92"/>
        <v>0</v>
      </c>
      <c r="I531" s="440"/>
      <c r="J531" s="466"/>
      <c r="K531" s="466"/>
      <c r="L531" s="436">
        <f t="shared" si="89"/>
        <v>0</v>
      </c>
      <c r="M531" s="498"/>
    </row>
    <row r="532" spans="1:13" ht="84.9" outlineLevel="7" x14ac:dyDescent="0.3">
      <c r="A532" s="438" t="s">
        <v>11</v>
      </c>
      <c r="B532" s="439" t="s">
        <v>501</v>
      </c>
      <c r="C532" s="439" t="s">
        <v>10</v>
      </c>
      <c r="D532" s="539" t="s">
        <v>143</v>
      </c>
      <c r="E532" s="539" t="s">
        <v>12</v>
      </c>
      <c r="F532" s="540">
        <v>1105064.8999999999</v>
      </c>
      <c r="G532" s="465">
        <f t="shared" si="92"/>
        <v>0</v>
      </c>
      <c r="H532" s="440">
        <f t="shared" si="92"/>
        <v>0</v>
      </c>
      <c r="I532" s="440"/>
      <c r="J532" s="466"/>
      <c r="K532" s="466"/>
      <c r="L532" s="436">
        <f t="shared" si="89"/>
        <v>0</v>
      </c>
      <c r="M532" s="498"/>
    </row>
    <row r="533" spans="1:13" ht="21.25" customHeight="1" outlineLevel="7" x14ac:dyDescent="0.3">
      <c r="A533" s="438" t="s">
        <v>13</v>
      </c>
      <c r="B533" s="439" t="s">
        <v>501</v>
      </c>
      <c r="C533" s="439" t="s">
        <v>10</v>
      </c>
      <c r="D533" s="539" t="s">
        <v>143</v>
      </c>
      <c r="E533" s="539" t="s">
        <v>14</v>
      </c>
      <c r="F533" s="540">
        <v>1105064.8999999999</v>
      </c>
      <c r="G533" s="465">
        <v>0</v>
      </c>
      <c r="H533" s="441">
        <v>0</v>
      </c>
      <c r="I533" s="440"/>
      <c r="J533" s="466"/>
      <c r="K533" s="466"/>
      <c r="L533" s="436">
        <f t="shared" si="89"/>
        <v>0</v>
      </c>
      <c r="M533" s="498"/>
    </row>
    <row r="534" spans="1:13" s="437" customFormat="1" x14ac:dyDescent="0.3">
      <c r="A534" s="438" t="s">
        <v>23</v>
      </c>
      <c r="B534" s="439" t="s">
        <v>501</v>
      </c>
      <c r="C534" s="439" t="s">
        <v>24</v>
      </c>
      <c r="D534" s="539" t="s">
        <v>126</v>
      </c>
      <c r="E534" s="539" t="s">
        <v>6</v>
      </c>
      <c r="F534" s="540">
        <v>0</v>
      </c>
      <c r="G534" s="465">
        <f>G535+G540</f>
        <v>137280</v>
      </c>
      <c r="H534" s="440">
        <f>H535+H540</f>
        <v>127918.5</v>
      </c>
      <c r="I534" s="440">
        <f>I535+I540</f>
        <v>137280</v>
      </c>
      <c r="J534" s="465">
        <f>J535+J540+J544</f>
        <v>250950</v>
      </c>
      <c r="K534" s="465">
        <f>K535+K540+K544</f>
        <v>250950</v>
      </c>
      <c r="L534" s="436">
        <f t="shared" si="89"/>
        <v>0</v>
      </c>
      <c r="M534" s="498">
        <f t="shared" si="90"/>
        <v>182.80157342657344</v>
      </c>
    </row>
    <row r="535" spans="1:13" s="449" customFormat="1" ht="50.95" outlineLevel="1" x14ac:dyDescent="0.3">
      <c r="A535" s="444" t="s">
        <v>830</v>
      </c>
      <c r="B535" s="445" t="s">
        <v>501</v>
      </c>
      <c r="C535" s="445" t="s">
        <v>24</v>
      </c>
      <c r="D535" s="541" t="s">
        <v>128</v>
      </c>
      <c r="E535" s="541" t="s">
        <v>6</v>
      </c>
      <c r="F535" s="540">
        <v>0</v>
      </c>
      <c r="G535" s="508">
        <f t="shared" ref="G535:K538" si="93">G536</f>
        <v>33280</v>
      </c>
      <c r="H535" s="447"/>
      <c r="I535" s="446">
        <f t="shared" si="93"/>
        <v>33280</v>
      </c>
      <c r="J535" s="507">
        <f t="shared" si="93"/>
        <v>33280</v>
      </c>
      <c r="K535" s="507">
        <f t="shared" si="93"/>
        <v>33280</v>
      </c>
      <c r="L535" s="436">
        <f t="shared" si="89"/>
        <v>0</v>
      </c>
      <c r="M535" s="498">
        <f t="shared" si="90"/>
        <v>100</v>
      </c>
    </row>
    <row r="536" spans="1:13" ht="50.95" outlineLevel="2" x14ac:dyDescent="0.3">
      <c r="A536" s="450" t="s">
        <v>835</v>
      </c>
      <c r="B536" s="439" t="s">
        <v>501</v>
      </c>
      <c r="C536" s="439" t="s">
        <v>24</v>
      </c>
      <c r="D536" s="539" t="s">
        <v>315</v>
      </c>
      <c r="E536" s="539" t="s">
        <v>6</v>
      </c>
      <c r="F536" s="540">
        <v>0</v>
      </c>
      <c r="G536" s="465">
        <f t="shared" si="93"/>
        <v>33280</v>
      </c>
      <c r="H536" s="441"/>
      <c r="I536" s="440">
        <f t="shared" si="93"/>
        <v>33280</v>
      </c>
      <c r="J536" s="466">
        <f t="shared" si="93"/>
        <v>33280</v>
      </c>
      <c r="K536" s="466">
        <f t="shared" si="93"/>
        <v>33280</v>
      </c>
      <c r="L536" s="436">
        <f t="shared" si="89"/>
        <v>0</v>
      </c>
      <c r="M536" s="498">
        <f t="shared" si="90"/>
        <v>100</v>
      </c>
    </row>
    <row r="537" spans="1:13" s="449" customFormat="1" outlineLevel="3" x14ac:dyDescent="0.3">
      <c r="A537" s="450" t="s">
        <v>321</v>
      </c>
      <c r="B537" s="439" t="s">
        <v>501</v>
      </c>
      <c r="C537" s="439" t="s">
        <v>24</v>
      </c>
      <c r="D537" s="539" t="s">
        <v>316</v>
      </c>
      <c r="E537" s="539" t="s">
        <v>6</v>
      </c>
      <c r="F537" s="542">
        <v>0</v>
      </c>
      <c r="G537" s="465">
        <f t="shared" si="93"/>
        <v>33280</v>
      </c>
      <c r="H537" s="441"/>
      <c r="I537" s="440">
        <f t="shared" si="93"/>
        <v>33280</v>
      </c>
      <c r="J537" s="507">
        <f t="shared" si="93"/>
        <v>33280</v>
      </c>
      <c r="K537" s="507">
        <f t="shared" si="93"/>
        <v>33280</v>
      </c>
      <c r="L537" s="436">
        <f t="shared" si="89"/>
        <v>0</v>
      </c>
      <c r="M537" s="498">
        <f t="shared" si="90"/>
        <v>100</v>
      </c>
    </row>
    <row r="538" spans="1:13" ht="34" outlineLevel="4" x14ac:dyDescent="0.3">
      <c r="A538" s="438" t="s">
        <v>15</v>
      </c>
      <c r="B538" s="439" t="s">
        <v>501</v>
      </c>
      <c r="C538" s="439" t="s">
        <v>24</v>
      </c>
      <c r="D538" s="539" t="s">
        <v>316</v>
      </c>
      <c r="E538" s="539" t="s">
        <v>16</v>
      </c>
      <c r="F538" s="540">
        <v>0</v>
      </c>
      <c r="G538" s="465">
        <f t="shared" si="93"/>
        <v>33280</v>
      </c>
      <c r="H538" s="441"/>
      <c r="I538" s="440">
        <f t="shared" si="93"/>
        <v>33280</v>
      </c>
      <c r="J538" s="466">
        <f t="shared" si="93"/>
        <v>33280</v>
      </c>
      <c r="K538" s="466">
        <f t="shared" si="93"/>
        <v>33280</v>
      </c>
      <c r="L538" s="436">
        <f t="shared" si="89"/>
        <v>0</v>
      </c>
      <c r="M538" s="498">
        <f t="shared" si="90"/>
        <v>100</v>
      </c>
    </row>
    <row r="539" spans="1:13" ht="34" outlineLevel="4" x14ac:dyDescent="0.3">
      <c r="A539" s="438" t="s">
        <v>17</v>
      </c>
      <c r="B539" s="439" t="s">
        <v>501</v>
      </c>
      <c r="C539" s="439" t="s">
        <v>24</v>
      </c>
      <c r="D539" s="539" t="s">
        <v>316</v>
      </c>
      <c r="E539" s="539" t="s">
        <v>18</v>
      </c>
      <c r="F539" s="540">
        <v>0</v>
      </c>
      <c r="G539" s="465">
        <v>33280</v>
      </c>
      <c r="H539" s="441"/>
      <c r="I539" s="440">
        <f>'[2]прил 12'!F497</f>
        <v>33280</v>
      </c>
      <c r="J539" s="466">
        <v>33280</v>
      </c>
      <c r="K539" s="466">
        <v>33280</v>
      </c>
      <c r="L539" s="436">
        <f t="shared" si="89"/>
        <v>0</v>
      </c>
      <c r="M539" s="498">
        <f t="shared" si="90"/>
        <v>100</v>
      </c>
    </row>
    <row r="540" spans="1:13" ht="34" outlineLevel="5" x14ac:dyDescent="0.3">
      <c r="A540" s="444" t="s">
        <v>132</v>
      </c>
      <c r="B540" s="445" t="s">
        <v>501</v>
      </c>
      <c r="C540" s="445" t="s">
        <v>24</v>
      </c>
      <c r="D540" s="541" t="s">
        <v>127</v>
      </c>
      <c r="E540" s="541" t="s">
        <v>6</v>
      </c>
      <c r="F540" s="540">
        <v>96161</v>
      </c>
      <c r="G540" s="507">
        <f t="shared" ref="G540:K542" si="94">G541</f>
        <v>104000</v>
      </c>
      <c r="H540" s="452">
        <f>H541</f>
        <v>127918.5</v>
      </c>
      <c r="I540" s="448">
        <f t="shared" si="94"/>
        <v>104000</v>
      </c>
      <c r="J540" s="466">
        <f t="shared" si="94"/>
        <v>104000</v>
      </c>
      <c r="K540" s="466">
        <f t="shared" si="94"/>
        <v>104000</v>
      </c>
      <c r="L540" s="436">
        <f t="shared" si="89"/>
        <v>0</v>
      </c>
      <c r="M540" s="498">
        <f t="shared" si="90"/>
        <v>100</v>
      </c>
    </row>
    <row r="541" spans="1:13" ht="34" outlineLevel="6" x14ac:dyDescent="0.3">
      <c r="A541" s="438" t="s">
        <v>532</v>
      </c>
      <c r="B541" s="439" t="s">
        <v>501</v>
      </c>
      <c r="C541" s="439" t="s">
        <v>24</v>
      </c>
      <c r="D541" s="552">
        <v>9909970201</v>
      </c>
      <c r="E541" s="539" t="s">
        <v>6</v>
      </c>
      <c r="F541" s="540">
        <v>96161</v>
      </c>
      <c r="G541" s="466">
        <f t="shared" si="94"/>
        <v>104000</v>
      </c>
      <c r="H541" s="373">
        <v>127918.5</v>
      </c>
      <c r="I541" s="442">
        <f t="shared" si="94"/>
        <v>104000</v>
      </c>
      <c r="J541" s="466">
        <f t="shared" si="94"/>
        <v>104000</v>
      </c>
      <c r="K541" s="466">
        <f t="shared" si="94"/>
        <v>104000</v>
      </c>
      <c r="L541" s="436">
        <f t="shared" si="89"/>
        <v>0</v>
      </c>
      <c r="M541" s="498">
        <f t="shared" si="90"/>
        <v>100</v>
      </c>
    </row>
    <row r="542" spans="1:13" ht="34" outlineLevel="7" x14ac:dyDescent="0.3">
      <c r="A542" s="438" t="s">
        <v>15</v>
      </c>
      <c r="B542" s="439" t="s">
        <v>501</v>
      </c>
      <c r="C542" s="439" t="s">
        <v>24</v>
      </c>
      <c r="D542" s="552">
        <v>9909970201</v>
      </c>
      <c r="E542" s="539" t="s">
        <v>16</v>
      </c>
      <c r="F542" s="540">
        <v>96161</v>
      </c>
      <c r="G542" s="466">
        <f t="shared" si="94"/>
        <v>104000</v>
      </c>
      <c r="H542" s="373">
        <v>127918.5</v>
      </c>
      <c r="I542" s="442">
        <f t="shared" si="94"/>
        <v>104000</v>
      </c>
      <c r="J542" s="466">
        <f t="shared" si="94"/>
        <v>104000</v>
      </c>
      <c r="K542" s="466">
        <f t="shared" si="94"/>
        <v>104000</v>
      </c>
      <c r="L542" s="436">
        <f t="shared" si="89"/>
        <v>0</v>
      </c>
      <c r="M542" s="498">
        <f t="shared" si="90"/>
        <v>100</v>
      </c>
    </row>
    <row r="543" spans="1:13" ht="45" customHeight="1" outlineLevel="7" x14ac:dyDescent="0.3">
      <c r="A543" s="438" t="s">
        <v>17</v>
      </c>
      <c r="B543" s="439" t="s">
        <v>501</v>
      </c>
      <c r="C543" s="439" t="s">
        <v>24</v>
      </c>
      <c r="D543" s="552">
        <v>9909970201</v>
      </c>
      <c r="E543" s="539" t="s">
        <v>18</v>
      </c>
      <c r="F543" s="543">
        <v>96161</v>
      </c>
      <c r="G543" s="465">
        <v>104000</v>
      </c>
      <c r="H543" s="373">
        <v>127918.5</v>
      </c>
      <c r="I543" s="440">
        <f>'[2]прил 12'!F501</f>
        <v>104000</v>
      </c>
      <c r="J543" s="466">
        <v>104000</v>
      </c>
      <c r="K543" s="466">
        <v>104000</v>
      </c>
      <c r="L543" s="436">
        <f t="shared" si="89"/>
        <v>0</v>
      </c>
      <c r="M543" s="498">
        <f t="shared" si="90"/>
        <v>100</v>
      </c>
    </row>
    <row r="544" spans="1:13" ht="50.95" outlineLevel="7" x14ac:dyDescent="0.3">
      <c r="A544" s="451" t="s">
        <v>829</v>
      </c>
      <c r="B544" s="445" t="s">
        <v>501</v>
      </c>
      <c r="C544" s="439" t="s">
        <v>24</v>
      </c>
      <c r="D544" s="541" t="s">
        <v>317</v>
      </c>
      <c r="E544" s="541" t="s">
        <v>6</v>
      </c>
      <c r="F544" s="552">
        <v>0</v>
      </c>
      <c r="G544" s="465">
        <v>0</v>
      </c>
      <c r="H544" s="441">
        <v>0</v>
      </c>
      <c r="I544" s="440">
        <v>0</v>
      </c>
      <c r="J544" s="466">
        <f t="shared" ref="J544:K547" si="95">J545</f>
        <v>113670</v>
      </c>
      <c r="K544" s="466">
        <f t="shared" si="95"/>
        <v>113670</v>
      </c>
      <c r="L544" s="436">
        <f t="shared" si="89"/>
        <v>0</v>
      </c>
      <c r="M544" s="498"/>
    </row>
    <row r="545" spans="1:13" ht="34" outlineLevel="7" x14ac:dyDescent="0.3">
      <c r="A545" s="450" t="s">
        <v>249</v>
      </c>
      <c r="B545" s="439" t="s">
        <v>501</v>
      </c>
      <c r="C545" s="439" t="s">
        <v>24</v>
      </c>
      <c r="D545" s="539" t="s">
        <v>318</v>
      </c>
      <c r="E545" s="539" t="s">
        <v>6</v>
      </c>
      <c r="F545" s="552">
        <v>0</v>
      </c>
      <c r="G545" s="465">
        <v>0</v>
      </c>
      <c r="H545" s="441">
        <v>0</v>
      </c>
      <c r="I545" s="440">
        <v>0</v>
      </c>
      <c r="J545" s="466">
        <f t="shared" si="95"/>
        <v>113670</v>
      </c>
      <c r="K545" s="466">
        <f t="shared" si="95"/>
        <v>113670</v>
      </c>
      <c r="L545" s="436">
        <f t="shared" si="89"/>
        <v>0</v>
      </c>
      <c r="M545" s="498"/>
    </row>
    <row r="546" spans="1:13" ht="18.7" customHeight="1" outlineLevel="7" x14ac:dyDescent="0.3">
      <c r="A546" s="438" t="s">
        <v>25</v>
      </c>
      <c r="B546" s="439" t="s">
        <v>501</v>
      </c>
      <c r="C546" s="439" t="s">
        <v>24</v>
      </c>
      <c r="D546" s="539" t="s">
        <v>329</v>
      </c>
      <c r="E546" s="539" t="s">
        <v>6</v>
      </c>
      <c r="F546" s="539" t="s">
        <v>976</v>
      </c>
      <c r="G546" s="465">
        <v>0</v>
      </c>
      <c r="H546" s="441">
        <v>0</v>
      </c>
      <c r="I546" s="440">
        <v>0</v>
      </c>
      <c r="J546" s="466">
        <f t="shared" si="95"/>
        <v>113670</v>
      </c>
      <c r="K546" s="466">
        <f t="shared" si="95"/>
        <v>113670</v>
      </c>
      <c r="L546" s="436">
        <f t="shared" si="89"/>
        <v>0</v>
      </c>
      <c r="M546" s="498"/>
    </row>
    <row r="547" spans="1:13" ht="34" outlineLevel="7" x14ac:dyDescent="0.3">
      <c r="A547" s="438" t="s">
        <v>15</v>
      </c>
      <c r="B547" s="439" t="s">
        <v>501</v>
      </c>
      <c r="C547" s="439" t="s">
        <v>24</v>
      </c>
      <c r="D547" s="539" t="s">
        <v>329</v>
      </c>
      <c r="E547" s="539" t="s">
        <v>16</v>
      </c>
      <c r="F547" s="539" t="s">
        <v>976</v>
      </c>
      <c r="G547" s="465">
        <v>0</v>
      </c>
      <c r="H547" s="441">
        <v>0</v>
      </c>
      <c r="I547" s="440">
        <v>0</v>
      </c>
      <c r="J547" s="466">
        <f t="shared" si="95"/>
        <v>113670</v>
      </c>
      <c r="K547" s="466">
        <f t="shared" si="95"/>
        <v>113670</v>
      </c>
      <c r="L547" s="436">
        <f t="shared" si="89"/>
        <v>0</v>
      </c>
      <c r="M547" s="498"/>
    </row>
    <row r="548" spans="1:13" ht="34" outlineLevel="7" x14ac:dyDescent="0.3">
      <c r="A548" s="438" t="s">
        <v>17</v>
      </c>
      <c r="B548" s="439" t="s">
        <v>501</v>
      </c>
      <c r="C548" s="439" t="s">
        <v>24</v>
      </c>
      <c r="D548" s="539" t="s">
        <v>329</v>
      </c>
      <c r="E548" s="539" t="s">
        <v>18</v>
      </c>
      <c r="F548" s="539" t="s">
        <v>976</v>
      </c>
      <c r="G548" s="465">
        <v>0</v>
      </c>
      <c r="H548" s="441">
        <v>0</v>
      </c>
      <c r="I548" s="440">
        <v>0</v>
      </c>
      <c r="J548" s="466">
        <v>113670</v>
      </c>
      <c r="K548" s="466">
        <v>113670</v>
      </c>
      <c r="L548" s="436">
        <f t="shared" si="89"/>
        <v>0</v>
      </c>
      <c r="M548" s="498"/>
    </row>
    <row r="549" spans="1:13" ht="50.95" outlineLevel="7" x14ac:dyDescent="0.3">
      <c r="A549" s="433" t="s">
        <v>546</v>
      </c>
      <c r="B549" s="434" t="s">
        <v>536</v>
      </c>
      <c r="C549" s="434" t="s">
        <v>5</v>
      </c>
      <c r="D549" s="537" t="s">
        <v>126</v>
      </c>
      <c r="E549" s="537" t="s">
        <v>6</v>
      </c>
      <c r="F549" s="538">
        <v>539922363.24000001</v>
      </c>
      <c r="G549" s="506">
        <f>G550+G701+G717</f>
        <v>645023103.13999999</v>
      </c>
      <c r="H549" s="435">
        <f>H550+H701+H717</f>
        <v>448686771.28000015</v>
      </c>
      <c r="I549" s="435">
        <f>I550+I701+I717</f>
        <v>585353722.39999998</v>
      </c>
      <c r="J549" s="506">
        <f>J550+J701+J717</f>
        <v>612217470.23000002</v>
      </c>
      <c r="K549" s="506">
        <f>K550+K701+K717</f>
        <v>603699970.23000002</v>
      </c>
      <c r="L549" s="436">
        <f t="shared" si="89"/>
        <v>-8517500</v>
      </c>
      <c r="M549" s="498">
        <f t="shared" si="90"/>
        <v>94.914037535973407</v>
      </c>
    </row>
    <row r="550" spans="1:13" outlineLevel="7" x14ac:dyDescent="0.3">
      <c r="A550" s="444" t="s">
        <v>69</v>
      </c>
      <c r="B550" s="445" t="s">
        <v>536</v>
      </c>
      <c r="C550" s="445" t="s">
        <v>70</v>
      </c>
      <c r="D550" s="541" t="s">
        <v>126</v>
      </c>
      <c r="E550" s="541" t="s">
        <v>6</v>
      </c>
      <c r="F550" s="540">
        <v>531585411.58999997</v>
      </c>
      <c r="G550" s="508">
        <f>G551+G587+G662+G681+G636</f>
        <v>638449559.35000002</v>
      </c>
      <c r="H550" s="446">
        <f>H551+H587+H662+H681+H636</f>
        <v>444707177.88000011</v>
      </c>
      <c r="I550" s="446">
        <f>I551+I587+I662+I681+I636</f>
        <v>580505853.39999998</v>
      </c>
      <c r="J550" s="508">
        <f>J551+J587+J662+J681+J636</f>
        <v>606382316.23000002</v>
      </c>
      <c r="K550" s="508">
        <f>K551+K587+K662+K681+K636</f>
        <v>597864816.23000002</v>
      </c>
      <c r="L550" s="436">
        <f t="shared" si="89"/>
        <v>-8517500</v>
      </c>
      <c r="M550" s="498">
        <f t="shared" si="90"/>
        <v>94.977325514540667</v>
      </c>
    </row>
    <row r="551" spans="1:13" outlineLevel="7" x14ac:dyDescent="0.3">
      <c r="A551" s="438" t="s">
        <v>110</v>
      </c>
      <c r="B551" s="439" t="s">
        <v>536</v>
      </c>
      <c r="C551" s="439" t="s">
        <v>111</v>
      </c>
      <c r="D551" s="539" t="s">
        <v>126</v>
      </c>
      <c r="E551" s="539" t="s">
        <v>6</v>
      </c>
      <c r="F551" s="540">
        <v>118364131.27</v>
      </c>
      <c r="G551" s="465">
        <f t="shared" ref="G551:K552" si="96">G552</f>
        <v>139928096.22</v>
      </c>
      <c r="H551" s="440">
        <f t="shared" si="96"/>
        <v>96923388.159999996</v>
      </c>
      <c r="I551" s="440">
        <f t="shared" si="96"/>
        <v>136647891</v>
      </c>
      <c r="J551" s="465">
        <f t="shared" si="96"/>
        <v>144617866.20000002</v>
      </c>
      <c r="K551" s="465">
        <f t="shared" si="96"/>
        <v>139600366.20000002</v>
      </c>
      <c r="L551" s="436">
        <f t="shared" si="89"/>
        <v>-5017500</v>
      </c>
      <c r="M551" s="498">
        <f t="shared" si="90"/>
        <v>103.35155705443644</v>
      </c>
    </row>
    <row r="552" spans="1:13" ht="34" outlineLevel="7" x14ac:dyDescent="0.3">
      <c r="A552" s="444" t="s">
        <v>825</v>
      </c>
      <c r="B552" s="445" t="s">
        <v>536</v>
      </c>
      <c r="C552" s="445" t="s">
        <v>111</v>
      </c>
      <c r="D552" s="541" t="s">
        <v>138</v>
      </c>
      <c r="E552" s="541" t="s">
        <v>6</v>
      </c>
      <c r="F552" s="542">
        <v>118364131.27</v>
      </c>
      <c r="G552" s="508">
        <f t="shared" si="96"/>
        <v>139928096.22</v>
      </c>
      <c r="H552" s="446">
        <f t="shared" si="96"/>
        <v>96923388.159999996</v>
      </c>
      <c r="I552" s="446">
        <f t="shared" si="96"/>
        <v>136647891</v>
      </c>
      <c r="J552" s="508">
        <f t="shared" si="96"/>
        <v>144617866.20000002</v>
      </c>
      <c r="K552" s="508">
        <f t="shared" si="96"/>
        <v>139600366.20000002</v>
      </c>
      <c r="L552" s="436">
        <f t="shared" si="89"/>
        <v>-5017500</v>
      </c>
      <c r="M552" s="498">
        <f t="shared" si="90"/>
        <v>103.35155705443644</v>
      </c>
    </row>
    <row r="553" spans="1:13" ht="34" outlineLevel="7" x14ac:dyDescent="0.3">
      <c r="A553" s="438" t="s">
        <v>834</v>
      </c>
      <c r="B553" s="439" t="s">
        <v>536</v>
      </c>
      <c r="C553" s="439" t="s">
        <v>111</v>
      </c>
      <c r="D553" s="539" t="s">
        <v>139</v>
      </c>
      <c r="E553" s="539" t="s">
        <v>6</v>
      </c>
      <c r="F553" s="542">
        <v>118364131.27</v>
      </c>
      <c r="G553" s="465">
        <f>G554+G561</f>
        <v>139928096.22</v>
      </c>
      <c r="H553" s="440">
        <f>H554+H561</f>
        <v>96923388.159999996</v>
      </c>
      <c r="I553" s="440">
        <f>I554+I561</f>
        <v>136647891</v>
      </c>
      <c r="J553" s="465">
        <f>J554+J561</f>
        <v>144617866.20000002</v>
      </c>
      <c r="K553" s="465">
        <f>K554+K561</f>
        <v>139600366.20000002</v>
      </c>
      <c r="L553" s="436">
        <f t="shared" si="89"/>
        <v>-5017500</v>
      </c>
      <c r="M553" s="498">
        <f t="shared" si="90"/>
        <v>103.35155705443644</v>
      </c>
    </row>
    <row r="554" spans="1:13" ht="50.95" outlineLevel="7" x14ac:dyDescent="0.3">
      <c r="A554" s="450" t="s">
        <v>202</v>
      </c>
      <c r="B554" s="439" t="s">
        <v>536</v>
      </c>
      <c r="C554" s="439" t="s">
        <v>111</v>
      </c>
      <c r="D554" s="539" t="s">
        <v>219</v>
      </c>
      <c r="E554" s="539" t="s">
        <v>6</v>
      </c>
      <c r="F554" s="540">
        <v>116865686.84</v>
      </c>
      <c r="G554" s="465">
        <f>G555+G558</f>
        <v>130093742.69</v>
      </c>
      <c r="H554" s="440">
        <f>H555+H558</f>
        <v>91675352.060000002</v>
      </c>
      <c r="I554" s="440">
        <f>I555+I558</f>
        <v>134240407.59999999</v>
      </c>
      <c r="J554" s="465">
        <f>J555+J558</f>
        <v>139153899.30000001</v>
      </c>
      <c r="K554" s="465">
        <f>K555+K558</f>
        <v>139153899.30000001</v>
      </c>
      <c r="L554" s="436">
        <f t="shared" si="89"/>
        <v>0</v>
      </c>
      <c r="M554" s="498">
        <f t="shared" si="90"/>
        <v>106.96432927722698</v>
      </c>
    </row>
    <row r="555" spans="1:13" ht="50.95" outlineLevel="7" x14ac:dyDescent="0.3">
      <c r="A555" s="438" t="s">
        <v>113</v>
      </c>
      <c r="B555" s="439" t="s">
        <v>536</v>
      </c>
      <c r="C555" s="439" t="s">
        <v>111</v>
      </c>
      <c r="D555" s="539" t="s">
        <v>144</v>
      </c>
      <c r="E555" s="539" t="s">
        <v>6</v>
      </c>
      <c r="F555" s="540">
        <v>41271815.840000004</v>
      </c>
      <c r="G555" s="465">
        <f t="shared" ref="G555:K556" si="97">G556</f>
        <v>45003324.689999998</v>
      </c>
      <c r="H555" s="440">
        <f t="shared" si="97"/>
        <v>31822280.059999999</v>
      </c>
      <c r="I555" s="440">
        <f t="shared" si="97"/>
        <v>48316977.600000001</v>
      </c>
      <c r="J555" s="465">
        <f t="shared" si="97"/>
        <v>49664655.299999997</v>
      </c>
      <c r="K555" s="465">
        <f t="shared" si="97"/>
        <v>49664655.299999997</v>
      </c>
      <c r="L555" s="436">
        <f t="shared" si="89"/>
        <v>0</v>
      </c>
      <c r="M555" s="498">
        <f t="shared" si="90"/>
        <v>110.35774721558688</v>
      </c>
    </row>
    <row r="556" spans="1:13" ht="34" outlineLevel="7" x14ac:dyDescent="0.3">
      <c r="A556" s="438" t="s">
        <v>37</v>
      </c>
      <c r="B556" s="439" t="s">
        <v>536</v>
      </c>
      <c r="C556" s="439" t="s">
        <v>111</v>
      </c>
      <c r="D556" s="539" t="s">
        <v>144</v>
      </c>
      <c r="E556" s="539" t="s">
        <v>38</v>
      </c>
      <c r="F556" s="540">
        <v>41271815.840000004</v>
      </c>
      <c r="G556" s="465">
        <f t="shared" si="97"/>
        <v>45003324.689999998</v>
      </c>
      <c r="H556" s="440">
        <f t="shared" si="97"/>
        <v>31822280.059999999</v>
      </c>
      <c r="I556" s="440">
        <f t="shared" si="97"/>
        <v>48316977.600000001</v>
      </c>
      <c r="J556" s="465">
        <f t="shared" si="97"/>
        <v>49664655.299999997</v>
      </c>
      <c r="K556" s="465">
        <f t="shared" si="97"/>
        <v>49664655.299999997</v>
      </c>
      <c r="L556" s="436">
        <f t="shared" si="89"/>
        <v>0</v>
      </c>
      <c r="M556" s="498">
        <f t="shared" si="90"/>
        <v>110.35774721558688</v>
      </c>
    </row>
    <row r="557" spans="1:13" outlineLevel="7" x14ac:dyDescent="0.3">
      <c r="A557" s="438" t="s">
        <v>74</v>
      </c>
      <c r="B557" s="439" t="s">
        <v>536</v>
      </c>
      <c r="C557" s="439" t="s">
        <v>111</v>
      </c>
      <c r="D557" s="539" t="s">
        <v>144</v>
      </c>
      <c r="E557" s="539" t="s">
        <v>75</v>
      </c>
      <c r="F557" s="540">
        <v>41271815.840000004</v>
      </c>
      <c r="G557" s="466">
        <f>[2]потребность!I504-3300000+556776+859477+84223.69</f>
        <v>45003324.689999998</v>
      </c>
      <c r="H557" s="443">
        <v>31822280.059999999</v>
      </c>
      <c r="I557" s="442">
        <v>48316977.600000001</v>
      </c>
      <c r="J557" s="466">
        <f>49664655.3+500000-500000</f>
        <v>49664655.299999997</v>
      </c>
      <c r="K557" s="466">
        <f>49664655.3</f>
        <v>49664655.299999997</v>
      </c>
      <c r="L557" s="436">
        <f t="shared" si="89"/>
        <v>0</v>
      </c>
      <c r="M557" s="498">
        <f t="shared" si="90"/>
        <v>110.35774721558688</v>
      </c>
    </row>
    <row r="558" spans="1:13" ht="101.9" outlineLevel="7" x14ac:dyDescent="0.3">
      <c r="A558" s="450" t="s">
        <v>397</v>
      </c>
      <c r="B558" s="439" t="s">
        <v>536</v>
      </c>
      <c r="C558" s="439" t="s">
        <v>111</v>
      </c>
      <c r="D558" s="539" t="s">
        <v>145</v>
      </c>
      <c r="E558" s="539" t="s">
        <v>6</v>
      </c>
      <c r="F558" s="540">
        <v>75593871</v>
      </c>
      <c r="G558" s="465">
        <f t="shared" ref="G558:K559" si="98">G559</f>
        <v>85090418</v>
      </c>
      <c r="H558" s="440">
        <f t="shared" si="98"/>
        <v>59853072</v>
      </c>
      <c r="I558" s="440">
        <f t="shared" si="98"/>
        <v>85923430</v>
      </c>
      <c r="J558" s="513">
        <f t="shared" si="98"/>
        <v>89489244</v>
      </c>
      <c r="K558" s="513">
        <f t="shared" si="98"/>
        <v>89489244</v>
      </c>
      <c r="L558" s="436">
        <f t="shared" si="89"/>
        <v>0</v>
      </c>
      <c r="M558" s="498">
        <f t="shared" si="90"/>
        <v>105.16959030569106</v>
      </c>
    </row>
    <row r="559" spans="1:13" ht="34" outlineLevel="7" x14ac:dyDescent="0.3">
      <c r="A559" s="438" t="s">
        <v>37</v>
      </c>
      <c r="B559" s="439" t="s">
        <v>536</v>
      </c>
      <c r="C559" s="439" t="s">
        <v>111</v>
      </c>
      <c r="D559" s="539" t="s">
        <v>145</v>
      </c>
      <c r="E559" s="539" t="s">
        <v>38</v>
      </c>
      <c r="F559" s="540">
        <v>75593871</v>
      </c>
      <c r="G559" s="465">
        <f t="shared" si="98"/>
        <v>85090418</v>
      </c>
      <c r="H559" s="440">
        <f t="shared" si="98"/>
        <v>59853072</v>
      </c>
      <c r="I559" s="440">
        <f t="shared" si="98"/>
        <v>85923430</v>
      </c>
      <c r="J559" s="465">
        <f t="shared" si="98"/>
        <v>89489244</v>
      </c>
      <c r="K559" s="465">
        <f t="shared" si="98"/>
        <v>89489244</v>
      </c>
      <c r="L559" s="436">
        <f t="shared" si="89"/>
        <v>0</v>
      </c>
      <c r="M559" s="498">
        <f t="shared" si="90"/>
        <v>105.16959030569106</v>
      </c>
    </row>
    <row r="560" spans="1:13" ht="24.8" customHeight="1" outlineLevel="7" x14ac:dyDescent="0.3">
      <c r="A560" s="438" t="s">
        <v>74</v>
      </c>
      <c r="B560" s="439" t="s">
        <v>536</v>
      </c>
      <c r="C560" s="439" t="s">
        <v>111</v>
      </c>
      <c r="D560" s="539" t="s">
        <v>145</v>
      </c>
      <c r="E560" s="539" t="s">
        <v>75</v>
      </c>
      <c r="F560" s="540">
        <v>75593871</v>
      </c>
      <c r="G560" s="466">
        <f>81227204+3863214</f>
        <v>85090418</v>
      </c>
      <c r="H560" s="443">
        <v>59853072</v>
      </c>
      <c r="I560" s="442">
        <v>85923430</v>
      </c>
      <c r="J560" s="510">
        <v>89489244</v>
      </c>
      <c r="K560" s="510">
        <v>89489244</v>
      </c>
      <c r="L560" s="436">
        <f t="shared" si="89"/>
        <v>0</v>
      </c>
      <c r="M560" s="498">
        <f t="shared" si="90"/>
        <v>105.16959030569106</v>
      </c>
    </row>
    <row r="561" spans="1:13" ht="34" outlineLevel="7" x14ac:dyDescent="0.3">
      <c r="A561" s="450" t="s">
        <v>203</v>
      </c>
      <c r="B561" s="439" t="s">
        <v>536</v>
      </c>
      <c r="C561" s="439" t="s">
        <v>111</v>
      </c>
      <c r="D561" s="539" t="s">
        <v>221</v>
      </c>
      <c r="E561" s="539" t="s">
        <v>6</v>
      </c>
      <c r="F561" s="540">
        <v>1498444.43</v>
      </c>
      <c r="G561" s="466">
        <f>G580+G562+G565+G568+G571+G574</f>
        <v>9834353.5300000012</v>
      </c>
      <c r="H561" s="442">
        <f>H580+H562+H565+H568+H571+H574</f>
        <v>5248036.0999999996</v>
      </c>
      <c r="I561" s="442">
        <f>I580+I562+I565+I568+I571+I574</f>
        <v>2407483.4</v>
      </c>
      <c r="J561" s="466">
        <f>J580+J562+J565+J568+J571+J574</f>
        <v>5463966.9000000004</v>
      </c>
      <c r="K561" s="466">
        <f>K580+K562+K565+K568+K571+K574</f>
        <v>446466.9</v>
      </c>
      <c r="L561" s="436">
        <f t="shared" si="89"/>
        <v>-5017500</v>
      </c>
      <c r="M561" s="498">
        <f t="shared" si="90"/>
        <v>55.560000800581342</v>
      </c>
    </row>
    <row r="562" spans="1:13" ht="34" outlineLevel="7" x14ac:dyDescent="0.3">
      <c r="A562" s="438" t="s">
        <v>282</v>
      </c>
      <c r="B562" s="439" t="s">
        <v>536</v>
      </c>
      <c r="C562" s="439" t="s">
        <v>111</v>
      </c>
      <c r="D562" s="539" t="s">
        <v>283</v>
      </c>
      <c r="E562" s="539" t="s">
        <v>6</v>
      </c>
      <c r="F562" s="540">
        <v>97500</v>
      </c>
      <c r="G562" s="466">
        <f t="shared" ref="G562:K563" si="99">G563</f>
        <v>97500</v>
      </c>
      <c r="H562" s="442">
        <f t="shared" si="99"/>
        <v>0</v>
      </c>
      <c r="I562" s="442">
        <f t="shared" si="99"/>
        <v>97500</v>
      </c>
      <c r="J562" s="466">
        <f t="shared" si="99"/>
        <v>100000</v>
      </c>
      <c r="K562" s="466">
        <f t="shared" si="99"/>
        <v>100000</v>
      </c>
      <c r="L562" s="436">
        <f t="shared" si="89"/>
        <v>0</v>
      </c>
      <c r="M562" s="498">
        <f t="shared" si="90"/>
        <v>102.56410256410257</v>
      </c>
    </row>
    <row r="563" spans="1:13" ht="22.75" customHeight="1" outlineLevel="7" x14ac:dyDescent="0.3">
      <c r="A563" s="438" t="s">
        <v>37</v>
      </c>
      <c r="B563" s="439" t="s">
        <v>536</v>
      </c>
      <c r="C563" s="439" t="s">
        <v>111</v>
      </c>
      <c r="D563" s="539" t="s">
        <v>283</v>
      </c>
      <c r="E563" s="539" t="s">
        <v>38</v>
      </c>
      <c r="F563" s="540">
        <v>97500</v>
      </c>
      <c r="G563" s="466">
        <f t="shared" si="99"/>
        <v>97500</v>
      </c>
      <c r="H563" s="442">
        <f t="shared" si="99"/>
        <v>0</v>
      </c>
      <c r="I563" s="442">
        <f t="shared" si="99"/>
        <v>97500</v>
      </c>
      <c r="J563" s="466">
        <f t="shared" si="99"/>
        <v>100000</v>
      </c>
      <c r="K563" s="466">
        <f t="shared" si="99"/>
        <v>100000</v>
      </c>
      <c r="L563" s="436">
        <f t="shared" si="89"/>
        <v>0</v>
      </c>
      <c r="M563" s="498">
        <f t="shared" si="90"/>
        <v>102.56410256410257</v>
      </c>
    </row>
    <row r="564" spans="1:13" outlineLevel="7" x14ac:dyDescent="0.3">
      <c r="A564" s="438" t="s">
        <v>74</v>
      </c>
      <c r="B564" s="439" t="s">
        <v>536</v>
      </c>
      <c r="C564" s="439" t="s">
        <v>111</v>
      </c>
      <c r="D564" s="539" t="s">
        <v>283</v>
      </c>
      <c r="E564" s="539" t="s">
        <v>75</v>
      </c>
      <c r="F564" s="540">
        <v>97500</v>
      </c>
      <c r="G564" s="466">
        <v>97500</v>
      </c>
      <c r="H564" s="443"/>
      <c r="I564" s="442">
        <v>97500</v>
      </c>
      <c r="J564" s="466">
        <v>100000</v>
      </c>
      <c r="K564" s="466">
        <v>100000</v>
      </c>
      <c r="L564" s="436">
        <f t="shared" si="89"/>
        <v>0</v>
      </c>
      <c r="M564" s="498">
        <f t="shared" si="90"/>
        <v>102.56410256410257</v>
      </c>
    </row>
    <row r="565" spans="1:13" ht="34" outlineLevel="7" x14ac:dyDescent="0.3">
      <c r="A565" s="438" t="s">
        <v>268</v>
      </c>
      <c r="B565" s="439" t="s">
        <v>536</v>
      </c>
      <c r="C565" s="439" t="s">
        <v>111</v>
      </c>
      <c r="D565" s="539" t="s">
        <v>284</v>
      </c>
      <c r="E565" s="539" t="s">
        <v>6</v>
      </c>
      <c r="F565" s="540">
        <v>111181.43</v>
      </c>
      <c r="G565" s="466">
        <f>G566</f>
        <v>152000</v>
      </c>
      <c r="H565" s="442">
        <f>H566</f>
        <v>77979.91</v>
      </c>
      <c r="I565" s="442">
        <f>I566</f>
        <v>152000</v>
      </c>
      <c r="J565" s="466">
        <f>J566</f>
        <v>158000</v>
      </c>
      <c r="K565" s="466">
        <f>K566</f>
        <v>158000</v>
      </c>
      <c r="L565" s="436">
        <f t="shared" si="89"/>
        <v>0</v>
      </c>
      <c r="M565" s="498">
        <f t="shared" si="90"/>
        <v>103.94736842105263</v>
      </c>
    </row>
    <row r="566" spans="1:13" ht="34" outlineLevel="7" x14ac:dyDescent="0.3">
      <c r="A566" s="438" t="s">
        <v>37</v>
      </c>
      <c r="B566" s="439" t="s">
        <v>536</v>
      </c>
      <c r="C566" s="439" t="s">
        <v>111</v>
      </c>
      <c r="D566" s="539" t="s">
        <v>284</v>
      </c>
      <c r="E566" s="539" t="s">
        <v>38</v>
      </c>
      <c r="F566" s="540">
        <v>111181.43</v>
      </c>
      <c r="G566" s="466">
        <f>G567</f>
        <v>152000</v>
      </c>
      <c r="H566" s="442">
        <f>H567</f>
        <v>77979.91</v>
      </c>
      <c r="I566" s="442">
        <v>152000</v>
      </c>
      <c r="J566" s="466">
        <f>J567</f>
        <v>158000</v>
      </c>
      <c r="K566" s="466">
        <f>K567</f>
        <v>158000</v>
      </c>
      <c r="L566" s="436">
        <f t="shared" si="89"/>
        <v>0</v>
      </c>
      <c r="M566" s="498">
        <f t="shared" si="90"/>
        <v>103.94736842105263</v>
      </c>
    </row>
    <row r="567" spans="1:13" outlineLevel="7" x14ac:dyDescent="0.3">
      <c r="A567" s="438" t="s">
        <v>74</v>
      </c>
      <c r="B567" s="439" t="s">
        <v>536</v>
      </c>
      <c r="C567" s="439" t="s">
        <v>111</v>
      </c>
      <c r="D567" s="539" t="s">
        <v>284</v>
      </c>
      <c r="E567" s="539" t="s">
        <v>75</v>
      </c>
      <c r="F567" s="540">
        <v>111181.43</v>
      </c>
      <c r="G567" s="466">
        <v>152000</v>
      </c>
      <c r="H567" s="443">
        <v>77979.91</v>
      </c>
      <c r="I567" s="442">
        <v>152000</v>
      </c>
      <c r="J567" s="466">
        <v>158000</v>
      </c>
      <c r="K567" s="466">
        <v>158000</v>
      </c>
      <c r="L567" s="436">
        <f t="shared" si="89"/>
        <v>0</v>
      </c>
      <c r="M567" s="498">
        <f t="shared" si="90"/>
        <v>103.94736842105263</v>
      </c>
    </row>
    <row r="568" spans="1:13" outlineLevel="7" x14ac:dyDescent="0.3">
      <c r="A568" s="438" t="s">
        <v>311</v>
      </c>
      <c r="B568" s="439" t="s">
        <v>536</v>
      </c>
      <c r="C568" s="439" t="s">
        <v>111</v>
      </c>
      <c r="D568" s="539" t="s">
        <v>534</v>
      </c>
      <c r="E568" s="539" t="s">
        <v>6</v>
      </c>
      <c r="F568" s="540">
        <v>413306</v>
      </c>
      <c r="G568" s="466">
        <f t="shared" ref="G568:K569" si="100">G569</f>
        <v>92750</v>
      </c>
      <c r="H568" s="442">
        <f t="shared" si="100"/>
        <v>4700</v>
      </c>
      <c r="I568" s="442">
        <f t="shared" si="100"/>
        <v>400000</v>
      </c>
      <c r="J568" s="466">
        <f t="shared" si="100"/>
        <v>2200000</v>
      </c>
      <c r="K568" s="466">
        <f t="shared" si="100"/>
        <v>0</v>
      </c>
      <c r="L568" s="436">
        <f t="shared" si="89"/>
        <v>-2200000</v>
      </c>
      <c r="M568" s="498">
        <f t="shared" si="90"/>
        <v>2371.967654986523</v>
      </c>
    </row>
    <row r="569" spans="1:13" ht="34" outlineLevel="7" x14ac:dyDescent="0.3">
      <c r="A569" s="438" t="s">
        <v>37</v>
      </c>
      <c r="B569" s="439" t="s">
        <v>536</v>
      </c>
      <c r="C569" s="439" t="s">
        <v>111</v>
      </c>
      <c r="D569" s="539" t="s">
        <v>534</v>
      </c>
      <c r="E569" s="539" t="s">
        <v>38</v>
      </c>
      <c r="F569" s="540">
        <v>413306</v>
      </c>
      <c r="G569" s="466">
        <f t="shared" si="100"/>
        <v>92750</v>
      </c>
      <c r="H569" s="442">
        <f t="shared" si="100"/>
        <v>4700</v>
      </c>
      <c r="I569" s="442">
        <f t="shared" si="100"/>
        <v>400000</v>
      </c>
      <c r="J569" s="466">
        <f t="shared" si="100"/>
        <v>2200000</v>
      </c>
      <c r="K569" s="466">
        <f t="shared" si="100"/>
        <v>0</v>
      </c>
      <c r="L569" s="436">
        <f t="shared" si="89"/>
        <v>-2200000</v>
      </c>
      <c r="M569" s="498">
        <f t="shared" si="90"/>
        <v>2371.967654986523</v>
      </c>
    </row>
    <row r="570" spans="1:13" outlineLevel="7" x14ac:dyDescent="0.3">
      <c r="A570" s="438" t="s">
        <v>74</v>
      </c>
      <c r="B570" s="439" t="s">
        <v>536</v>
      </c>
      <c r="C570" s="439" t="s">
        <v>111</v>
      </c>
      <c r="D570" s="539" t="s">
        <v>534</v>
      </c>
      <c r="E570" s="539" t="s">
        <v>75</v>
      </c>
      <c r="F570" s="540">
        <v>413306</v>
      </c>
      <c r="G570" s="466">
        <f>273250-180500</f>
        <v>92750</v>
      </c>
      <c r="H570" s="443">
        <v>4700</v>
      </c>
      <c r="I570" s="442">
        <v>400000</v>
      </c>
      <c r="J570" s="466">
        <v>2200000</v>
      </c>
      <c r="K570" s="466">
        <f>2200000-2200000</f>
        <v>0</v>
      </c>
      <c r="L570" s="436">
        <f t="shared" si="89"/>
        <v>-2200000</v>
      </c>
      <c r="M570" s="498">
        <f t="shared" si="90"/>
        <v>2371.967654986523</v>
      </c>
    </row>
    <row r="571" spans="1:13" ht="50.95" outlineLevel="7" x14ac:dyDescent="0.3">
      <c r="A571" s="450" t="s">
        <v>458</v>
      </c>
      <c r="B571" s="439" t="s">
        <v>536</v>
      </c>
      <c r="C571" s="439" t="s">
        <v>111</v>
      </c>
      <c r="D571" s="539" t="s">
        <v>459</v>
      </c>
      <c r="E571" s="539" t="s">
        <v>6</v>
      </c>
      <c r="F571" s="540">
        <v>125600</v>
      </c>
      <c r="G571" s="466">
        <f t="shared" ref="G571:K572" si="101">G572</f>
        <v>6000000</v>
      </c>
      <c r="H571" s="442">
        <f t="shared" si="101"/>
        <v>1800000</v>
      </c>
      <c r="I571" s="442">
        <f t="shared" si="101"/>
        <v>1400000</v>
      </c>
      <c r="J571" s="466">
        <f t="shared" si="101"/>
        <v>2817500</v>
      </c>
      <c r="K571" s="466">
        <f t="shared" si="101"/>
        <v>0</v>
      </c>
      <c r="L571" s="436">
        <f t="shared" si="89"/>
        <v>-2817500</v>
      </c>
      <c r="M571" s="498">
        <f t="shared" si="90"/>
        <v>46.958333333333336</v>
      </c>
    </row>
    <row r="572" spans="1:13" ht="34" outlineLevel="7" x14ac:dyDescent="0.3">
      <c r="A572" s="438" t="s">
        <v>37</v>
      </c>
      <c r="B572" s="439" t="s">
        <v>536</v>
      </c>
      <c r="C572" s="439" t="s">
        <v>111</v>
      </c>
      <c r="D572" s="539" t="s">
        <v>459</v>
      </c>
      <c r="E572" s="539" t="s">
        <v>38</v>
      </c>
      <c r="F572" s="540">
        <v>125600</v>
      </c>
      <c r="G572" s="466">
        <f t="shared" si="101"/>
        <v>6000000</v>
      </c>
      <c r="H572" s="442">
        <f t="shared" si="101"/>
        <v>1800000</v>
      </c>
      <c r="I572" s="442">
        <f t="shared" si="101"/>
        <v>1400000</v>
      </c>
      <c r="J572" s="466">
        <f t="shared" si="101"/>
        <v>2817500</v>
      </c>
      <c r="K572" s="466">
        <f t="shared" si="101"/>
        <v>0</v>
      </c>
      <c r="L572" s="436">
        <f t="shared" si="89"/>
        <v>-2817500</v>
      </c>
      <c r="M572" s="498">
        <f t="shared" si="90"/>
        <v>46.958333333333336</v>
      </c>
    </row>
    <row r="573" spans="1:13" ht="17.7" outlineLevel="2" thickBot="1" x14ac:dyDescent="0.35">
      <c r="A573" s="438" t="s">
        <v>74</v>
      </c>
      <c r="B573" s="439" t="s">
        <v>536</v>
      </c>
      <c r="C573" s="439" t="s">
        <v>111</v>
      </c>
      <c r="D573" s="539" t="s">
        <v>459</v>
      </c>
      <c r="E573" s="539" t="s">
        <v>75</v>
      </c>
      <c r="F573" s="540">
        <v>125600</v>
      </c>
      <c r="G573" s="466">
        <f>[2]потребность!I520+3300000-3000000-400000+6000000</f>
        <v>6000000</v>
      </c>
      <c r="H573" s="443">
        <v>1800000</v>
      </c>
      <c r="I573" s="442">
        <v>1400000</v>
      </c>
      <c r="J573" s="466">
        <v>2817500</v>
      </c>
      <c r="K573" s="512">
        <f>2817500-2817500</f>
        <v>0</v>
      </c>
      <c r="L573" s="436">
        <f t="shared" si="89"/>
        <v>-2817500</v>
      </c>
      <c r="M573" s="498">
        <f t="shared" si="90"/>
        <v>46.958333333333336</v>
      </c>
    </row>
    <row r="574" spans="1:13" s="449" customFormat="1" ht="57.25" customHeight="1" outlineLevel="3" thickBot="1" x14ac:dyDescent="0.35">
      <c r="A574" s="470" t="s">
        <v>938</v>
      </c>
      <c r="B574" s="439" t="s">
        <v>536</v>
      </c>
      <c r="C574" s="439" t="s">
        <v>111</v>
      </c>
      <c r="D574" s="539" t="s">
        <v>726</v>
      </c>
      <c r="E574" s="539" t="s">
        <v>6</v>
      </c>
      <c r="F574" s="540">
        <v>343895</v>
      </c>
      <c r="G574" s="466">
        <f>G575</f>
        <v>3492103.5300000003</v>
      </c>
      <c r="H574" s="442">
        <f>H575</f>
        <v>3365356.19</v>
      </c>
      <c r="I574" s="442">
        <v>0</v>
      </c>
      <c r="J574" s="507">
        <v>0</v>
      </c>
      <c r="K574" s="507">
        <v>0</v>
      </c>
      <c r="L574" s="436">
        <f t="shared" si="89"/>
        <v>0</v>
      </c>
      <c r="M574" s="498">
        <f t="shared" si="90"/>
        <v>0</v>
      </c>
    </row>
    <row r="575" spans="1:13" ht="23.95" customHeight="1" outlineLevel="4" x14ac:dyDescent="0.3">
      <c r="A575" s="438" t="s">
        <v>37</v>
      </c>
      <c r="B575" s="439" t="s">
        <v>536</v>
      </c>
      <c r="C575" s="439" t="s">
        <v>111</v>
      </c>
      <c r="D575" s="539" t="s">
        <v>726</v>
      </c>
      <c r="E575" s="539" t="s">
        <v>38</v>
      </c>
      <c r="F575" s="540">
        <v>343895</v>
      </c>
      <c r="G575" s="466">
        <f>G576</f>
        <v>3492103.5300000003</v>
      </c>
      <c r="H575" s="442">
        <f>H576</f>
        <v>3365356.19</v>
      </c>
      <c r="I575" s="442">
        <v>0</v>
      </c>
      <c r="J575" s="466">
        <v>0</v>
      </c>
      <c r="K575" s="466">
        <v>0</v>
      </c>
      <c r="L575" s="436">
        <f t="shared" si="89"/>
        <v>0</v>
      </c>
      <c r="M575" s="498">
        <f t="shared" si="90"/>
        <v>0</v>
      </c>
    </row>
    <row r="576" spans="1:13" ht="22.75" customHeight="1" outlineLevel="4" x14ac:dyDescent="0.3">
      <c r="A576" s="438" t="s">
        <v>74</v>
      </c>
      <c r="B576" s="439" t="s">
        <v>536</v>
      </c>
      <c r="C576" s="439" t="s">
        <v>111</v>
      </c>
      <c r="D576" s="539" t="s">
        <v>726</v>
      </c>
      <c r="E576" s="539" t="s">
        <v>75</v>
      </c>
      <c r="F576" s="540">
        <v>343895</v>
      </c>
      <c r="G576" s="466">
        <f>[2]потребность!L521+340000+282103.53+400000+70000</f>
        <v>3492103.5300000003</v>
      </c>
      <c r="H576" s="443">
        <v>3365356.19</v>
      </c>
      <c r="I576" s="442">
        <v>0</v>
      </c>
      <c r="J576" s="466">
        <v>0</v>
      </c>
      <c r="K576" s="466">
        <v>0</v>
      </c>
      <c r="L576" s="436">
        <f t="shared" si="89"/>
        <v>0</v>
      </c>
      <c r="M576" s="498">
        <f t="shared" si="90"/>
        <v>0</v>
      </c>
    </row>
    <row r="577" spans="1:13" ht="73.400000000000006" customHeight="1" outlineLevel="4" x14ac:dyDescent="0.3">
      <c r="A577" s="393" t="s">
        <v>589</v>
      </c>
      <c r="B577" s="439" t="s">
        <v>536</v>
      </c>
      <c r="C577" s="439" t="s">
        <v>111</v>
      </c>
      <c r="D577" s="539" t="s">
        <v>590</v>
      </c>
      <c r="E577" s="539" t="s">
        <v>6</v>
      </c>
      <c r="F577" s="540">
        <v>394753.14</v>
      </c>
      <c r="G577" s="466">
        <f>G578</f>
        <v>0</v>
      </c>
      <c r="H577" s="442">
        <f>H578</f>
        <v>0</v>
      </c>
      <c r="I577" s="442">
        <v>0</v>
      </c>
      <c r="J577" s="509">
        <v>0</v>
      </c>
      <c r="K577" s="509">
        <v>0</v>
      </c>
      <c r="L577" s="436">
        <f t="shared" si="89"/>
        <v>0</v>
      </c>
      <c r="M577" s="498"/>
    </row>
    <row r="578" spans="1:13" ht="43.5" customHeight="1" outlineLevel="4" x14ac:dyDescent="0.3">
      <c r="A578" s="438" t="s">
        <v>37</v>
      </c>
      <c r="B578" s="439" t="s">
        <v>536</v>
      </c>
      <c r="C578" s="439" t="s">
        <v>111</v>
      </c>
      <c r="D578" s="539" t="s">
        <v>590</v>
      </c>
      <c r="E578" s="539" t="s">
        <v>38</v>
      </c>
      <c r="F578" s="540">
        <v>394753.14</v>
      </c>
      <c r="G578" s="466">
        <f>G579</f>
        <v>0</v>
      </c>
      <c r="H578" s="442">
        <f>H579</f>
        <v>0</v>
      </c>
      <c r="I578" s="442">
        <v>0</v>
      </c>
      <c r="J578" s="466">
        <v>0</v>
      </c>
      <c r="K578" s="466">
        <v>0</v>
      </c>
      <c r="L578" s="436">
        <f t="shared" si="89"/>
        <v>0</v>
      </c>
      <c r="M578" s="498"/>
    </row>
    <row r="579" spans="1:13" ht="30.75" customHeight="1" outlineLevel="4" x14ac:dyDescent="0.3">
      <c r="A579" s="438" t="s">
        <v>74</v>
      </c>
      <c r="B579" s="439" t="s">
        <v>536</v>
      </c>
      <c r="C579" s="439" t="s">
        <v>111</v>
      </c>
      <c r="D579" s="539" t="s">
        <v>590</v>
      </c>
      <c r="E579" s="539" t="s">
        <v>75</v>
      </c>
      <c r="F579" s="540">
        <v>394753.14</v>
      </c>
      <c r="G579" s="466">
        <v>0</v>
      </c>
      <c r="H579" s="442">
        <v>0</v>
      </c>
      <c r="I579" s="442">
        <v>0</v>
      </c>
      <c r="J579" s="466">
        <v>0</v>
      </c>
      <c r="K579" s="466">
        <v>0</v>
      </c>
      <c r="L579" s="436">
        <f t="shared" si="89"/>
        <v>0</v>
      </c>
      <c r="M579" s="498"/>
    </row>
    <row r="580" spans="1:13" ht="67.95" outlineLevel="5" x14ac:dyDescent="0.3">
      <c r="A580" s="438" t="s">
        <v>443</v>
      </c>
      <c r="B580" s="439" t="s">
        <v>536</v>
      </c>
      <c r="C580" s="439" t="s">
        <v>111</v>
      </c>
      <c r="D580" s="539" t="s">
        <v>444</v>
      </c>
      <c r="E580" s="539" t="s">
        <v>6</v>
      </c>
      <c r="F580" s="540">
        <v>12208.86</v>
      </c>
      <c r="G580" s="466">
        <f t="shared" ref="G580:K581" si="102">G581</f>
        <v>0</v>
      </c>
      <c r="H580" s="442">
        <f t="shared" si="102"/>
        <v>0</v>
      </c>
      <c r="I580" s="442">
        <f t="shared" si="102"/>
        <v>357983.4</v>
      </c>
      <c r="J580" s="466">
        <f t="shared" si="102"/>
        <v>188466.9</v>
      </c>
      <c r="K580" s="466">
        <f t="shared" si="102"/>
        <v>188466.9</v>
      </c>
      <c r="L580" s="436">
        <f t="shared" si="89"/>
        <v>0</v>
      </c>
      <c r="M580" s="498"/>
    </row>
    <row r="581" spans="1:13" ht="34" outlineLevel="6" x14ac:dyDescent="0.3">
      <c r="A581" s="438" t="s">
        <v>37</v>
      </c>
      <c r="B581" s="439" t="s">
        <v>536</v>
      </c>
      <c r="C581" s="439" t="s">
        <v>111</v>
      </c>
      <c r="D581" s="539" t="s">
        <v>444</v>
      </c>
      <c r="E581" s="539" t="s">
        <v>38</v>
      </c>
      <c r="F581" s="540">
        <v>12208.86</v>
      </c>
      <c r="G581" s="466">
        <f t="shared" si="102"/>
        <v>0</v>
      </c>
      <c r="H581" s="442">
        <f t="shared" si="102"/>
        <v>0</v>
      </c>
      <c r="I581" s="442">
        <f t="shared" si="102"/>
        <v>357983.4</v>
      </c>
      <c r="J581" s="466">
        <f t="shared" si="102"/>
        <v>188466.9</v>
      </c>
      <c r="K581" s="466">
        <f t="shared" si="102"/>
        <v>188466.9</v>
      </c>
      <c r="L581" s="436">
        <f t="shared" si="89"/>
        <v>0</v>
      </c>
      <c r="M581" s="498"/>
    </row>
    <row r="582" spans="1:13" ht="20.25" customHeight="1" outlineLevel="7" x14ac:dyDescent="0.3">
      <c r="A582" s="438" t="s">
        <v>74</v>
      </c>
      <c r="B582" s="439" t="s">
        <v>536</v>
      </c>
      <c r="C582" s="439" t="s">
        <v>111</v>
      </c>
      <c r="D582" s="539" t="s">
        <v>444</v>
      </c>
      <c r="E582" s="539" t="s">
        <v>75</v>
      </c>
      <c r="F582" s="540">
        <v>12208.86</v>
      </c>
      <c r="G582" s="466">
        <f>282103.53-282103.53</f>
        <v>0</v>
      </c>
      <c r="H582" s="442">
        <f>282103.53-282103.53</f>
        <v>0</v>
      </c>
      <c r="I582" s="442">
        <v>357983.4</v>
      </c>
      <c r="J582" s="466">
        <v>188466.9</v>
      </c>
      <c r="K582" s="466">
        <v>188466.9</v>
      </c>
      <c r="L582" s="436">
        <f t="shared" si="89"/>
        <v>0</v>
      </c>
      <c r="M582" s="498"/>
    </row>
    <row r="583" spans="1:13" ht="63.7" customHeight="1" outlineLevel="5" x14ac:dyDescent="0.3">
      <c r="A583" s="451" t="s">
        <v>591</v>
      </c>
      <c r="B583" s="439" t="s">
        <v>536</v>
      </c>
      <c r="C583" s="439" t="s">
        <v>111</v>
      </c>
      <c r="D583" s="539" t="s">
        <v>592</v>
      </c>
      <c r="E583" s="539" t="s">
        <v>6</v>
      </c>
      <c r="F583" s="539" t="s">
        <v>976</v>
      </c>
      <c r="G583" s="466">
        <f t="shared" ref="G583:H585" si="103">G584</f>
        <v>0</v>
      </c>
      <c r="H583" s="442">
        <f t="shared" si="103"/>
        <v>0</v>
      </c>
      <c r="I583" s="442">
        <v>0</v>
      </c>
      <c r="J583" s="466">
        <v>0</v>
      </c>
      <c r="K583" s="466">
        <v>0</v>
      </c>
      <c r="L583" s="436">
        <f t="shared" si="89"/>
        <v>0</v>
      </c>
      <c r="M583" s="498"/>
    </row>
    <row r="584" spans="1:13" ht="101.9" outlineLevel="5" x14ac:dyDescent="0.3">
      <c r="A584" s="450" t="s">
        <v>562</v>
      </c>
      <c r="B584" s="439" t="s">
        <v>536</v>
      </c>
      <c r="C584" s="439" t="s">
        <v>111</v>
      </c>
      <c r="D584" s="539" t="s">
        <v>675</v>
      </c>
      <c r="E584" s="539" t="s">
        <v>6</v>
      </c>
      <c r="F584" s="539" t="s">
        <v>976</v>
      </c>
      <c r="G584" s="466">
        <f t="shared" si="103"/>
        <v>0</v>
      </c>
      <c r="H584" s="442">
        <f t="shared" si="103"/>
        <v>0</v>
      </c>
      <c r="I584" s="442">
        <v>0</v>
      </c>
      <c r="J584" s="466">
        <v>0</v>
      </c>
      <c r="K584" s="466">
        <v>0</v>
      </c>
      <c r="L584" s="436">
        <f t="shared" ref="L584:L647" si="104">K584-J584</f>
        <v>0</v>
      </c>
      <c r="M584" s="498"/>
    </row>
    <row r="585" spans="1:13" ht="50.95" outlineLevel="5" x14ac:dyDescent="0.3">
      <c r="A585" s="438" t="s">
        <v>264</v>
      </c>
      <c r="B585" s="439" t="s">
        <v>536</v>
      </c>
      <c r="C585" s="439" t="s">
        <v>111</v>
      </c>
      <c r="D585" s="539" t="s">
        <v>675</v>
      </c>
      <c r="E585" s="539" t="s">
        <v>265</v>
      </c>
      <c r="F585" s="539" t="s">
        <v>976</v>
      </c>
      <c r="G585" s="466">
        <f t="shared" si="103"/>
        <v>0</v>
      </c>
      <c r="H585" s="442">
        <f t="shared" si="103"/>
        <v>0</v>
      </c>
      <c r="I585" s="442">
        <v>0</v>
      </c>
      <c r="J585" s="466">
        <v>0</v>
      </c>
      <c r="K585" s="466">
        <v>0</v>
      </c>
      <c r="L585" s="436">
        <f t="shared" si="104"/>
        <v>0</v>
      </c>
      <c r="M585" s="498"/>
    </row>
    <row r="586" spans="1:13" ht="24.8" customHeight="1" outlineLevel="5" x14ac:dyDescent="0.3">
      <c r="A586" s="438" t="s">
        <v>266</v>
      </c>
      <c r="B586" s="439" t="s">
        <v>536</v>
      </c>
      <c r="C586" s="439" t="s">
        <v>111</v>
      </c>
      <c r="D586" s="539" t="s">
        <v>675</v>
      </c>
      <c r="E586" s="539" t="s">
        <v>267</v>
      </c>
      <c r="F586" s="539" t="s">
        <v>976</v>
      </c>
      <c r="G586" s="466">
        <v>0</v>
      </c>
      <c r="H586" s="442">
        <v>0</v>
      </c>
      <c r="I586" s="442">
        <v>0</v>
      </c>
      <c r="J586" s="466">
        <v>0</v>
      </c>
      <c r="K586" s="466">
        <v>0</v>
      </c>
      <c r="L586" s="436">
        <f t="shared" si="104"/>
        <v>0</v>
      </c>
      <c r="M586" s="498"/>
    </row>
    <row r="587" spans="1:13" outlineLevel="5" x14ac:dyDescent="0.3">
      <c r="A587" s="438" t="s">
        <v>71</v>
      </c>
      <c r="B587" s="439" t="s">
        <v>536</v>
      </c>
      <c r="C587" s="439" t="s">
        <v>72</v>
      </c>
      <c r="D587" s="539" t="s">
        <v>126</v>
      </c>
      <c r="E587" s="539" t="s">
        <v>6</v>
      </c>
      <c r="F587" s="540">
        <v>367630079.58999997</v>
      </c>
      <c r="G587" s="465">
        <f t="shared" ref="G587:K588" si="105">G588</f>
        <v>448315829.87</v>
      </c>
      <c r="H587" s="440">
        <f t="shared" si="105"/>
        <v>311413061.14000005</v>
      </c>
      <c r="I587" s="440">
        <f t="shared" si="105"/>
        <v>391756723.39999998</v>
      </c>
      <c r="J587" s="465">
        <f t="shared" si="105"/>
        <v>407407265.77999997</v>
      </c>
      <c r="K587" s="465">
        <f t="shared" si="105"/>
        <v>404407265.77999997</v>
      </c>
      <c r="L587" s="436">
        <f t="shared" si="104"/>
        <v>-3000000</v>
      </c>
      <c r="M587" s="498">
        <f t="shared" ref="M587:M646" si="106">J587/G587%</f>
        <v>90.875056965563218</v>
      </c>
    </row>
    <row r="588" spans="1:13" ht="34" outlineLevel="5" x14ac:dyDescent="0.3">
      <c r="A588" s="444" t="s">
        <v>825</v>
      </c>
      <c r="B588" s="445" t="s">
        <v>536</v>
      </c>
      <c r="C588" s="445" t="s">
        <v>72</v>
      </c>
      <c r="D588" s="541" t="s">
        <v>138</v>
      </c>
      <c r="E588" s="541" t="s">
        <v>6</v>
      </c>
      <c r="F588" s="542">
        <v>367630079.58999997</v>
      </c>
      <c r="G588" s="508">
        <f t="shared" si="105"/>
        <v>448315829.87</v>
      </c>
      <c r="H588" s="446">
        <f t="shared" si="105"/>
        <v>311413061.14000005</v>
      </c>
      <c r="I588" s="446">
        <f t="shared" si="105"/>
        <v>391756723.39999998</v>
      </c>
      <c r="J588" s="508">
        <f t="shared" si="105"/>
        <v>407407265.77999997</v>
      </c>
      <c r="K588" s="508">
        <f t="shared" si="105"/>
        <v>404407265.77999997</v>
      </c>
      <c r="L588" s="436">
        <f t="shared" si="104"/>
        <v>-3000000</v>
      </c>
      <c r="M588" s="498">
        <f t="shared" si="106"/>
        <v>90.875056965563218</v>
      </c>
    </row>
    <row r="589" spans="1:13" ht="45" customHeight="1" outlineLevel="5" x14ac:dyDescent="0.3">
      <c r="A589" s="438" t="s">
        <v>831</v>
      </c>
      <c r="B589" s="439" t="s">
        <v>536</v>
      </c>
      <c r="C589" s="439" t="s">
        <v>72</v>
      </c>
      <c r="D589" s="539" t="s">
        <v>146</v>
      </c>
      <c r="E589" s="539" t="s">
        <v>6</v>
      </c>
      <c r="F589" s="542">
        <v>367630079.58999997</v>
      </c>
      <c r="G589" s="465">
        <f>G590+G606+G625+G629</f>
        <v>448315829.87</v>
      </c>
      <c r="H589" s="440">
        <f>H590+H606+H625+H629</f>
        <v>311413061.14000005</v>
      </c>
      <c r="I589" s="440">
        <f>I590+I606+I625+I629</f>
        <v>391756723.39999998</v>
      </c>
      <c r="J589" s="465">
        <f>J590+J606+J625+J629</f>
        <v>407407265.77999997</v>
      </c>
      <c r="K589" s="465">
        <f>K590+K606+K625+K629</f>
        <v>404407265.77999997</v>
      </c>
      <c r="L589" s="436">
        <f t="shared" si="104"/>
        <v>-3000000</v>
      </c>
      <c r="M589" s="498">
        <f t="shared" si="106"/>
        <v>90.875056965563218</v>
      </c>
    </row>
    <row r="590" spans="1:13" ht="45.7" customHeight="1" outlineLevel="5" x14ac:dyDescent="0.3">
      <c r="A590" s="450" t="s">
        <v>205</v>
      </c>
      <c r="B590" s="439" t="s">
        <v>536</v>
      </c>
      <c r="C590" s="439" t="s">
        <v>72</v>
      </c>
      <c r="D590" s="539" t="s">
        <v>222</v>
      </c>
      <c r="E590" s="539" t="s">
        <v>6</v>
      </c>
      <c r="F590" s="540">
        <v>351510244.41000003</v>
      </c>
      <c r="G590" s="465">
        <f>G591+G594+G597+G600+G603</f>
        <v>376463222.84000003</v>
      </c>
      <c r="H590" s="440">
        <f>H591+H594+H597+H600+H603</f>
        <v>270640249.52000004</v>
      </c>
      <c r="I590" s="440">
        <f>I591+I594+I597+I600+I603</f>
        <v>380525659.37</v>
      </c>
      <c r="J590" s="465">
        <f>J591+J594+J597+J600+J603</f>
        <v>393003907.13999999</v>
      </c>
      <c r="K590" s="465">
        <f>K591+K594+K597+K600+K603</f>
        <v>393003907.13999999</v>
      </c>
      <c r="L590" s="436">
        <f t="shared" si="104"/>
        <v>0</v>
      </c>
      <c r="M590" s="498">
        <f t="shared" si="106"/>
        <v>104.39370522709196</v>
      </c>
    </row>
    <row r="591" spans="1:13" ht="67.95" outlineLevel="5" x14ac:dyDescent="0.3">
      <c r="A591" s="397" t="s">
        <v>593</v>
      </c>
      <c r="B591" s="439" t="s">
        <v>536</v>
      </c>
      <c r="C591" s="439" t="s">
        <v>72</v>
      </c>
      <c r="D591" s="539" t="s">
        <v>594</v>
      </c>
      <c r="E591" s="539" t="s">
        <v>6</v>
      </c>
      <c r="F591" s="540">
        <v>19603028.300000001</v>
      </c>
      <c r="G591" s="465">
        <f t="shared" ref="G591:K592" si="107">G592</f>
        <v>20475000</v>
      </c>
      <c r="H591" s="440">
        <f t="shared" si="107"/>
        <v>15369721.029999999</v>
      </c>
      <c r="I591" s="440">
        <f t="shared" si="107"/>
        <v>20475000</v>
      </c>
      <c r="J591" s="513">
        <f t="shared" si="107"/>
        <v>21060000</v>
      </c>
      <c r="K591" s="513">
        <f t="shared" si="107"/>
        <v>21060000</v>
      </c>
      <c r="L591" s="436">
        <f t="shared" si="104"/>
        <v>0</v>
      </c>
      <c r="M591" s="498">
        <f t="shared" si="106"/>
        <v>102.85714285714286</v>
      </c>
    </row>
    <row r="592" spans="1:13" ht="34" outlineLevel="5" x14ac:dyDescent="0.3">
      <c r="A592" s="438" t="s">
        <v>37</v>
      </c>
      <c r="B592" s="439" t="s">
        <v>536</v>
      </c>
      <c r="C592" s="439" t="s">
        <v>72</v>
      </c>
      <c r="D592" s="539" t="s">
        <v>594</v>
      </c>
      <c r="E592" s="539" t="s">
        <v>38</v>
      </c>
      <c r="F592" s="540">
        <v>19603028.300000001</v>
      </c>
      <c r="G592" s="465">
        <f t="shared" si="107"/>
        <v>20475000</v>
      </c>
      <c r="H592" s="440">
        <f t="shared" si="107"/>
        <v>15369721.029999999</v>
      </c>
      <c r="I592" s="440">
        <f t="shared" si="107"/>
        <v>20475000</v>
      </c>
      <c r="J592" s="465">
        <f t="shared" si="107"/>
        <v>21060000</v>
      </c>
      <c r="K592" s="465">
        <f t="shared" si="107"/>
        <v>21060000</v>
      </c>
      <c r="L592" s="436">
        <f t="shared" si="104"/>
        <v>0</v>
      </c>
      <c r="M592" s="498">
        <f t="shared" si="106"/>
        <v>102.85714285714286</v>
      </c>
    </row>
    <row r="593" spans="1:13" outlineLevel="5" x14ac:dyDescent="0.3">
      <c r="A593" s="438" t="s">
        <v>74</v>
      </c>
      <c r="B593" s="439" t="s">
        <v>536</v>
      </c>
      <c r="C593" s="439" t="s">
        <v>72</v>
      </c>
      <c r="D593" s="539" t="s">
        <v>594</v>
      </c>
      <c r="E593" s="539" t="s">
        <v>75</v>
      </c>
      <c r="F593" s="540">
        <v>19603028.300000001</v>
      </c>
      <c r="G593" s="465">
        <v>20475000</v>
      </c>
      <c r="H593" s="441">
        <v>15369721.029999999</v>
      </c>
      <c r="I593" s="440">
        <v>20475000</v>
      </c>
      <c r="J593" s="517">
        <v>21060000</v>
      </c>
      <c r="K593" s="517">
        <v>21060000</v>
      </c>
      <c r="L593" s="436">
        <f t="shared" si="104"/>
        <v>0</v>
      </c>
      <c r="M593" s="498">
        <f t="shared" si="106"/>
        <v>102.85714285714286</v>
      </c>
    </row>
    <row r="594" spans="1:13" ht="50.95" outlineLevel="5" x14ac:dyDescent="0.3">
      <c r="A594" s="438" t="s">
        <v>114</v>
      </c>
      <c r="B594" s="439" t="s">
        <v>536</v>
      </c>
      <c r="C594" s="439" t="s">
        <v>72</v>
      </c>
      <c r="D594" s="539" t="s">
        <v>147</v>
      </c>
      <c r="E594" s="539" t="s">
        <v>6</v>
      </c>
      <c r="F594" s="540">
        <v>90019549.159999996</v>
      </c>
      <c r="G594" s="465">
        <f t="shared" ref="G594:K595" si="108">G595</f>
        <v>98033803.840000004</v>
      </c>
      <c r="H594" s="440">
        <f t="shared" si="108"/>
        <v>68707267.829999998</v>
      </c>
      <c r="I594" s="440">
        <f t="shared" si="108"/>
        <v>95919169.370000005</v>
      </c>
      <c r="J594" s="465">
        <f t="shared" si="108"/>
        <v>102159299.14</v>
      </c>
      <c r="K594" s="465">
        <f t="shared" si="108"/>
        <v>102159299.14</v>
      </c>
      <c r="L594" s="436">
        <f t="shared" si="104"/>
        <v>0</v>
      </c>
      <c r="M594" s="498">
        <f t="shared" si="106"/>
        <v>104.20823750421148</v>
      </c>
    </row>
    <row r="595" spans="1:13" ht="34" outlineLevel="5" x14ac:dyDescent="0.3">
      <c r="A595" s="438" t="s">
        <v>37</v>
      </c>
      <c r="B595" s="439" t="s">
        <v>536</v>
      </c>
      <c r="C595" s="439" t="s">
        <v>72</v>
      </c>
      <c r="D595" s="539" t="s">
        <v>147</v>
      </c>
      <c r="E595" s="539" t="s">
        <v>38</v>
      </c>
      <c r="F595" s="540">
        <v>90019549.159999996</v>
      </c>
      <c r="G595" s="465">
        <f t="shared" si="108"/>
        <v>98033803.840000004</v>
      </c>
      <c r="H595" s="440">
        <f t="shared" si="108"/>
        <v>68707267.829999998</v>
      </c>
      <c r="I595" s="440">
        <f t="shared" si="108"/>
        <v>95919169.370000005</v>
      </c>
      <c r="J595" s="465">
        <f t="shared" si="108"/>
        <v>102159299.14</v>
      </c>
      <c r="K595" s="465">
        <f t="shared" si="108"/>
        <v>102159299.14</v>
      </c>
      <c r="L595" s="436">
        <f t="shared" si="104"/>
        <v>0</v>
      </c>
      <c r="M595" s="498">
        <f t="shared" si="106"/>
        <v>104.20823750421148</v>
      </c>
    </row>
    <row r="596" spans="1:13" outlineLevel="5" x14ac:dyDescent="0.3">
      <c r="A596" s="438" t="s">
        <v>74</v>
      </c>
      <c r="B596" s="439" t="s">
        <v>536</v>
      </c>
      <c r="C596" s="439" t="s">
        <v>72</v>
      </c>
      <c r="D596" s="539" t="s">
        <v>147</v>
      </c>
      <c r="E596" s="539" t="s">
        <v>75</v>
      </c>
      <c r="F596" s="540">
        <v>90019549.159999996</v>
      </c>
      <c r="G596" s="466">
        <f>[2]потребность!I543-4490000+1689516+590000+85160-50000+1454727+1150987.84</f>
        <v>98033803.840000004</v>
      </c>
      <c r="H596" s="443">
        <v>68707267.829999998</v>
      </c>
      <c r="I596" s="442">
        <v>95919169.370000005</v>
      </c>
      <c r="J596" s="466">
        <f>102159299.14+1100000+95625.42-1100000-95625.42</f>
        <v>102159299.14</v>
      </c>
      <c r="K596" s="466">
        <f>102159299.14+1100000+95625.42-1100000-95625.42</f>
        <v>102159299.14</v>
      </c>
      <c r="L596" s="436">
        <f t="shared" si="104"/>
        <v>0</v>
      </c>
      <c r="M596" s="498">
        <f t="shared" si="106"/>
        <v>104.20823750421148</v>
      </c>
    </row>
    <row r="597" spans="1:13" ht="135.85" outlineLevel="5" x14ac:dyDescent="0.3">
      <c r="A597" s="450" t="s">
        <v>400</v>
      </c>
      <c r="B597" s="439" t="s">
        <v>536</v>
      </c>
      <c r="C597" s="439" t="s">
        <v>72</v>
      </c>
      <c r="D597" s="539" t="s">
        <v>148</v>
      </c>
      <c r="E597" s="539" t="s">
        <v>6</v>
      </c>
      <c r="F597" s="540">
        <v>232256540</v>
      </c>
      <c r="G597" s="465">
        <f t="shared" ref="G597:K598" si="109">G598</f>
        <v>247077819</v>
      </c>
      <c r="H597" s="440">
        <f t="shared" si="109"/>
        <v>179186292</v>
      </c>
      <c r="I597" s="440">
        <f t="shared" si="109"/>
        <v>253254890</v>
      </c>
      <c r="J597" s="513">
        <f t="shared" si="109"/>
        <v>256548408</v>
      </c>
      <c r="K597" s="513">
        <f t="shared" si="109"/>
        <v>256548408</v>
      </c>
      <c r="L597" s="436">
        <f t="shared" si="104"/>
        <v>0</v>
      </c>
      <c r="M597" s="498">
        <f t="shared" si="106"/>
        <v>103.83303893418292</v>
      </c>
    </row>
    <row r="598" spans="1:13" ht="34" outlineLevel="5" x14ac:dyDescent="0.3">
      <c r="A598" s="438" t="s">
        <v>37</v>
      </c>
      <c r="B598" s="439" t="s">
        <v>536</v>
      </c>
      <c r="C598" s="439" t="s">
        <v>72</v>
      </c>
      <c r="D598" s="539" t="s">
        <v>148</v>
      </c>
      <c r="E598" s="539" t="s">
        <v>38</v>
      </c>
      <c r="F598" s="540">
        <v>232256540</v>
      </c>
      <c r="G598" s="465">
        <f t="shared" si="109"/>
        <v>247077819</v>
      </c>
      <c r="H598" s="440">
        <f t="shared" si="109"/>
        <v>179186292</v>
      </c>
      <c r="I598" s="440">
        <f t="shared" si="109"/>
        <v>253254890</v>
      </c>
      <c r="J598" s="465">
        <f t="shared" si="109"/>
        <v>256548408</v>
      </c>
      <c r="K598" s="465">
        <f t="shared" si="109"/>
        <v>256548408</v>
      </c>
      <c r="L598" s="436">
        <f t="shared" si="104"/>
        <v>0</v>
      </c>
      <c r="M598" s="498">
        <f t="shared" si="106"/>
        <v>103.83303893418292</v>
      </c>
    </row>
    <row r="599" spans="1:13" outlineLevel="5" x14ac:dyDescent="0.3">
      <c r="A599" s="438" t="s">
        <v>74</v>
      </c>
      <c r="B599" s="439" t="s">
        <v>536</v>
      </c>
      <c r="C599" s="439" t="s">
        <v>72</v>
      </c>
      <c r="D599" s="539" t="s">
        <v>148</v>
      </c>
      <c r="E599" s="539" t="s">
        <v>75</v>
      </c>
      <c r="F599" s="540">
        <v>232256540</v>
      </c>
      <c r="G599" s="466">
        <f>238943015.2+8134803.8</f>
        <v>247077819</v>
      </c>
      <c r="H599" s="443">
        <v>179186292</v>
      </c>
      <c r="I599" s="442">
        <v>253254890</v>
      </c>
      <c r="J599" s="510">
        <v>256548408</v>
      </c>
      <c r="K599" s="510">
        <v>256548408</v>
      </c>
      <c r="L599" s="436">
        <f t="shared" si="104"/>
        <v>0</v>
      </c>
      <c r="M599" s="498">
        <f t="shared" si="106"/>
        <v>103.83303893418292</v>
      </c>
    </row>
    <row r="600" spans="1:13" ht="135.85" outlineLevel="5" x14ac:dyDescent="0.3">
      <c r="A600" s="397" t="s">
        <v>470</v>
      </c>
      <c r="B600" s="439" t="s">
        <v>536</v>
      </c>
      <c r="C600" s="439" t="s">
        <v>72</v>
      </c>
      <c r="D600" s="539" t="s">
        <v>471</v>
      </c>
      <c r="E600" s="539" t="s">
        <v>6</v>
      </c>
      <c r="F600" s="540">
        <v>9631126.9499999993</v>
      </c>
      <c r="G600" s="466">
        <f>G601</f>
        <v>0</v>
      </c>
      <c r="H600" s="442">
        <f>H601</f>
        <v>0</v>
      </c>
      <c r="I600" s="442"/>
      <c r="J600" s="466">
        <v>0</v>
      </c>
      <c r="K600" s="466">
        <v>0</v>
      </c>
      <c r="L600" s="436">
        <f t="shared" si="104"/>
        <v>0</v>
      </c>
      <c r="M600" s="498"/>
    </row>
    <row r="601" spans="1:13" ht="34" outlineLevel="5" x14ac:dyDescent="0.3">
      <c r="A601" s="438" t="s">
        <v>37</v>
      </c>
      <c r="B601" s="439" t="s">
        <v>536</v>
      </c>
      <c r="C601" s="439" t="s">
        <v>72</v>
      </c>
      <c r="D601" s="539" t="s">
        <v>471</v>
      </c>
      <c r="E601" s="539" t="s">
        <v>38</v>
      </c>
      <c r="F601" s="540">
        <v>9631126.9499999993</v>
      </c>
      <c r="G601" s="466">
        <v>0</v>
      </c>
      <c r="H601" s="442">
        <v>0</v>
      </c>
      <c r="I601" s="442"/>
      <c r="J601" s="466">
        <v>0</v>
      </c>
      <c r="K601" s="466">
        <v>0</v>
      </c>
      <c r="L601" s="436">
        <f t="shared" si="104"/>
        <v>0</v>
      </c>
      <c r="M601" s="498"/>
    </row>
    <row r="602" spans="1:13" outlineLevel="5" x14ac:dyDescent="0.3">
      <c r="A602" s="438" t="s">
        <v>74</v>
      </c>
      <c r="B602" s="439" t="s">
        <v>536</v>
      </c>
      <c r="C602" s="439" t="s">
        <v>72</v>
      </c>
      <c r="D602" s="539" t="s">
        <v>471</v>
      </c>
      <c r="E602" s="539" t="s">
        <v>75</v>
      </c>
      <c r="F602" s="540">
        <v>9631126.9499999993</v>
      </c>
      <c r="G602" s="466">
        <v>0</v>
      </c>
      <c r="H602" s="442">
        <v>0</v>
      </c>
      <c r="I602" s="442"/>
      <c r="J602" s="466">
        <v>0</v>
      </c>
      <c r="K602" s="466">
        <v>0</v>
      </c>
      <c r="L602" s="436">
        <f t="shared" si="104"/>
        <v>0</v>
      </c>
      <c r="M602" s="498"/>
    </row>
    <row r="603" spans="1:13" ht="135.85" outlineLevel="5" x14ac:dyDescent="0.3">
      <c r="A603" s="397" t="s">
        <v>470</v>
      </c>
      <c r="B603" s="439" t="s">
        <v>536</v>
      </c>
      <c r="C603" s="439" t="s">
        <v>72</v>
      </c>
      <c r="D603" s="539" t="s">
        <v>922</v>
      </c>
      <c r="E603" s="539" t="s">
        <v>6</v>
      </c>
      <c r="F603" s="539"/>
      <c r="G603" s="466">
        <f t="shared" ref="G603:K604" si="110">G604</f>
        <v>10876600</v>
      </c>
      <c r="H603" s="442">
        <f t="shared" si="110"/>
        <v>7376968.6600000001</v>
      </c>
      <c r="I603" s="442">
        <f t="shared" si="110"/>
        <v>10876600</v>
      </c>
      <c r="J603" s="509">
        <f t="shared" si="110"/>
        <v>13236200</v>
      </c>
      <c r="K603" s="509">
        <f t="shared" si="110"/>
        <v>13236200</v>
      </c>
      <c r="L603" s="436">
        <f t="shared" si="104"/>
        <v>0</v>
      </c>
      <c r="M603" s="498">
        <f t="shared" si="106"/>
        <v>121.69427946233198</v>
      </c>
    </row>
    <row r="604" spans="1:13" ht="34" outlineLevel="5" x14ac:dyDescent="0.3">
      <c r="A604" s="438" t="s">
        <v>37</v>
      </c>
      <c r="B604" s="439" t="s">
        <v>536</v>
      </c>
      <c r="C604" s="439" t="s">
        <v>72</v>
      </c>
      <c r="D604" s="539" t="s">
        <v>922</v>
      </c>
      <c r="E604" s="539" t="s">
        <v>38</v>
      </c>
      <c r="F604" s="539"/>
      <c r="G604" s="466">
        <f t="shared" si="110"/>
        <v>10876600</v>
      </c>
      <c r="H604" s="442">
        <f t="shared" si="110"/>
        <v>7376968.6600000001</v>
      </c>
      <c r="I604" s="442">
        <f t="shared" si="110"/>
        <v>10876600</v>
      </c>
      <c r="J604" s="466">
        <f t="shared" si="110"/>
        <v>13236200</v>
      </c>
      <c r="K604" s="466">
        <f t="shared" si="110"/>
        <v>13236200</v>
      </c>
      <c r="L604" s="436">
        <f t="shared" si="104"/>
        <v>0</v>
      </c>
      <c r="M604" s="498">
        <f t="shared" si="106"/>
        <v>121.69427946233198</v>
      </c>
    </row>
    <row r="605" spans="1:13" outlineLevel="5" x14ac:dyDescent="0.3">
      <c r="A605" s="438" t="s">
        <v>74</v>
      </c>
      <c r="B605" s="439" t="s">
        <v>536</v>
      </c>
      <c r="C605" s="439" t="s">
        <v>72</v>
      </c>
      <c r="D605" s="539" t="s">
        <v>922</v>
      </c>
      <c r="E605" s="539" t="s">
        <v>75</v>
      </c>
      <c r="F605" s="539"/>
      <c r="G605" s="466">
        <v>10876600</v>
      </c>
      <c r="H605" s="443">
        <v>7376968.6600000001</v>
      </c>
      <c r="I605" s="442">
        <v>10876600</v>
      </c>
      <c r="J605" s="510">
        <v>13236200</v>
      </c>
      <c r="K605" s="510">
        <v>13236200</v>
      </c>
      <c r="L605" s="436">
        <f t="shared" si="104"/>
        <v>0</v>
      </c>
      <c r="M605" s="498">
        <f t="shared" si="106"/>
        <v>121.69427946233198</v>
      </c>
    </row>
    <row r="606" spans="1:13" ht="34" outlineLevel="5" x14ac:dyDescent="0.3">
      <c r="A606" s="450" t="s">
        <v>206</v>
      </c>
      <c r="B606" s="439" t="s">
        <v>536</v>
      </c>
      <c r="C606" s="439" t="s">
        <v>72</v>
      </c>
      <c r="D606" s="539" t="s">
        <v>220</v>
      </c>
      <c r="E606" s="539" t="s">
        <v>6</v>
      </c>
      <c r="F606" s="540">
        <v>8008436.3600000003</v>
      </c>
      <c r="G606" s="466">
        <f>G619+G607+G610+G616+G613+G622+G633</f>
        <v>65735157.030000001</v>
      </c>
      <c r="H606" s="442">
        <f>H619+H607+H610+H616+H613+H622+H633</f>
        <v>36949732.850000001</v>
      </c>
      <c r="I606" s="442">
        <f>I619+I607+I610+I616+I613+I622+I633</f>
        <v>2356579.52</v>
      </c>
      <c r="J606" s="466">
        <f>J619+J607+J610+J616+J613+J622+J633</f>
        <v>4214979.5199999996</v>
      </c>
      <c r="K606" s="466">
        <f>K619+K607+K610+K616+K613+K622+K633</f>
        <v>1214979.52</v>
      </c>
      <c r="L606" s="436">
        <f t="shared" si="104"/>
        <v>-2999999.9999999995</v>
      </c>
      <c r="M606" s="498">
        <f t="shared" si="106"/>
        <v>6.4120627536895984</v>
      </c>
    </row>
    <row r="607" spans="1:13" ht="34" outlineLevel="5" x14ac:dyDescent="0.3">
      <c r="A607" s="438" t="s">
        <v>268</v>
      </c>
      <c r="B607" s="439" t="s">
        <v>536</v>
      </c>
      <c r="C607" s="439" t="s">
        <v>72</v>
      </c>
      <c r="D607" s="539" t="s">
        <v>269</v>
      </c>
      <c r="E607" s="539" t="s">
        <v>6</v>
      </c>
      <c r="F607" s="540">
        <v>147686.07</v>
      </c>
      <c r="G607" s="466">
        <f t="shared" ref="G607:K608" si="111">G608</f>
        <v>212800</v>
      </c>
      <c r="H607" s="442">
        <f t="shared" si="111"/>
        <v>124850.48</v>
      </c>
      <c r="I607" s="442">
        <f t="shared" si="111"/>
        <v>212800</v>
      </c>
      <c r="J607" s="466">
        <f t="shared" si="111"/>
        <v>221200</v>
      </c>
      <c r="K607" s="466">
        <f t="shared" si="111"/>
        <v>221200</v>
      </c>
      <c r="L607" s="436">
        <f t="shared" si="104"/>
        <v>0</v>
      </c>
      <c r="M607" s="498">
        <f t="shared" si="106"/>
        <v>103.94736842105263</v>
      </c>
    </row>
    <row r="608" spans="1:13" ht="34" outlineLevel="5" x14ac:dyDescent="0.3">
      <c r="A608" s="438" t="s">
        <v>37</v>
      </c>
      <c r="B608" s="439" t="s">
        <v>536</v>
      </c>
      <c r="C608" s="439" t="s">
        <v>72</v>
      </c>
      <c r="D608" s="539" t="s">
        <v>269</v>
      </c>
      <c r="E608" s="539" t="s">
        <v>38</v>
      </c>
      <c r="F608" s="540">
        <v>147686.07</v>
      </c>
      <c r="G608" s="466">
        <f t="shared" si="111"/>
        <v>212800</v>
      </c>
      <c r="H608" s="442">
        <f t="shared" si="111"/>
        <v>124850.48</v>
      </c>
      <c r="I608" s="442">
        <f t="shared" si="111"/>
        <v>212800</v>
      </c>
      <c r="J608" s="466">
        <f t="shared" si="111"/>
        <v>221200</v>
      </c>
      <c r="K608" s="466">
        <f t="shared" si="111"/>
        <v>221200</v>
      </c>
      <c r="L608" s="436">
        <f t="shared" si="104"/>
        <v>0</v>
      </c>
      <c r="M608" s="498">
        <f t="shared" si="106"/>
        <v>103.94736842105263</v>
      </c>
    </row>
    <row r="609" spans="1:13" outlineLevel="5" x14ac:dyDescent="0.3">
      <c r="A609" s="438" t="s">
        <v>74</v>
      </c>
      <c r="B609" s="439" t="s">
        <v>536</v>
      </c>
      <c r="C609" s="439" t="s">
        <v>72</v>
      </c>
      <c r="D609" s="539" t="s">
        <v>269</v>
      </c>
      <c r="E609" s="539" t="s">
        <v>75</v>
      </c>
      <c r="F609" s="540">
        <v>147686.07</v>
      </c>
      <c r="G609" s="466">
        <v>212800</v>
      </c>
      <c r="H609" s="443">
        <v>124850.48</v>
      </c>
      <c r="I609" s="442">
        <v>212800</v>
      </c>
      <c r="J609" s="466">
        <v>221200</v>
      </c>
      <c r="K609" s="466">
        <v>221200</v>
      </c>
      <c r="L609" s="436">
        <f t="shared" si="104"/>
        <v>0</v>
      </c>
      <c r="M609" s="498">
        <f t="shared" si="106"/>
        <v>103.94736842105263</v>
      </c>
    </row>
    <row r="610" spans="1:13" outlineLevel="5" x14ac:dyDescent="0.3">
      <c r="A610" s="450" t="s">
        <v>311</v>
      </c>
      <c r="B610" s="439" t="s">
        <v>536</v>
      </c>
      <c r="C610" s="439" t="s">
        <v>72</v>
      </c>
      <c r="D610" s="539" t="s">
        <v>312</v>
      </c>
      <c r="E610" s="539" t="s">
        <v>6</v>
      </c>
      <c r="F610" s="540">
        <v>631535</v>
      </c>
      <c r="G610" s="466">
        <f t="shared" ref="G610:K611" si="112">G611</f>
        <v>881000</v>
      </c>
      <c r="H610" s="442">
        <f t="shared" si="112"/>
        <v>874250</v>
      </c>
      <c r="I610" s="442">
        <f t="shared" si="112"/>
        <v>350000</v>
      </c>
      <c r="J610" s="466">
        <f t="shared" si="112"/>
        <v>3000000</v>
      </c>
      <c r="K610" s="466">
        <f t="shared" si="112"/>
        <v>0</v>
      </c>
      <c r="L610" s="436">
        <f t="shared" si="104"/>
        <v>-3000000</v>
      </c>
      <c r="M610" s="498">
        <f t="shared" si="106"/>
        <v>340.52213393870602</v>
      </c>
    </row>
    <row r="611" spans="1:13" ht="34" outlineLevel="5" x14ac:dyDescent="0.3">
      <c r="A611" s="438" t="s">
        <v>37</v>
      </c>
      <c r="B611" s="439" t="s">
        <v>536</v>
      </c>
      <c r="C611" s="439" t="s">
        <v>72</v>
      </c>
      <c r="D611" s="539" t="s">
        <v>312</v>
      </c>
      <c r="E611" s="539" t="s">
        <v>38</v>
      </c>
      <c r="F611" s="540">
        <v>631535</v>
      </c>
      <c r="G611" s="466">
        <f t="shared" si="112"/>
        <v>881000</v>
      </c>
      <c r="H611" s="442">
        <f t="shared" si="112"/>
        <v>874250</v>
      </c>
      <c r="I611" s="442">
        <f t="shared" si="112"/>
        <v>350000</v>
      </c>
      <c r="J611" s="466">
        <f t="shared" si="112"/>
        <v>3000000</v>
      </c>
      <c r="K611" s="466">
        <f t="shared" si="112"/>
        <v>0</v>
      </c>
      <c r="L611" s="436">
        <f t="shared" si="104"/>
        <v>-3000000</v>
      </c>
      <c r="M611" s="498">
        <f t="shared" si="106"/>
        <v>340.52213393870602</v>
      </c>
    </row>
    <row r="612" spans="1:13" outlineLevel="5" x14ac:dyDescent="0.3">
      <c r="A612" s="438" t="s">
        <v>74</v>
      </c>
      <c r="B612" s="439" t="s">
        <v>536</v>
      </c>
      <c r="C612" s="439" t="s">
        <v>72</v>
      </c>
      <c r="D612" s="539" t="s">
        <v>312</v>
      </c>
      <c r="E612" s="539" t="s">
        <v>75</v>
      </c>
      <c r="F612" s="540">
        <v>631535</v>
      </c>
      <c r="G612" s="466">
        <f>350000+350500+180500</f>
        <v>881000</v>
      </c>
      <c r="H612" s="443">
        <v>874250</v>
      </c>
      <c r="I612" s="442">
        <v>350000</v>
      </c>
      <c r="J612" s="466">
        <v>3000000</v>
      </c>
      <c r="K612" s="512">
        <f>3000000-3000000</f>
        <v>0</v>
      </c>
      <c r="L612" s="436">
        <f t="shared" si="104"/>
        <v>-3000000</v>
      </c>
      <c r="M612" s="498">
        <f t="shared" si="106"/>
        <v>340.52213393870602</v>
      </c>
    </row>
    <row r="613" spans="1:13" ht="39.75" customHeight="1" outlineLevel="5" x14ac:dyDescent="0.3">
      <c r="A613" s="450" t="s">
        <v>458</v>
      </c>
      <c r="B613" s="439" t="s">
        <v>536</v>
      </c>
      <c r="C613" s="439" t="s">
        <v>72</v>
      </c>
      <c r="D613" s="539" t="s">
        <v>720</v>
      </c>
      <c r="E613" s="539" t="s">
        <v>6</v>
      </c>
      <c r="F613" s="540">
        <v>1876201</v>
      </c>
      <c r="G613" s="466">
        <f t="shared" ref="G613:K614" si="113">G614</f>
        <v>193200</v>
      </c>
      <c r="H613" s="442">
        <f t="shared" si="113"/>
        <v>193200</v>
      </c>
      <c r="I613" s="442">
        <f t="shared" si="113"/>
        <v>800000</v>
      </c>
      <c r="J613" s="466">
        <f t="shared" si="113"/>
        <v>0</v>
      </c>
      <c r="K613" s="466">
        <f t="shared" si="113"/>
        <v>0</v>
      </c>
      <c r="L613" s="436">
        <f t="shared" si="104"/>
        <v>0</v>
      </c>
      <c r="M613" s="498">
        <f t="shared" si="106"/>
        <v>0</v>
      </c>
    </row>
    <row r="614" spans="1:13" ht="34" outlineLevel="5" x14ac:dyDescent="0.3">
      <c r="A614" s="438" t="s">
        <v>37</v>
      </c>
      <c r="B614" s="439" t="s">
        <v>536</v>
      </c>
      <c r="C614" s="439" t="s">
        <v>72</v>
      </c>
      <c r="D614" s="539" t="s">
        <v>720</v>
      </c>
      <c r="E614" s="539" t="s">
        <v>38</v>
      </c>
      <c r="F614" s="540">
        <v>1876201</v>
      </c>
      <c r="G614" s="466">
        <f t="shared" si="113"/>
        <v>193200</v>
      </c>
      <c r="H614" s="442">
        <f t="shared" si="113"/>
        <v>193200</v>
      </c>
      <c r="I614" s="442">
        <f t="shared" si="113"/>
        <v>800000</v>
      </c>
      <c r="J614" s="466">
        <f t="shared" si="113"/>
        <v>0</v>
      </c>
      <c r="K614" s="466">
        <f t="shared" si="113"/>
        <v>0</v>
      </c>
      <c r="L614" s="436">
        <f t="shared" si="104"/>
        <v>0</v>
      </c>
      <c r="M614" s="498">
        <f t="shared" si="106"/>
        <v>0</v>
      </c>
    </row>
    <row r="615" spans="1:13" outlineLevel="5" x14ac:dyDescent="0.3">
      <c r="A615" s="438" t="s">
        <v>74</v>
      </c>
      <c r="B615" s="439" t="s">
        <v>536</v>
      </c>
      <c r="C615" s="439" t="s">
        <v>72</v>
      </c>
      <c r="D615" s="539" t="s">
        <v>720</v>
      </c>
      <c r="E615" s="539" t="s">
        <v>75</v>
      </c>
      <c r="F615" s="540">
        <v>1876201</v>
      </c>
      <c r="G615" s="466">
        <f>[2]потребность!I559+5490000-5000000-590000+193200</f>
        <v>193200</v>
      </c>
      <c r="H615" s="443">
        <v>193200</v>
      </c>
      <c r="I615" s="442">
        <v>800000</v>
      </c>
      <c r="J615" s="466">
        <v>0</v>
      </c>
      <c r="K615" s="466">
        <v>0</v>
      </c>
      <c r="L615" s="436">
        <f t="shared" si="104"/>
        <v>0</v>
      </c>
      <c r="M615" s="498">
        <f t="shared" si="106"/>
        <v>0</v>
      </c>
    </row>
    <row r="616" spans="1:13" ht="67.95" outlineLevel="5" x14ac:dyDescent="0.3">
      <c r="A616" s="397" t="s">
        <v>595</v>
      </c>
      <c r="B616" s="439" t="s">
        <v>536</v>
      </c>
      <c r="C616" s="439" t="s">
        <v>72</v>
      </c>
      <c r="D616" s="539" t="s">
        <v>596</v>
      </c>
      <c r="E616" s="539" t="s">
        <v>6</v>
      </c>
      <c r="F616" s="540">
        <v>5192423.8600000003</v>
      </c>
      <c r="G616" s="466">
        <f t="shared" ref="G616:K617" si="114">G617</f>
        <v>19325166.399999999</v>
      </c>
      <c r="H616" s="442">
        <f t="shared" si="114"/>
        <v>12158531.359999999</v>
      </c>
      <c r="I616" s="442">
        <f t="shared" si="114"/>
        <v>0</v>
      </c>
      <c r="J616" s="509">
        <f t="shared" si="114"/>
        <v>0</v>
      </c>
      <c r="K616" s="509">
        <f t="shared" si="114"/>
        <v>0</v>
      </c>
      <c r="L616" s="436">
        <f t="shared" si="104"/>
        <v>0</v>
      </c>
      <c r="M616" s="498">
        <f t="shared" si="106"/>
        <v>0</v>
      </c>
    </row>
    <row r="617" spans="1:13" s="449" customFormat="1" ht="34" outlineLevel="5" x14ac:dyDescent="0.3">
      <c r="A617" s="438" t="s">
        <v>37</v>
      </c>
      <c r="B617" s="439" t="s">
        <v>536</v>
      </c>
      <c r="C617" s="439" t="s">
        <v>72</v>
      </c>
      <c r="D617" s="539" t="s">
        <v>596</v>
      </c>
      <c r="E617" s="539" t="s">
        <v>38</v>
      </c>
      <c r="F617" s="540">
        <v>5192423.8600000003</v>
      </c>
      <c r="G617" s="466">
        <f t="shared" si="114"/>
        <v>19325166.399999999</v>
      </c>
      <c r="H617" s="442">
        <f t="shared" si="114"/>
        <v>12158531.359999999</v>
      </c>
      <c r="I617" s="442">
        <f t="shared" si="114"/>
        <v>0</v>
      </c>
      <c r="J617" s="466">
        <f t="shared" si="114"/>
        <v>0</v>
      </c>
      <c r="K617" s="466">
        <f t="shared" si="114"/>
        <v>0</v>
      </c>
      <c r="L617" s="436">
        <f t="shared" si="104"/>
        <v>0</v>
      </c>
      <c r="M617" s="498">
        <f t="shared" si="106"/>
        <v>0</v>
      </c>
    </row>
    <row r="618" spans="1:13" ht="23.3" customHeight="1" outlineLevel="4" x14ac:dyDescent="0.3">
      <c r="A618" s="438" t="s">
        <v>74</v>
      </c>
      <c r="B618" s="439" t="s">
        <v>536</v>
      </c>
      <c r="C618" s="439" t="s">
        <v>72</v>
      </c>
      <c r="D618" s="539" t="s">
        <v>596</v>
      </c>
      <c r="E618" s="539" t="s">
        <v>75</v>
      </c>
      <c r="F618" s="540">
        <v>5192423.8600000003</v>
      </c>
      <c r="G618" s="466">
        <f>36003230.04-16678063.64</f>
        <v>19325166.399999999</v>
      </c>
      <c r="H618" s="443">
        <v>12158531.359999999</v>
      </c>
      <c r="I618" s="442">
        <v>0</v>
      </c>
      <c r="J618" s="466">
        <v>0</v>
      </c>
      <c r="K618" s="466">
        <v>0</v>
      </c>
      <c r="L618" s="436">
        <f t="shared" si="104"/>
        <v>0</v>
      </c>
      <c r="M618" s="498">
        <f t="shared" si="106"/>
        <v>0</v>
      </c>
    </row>
    <row r="619" spans="1:13" ht="34" outlineLevel="4" x14ac:dyDescent="0.3">
      <c r="A619" s="438" t="s">
        <v>445</v>
      </c>
      <c r="B619" s="439" t="s">
        <v>536</v>
      </c>
      <c r="C619" s="439" t="s">
        <v>72</v>
      </c>
      <c r="D619" s="539" t="s">
        <v>446</v>
      </c>
      <c r="E619" s="539" t="s">
        <v>6</v>
      </c>
      <c r="F619" s="540">
        <v>160590.43</v>
      </c>
      <c r="G619" s="466">
        <f t="shared" ref="G619:K620" si="115">G620</f>
        <v>597685.56000000006</v>
      </c>
      <c r="H619" s="442">
        <f t="shared" si="115"/>
        <v>364162.07</v>
      </c>
      <c r="I619" s="442">
        <f t="shared" si="115"/>
        <v>993779.52</v>
      </c>
      <c r="J619" s="466">
        <f t="shared" si="115"/>
        <v>993779.52</v>
      </c>
      <c r="K619" s="466">
        <f t="shared" si="115"/>
        <v>993779.52</v>
      </c>
      <c r="L619" s="436">
        <f t="shared" si="104"/>
        <v>0</v>
      </c>
      <c r="M619" s="498">
        <f t="shared" si="106"/>
        <v>166.27129489291994</v>
      </c>
    </row>
    <row r="620" spans="1:13" ht="34" outlineLevel="5" x14ac:dyDescent="0.3">
      <c r="A620" s="438" t="s">
        <v>37</v>
      </c>
      <c r="B620" s="439" t="s">
        <v>536</v>
      </c>
      <c r="C620" s="439" t="s">
        <v>72</v>
      </c>
      <c r="D620" s="539" t="s">
        <v>446</v>
      </c>
      <c r="E620" s="539" t="s">
        <v>38</v>
      </c>
      <c r="F620" s="540">
        <v>160590.43</v>
      </c>
      <c r="G620" s="466">
        <f t="shared" si="115"/>
        <v>597685.56000000006</v>
      </c>
      <c r="H620" s="442">
        <f t="shared" si="115"/>
        <v>364162.07</v>
      </c>
      <c r="I620" s="442">
        <f t="shared" si="115"/>
        <v>993779.52</v>
      </c>
      <c r="J620" s="466">
        <f t="shared" si="115"/>
        <v>993779.52</v>
      </c>
      <c r="K620" s="466">
        <f t="shared" si="115"/>
        <v>993779.52</v>
      </c>
      <c r="L620" s="436">
        <f t="shared" si="104"/>
        <v>0</v>
      </c>
      <c r="M620" s="498">
        <f t="shared" si="106"/>
        <v>166.27129489291994</v>
      </c>
    </row>
    <row r="621" spans="1:13" outlineLevel="6" x14ac:dyDescent="0.3">
      <c r="A621" s="438" t="s">
        <v>74</v>
      </c>
      <c r="B621" s="439" t="s">
        <v>536</v>
      </c>
      <c r="C621" s="439" t="s">
        <v>72</v>
      </c>
      <c r="D621" s="539" t="s">
        <v>446</v>
      </c>
      <c r="E621" s="539" t="s">
        <v>75</v>
      </c>
      <c r="F621" s="540">
        <v>160590.43</v>
      </c>
      <c r="G621" s="466">
        <f>1730960-617458+50000-565816.44</f>
        <v>597685.56000000006</v>
      </c>
      <c r="H621" s="443">
        <v>364162.07</v>
      </c>
      <c r="I621" s="442">
        <v>993779.52</v>
      </c>
      <c r="J621" s="466">
        <v>993779.52</v>
      </c>
      <c r="K621" s="466">
        <v>993779.52</v>
      </c>
      <c r="L621" s="436">
        <f t="shared" si="104"/>
        <v>0</v>
      </c>
      <c r="M621" s="498">
        <f t="shared" si="106"/>
        <v>166.27129489291994</v>
      </c>
    </row>
    <row r="622" spans="1:13" ht="34" outlineLevel="6" x14ac:dyDescent="0.3">
      <c r="A622" s="438" t="s">
        <v>923</v>
      </c>
      <c r="B622" s="439" t="s">
        <v>536</v>
      </c>
      <c r="C622" s="439" t="s">
        <v>72</v>
      </c>
      <c r="D622" s="539" t="s">
        <v>924</v>
      </c>
      <c r="E622" s="539" t="s">
        <v>6</v>
      </c>
      <c r="F622" s="539" t="s">
        <v>976</v>
      </c>
      <c r="G622" s="466">
        <f>G623</f>
        <v>41911341.160000004</v>
      </c>
      <c r="H622" s="442">
        <f>H623</f>
        <v>21307038.940000001</v>
      </c>
      <c r="I622" s="442">
        <v>0</v>
      </c>
      <c r="J622" s="466">
        <v>0</v>
      </c>
      <c r="K622" s="466">
        <v>0</v>
      </c>
      <c r="L622" s="436">
        <f t="shared" si="104"/>
        <v>0</v>
      </c>
      <c r="M622" s="498">
        <f t="shared" si="106"/>
        <v>0</v>
      </c>
    </row>
    <row r="623" spans="1:13" ht="34" outlineLevel="6" x14ac:dyDescent="0.3">
      <c r="A623" s="438" t="s">
        <v>37</v>
      </c>
      <c r="B623" s="439" t="s">
        <v>536</v>
      </c>
      <c r="C623" s="439" t="s">
        <v>72</v>
      </c>
      <c r="D623" s="539" t="s">
        <v>924</v>
      </c>
      <c r="E623" s="539" t="s">
        <v>38</v>
      </c>
      <c r="F623" s="539" t="s">
        <v>976</v>
      </c>
      <c r="G623" s="466">
        <f>G624</f>
        <v>41911341.160000004</v>
      </c>
      <c r="H623" s="442">
        <f>H624</f>
        <v>21307038.940000001</v>
      </c>
      <c r="I623" s="442">
        <v>0</v>
      </c>
      <c r="J623" s="466">
        <v>0</v>
      </c>
      <c r="K623" s="466">
        <v>0</v>
      </c>
      <c r="L623" s="436">
        <f t="shared" si="104"/>
        <v>0</v>
      </c>
      <c r="M623" s="498">
        <f t="shared" si="106"/>
        <v>0</v>
      </c>
    </row>
    <row r="624" spans="1:13" outlineLevel="6" x14ac:dyDescent="0.3">
      <c r="A624" s="438" t="s">
        <v>74</v>
      </c>
      <c r="B624" s="439" t="s">
        <v>536</v>
      </c>
      <c r="C624" s="439" t="s">
        <v>72</v>
      </c>
      <c r="D624" s="539" t="s">
        <v>924</v>
      </c>
      <c r="E624" s="539" t="s">
        <v>75</v>
      </c>
      <c r="F624" s="539" t="s">
        <v>976</v>
      </c>
      <c r="G624" s="466">
        <f>'[2]прил 7 динамика2023'!C58+180149.71+2700000+1500000</f>
        <v>41911341.160000004</v>
      </c>
      <c r="H624" s="443">
        <v>21307038.940000001</v>
      </c>
      <c r="I624" s="442">
        <v>0</v>
      </c>
      <c r="J624" s="466">
        <v>0</v>
      </c>
      <c r="K624" s="466">
        <v>0</v>
      </c>
      <c r="L624" s="436">
        <f t="shared" si="104"/>
        <v>0</v>
      </c>
      <c r="M624" s="498">
        <f t="shared" si="106"/>
        <v>0</v>
      </c>
    </row>
    <row r="625" spans="1:13" ht="34" outlineLevel="7" x14ac:dyDescent="0.3">
      <c r="A625" s="450" t="s">
        <v>275</v>
      </c>
      <c r="B625" s="439" t="s">
        <v>536</v>
      </c>
      <c r="C625" s="439" t="s">
        <v>72</v>
      </c>
      <c r="D625" s="539" t="s">
        <v>223</v>
      </c>
      <c r="E625" s="539" t="s">
        <v>6</v>
      </c>
      <c r="F625" s="540">
        <v>5101292.82</v>
      </c>
      <c r="G625" s="466">
        <f t="shared" ref="G625:K627" si="116">G626</f>
        <v>6117450</v>
      </c>
      <c r="H625" s="442">
        <f t="shared" si="116"/>
        <v>3823078.77</v>
      </c>
      <c r="I625" s="442">
        <f t="shared" si="116"/>
        <v>6188850</v>
      </c>
      <c r="J625" s="466">
        <f t="shared" si="116"/>
        <v>7109400</v>
      </c>
      <c r="K625" s="466">
        <f t="shared" si="116"/>
        <v>7109400</v>
      </c>
      <c r="L625" s="436">
        <f t="shared" si="104"/>
        <v>0</v>
      </c>
      <c r="M625" s="498">
        <f t="shared" si="106"/>
        <v>116.21508962067529</v>
      </c>
    </row>
    <row r="626" spans="1:13" ht="101.9" outlineLevel="7" x14ac:dyDescent="0.3">
      <c r="A626" s="397" t="s">
        <v>658</v>
      </c>
      <c r="B626" s="439" t="s">
        <v>536</v>
      </c>
      <c r="C626" s="439" t="s">
        <v>72</v>
      </c>
      <c r="D626" s="539" t="s">
        <v>659</v>
      </c>
      <c r="E626" s="539" t="s">
        <v>6</v>
      </c>
      <c r="F626" s="540">
        <v>5101292.82</v>
      </c>
      <c r="G626" s="466">
        <f t="shared" si="116"/>
        <v>6117450</v>
      </c>
      <c r="H626" s="442">
        <f t="shared" si="116"/>
        <v>3823078.77</v>
      </c>
      <c r="I626" s="442">
        <f t="shared" si="116"/>
        <v>6188850</v>
      </c>
      <c r="J626" s="509">
        <f t="shared" si="116"/>
        <v>7109400</v>
      </c>
      <c r="K626" s="509">
        <f t="shared" si="116"/>
        <v>7109400</v>
      </c>
      <c r="L626" s="436">
        <f t="shared" si="104"/>
        <v>0</v>
      </c>
      <c r="M626" s="498">
        <f t="shared" si="106"/>
        <v>116.21508962067529</v>
      </c>
    </row>
    <row r="627" spans="1:13" ht="34" outlineLevel="7" x14ac:dyDescent="0.3">
      <c r="A627" s="438" t="s">
        <v>37</v>
      </c>
      <c r="B627" s="439" t="s">
        <v>536</v>
      </c>
      <c r="C627" s="439" t="s">
        <v>72</v>
      </c>
      <c r="D627" s="539" t="s">
        <v>659</v>
      </c>
      <c r="E627" s="539" t="s">
        <v>38</v>
      </c>
      <c r="F627" s="540">
        <v>5101292.82</v>
      </c>
      <c r="G627" s="466">
        <f t="shared" si="116"/>
        <v>6117450</v>
      </c>
      <c r="H627" s="442">
        <f t="shared" si="116"/>
        <v>3823078.77</v>
      </c>
      <c r="I627" s="442">
        <f t="shared" si="116"/>
        <v>6188850</v>
      </c>
      <c r="J627" s="466">
        <f t="shared" si="116"/>
        <v>7109400</v>
      </c>
      <c r="K627" s="466">
        <f t="shared" si="116"/>
        <v>7109400</v>
      </c>
      <c r="L627" s="436">
        <f t="shared" si="104"/>
        <v>0</v>
      </c>
      <c r="M627" s="498">
        <f t="shared" si="106"/>
        <v>116.21508962067529</v>
      </c>
    </row>
    <row r="628" spans="1:13" ht="22.75" customHeight="1" outlineLevel="7" x14ac:dyDescent="0.3">
      <c r="A628" s="438" t="s">
        <v>74</v>
      </c>
      <c r="B628" s="439" t="s">
        <v>536</v>
      </c>
      <c r="C628" s="439" t="s">
        <v>72</v>
      </c>
      <c r="D628" s="539" t="s">
        <v>659</v>
      </c>
      <c r="E628" s="539" t="s">
        <v>75</v>
      </c>
      <c r="F628" s="540">
        <v>5101292.82</v>
      </c>
      <c r="G628" s="466">
        <v>6117450</v>
      </c>
      <c r="H628" s="443">
        <v>3823078.77</v>
      </c>
      <c r="I628" s="442">
        <v>6188850</v>
      </c>
      <c r="J628" s="510">
        <v>7109400</v>
      </c>
      <c r="K628" s="510">
        <v>7109400</v>
      </c>
      <c r="L628" s="436">
        <f t="shared" si="104"/>
        <v>0</v>
      </c>
      <c r="M628" s="498">
        <f t="shared" si="106"/>
        <v>116.21508962067529</v>
      </c>
    </row>
    <row r="629" spans="1:13" outlineLevel="7" x14ac:dyDescent="0.3">
      <c r="A629" s="397" t="s">
        <v>468</v>
      </c>
      <c r="B629" s="439" t="s">
        <v>536</v>
      </c>
      <c r="C629" s="439" t="s">
        <v>72</v>
      </c>
      <c r="D629" s="539" t="s">
        <v>313</v>
      </c>
      <c r="E629" s="539" t="s">
        <v>6</v>
      </c>
      <c r="F629" s="540">
        <v>3010106</v>
      </c>
      <c r="G629" s="466">
        <f t="shared" ref="G629:K631" si="117">G630</f>
        <v>0</v>
      </c>
      <c r="H629" s="442">
        <f t="shared" si="117"/>
        <v>0</v>
      </c>
      <c r="I629" s="442">
        <f t="shared" si="117"/>
        <v>2685634.51</v>
      </c>
      <c r="J629" s="509">
        <f t="shared" si="117"/>
        <v>3078979.12</v>
      </c>
      <c r="K629" s="509">
        <f t="shared" si="117"/>
        <v>3078979.12</v>
      </c>
      <c r="L629" s="436">
        <f t="shared" si="104"/>
        <v>0</v>
      </c>
      <c r="M629" s="498"/>
    </row>
    <row r="630" spans="1:13" ht="50.95" outlineLevel="7" x14ac:dyDescent="0.3">
      <c r="A630" s="438" t="s">
        <v>469</v>
      </c>
      <c r="B630" s="439" t="s">
        <v>536</v>
      </c>
      <c r="C630" s="439" t="s">
        <v>72</v>
      </c>
      <c r="D630" s="551" t="s">
        <v>654</v>
      </c>
      <c r="E630" s="539" t="s">
        <v>6</v>
      </c>
      <c r="F630" s="540">
        <v>3010106</v>
      </c>
      <c r="G630" s="466">
        <f t="shared" si="117"/>
        <v>0</v>
      </c>
      <c r="H630" s="442">
        <f t="shared" si="117"/>
        <v>0</v>
      </c>
      <c r="I630" s="442">
        <f t="shared" si="117"/>
        <v>2685634.51</v>
      </c>
      <c r="J630" s="466">
        <f t="shared" si="117"/>
        <v>3078979.12</v>
      </c>
      <c r="K630" s="466">
        <f t="shared" si="117"/>
        <v>3078979.12</v>
      </c>
      <c r="L630" s="436">
        <f t="shared" si="104"/>
        <v>0</v>
      </c>
      <c r="M630" s="498"/>
    </row>
    <row r="631" spans="1:13" ht="34" outlineLevel="7" x14ac:dyDescent="0.3">
      <c r="A631" s="438" t="s">
        <v>37</v>
      </c>
      <c r="B631" s="439" t="s">
        <v>536</v>
      </c>
      <c r="C631" s="439" t="s">
        <v>72</v>
      </c>
      <c r="D631" s="551" t="s">
        <v>654</v>
      </c>
      <c r="E631" s="539" t="s">
        <v>38</v>
      </c>
      <c r="F631" s="540">
        <v>3010106</v>
      </c>
      <c r="G631" s="466">
        <f t="shared" si="117"/>
        <v>0</v>
      </c>
      <c r="H631" s="442">
        <f t="shared" si="117"/>
        <v>0</v>
      </c>
      <c r="I631" s="442">
        <f t="shared" si="117"/>
        <v>2685634.51</v>
      </c>
      <c r="J631" s="466">
        <f t="shared" si="117"/>
        <v>3078979.12</v>
      </c>
      <c r="K631" s="466">
        <f t="shared" si="117"/>
        <v>3078979.12</v>
      </c>
      <c r="L631" s="436">
        <f t="shared" si="104"/>
        <v>0</v>
      </c>
      <c r="M631" s="498"/>
    </row>
    <row r="632" spans="1:13" ht="17.7" outlineLevel="7" thickBot="1" x14ac:dyDescent="0.35">
      <c r="A632" s="438" t="s">
        <v>74</v>
      </c>
      <c r="B632" s="439" t="s">
        <v>536</v>
      </c>
      <c r="C632" s="439" t="s">
        <v>72</v>
      </c>
      <c r="D632" s="551" t="s">
        <v>968</v>
      </c>
      <c r="E632" s="539" t="s">
        <v>75</v>
      </c>
      <c r="F632" s="540">
        <v>3010106</v>
      </c>
      <c r="G632" s="466">
        <v>0</v>
      </c>
      <c r="H632" s="442">
        <v>0</v>
      </c>
      <c r="I632" s="442">
        <v>2685634.51</v>
      </c>
      <c r="J632" s="466">
        <f>186904.51+2892074.61</f>
        <v>3078979.12</v>
      </c>
      <c r="K632" s="466">
        <f>186904.51+2892074.61</f>
        <v>3078979.12</v>
      </c>
      <c r="L632" s="436">
        <f t="shared" si="104"/>
        <v>0</v>
      </c>
      <c r="M632" s="498"/>
    </row>
    <row r="633" spans="1:13" ht="51.65" outlineLevel="7" thickBot="1" x14ac:dyDescent="0.35">
      <c r="A633" s="470" t="s">
        <v>938</v>
      </c>
      <c r="B633" s="439" t="s">
        <v>536</v>
      </c>
      <c r="C633" s="439" t="s">
        <v>72</v>
      </c>
      <c r="D633" s="539" t="s">
        <v>939</v>
      </c>
      <c r="E633" s="539" t="s">
        <v>6</v>
      </c>
      <c r="F633" s="539" t="s">
        <v>976</v>
      </c>
      <c r="G633" s="466">
        <f>G634</f>
        <v>2613963.91</v>
      </c>
      <c r="H633" s="442">
        <f>H634</f>
        <v>1927700</v>
      </c>
      <c r="I633" s="442">
        <v>0</v>
      </c>
      <c r="J633" s="466">
        <v>0</v>
      </c>
      <c r="K633" s="466">
        <v>0</v>
      </c>
      <c r="L633" s="436">
        <f t="shared" si="104"/>
        <v>0</v>
      </c>
      <c r="M633" s="498">
        <f t="shared" si="106"/>
        <v>0</v>
      </c>
    </row>
    <row r="634" spans="1:13" ht="34" outlineLevel="7" x14ac:dyDescent="0.3">
      <c r="A634" s="438" t="s">
        <v>37</v>
      </c>
      <c r="B634" s="439" t="s">
        <v>536</v>
      </c>
      <c r="C634" s="439" t="s">
        <v>72</v>
      </c>
      <c r="D634" s="539" t="s">
        <v>939</v>
      </c>
      <c r="E634" s="539" t="s">
        <v>38</v>
      </c>
      <c r="F634" s="539" t="s">
        <v>976</v>
      </c>
      <c r="G634" s="466">
        <f>G635</f>
        <v>2613963.91</v>
      </c>
      <c r="H634" s="442">
        <f>H635</f>
        <v>1927700</v>
      </c>
      <c r="I634" s="442">
        <v>0</v>
      </c>
      <c r="J634" s="466">
        <v>0</v>
      </c>
      <c r="K634" s="466">
        <v>0</v>
      </c>
      <c r="L634" s="436">
        <f t="shared" si="104"/>
        <v>0</v>
      </c>
      <c r="M634" s="498">
        <f t="shared" si="106"/>
        <v>0</v>
      </c>
    </row>
    <row r="635" spans="1:13" outlineLevel="7" x14ac:dyDescent="0.3">
      <c r="A635" s="438" t="s">
        <v>74</v>
      </c>
      <c r="B635" s="439" t="s">
        <v>536</v>
      </c>
      <c r="C635" s="439" t="s">
        <v>72</v>
      </c>
      <c r="D635" s="539" t="s">
        <v>939</v>
      </c>
      <c r="E635" s="539" t="s">
        <v>75</v>
      </c>
      <c r="F635" s="539" t="s">
        <v>976</v>
      </c>
      <c r="G635" s="466">
        <f>1000000+1613963.91</f>
        <v>2613963.91</v>
      </c>
      <c r="H635" s="443">
        <v>1927700</v>
      </c>
      <c r="I635" s="442">
        <v>0</v>
      </c>
      <c r="J635" s="466">
        <v>0</v>
      </c>
      <c r="K635" s="466">
        <v>0</v>
      </c>
      <c r="L635" s="436">
        <f t="shared" si="104"/>
        <v>0</v>
      </c>
      <c r="M635" s="498">
        <f t="shared" si="106"/>
        <v>0</v>
      </c>
    </row>
    <row r="636" spans="1:13" outlineLevel="5" x14ac:dyDescent="0.3">
      <c r="A636" s="438" t="s">
        <v>257</v>
      </c>
      <c r="B636" s="439" t="s">
        <v>536</v>
      </c>
      <c r="C636" s="439" t="s">
        <v>256</v>
      </c>
      <c r="D636" s="539" t="s">
        <v>126</v>
      </c>
      <c r="E636" s="539" t="s">
        <v>6</v>
      </c>
      <c r="F636" s="540">
        <v>23253055.059999999</v>
      </c>
      <c r="G636" s="466">
        <f t="shared" ref="G636:K637" si="118">G637</f>
        <v>24263029.260000002</v>
      </c>
      <c r="H636" s="442">
        <f t="shared" si="118"/>
        <v>17264875.789999999</v>
      </c>
      <c r="I636" s="442">
        <f t="shared" si="118"/>
        <v>28310464</v>
      </c>
      <c r="J636" s="466">
        <f t="shared" si="118"/>
        <v>27710552</v>
      </c>
      <c r="K636" s="466">
        <f t="shared" si="118"/>
        <v>27210552</v>
      </c>
      <c r="L636" s="436">
        <f t="shared" si="104"/>
        <v>-500000</v>
      </c>
      <c r="M636" s="498">
        <f t="shared" si="106"/>
        <v>114.20895430268297</v>
      </c>
    </row>
    <row r="637" spans="1:13" ht="34" outlineLevel="6" x14ac:dyDescent="0.3">
      <c r="A637" s="444" t="s">
        <v>825</v>
      </c>
      <c r="B637" s="445" t="s">
        <v>536</v>
      </c>
      <c r="C637" s="445" t="s">
        <v>256</v>
      </c>
      <c r="D637" s="541" t="s">
        <v>138</v>
      </c>
      <c r="E637" s="541" t="s">
        <v>6</v>
      </c>
      <c r="F637" s="542">
        <v>23253055.059999999</v>
      </c>
      <c r="G637" s="507">
        <f t="shared" si="118"/>
        <v>24263029.260000002</v>
      </c>
      <c r="H637" s="448">
        <f t="shared" si="118"/>
        <v>17264875.789999999</v>
      </c>
      <c r="I637" s="448">
        <f t="shared" si="118"/>
        <v>28310464</v>
      </c>
      <c r="J637" s="507">
        <f t="shared" si="118"/>
        <v>27710552</v>
      </c>
      <c r="K637" s="507">
        <f t="shared" si="118"/>
        <v>27210552</v>
      </c>
      <c r="L637" s="436">
        <f t="shared" si="104"/>
        <v>-500000</v>
      </c>
      <c r="M637" s="498">
        <f t="shared" si="106"/>
        <v>114.20895430268297</v>
      </c>
    </row>
    <row r="638" spans="1:13" ht="49.75" customHeight="1" outlineLevel="7" x14ac:dyDescent="0.3">
      <c r="A638" s="438" t="s">
        <v>832</v>
      </c>
      <c r="B638" s="439" t="s">
        <v>536</v>
      </c>
      <c r="C638" s="439" t="s">
        <v>256</v>
      </c>
      <c r="D638" s="539" t="s">
        <v>149</v>
      </c>
      <c r="E638" s="539" t="s">
        <v>6</v>
      </c>
      <c r="F638" s="542">
        <v>23253055.059999999</v>
      </c>
      <c r="G638" s="465">
        <f>G639+G643+G653</f>
        <v>24263029.260000002</v>
      </c>
      <c r="H638" s="440">
        <f>H639+H643+H653</f>
        <v>17264875.789999999</v>
      </c>
      <c r="I638" s="440">
        <f>I639+I643+I653</f>
        <v>28310464</v>
      </c>
      <c r="J638" s="465">
        <f>J639+J643+J653</f>
        <v>27710552</v>
      </c>
      <c r="K638" s="465">
        <f>K639+K643+K653</f>
        <v>27210552</v>
      </c>
      <c r="L638" s="436">
        <f t="shared" si="104"/>
        <v>-500000</v>
      </c>
      <c r="M638" s="498">
        <f t="shared" si="106"/>
        <v>114.20895430268297</v>
      </c>
    </row>
    <row r="639" spans="1:13" ht="42.45" customHeight="1" outlineLevel="7" x14ac:dyDescent="0.3">
      <c r="A639" s="450" t="s">
        <v>207</v>
      </c>
      <c r="B639" s="439" t="s">
        <v>536</v>
      </c>
      <c r="C639" s="439" t="s">
        <v>256</v>
      </c>
      <c r="D639" s="539" t="s">
        <v>224</v>
      </c>
      <c r="E639" s="539" t="s">
        <v>6</v>
      </c>
      <c r="F639" s="540">
        <v>22721588.399999999</v>
      </c>
      <c r="G639" s="465">
        <f t="shared" ref="G639:K641" si="119">G640</f>
        <v>22949529.260000002</v>
      </c>
      <c r="H639" s="440">
        <f t="shared" si="119"/>
        <v>16567468.119999999</v>
      </c>
      <c r="I639" s="440">
        <f t="shared" si="119"/>
        <v>26996964</v>
      </c>
      <c r="J639" s="465">
        <f t="shared" si="119"/>
        <v>25942762</v>
      </c>
      <c r="K639" s="465">
        <f t="shared" si="119"/>
        <v>25442762</v>
      </c>
      <c r="L639" s="436">
        <f t="shared" si="104"/>
        <v>-500000</v>
      </c>
      <c r="M639" s="498">
        <f t="shared" si="106"/>
        <v>113.04267597861831</v>
      </c>
    </row>
    <row r="640" spans="1:13" ht="22.75" customHeight="1" outlineLevel="7" x14ac:dyDescent="0.3">
      <c r="A640" s="438" t="s">
        <v>115</v>
      </c>
      <c r="B640" s="439" t="s">
        <v>536</v>
      </c>
      <c r="C640" s="439" t="s">
        <v>256</v>
      </c>
      <c r="D640" s="539" t="s">
        <v>151</v>
      </c>
      <c r="E640" s="539" t="s">
        <v>6</v>
      </c>
      <c r="F640" s="540">
        <v>22721588.399999999</v>
      </c>
      <c r="G640" s="465">
        <f t="shared" si="119"/>
        <v>22949529.260000002</v>
      </c>
      <c r="H640" s="440">
        <f t="shared" si="119"/>
        <v>16567468.119999999</v>
      </c>
      <c r="I640" s="440">
        <f t="shared" si="119"/>
        <v>26996964</v>
      </c>
      <c r="J640" s="465">
        <f t="shared" si="119"/>
        <v>25942762</v>
      </c>
      <c r="K640" s="465">
        <f t="shared" si="119"/>
        <v>25442762</v>
      </c>
      <c r="L640" s="436">
        <f t="shared" si="104"/>
        <v>-500000</v>
      </c>
      <c r="M640" s="498">
        <f t="shared" si="106"/>
        <v>113.04267597861831</v>
      </c>
    </row>
    <row r="641" spans="1:13" ht="24.8" customHeight="1" outlineLevel="7" x14ac:dyDescent="0.3">
      <c r="A641" s="438" t="s">
        <v>37</v>
      </c>
      <c r="B641" s="439" t="s">
        <v>536</v>
      </c>
      <c r="C641" s="439" t="s">
        <v>256</v>
      </c>
      <c r="D641" s="539" t="s">
        <v>151</v>
      </c>
      <c r="E641" s="539" t="s">
        <v>38</v>
      </c>
      <c r="F641" s="540">
        <v>22721588.399999999</v>
      </c>
      <c r="G641" s="465">
        <f t="shared" si="119"/>
        <v>22949529.260000002</v>
      </c>
      <c r="H641" s="440">
        <f t="shared" si="119"/>
        <v>16567468.119999999</v>
      </c>
      <c r="I641" s="440">
        <f t="shared" si="119"/>
        <v>26996964</v>
      </c>
      <c r="J641" s="465">
        <f t="shared" si="119"/>
        <v>25942762</v>
      </c>
      <c r="K641" s="465">
        <f t="shared" si="119"/>
        <v>25442762</v>
      </c>
      <c r="L641" s="436">
        <f t="shared" si="104"/>
        <v>-500000</v>
      </c>
      <c r="M641" s="498">
        <f t="shared" si="106"/>
        <v>113.04267597861831</v>
      </c>
    </row>
    <row r="642" spans="1:13" ht="27" customHeight="1" outlineLevel="7" x14ac:dyDescent="0.3">
      <c r="A642" s="438" t="s">
        <v>74</v>
      </c>
      <c r="B642" s="439" t="s">
        <v>536</v>
      </c>
      <c r="C642" s="439" t="s">
        <v>256</v>
      </c>
      <c r="D642" s="539" t="s">
        <v>151</v>
      </c>
      <c r="E642" s="539" t="s">
        <v>75</v>
      </c>
      <c r="F642" s="540">
        <v>22721588.399999999</v>
      </c>
      <c r="G642" s="466">
        <f>[2]потребность!I580-1000000-1177656.74+130222</f>
        <v>22949529.260000002</v>
      </c>
      <c r="H642" s="443">
        <v>16567468.119999999</v>
      </c>
      <c r="I642" s="442">
        <v>26996964</v>
      </c>
      <c r="J642" s="466">
        <v>25942762</v>
      </c>
      <c r="K642" s="512">
        <f>25942762-500000</f>
        <v>25442762</v>
      </c>
      <c r="L642" s="436">
        <f t="shared" si="104"/>
        <v>-500000</v>
      </c>
      <c r="M642" s="498">
        <f t="shared" si="106"/>
        <v>113.04267597861831</v>
      </c>
    </row>
    <row r="643" spans="1:13" ht="34" outlineLevel="7" x14ac:dyDescent="0.3">
      <c r="A643" s="450" t="s">
        <v>402</v>
      </c>
      <c r="B643" s="439" t="s">
        <v>536</v>
      </c>
      <c r="C643" s="439" t="s">
        <v>256</v>
      </c>
      <c r="D643" s="539" t="s">
        <v>225</v>
      </c>
      <c r="E643" s="539" t="s">
        <v>6</v>
      </c>
      <c r="F643" s="540">
        <v>273051.64</v>
      </c>
      <c r="G643" s="466">
        <f>G644+G650</f>
        <v>110500</v>
      </c>
      <c r="H643" s="442">
        <f>H644+H650+H659</f>
        <v>187954.08000000002</v>
      </c>
      <c r="I643" s="442">
        <f>I644+I650</f>
        <v>110500</v>
      </c>
      <c r="J643" s="466">
        <f>J644+J650</f>
        <v>31600</v>
      </c>
      <c r="K643" s="466">
        <f>K644+K650</f>
        <v>31600</v>
      </c>
      <c r="L643" s="436">
        <f t="shared" si="104"/>
        <v>0</v>
      </c>
      <c r="M643" s="498">
        <f t="shared" si="106"/>
        <v>28.597285067873305</v>
      </c>
    </row>
    <row r="644" spans="1:13" ht="34" outlineLevel="7" x14ac:dyDescent="0.3">
      <c r="A644" s="438" t="s">
        <v>268</v>
      </c>
      <c r="B644" s="439" t="s">
        <v>536</v>
      </c>
      <c r="C644" s="439" t="s">
        <v>256</v>
      </c>
      <c r="D644" s="539" t="s">
        <v>288</v>
      </c>
      <c r="E644" s="539" t="s">
        <v>6</v>
      </c>
      <c r="F644" s="540">
        <v>19201.89</v>
      </c>
      <c r="G644" s="466">
        <f t="shared" ref="G644:K645" si="120">G645</f>
        <v>25000</v>
      </c>
      <c r="H644" s="442">
        <f t="shared" si="120"/>
        <v>15994.08</v>
      </c>
      <c r="I644" s="442">
        <f t="shared" si="120"/>
        <v>25000</v>
      </c>
      <c r="J644" s="466">
        <f t="shared" si="120"/>
        <v>31600</v>
      </c>
      <c r="K644" s="466">
        <f t="shared" si="120"/>
        <v>31600</v>
      </c>
      <c r="L644" s="436">
        <f t="shared" si="104"/>
        <v>0</v>
      </c>
      <c r="M644" s="498">
        <f t="shared" si="106"/>
        <v>126.4</v>
      </c>
    </row>
    <row r="645" spans="1:13" ht="34" outlineLevel="7" x14ac:dyDescent="0.3">
      <c r="A645" s="438" t="s">
        <v>37</v>
      </c>
      <c r="B645" s="439" t="s">
        <v>536</v>
      </c>
      <c r="C645" s="439" t="s">
        <v>256</v>
      </c>
      <c r="D645" s="539" t="s">
        <v>288</v>
      </c>
      <c r="E645" s="539" t="s">
        <v>38</v>
      </c>
      <c r="F645" s="540">
        <v>19201.89</v>
      </c>
      <c r="G645" s="466">
        <f t="shared" si="120"/>
        <v>25000</v>
      </c>
      <c r="H645" s="442">
        <f t="shared" si="120"/>
        <v>15994.08</v>
      </c>
      <c r="I645" s="442">
        <f t="shared" si="120"/>
        <v>25000</v>
      </c>
      <c r="J645" s="466">
        <f t="shared" si="120"/>
        <v>31600</v>
      </c>
      <c r="K645" s="466">
        <f t="shared" si="120"/>
        <v>31600</v>
      </c>
      <c r="L645" s="436">
        <f t="shared" si="104"/>
        <v>0</v>
      </c>
      <c r="M645" s="498">
        <f t="shared" si="106"/>
        <v>126.4</v>
      </c>
    </row>
    <row r="646" spans="1:13" outlineLevel="2" x14ac:dyDescent="0.3">
      <c r="A646" s="438" t="s">
        <v>74</v>
      </c>
      <c r="B646" s="439" t="s">
        <v>536</v>
      </c>
      <c r="C646" s="439" t="s">
        <v>256</v>
      </c>
      <c r="D646" s="539" t="s">
        <v>288</v>
      </c>
      <c r="E646" s="539" t="s">
        <v>75</v>
      </c>
      <c r="F646" s="540">
        <v>19201.89</v>
      </c>
      <c r="G646" s="466">
        <v>25000</v>
      </c>
      <c r="H646" s="443">
        <v>15994.08</v>
      </c>
      <c r="I646" s="442">
        <v>25000</v>
      </c>
      <c r="J646" s="466">
        <v>31600</v>
      </c>
      <c r="K646" s="466">
        <v>31600</v>
      </c>
      <c r="L646" s="436">
        <f t="shared" si="104"/>
        <v>0</v>
      </c>
      <c r="M646" s="498">
        <f t="shared" si="106"/>
        <v>126.4</v>
      </c>
    </row>
    <row r="647" spans="1:13" s="449" customFormat="1" ht="28.2" customHeight="1" outlineLevel="3" x14ac:dyDescent="0.3">
      <c r="A647" s="450" t="s">
        <v>311</v>
      </c>
      <c r="B647" s="439" t="s">
        <v>536</v>
      </c>
      <c r="C647" s="439" t="s">
        <v>256</v>
      </c>
      <c r="D647" s="539" t="s">
        <v>735</v>
      </c>
      <c r="E647" s="539" t="s">
        <v>6</v>
      </c>
      <c r="F647" s="540">
        <v>124350</v>
      </c>
      <c r="G647" s="466">
        <f>G648</f>
        <v>0</v>
      </c>
      <c r="H647" s="442">
        <f>H648</f>
        <v>0</v>
      </c>
      <c r="I647" s="442">
        <v>0</v>
      </c>
      <c r="J647" s="466">
        <v>0</v>
      </c>
      <c r="K647" s="466">
        <v>0</v>
      </c>
      <c r="L647" s="436">
        <f t="shared" si="104"/>
        <v>0</v>
      </c>
      <c r="M647" s="498"/>
    </row>
    <row r="648" spans="1:13" ht="34" outlineLevel="3" x14ac:dyDescent="0.3">
      <c r="A648" s="438" t="s">
        <v>37</v>
      </c>
      <c r="B648" s="439" t="s">
        <v>536</v>
      </c>
      <c r="C648" s="439" t="s">
        <v>256</v>
      </c>
      <c r="D648" s="539" t="s">
        <v>735</v>
      </c>
      <c r="E648" s="539" t="s">
        <v>38</v>
      </c>
      <c r="F648" s="540">
        <v>124350</v>
      </c>
      <c r="G648" s="466">
        <f>G649</f>
        <v>0</v>
      </c>
      <c r="H648" s="442">
        <f>H649</f>
        <v>0</v>
      </c>
      <c r="I648" s="442">
        <v>0</v>
      </c>
      <c r="J648" s="466">
        <v>0</v>
      </c>
      <c r="K648" s="466">
        <v>0</v>
      </c>
      <c r="L648" s="436">
        <f t="shared" ref="L648:L711" si="121">K648-J648</f>
        <v>0</v>
      </c>
      <c r="M648" s="498"/>
    </row>
    <row r="649" spans="1:13" ht="19.55" customHeight="1" outlineLevel="3" x14ac:dyDescent="0.3">
      <c r="A649" s="438" t="s">
        <v>74</v>
      </c>
      <c r="B649" s="439" t="s">
        <v>536</v>
      </c>
      <c r="C649" s="439" t="s">
        <v>256</v>
      </c>
      <c r="D649" s="539" t="s">
        <v>735</v>
      </c>
      <c r="E649" s="539" t="s">
        <v>75</v>
      </c>
      <c r="F649" s="540">
        <v>124350</v>
      </c>
      <c r="G649" s="466">
        <v>0</v>
      </c>
      <c r="H649" s="443">
        <v>0</v>
      </c>
      <c r="I649" s="442">
        <v>0</v>
      </c>
      <c r="J649" s="466">
        <v>0</v>
      </c>
      <c r="K649" s="466">
        <v>0</v>
      </c>
      <c r="L649" s="436">
        <f t="shared" si="121"/>
        <v>0</v>
      </c>
      <c r="M649" s="498"/>
    </row>
    <row r="650" spans="1:13" ht="21.25" customHeight="1" outlineLevel="3" x14ac:dyDescent="0.3">
      <c r="A650" s="438" t="s">
        <v>112</v>
      </c>
      <c r="B650" s="439" t="s">
        <v>536</v>
      </c>
      <c r="C650" s="439" t="s">
        <v>256</v>
      </c>
      <c r="D650" s="539" t="s">
        <v>150</v>
      </c>
      <c r="E650" s="539" t="s">
        <v>6</v>
      </c>
      <c r="F650" s="540">
        <v>77499.75</v>
      </c>
      <c r="G650" s="465">
        <f t="shared" ref="G650:K651" si="122">G651</f>
        <v>85500</v>
      </c>
      <c r="H650" s="440">
        <f t="shared" si="122"/>
        <v>39360</v>
      </c>
      <c r="I650" s="440">
        <f t="shared" si="122"/>
        <v>85500</v>
      </c>
      <c r="J650" s="518">
        <f t="shared" si="122"/>
        <v>0</v>
      </c>
      <c r="K650" s="518">
        <f t="shared" si="122"/>
        <v>0</v>
      </c>
      <c r="L650" s="436">
        <f t="shared" si="121"/>
        <v>0</v>
      </c>
      <c r="M650" s="498">
        <f t="shared" ref="M650:M713" si="123">J650/G650%</f>
        <v>0</v>
      </c>
    </row>
    <row r="651" spans="1:13" ht="34" outlineLevel="3" x14ac:dyDescent="0.3">
      <c r="A651" s="438" t="s">
        <v>37</v>
      </c>
      <c r="B651" s="439" t="s">
        <v>536</v>
      </c>
      <c r="C651" s="439" t="s">
        <v>256</v>
      </c>
      <c r="D651" s="539" t="s">
        <v>150</v>
      </c>
      <c r="E651" s="539" t="s">
        <v>38</v>
      </c>
      <c r="F651" s="540">
        <v>77499.75</v>
      </c>
      <c r="G651" s="465">
        <f t="shared" si="122"/>
        <v>85500</v>
      </c>
      <c r="H651" s="440">
        <f t="shared" si="122"/>
        <v>39360</v>
      </c>
      <c r="I651" s="440">
        <f t="shared" si="122"/>
        <v>85500</v>
      </c>
      <c r="J651" s="518">
        <f t="shared" si="122"/>
        <v>0</v>
      </c>
      <c r="K651" s="518">
        <f t="shared" si="122"/>
        <v>0</v>
      </c>
      <c r="L651" s="436">
        <f t="shared" si="121"/>
        <v>0</v>
      </c>
      <c r="M651" s="498">
        <f t="shared" si="123"/>
        <v>0</v>
      </c>
    </row>
    <row r="652" spans="1:13" ht="21.25" customHeight="1" outlineLevel="3" x14ac:dyDescent="0.3">
      <c r="A652" s="438" t="s">
        <v>74</v>
      </c>
      <c r="B652" s="439" t="s">
        <v>536</v>
      </c>
      <c r="C652" s="439" t="s">
        <v>256</v>
      </c>
      <c r="D652" s="539" t="s">
        <v>150</v>
      </c>
      <c r="E652" s="539" t="s">
        <v>75</v>
      </c>
      <c r="F652" s="540">
        <v>77499.75</v>
      </c>
      <c r="G652" s="466">
        <v>85500</v>
      </c>
      <c r="H652" s="443">
        <v>39360</v>
      </c>
      <c r="I652" s="442">
        <v>85500</v>
      </c>
      <c r="J652" s="519">
        <v>0</v>
      </c>
      <c r="K652" s="519">
        <v>0</v>
      </c>
      <c r="L652" s="436">
        <f t="shared" si="121"/>
        <v>0</v>
      </c>
      <c r="M652" s="498">
        <f t="shared" si="123"/>
        <v>0</v>
      </c>
    </row>
    <row r="653" spans="1:13" ht="50.95" outlineLevel="3" x14ac:dyDescent="0.3">
      <c r="A653" s="438" t="s">
        <v>754</v>
      </c>
      <c r="B653" s="439" t="s">
        <v>536</v>
      </c>
      <c r="C653" s="439" t="s">
        <v>256</v>
      </c>
      <c r="D653" s="539" t="s">
        <v>755</v>
      </c>
      <c r="E653" s="539" t="s">
        <v>6</v>
      </c>
      <c r="F653" s="540">
        <v>258415.02</v>
      </c>
      <c r="G653" s="466">
        <f t="shared" ref="G653:K654" si="124">G654</f>
        <v>1203000</v>
      </c>
      <c r="H653" s="442">
        <f t="shared" si="124"/>
        <v>509453.59</v>
      </c>
      <c r="I653" s="442">
        <f t="shared" si="124"/>
        <v>1203000</v>
      </c>
      <c r="J653" s="466">
        <f t="shared" si="124"/>
        <v>1736190</v>
      </c>
      <c r="K653" s="466">
        <f t="shared" si="124"/>
        <v>1736190</v>
      </c>
      <c r="L653" s="436">
        <f t="shared" si="121"/>
        <v>0</v>
      </c>
      <c r="M653" s="498">
        <f t="shared" si="123"/>
        <v>144.32169576059852</v>
      </c>
    </row>
    <row r="654" spans="1:13" ht="34" outlineLevel="3" x14ac:dyDescent="0.3">
      <c r="A654" s="438" t="s">
        <v>37</v>
      </c>
      <c r="B654" s="439" t="s">
        <v>536</v>
      </c>
      <c r="C654" s="439" t="s">
        <v>256</v>
      </c>
      <c r="D654" s="539" t="s">
        <v>756</v>
      </c>
      <c r="E654" s="539" t="s">
        <v>38</v>
      </c>
      <c r="F654" s="540">
        <v>258415.02</v>
      </c>
      <c r="G654" s="466">
        <f t="shared" si="124"/>
        <v>1203000</v>
      </c>
      <c r="H654" s="442">
        <f t="shared" si="124"/>
        <v>509453.59</v>
      </c>
      <c r="I654" s="442">
        <f t="shared" si="124"/>
        <v>1203000</v>
      </c>
      <c r="J654" s="466">
        <f t="shared" si="124"/>
        <v>1736190</v>
      </c>
      <c r="K654" s="466">
        <f t="shared" si="124"/>
        <v>1736190</v>
      </c>
      <c r="L654" s="436">
        <f t="shared" si="121"/>
        <v>0</v>
      </c>
      <c r="M654" s="498">
        <f t="shared" si="123"/>
        <v>144.32169576059852</v>
      </c>
    </row>
    <row r="655" spans="1:13" ht="21.75" customHeight="1" outlineLevel="3" x14ac:dyDescent="0.3">
      <c r="A655" s="438" t="s">
        <v>74</v>
      </c>
      <c r="B655" s="439" t="s">
        <v>536</v>
      </c>
      <c r="C655" s="439" t="s">
        <v>256</v>
      </c>
      <c r="D655" s="539" t="s">
        <v>756</v>
      </c>
      <c r="E655" s="539" t="s">
        <v>75</v>
      </c>
      <c r="F655" s="540">
        <v>258415.02</v>
      </c>
      <c r="G655" s="466">
        <v>1203000</v>
      </c>
      <c r="H655" s="443">
        <v>509453.59</v>
      </c>
      <c r="I655" s="442">
        <v>1203000</v>
      </c>
      <c r="J655" s="466">
        <v>1736190</v>
      </c>
      <c r="K655" s="466">
        <v>1736190</v>
      </c>
      <c r="L655" s="436">
        <f t="shared" si="121"/>
        <v>0</v>
      </c>
      <c r="M655" s="498">
        <f t="shared" si="123"/>
        <v>144.32169576059852</v>
      </c>
    </row>
    <row r="656" spans="1:13" ht="50.95" outlineLevel="3" x14ac:dyDescent="0.3">
      <c r="A656" s="450" t="s">
        <v>458</v>
      </c>
      <c r="B656" s="439" t="s">
        <v>536</v>
      </c>
      <c r="C656" s="439" t="s">
        <v>256</v>
      </c>
      <c r="D656" s="539" t="s">
        <v>727</v>
      </c>
      <c r="E656" s="539" t="s">
        <v>6</v>
      </c>
      <c r="F656" s="540">
        <v>52000</v>
      </c>
      <c r="G656" s="466">
        <f t="shared" ref="G656:I657" si="125">G657</f>
        <v>0</v>
      </c>
      <c r="H656" s="442">
        <f t="shared" si="125"/>
        <v>0</v>
      </c>
      <c r="I656" s="442">
        <f t="shared" si="125"/>
        <v>100000</v>
      </c>
      <c r="J656" s="466">
        <v>0</v>
      </c>
      <c r="K656" s="466">
        <v>0</v>
      </c>
      <c r="L656" s="436">
        <f t="shared" si="121"/>
        <v>0</v>
      </c>
      <c r="M656" s="498"/>
    </row>
    <row r="657" spans="1:13" ht="34" outlineLevel="3" x14ac:dyDescent="0.3">
      <c r="A657" s="438" t="s">
        <v>37</v>
      </c>
      <c r="B657" s="439" t="s">
        <v>536</v>
      </c>
      <c r="C657" s="439" t="s">
        <v>256</v>
      </c>
      <c r="D657" s="539" t="s">
        <v>727</v>
      </c>
      <c r="E657" s="539" t="s">
        <v>38</v>
      </c>
      <c r="F657" s="540">
        <v>52000</v>
      </c>
      <c r="G657" s="466">
        <f t="shared" si="125"/>
        <v>0</v>
      </c>
      <c r="H657" s="442">
        <f t="shared" si="125"/>
        <v>0</v>
      </c>
      <c r="I657" s="442">
        <f t="shared" si="125"/>
        <v>100000</v>
      </c>
      <c r="J657" s="466">
        <v>0</v>
      </c>
      <c r="K657" s="466">
        <v>0</v>
      </c>
      <c r="L657" s="436">
        <f t="shared" si="121"/>
        <v>0</v>
      </c>
      <c r="M657" s="498"/>
    </row>
    <row r="658" spans="1:13" ht="17.7" outlineLevel="3" thickBot="1" x14ac:dyDescent="0.35">
      <c r="A658" s="438" t="s">
        <v>74</v>
      </c>
      <c r="B658" s="439" t="s">
        <v>536</v>
      </c>
      <c r="C658" s="439" t="s">
        <v>256</v>
      </c>
      <c r="D658" s="539" t="s">
        <v>727</v>
      </c>
      <c r="E658" s="539" t="s">
        <v>75</v>
      </c>
      <c r="F658" s="540">
        <v>52000</v>
      </c>
      <c r="G658" s="466">
        <v>0</v>
      </c>
      <c r="H658" s="442">
        <v>0</v>
      </c>
      <c r="I658" s="442">
        <v>100000</v>
      </c>
      <c r="J658" s="466">
        <v>0</v>
      </c>
      <c r="K658" s="466">
        <v>0</v>
      </c>
      <c r="L658" s="436">
        <f t="shared" si="121"/>
        <v>0</v>
      </c>
      <c r="M658" s="498"/>
    </row>
    <row r="659" spans="1:13" ht="51.65" outlineLevel="3" thickBot="1" x14ac:dyDescent="0.35">
      <c r="A659" s="470" t="s">
        <v>938</v>
      </c>
      <c r="B659" s="439" t="s">
        <v>536</v>
      </c>
      <c r="C659" s="439" t="s">
        <v>72</v>
      </c>
      <c r="D659" s="539" t="s">
        <v>980</v>
      </c>
      <c r="E659" s="539" t="s">
        <v>6</v>
      </c>
      <c r="F659" s="553"/>
      <c r="G659" s="466"/>
      <c r="H659" s="442">
        <f>H660</f>
        <v>132600</v>
      </c>
      <c r="I659" s="459"/>
      <c r="J659" s="466"/>
      <c r="K659" s="466"/>
      <c r="L659" s="436">
        <f t="shared" si="121"/>
        <v>0</v>
      </c>
      <c r="M659" s="498"/>
    </row>
    <row r="660" spans="1:13" ht="34" outlineLevel="3" x14ac:dyDescent="0.3">
      <c r="A660" s="438" t="s">
        <v>37</v>
      </c>
      <c r="B660" s="439" t="s">
        <v>536</v>
      </c>
      <c r="C660" s="439" t="s">
        <v>72</v>
      </c>
      <c r="D660" s="539" t="s">
        <v>981</v>
      </c>
      <c r="E660" s="539" t="s">
        <v>38</v>
      </c>
      <c r="F660" s="553"/>
      <c r="G660" s="466"/>
      <c r="H660" s="442">
        <f>H661</f>
        <v>132600</v>
      </c>
      <c r="I660" s="459"/>
      <c r="J660" s="466"/>
      <c r="K660" s="466"/>
      <c r="L660" s="436">
        <f t="shared" si="121"/>
        <v>0</v>
      </c>
      <c r="M660" s="498"/>
    </row>
    <row r="661" spans="1:13" outlineLevel="3" x14ac:dyDescent="0.3">
      <c r="A661" s="438" t="s">
        <v>74</v>
      </c>
      <c r="B661" s="439" t="s">
        <v>536</v>
      </c>
      <c r="C661" s="439" t="s">
        <v>72</v>
      </c>
      <c r="D661" s="539" t="s">
        <v>981</v>
      </c>
      <c r="E661" s="539" t="s">
        <v>75</v>
      </c>
      <c r="F661" s="553"/>
      <c r="G661" s="466"/>
      <c r="H661" s="442">
        <v>132600</v>
      </c>
      <c r="I661" s="459"/>
      <c r="J661" s="466"/>
      <c r="K661" s="466"/>
      <c r="L661" s="436">
        <f t="shared" si="121"/>
        <v>0</v>
      </c>
      <c r="M661" s="498"/>
    </row>
    <row r="662" spans="1:13" outlineLevel="3" x14ac:dyDescent="0.3">
      <c r="A662" s="438" t="s">
        <v>76</v>
      </c>
      <c r="B662" s="439" t="s">
        <v>536</v>
      </c>
      <c r="C662" s="439" t="s">
        <v>77</v>
      </c>
      <c r="D662" s="539" t="s">
        <v>126</v>
      </c>
      <c r="E662" s="539" t="s">
        <v>6</v>
      </c>
      <c r="F662" s="540">
        <v>1754985.46</v>
      </c>
      <c r="G662" s="465">
        <f>G663</f>
        <v>2041369</v>
      </c>
      <c r="H662" s="440">
        <f>H663</f>
        <v>1919444.25</v>
      </c>
      <c r="I662" s="440">
        <f>I663</f>
        <v>2042300</v>
      </c>
      <c r="J662" s="465">
        <f>J663</f>
        <v>2803119.25</v>
      </c>
      <c r="K662" s="465">
        <f>K663</f>
        <v>2803119.25</v>
      </c>
      <c r="L662" s="436">
        <f t="shared" si="121"/>
        <v>0</v>
      </c>
      <c r="M662" s="498">
        <f t="shared" si="123"/>
        <v>137.31565679698281</v>
      </c>
    </row>
    <row r="663" spans="1:13" ht="34" outlineLevel="3" x14ac:dyDescent="0.3">
      <c r="A663" s="444" t="s">
        <v>825</v>
      </c>
      <c r="B663" s="445" t="s">
        <v>536</v>
      </c>
      <c r="C663" s="445" t="s">
        <v>77</v>
      </c>
      <c r="D663" s="541" t="s">
        <v>138</v>
      </c>
      <c r="E663" s="541" t="s">
        <v>6</v>
      </c>
      <c r="F663" s="540">
        <v>1754985.46</v>
      </c>
      <c r="G663" s="508">
        <f>G664+G678</f>
        <v>2041369</v>
      </c>
      <c r="H663" s="446">
        <f>H664+H678</f>
        <v>1919444.25</v>
      </c>
      <c r="I663" s="446">
        <f>I664+I678</f>
        <v>2042300</v>
      </c>
      <c r="J663" s="508">
        <f>J664+J678</f>
        <v>2803119.25</v>
      </c>
      <c r="K663" s="508">
        <f>K664+K678</f>
        <v>2803119.25</v>
      </c>
      <c r="L663" s="436">
        <f t="shared" si="121"/>
        <v>0</v>
      </c>
      <c r="M663" s="498">
        <f t="shared" si="123"/>
        <v>137.31565679698281</v>
      </c>
    </row>
    <row r="664" spans="1:13" ht="50.95" outlineLevel="3" x14ac:dyDescent="0.3">
      <c r="A664" s="438" t="s">
        <v>833</v>
      </c>
      <c r="B664" s="439" t="s">
        <v>536</v>
      </c>
      <c r="C664" s="439" t="s">
        <v>77</v>
      </c>
      <c r="D664" s="539" t="s">
        <v>146</v>
      </c>
      <c r="E664" s="539" t="s">
        <v>6</v>
      </c>
      <c r="F664" s="540">
        <v>69978.509999999995</v>
      </c>
      <c r="G664" s="465">
        <f>G665+G669</f>
        <v>1916369</v>
      </c>
      <c r="H664" s="440">
        <f>H665+H669</f>
        <v>1858488.25</v>
      </c>
      <c r="I664" s="440">
        <f>I665+I669</f>
        <v>1917300</v>
      </c>
      <c r="J664" s="465">
        <f>J665+J669</f>
        <v>2678119.25</v>
      </c>
      <c r="K664" s="465">
        <f>K665+K669</f>
        <v>2678119.25</v>
      </c>
      <c r="L664" s="436">
        <f t="shared" si="121"/>
        <v>0</v>
      </c>
      <c r="M664" s="498">
        <f t="shared" si="123"/>
        <v>139.74966460008486</v>
      </c>
    </row>
    <row r="665" spans="1:13" ht="34" outlineLevel="7" x14ac:dyDescent="0.3">
      <c r="A665" s="450" t="s">
        <v>206</v>
      </c>
      <c r="B665" s="439" t="s">
        <v>536</v>
      </c>
      <c r="C665" s="439" t="s">
        <v>77</v>
      </c>
      <c r="D665" s="539" t="s">
        <v>220</v>
      </c>
      <c r="E665" s="539" t="s">
        <v>6</v>
      </c>
      <c r="F665" s="540">
        <v>69978.509999999995</v>
      </c>
      <c r="G665" s="465">
        <f t="shared" ref="G665:K667" si="126">G666</f>
        <v>70000</v>
      </c>
      <c r="H665" s="440">
        <f t="shared" si="126"/>
        <v>53268</v>
      </c>
      <c r="I665" s="440">
        <f t="shared" si="126"/>
        <v>70000</v>
      </c>
      <c r="J665" s="465">
        <f t="shared" si="126"/>
        <v>70000</v>
      </c>
      <c r="K665" s="465">
        <f t="shared" si="126"/>
        <v>70000</v>
      </c>
      <c r="L665" s="436">
        <f t="shared" si="121"/>
        <v>0</v>
      </c>
      <c r="M665" s="498">
        <f t="shared" si="123"/>
        <v>100</v>
      </c>
    </row>
    <row r="666" spans="1:13" outlineLevel="7" x14ac:dyDescent="0.3">
      <c r="A666" s="438" t="s">
        <v>424</v>
      </c>
      <c r="B666" s="439" t="s">
        <v>536</v>
      </c>
      <c r="C666" s="439" t="s">
        <v>77</v>
      </c>
      <c r="D666" s="539" t="s">
        <v>235</v>
      </c>
      <c r="E666" s="539" t="s">
        <v>6</v>
      </c>
      <c r="F666" s="540">
        <v>69978.509999999995</v>
      </c>
      <c r="G666" s="465">
        <f t="shared" si="126"/>
        <v>70000</v>
      </c>
      <c r="H666" s="440">
        <f t="shared" si="126"/>
        <v>53268</v>
      </c>
      <c r="I666" s="440">
        <f t="shared" si="126"/>
        <v>70000</v>
      </c>
      <c r="J666" s="465">
        <f t="shared" si="126"/>
        <v>70000</v>
      </c>
      <c r="K666" s="465">
        <f t="shared" si="126"/>
        <v>70000</v>
      </c>
      <c r="L666" s="436">
        <f t="shared" si="121"/>
        <v>0</v>
      </c>
      <c r="M666" s="498">
        <f t="shared" si="123"/>
        <v>100</v>
      </c>
    </row>
    <row r="667" spans="1:13" ht="23.3" customHeight="1" outlineLevel="7" x14ac:dyDescent="0.3">
      <c r="A667" s="438" t="s">
        <v>15</v>
      </c>
      <c r="B667" s="439" t="s">
        <v>536</v>
      </c>
      <c r="C667" s="439" t="s">
        <v>77</v>
      </c>
      <c r="D667" s="539" t="s">
        <v>235</v>
      </c>
      <c r="E667" s="539" t="s">
        <v>16</v>
      </c>
      <c r="F667" s="540">
        <v>69978.509999999995</v>
      </c>
      <c r="G667" s="465">
        <f t="shared" si="126"/>
        <v>70000</v>
      </c>
      <c r="H667" s="440">
        <f t="shared" si="126"/>
        <v>53268</v>
      </c>
      <c r="I667" s="440">
        <f t="shared" si="126"/>
        <v>70000</v>
      </c>
      <c r="J667" s="465">
        <f t="shared" si="126"/>
        <v>70000</v>
      </c>
      <c r="K667" s="465">
        <f t="shared" si="126"/>
        <v>70000</v>
      </c>
      <c r="L667" s="436">
        <f t="shared" si="121"/>
        <v>0</v>
      </c>
      <c r="M667" s="498">
        <f t="shared" si="123"/>
        <v>100</v>
      </c>
    </row>
    <row r="668" spans="1:13" ht="34" outlineLevel="2" x14ac:dyDescent="0.3">
      <c r="A668" s="438" t="s">
        <v>17</v>
      </c>
      <c r="B668" s="439" t="s">
        <v>536</v>
      </c>
      <c r="C668" s="439" t="s">
        <v>77</v>
      </c>
      <c r="D668" s="539" t="s">
        <v>235</v>
      </c>
      <c r="E668" s="539" t="s">
        <v>18</v>
      </c>
      <c r="F668" s="540">
        <v>69978.509999999995</v>
      </c>
      <c r="G668" s="466">
        <v>70000</v>
      </c>
      <c r="H668" s="443">
        <v>53268</v>
      </c>
      <c r="I668" s="442">
        <v>70000</v>
      </c>
      <c r="J668" s="466">
        <v>70000</v>
      </c>
      <c r="K668" s="466">
        <v>70000</v>
      </c>
      <c r="L668" s="436">
        <f t="shared" si="121"/>
        <v>0</v>
      </c>
      <c r="M668" s="498">
        <f t="shared" si="123"/>
        <v>100</v>
      </c>
    </row>
    <row r="669" spans="1:13" s="449" customFormat="1" ht="34" outlineLevel="3" x14ac:dyDescent="0.3">
      <c r="A669" s="450" t="s">
        <v>275</v>
      </c>
      <c r="B669" s="439" t="s">
        <v>536</v>
      </c>
      <c r="C669" s="439" t="s">
        <v>77</v>
      </c>
      <c r="D669" s="539" t="s">
        <v>223</v>
      </c>
      <c r="E669" s="539" t="s">
        <v>6</v>
      </c>
      <c r="F669" s="540">
        <v>1561006.95</v>
      </c>
      <c r="G669" s="466">
        <f>G670</f>
        <v>1846369</v>
      </c>
      <c r="H669" s="442">
        <f>H670</f>
        <v>1805220.25</v>
      </c>
      <c r="I669" s="442">
        <f>I670</f>
        <v>1847300</v>
      </c>
      <c r="J669" s="466">
        <f>J670</f>
        <v>2608119.25</v>
      </c>
      <c r="K669" s="466">
        <f>K670</f>
        <v>2608119.25</v>
      </c>
      <c r="L669" s="436">
        <f t="shared" si="121"/>
        <v>0</v>
      </c>
      <c r="M669" s="498">
        <f t="shared" si="123"/>
        <v>141.25666375464493</v>
      </c>
    </row>
    <row r="670" spans="1:13" s="449" customFormat="1" ht="84.9" outlineLevel="3" x14ac:dyDescent="0.3">
      <c r="A670" s="393" t="s">
        <v>403</v>
      </c>
      <c r="B670" s="439" t="s">
        <v>536</v>
      </c>
      <c r="C670" s="439" t="s">
        <v>77</v>
      </c>
      <c r="D670" s="539" t="s">
        <v>152</v>
      </c>
      <c r="E670" s="539" t="s">
        <v>6</v>
      </c>
      <c r="F670" s="540">
        <v>1561006.95</v>
      </c>
      <c r="G670" s="465">
        <f>G671+G675+G673</f>
        <v>1846369</v>
      </c>
      <c r="H670" s="440">
        <f>H671+H675+H673</f>
        <v>1805220.25</v>
      </c>
      <c r="I670" s="440">
        <f>I671+I675+I673</f>
        <v>1847300</v>
      </c>
      <c r="J670" s="513">
        <v>2608119.25</v>
      </c>
      <c r="K670" s="513">
        <v>2608119.25</v>
      </c>
      <c r="L670" s="436">
        <f t="shared" si="121"/>
        <v>0</v>
      </c>
      <c r="M670" s="498">
        <f t="shared" si="123"/>
        <v>141.25666375464493</v>
      </c>
    </row>
    <row r="671" spans="1:13" ht="34" outlineLevel="5" x14ac:dyDescent="0.3">
      <c r="A671" s="438" t="s">
        <v>15</v>
      </c>
      <c r="B671" s="439" t="s">
        <v>536</v>
      </c>
      <c r="C671" s="439" t="s">
        <v>77</v>
      </c>
      <c r="D671" s="539" t="s">
        <v>152</v>
      </c>
      <c r="E671" s="539" t="s">
        <v>16</v>
      </c>
      <c r="F671" s="540">
        <v>0</v>
      </c>
      <c r="G671" s="465">
        <f>G672</f>
        <v>2000</v>
      </c>
      <c r="H671" s="440">
        <f>H672</f>
        <v>0</v>
      </c>
      <c r="I671" s="440">
        <f>I672</f>
        <v>2000</v>
      </c>
      <c r="J671" s="465">
        <f>J672</f>
        <v>2608119.25</v>
      </c>
      <c r="K671" s="465">
        <f>K672</f>
        <v>2608119.25</v>
      </c>
      <c r="L671" s="436">
        <f t="shared" si="121"/>
        <v>0</v>
      </c>
      <c r="M671" s="498"/>
    </row>
    <row r="672" spans="1:13" ht="34" outlineLevel="6" x14ac:dyDescent="0.3">
      <c r="A672" s="438" t="s">
        <v>17</v>
      </c>
      <c r="B672" s="439" t="s">
        <v>536</v>
      </c>
      <c r="C672" s="439" t="s">
        <v>77</v>
      </c>
      <c r="D672" s="539" t="s">
        <v>152</v>
      </c>
      <c r="E672" s="539" t="s">
        <v>18</v>
      </c>
      <c r="F672" s="540">
        <v>0</v>
      </c>
      <c r="G672" s="466">
        <v>2000</v>
      </c>
      <c r="H672" s="442">
        <v>0</v>
      </c>
      <c r="I672" s="442">
        <v>2000</v>
      </c>
      <c r="J672" s="510">
        <v>2608119.25</v>
      </c>
      <c r="K672" s="510">
        <v>2608119.25</v>
      </c>
      <c r="L672" s="436">
        <f t="shared" si="121"/>
        <v>0</v>
      </c>
      <c r="M672" s="498"/>
    </row>
    <row r="673" spans="1:13" outlineLevel="7" x14ac:dyDescent="0.3">
      <c r="A673" s="438" t="s">
        <v>90</v>
      </c>
      <c r="B673" s="439" t="s">
        <v>536</v>
      </c>
      <c r="C673" s="439" t="s">
        <v>77</v>
      </c>
      <c r="D673" s="539" t="s">
        <v>152</v>
      </c>
      <c r="E673" s="539" t="s">
        <v>91</v>
      </c>
      <c r="F673" s="540">
        <v>194977.5</v>
      </c>
      <c r="G673" s="465">
        <f>G674</f>
        <v>320000</v>
      </c>
      <c r="H673" s="440">
        <f>H674</f>
        <v>280851.25</v>
      </c>
      <c r="I673" s="440">
        <f>I674</f>
        <v>320000</v>
      </c>
      <c r="J673" s="465">
        <f>J674</f>
        <v>0</v>
      </c>
      <c r="K673" s="465">
        <f>K674</f>
        <v>0</v>
      </c>
      <c r="L673" s="436">
        <f t="shared" si="121"/>
        <v>0</v>
      </c>
      <c r="M673" s="498">
        <f t="shared" si="123"/>
        <v>0</v>
      </c>
    </row>
    <row r="674" spans="1:13" ht="34" outlineLevel="6" x14ac:dyDescent="0.3">
      <c r="A674" s="438" t="s">
        <v>97</v>
      </c>
      <c r="B674" s="439" t="s">
        <v>536</v>
      </c>
      <c r="C674" s="439" t="s">
        <v>77</v>
      </c>
      <c r="D674" s="539" t="s">
        <v>152</v>
      </c>
      <c r="E674" s="539" t="s">
        <v>98</v>
      </c>
      <c r="F674" s="540">
        <v>194977.5</v>
      </c>
      <c r="G674" s="466">
        <v>320000</v>
      </c>
      <c r="H674" s="443">
        <v>280851.25</v>
      </c>
      <c r="I674" s="442">
        <v>320000</v>
      </c>
      <c r="J674" s="510">
        <v>0</v>
      </c>
      <c r="K674" s="510">
        <v>0</v>
      </c>
      <c r="L674" s="436">
        <f t="shared" si="121"/>
        <v>0</v>
      </c>
      <c r="M674" s="498">
        <f t="shared" si="123"/>
        <v>0</v>
      </c>
    </row>
    <row r="675" spans="1:13" ht="21.25" customHeight="1" outlineLevel="7" x14ac:dyDescent="0.3">
      <c r="A675" s="438" t="s">
        <v>37</v>
      </c>
      <c r="B675" s="439" t="s">
        <v>536</v>
      </c>
      <c r="C675" s="439" t="s">
        <v>77</v>
      </c>
      <c r="D675" s="539" t="s">
        <v>152</v>
      </c>
      <c r="E675" s="539" t="s">
        <v>38</v>
      </c>
      <c r="F675" s="540">
        <v>1366029.45</v>
      </c>
      <c r="G675" s="465">
        <v>1524369</v>
      </c>
      <c r="H675" s="441">
        <v>1524369</v>
      </c>
      <c r="I675" s="440">
        <f>I676</f>
        <v>1525300</v>
      </c>
      <c r="J675" s="465">
        <f>J676</f>
        <v>0</v>
      </c>
      <c r="K675" s="465">
        <f>K676</f>
        <v>0</v>
      </c>
      <c r="L675" s="436">
        <f t="shared" si="121"/>
        <v>0</v>
      </c>
      <c r="M675" s="498">
        <f t="shared" si="123"/>
        <v>0</v>
      </c>
    </row>
    <row r="676" spans="1:13" outlineLevel="7" x14ac:dyDescent="0.3">
      <c r="A676" s="438" t="s">
        <v>74</v>
      </c>
      <c r="B676" s="439" t="s">
        <v>536</v>
      </c>
      <c r="C676" s="439" t="s">
        <v>77</v>
      </c>
      <c r="D676" s="539" t="s">
        <v>152</v>
      </c>
      <c r="E676" s="539" t="s">
        <v>75</v>
      </c>
      <c r="F676" s="540">
        <v>1366029.45</v>
      </c>
      <c r="G676" s="466">
        <v>1525300</v>
      </c>
      <c r="H676" s="443">
        <v>1524369</v>
      </c>
      <c r="I676" s="442">
        <v>1525300</v>
      </c>
      <c r="J676" s="510">
        <v>0</v>
      </c>
      <c r="K676" s="510">
        <v>0</v>
      </c>
      <c r="L676" s="436">
        <f t="shared" si="121"/>
        <v>0</v>
      </c>
      <c r="M676" s="498">
        <f t="shared" si="123"/>
        <v>0</v>
      </c>
    </row>
    <row r="677" spans="1:13" ht="34" outlineLevel="7" x14ac:dyDescent="0.3">
      <c r="A677" s="397" t="s">
        <v>238</v>
      </c>
      <c r="B677" s="439" t="s">
        <v>536</v>
      </c>
      <c r="C677" s="439" t="s">
        <v>77</v>
      </c>
      <c r="D677" s="539" t="s">
        <v>237</v>
      </c>
      <c r="E677" s="539" t="s">
        <v>6</v>
      </c>
      <c r="F677" s="540">
        <v>124000</v>
      </c>
      <c r="G677" s="466">
        <f t="shared" ref="G677:K679" si="127">G678</f>
        <v>125000</v>
      </c>
      <c r="H677" s="442">
        <f t="shared" si="127"/>
        <v>60956</v>
      </c>
      <c r="I677" s="442">
        <f t="shared" si="127"/>
        <v>125000</v>
      </c>
      <c r="J677" s="466">
        <f t="shared" si="127"/>
        <v>125000</v>
      </c>
      <c r="K677" s="466">
        <f t="shared" si="127"/>
        <v>125000</v>
      </c>
      <c r="L677" s="436">
        <f t="shared" si="121"/>
        <v>0</v>
      </c>
      <c r="M677" s="498">
        <f t="shared" si="123"/>
        <v>100</v>
      </c>
    </row>
    <row r="678" spans="1:13" outlineLevel="5" x14ac:dyDescent="0.3">
      <c r="A678" s="438" t="s">
        <v>78</v>
      </c>
      <c r="B678" s="439" t="s">
        <v>536</v>
      </c>
      <c r="C678" s="439" t="s">
        <v>77</v>
      </c>
      <c r="D678" s="539" t="s">
        <v>153</v>
      </c>
      <c r="E678" s="539" t="s">
        <v>6</v>
      </c>
      <c r="F678" s="540">
        <v>124000</v>
      </c>
      <c r="G678" s="465">
        <f t="shared" si="127"/>
        <v>125000</v>
      </c>
      <c r="H678" s="440">
        <f t="shared" si="127"/>
        <v>60956</v>
      </c>
      <c r="I678" s="440">
        <f t="shared" si="127"/>
        <v>125000</v>
      </c>
      <c r="J678" s="465">
        <f t="shared" si="127"/>
        <v>125000</v>
      </c>
      <c r="K678" s="465">
        <f t="shared" si="127"/>
        <v>125000</v>
      </c>
      <c r="L678" s="436">
        <f t="shared" si="121"/>
        <v>0</v>
      </c>
      <c r="M678" s="498">
        <f t="shared" si="123"/>
        <v>100</v>
      </c>
    </row>
    <row r="679" spans="1:13" ht="34" outlineLevel="6" x14ac:dyDescent="0.3">
      <c r="A679" s="438" t="s">
        <v>15</v>
      </c>
      <c r="B679" s="439" t="s">
        <v>536</v>
      </c>
      <c r="C679" s="439" t="s">
        <v>77</v>
      </c>
      <c r="D679" s="539" t="s">
        <v>153</v>
      </c>
      <c r="E679" s="539" t="s">
        <v>16</v>
      </c>
      <c r="F679" s="540">
        <v>124000</v>
      </c>
      <c r="G679" s="465">
        <f t="shared" si="127"/>
        <v>125000</v>
      </c>
      <c r="H679" s="440">
        <f t="shared" si="127"/>
        <v>60956</v>
      </c>
      <c r="I679" s="440">
        <f t="shared" si="127"/>
        <v>125000</v>
      </c>
      <c r="J679" s="465">
        <f t="shared" si="127"/>
        <v>125000</v>
      </c>
      <c r="K679" s="465">
        <f t="shared" si="127"/>
        <v>125000</v>
      </c>
      <c r="L679" s="436">
        <f t="shared" si="121"/>
        <v>0</v>
      </c>
      <c r="M679" s="498">
        <f t="shared" si="123"/>
        <v>100</v>
      </c>
    </row>
    <row r="680" spans="1:13" ht="34" outlineLevel="7" x14ac:dyDescent="0.3">
      <c r="A680" s="438" t="s">
        <v>17</v>
      </c>
      <c r="B680" s="439" t="s">
        <v>536</v>
      </c>
      <c r="C680" s="439" t="s">
        <v>77</v>
      </c>
      <c r="D680" s="539" t="s">
        <v>153</v>
      </c>
      <c r="E680" s="539" t="s">
        <v>18</v>
      </c>
      <c r="F680" s="540">
        <v>124000</v>
      </c>
      <c r="G680" s="466">
        <v>125000</v>
      </c>
      <c r="H680" s="443">
        <v>60956</v>
      </c>
      <c r="I680" s="442">
        <v>125000</v>
      </c>
      <c r="J680" s="466">
        <v>125000</v>
      </c>
      <c r="K680" s="466">
        <v>125000</v>
      </c>
      <c r="L680" s="436">
        <f t="shared" si="121"/>
        <v>0</v>
      </c>
      <c r="M680" s="498">
        <f t="shared" si="123"/>
        <v>100</v>
      </c>
    </row>
    <row r="681" spans="1:13" outlineLevel="6" x14ac:dyDescent="0.3">
      <c r="A681" s="438" t="s">
        <v>116</v>
      </c>
      <c r="B681" s="439" t="s">
        <v>536</v>
      </c>
      <c r="C681" s="439" t="s">
        <v>117</v>
      </c>
      <c r="D681" s="539" t="s">
        <v>126</v>
      </c>
      <c r="E681" s="539" t="s">
        <v>6</v>
      </c>
      <c r="F681" s="540">
        <v>20583160.210000001</v>
      </c>
      <c r="G681" s="465">
        <f t="shared" ref="G681:K682" si="128">G682</f>
        <v>23901235</v>
      </c>
      <c r="H681" s="440">
        <f t="shared" si="128"/>
        <v>17186408.539999999</v>
      </c>
      <c r="I681" s="440">
        <f t="shared" si="128"/>
        <v>21748475</v>
      </c>
      <c r="J681" s="465">
        <f t="shared" si="128"/>
        <v>23843513</v>
      </c>
      <c r="K681" s="465">
        <f t="shared" si="128"/>
        <v>23843513</v>
      </c>
      <c r="L681" s="436">
        <f t="shared" si="121"/>
        <v>0</v>
      </c>
      <c r="M681" s="498">
        <f t="shared" si="123"/>
        <v>99.758497834944507</v>
      </c>
    </row>
    <row r="682" spans="1:13" ht="46.55" customHeight="1" outlineLevel="7" x14ac:dyDescent="0.3">
      <c r="A682" s="444" t="s">
        <v>827</v>
      </c>
      <c r="B682" s="445" t="s">
        <v>536</v>
      </c>
      <c r="C682" s="445" t="s">
        <v>117</v>
      </c>
      <c r="D682" s="541" t="s">
        <v>138</v>
      </c>
      <c r="E682" s="541" t="s">
        <v>6</v>
      </c>
      <c r="F682" s="542">
        <v>20583160.210000001</v>
      </c>
      <c r="G682" s="520">
        <f t="shared" si="128"/>
        <v>23901235</v>
      </c>
      <c r="H682" s="471">
        <f t="shared" si="128"/>
        <v>17186408.539999999</v>
      </c>
      <c r="I682" s="471">
        <f t="shared" si="128"/>
        <v>21748475</v>
      </c>
      <c r="J682" s="520">
        <f t="shared" si="128"/>
        <v>23843513</v>
      </c>
      <c r="K682" s="520">
        <f t="shared" si="128"/>
        <v>23843513</v>
      </c>
      <c r="L682" s="436">
        <f t="shared" si="121"/>
        <v>0</v>
      </c>
      <c r="M682" s="498">
        <f t="shared" si="123"/>
        <v>99.758497834944507</v>
      </c>
    </row>
    <row r="683" spans="1:13" ht="34" outlineLevel="6" x14ac:dyDescent="0.3">
      <c r="A683" s="450" t="s">
        <v>209</v>
      </c>
      <c r="B683" s="439" t="s">
        <v>536</v>
      </c>
      <c r="C683" s="439" t="s">
        <v>117</v>
      </c>
      <c r="D683" s="539" t="s">
        <v>226</v>
      </c>
      <c r="E683" s="539" t="s">
        <v>6</v>
      </c>
      <c r="F683" s="540">
        <v>20583160.210000001</v>
      </c>
      <c r="G683" s="508">
        <f>G684+G691+G698</f>
        <v>23901235</v>
      </c>
      <c r="H683" s="446">
        <f>H684+H691+H698</f>
        <v>17186408.539999999</v>
      </c>
      <c r="I683" s="446">
        <f>I684+I691+I698</f>
        <v>21748475</v>
      </c>
      <c r="J683" s="508">
        <f>J684+J691+J698</f>
        <v>23843513</v>
      </c>
      <c r="K683" s="508">
        <f>K684+K691+K698</f>
        <v>23843513</v>
      </c>
      <c r="L683" s="436">
        <f t="shared" si="121"/>
        <v>0</v>
      </c>
      <c r="M683" s="498">
        <f t="shared" si="123"/>
        <v>99.758497834944507</v>
      </c>
    </row>
    <row r="684" spans="1:13" ht="39.75" customHeight="1" outlineLevel="7" x14ac:dyDescent="0.3">
      <c r="A684" s="438" t="s">
        <v>494</v>
      </c>
      <c r="B684" s="439" t="s">
        <v>536</v>
      </c>
      <c r="C684" s="439" t="s">
        <v>117</v>
      </c>
      <c r="D684" s="539" t="s">
        <v>535</v>
      </c>
      <c r="E684" s="539" t="s">
        <v>6</v>
      </c>
      <c r="F684" s="540">
        <v>4679801.09</v>
      </c>
      <c r="G684" s="465">
        <f>G685+G687+G689</f>
        <v>6389242</v>
      </c>
      <c r="H684" s="440">
        <f>H685+H687+H689</f>
        <v>4957074.93</v>
      </c>
      <c r="I684" s="440">
        <f>I685+I687+I689</f>
        <v>5189242</v>
      </c>
      <c r="J684" s="465">
        <f>J685+J687+J689</f>
        <v>5880410</v>
      </c>
      <c r="K684" s="465">
        <f>K685+K687+K689</f>
        <v>5880410</v>
      </c>
      <c r="L684" s="436">
        <f t="shared" si="121"/>
        <v>0</v>
      </c>
      <c r="M684" s="498">
        <f t="shared" si="123"/>
        <v>92.036113204038912</v>
      </c>
    </row>
    <row r="685" spans="1:13" ht="84.9" outlineLevel="3" x14ac:dyDescent="0.3">
      <c r="A685" s="438" t="s">
        <v>11</v>
      </c>
      <c r="B685" s="439" t="s">
        <v>536</v>
      </c>
      <c r="C685" s="439" t="s">
        <v>117</v>
      </c>
      <c r="D685" s="539" t="s">
        <v>535</v>
      </c>
      <c r="E685" s="539" t="s">
        <v>12</v>
      </c>
      <c r="F685" s="540">
        <v>4322530.09</v>
      </c>
      <c r="G685" s="465">
        <f>G686</f>
        <v>5089242</v>
      </c>
      <c r="H685" s="440">
        <f>H686</f>
        <v>3737020.13</v>
      </c>
      <c r="I685" s="440">
        <f>I686</f>
        <v>5089242</v>
      </c>
      <c r="J685" s="465">
        <f>J686</f>
        <v>5300410</v>
      </c>
      <c r="K685" s="465">
        <f>K686</f>
        <v>5300410</v>
      </c>
      <c r="L685" s="436">
        <f t="shared" si="121"/>
        <v>0</v>
      </c>
      <c r="M685" s="498">
        <f t="shared" si="123"/>
        <v>104.14930160522923</v>
      </c>
    </row>
    <row r="686" spans="1:13" ht="34" outlineLevel="3" x14ac:dyDescent="0.3">
      <c r="A686" s="438" t="s">
        <v>13</v>
      </c>
      <c r="B686" s="439" t="s">
        <v>536</v>
      </c>
      <c r="C686" s="439" t="s">
        <v>117</v>
      </c>
      <c r="D686" s="539" t="s">
        <v>535</v>
      </c>
      <c r="E686" s="539" t="s">
        <v>14</v>
      </c>
      <c r="F686" s="540">
        <v>4322530.09</v>
      </c>
      <c r="G686" s="466">
        <f>[2]потребность!I621</f>
        <v>5089242</v>
      </c>
      <c r="H686" s="443">
        <v>3737020.13</v>
      </c>
      <c r="I686" s="442">
        <v>5089242</v>
      </c>
      <c r="J686" s="466">
        <v>5300410</v>
      </c>
      <c r="K686" s="466">
        <v>5300410</v>
      </c>
      <c r="L686" s="436">
        <f t="shared" si="121"/>
        <v>0</v>
      </c>
      <c r="M686" s="498">
        <f t="shared" si="123"/>
        <v>104.14930160522923</v>
      </c>
    </row>
    <row r="687" spans="1:13" ht="34" outlineLevel="3" x14ac:dyDescent="0.3">
      <c r="A687" s="438" t="s">
        <v>15</v>
      </c>
      <c r="B687" s="439" t="s">
        <v>536</v>
      </c>
      <c r="C687" s="439" t="s">
        <v>117</v>
      </c>
      <c r="D687" s="539" t="s">
        <v>535</v>
      </c>
      <c r="E687" s="539" t="s">
        <v>16</v>
      </c>
      <c r="F687" s="540">
        <v>310400</v>
      </c>
      <c r="G687" s="465">
        <f>G688</f>
        <v>1300000</v>
      </c>
      <c r="H687" s="440">
        <f>H688</f>
        <v>1220054.8</v>
      </c>
      <c r="I687" s="440">
        <f>I688</f>
        <v>100000</v>
      </c>
      <c r="J687" s="465">
        <f>J688</f>
        <v>580000</v>
      </c>
      <c r="K687" s="465">
        <f>K688</f>
        <v>580000</v>
      </c>
      <c r="L687" s="436">
        <f t="shared" si="121"/>
        <v>0</v>
      </c>
      <c r="M687" s="498">
        <f t="shared" si="123"/>
        <v>44.615384615384613</v>
      </c>
    </row>
    <row r="688" spans="1:13" s="449" customFormat="1" ht="46.2" customHeight="1" outlineLevel="3" x14ac:dyDescent="0.3">
      <c r="A688" s="438" t="s">
        <v>17</v>
      </c>
      <c r="B688" s="439" t="s">
        <v>536</v>
      </c>
      <c r="C688" s="439" t="s">
        <v>117</v>
      </c>
      <c r="D688" s="539" t="s">
        <v>535</v>
      </c>
      <c r="E688" s="539" t="s">
        <v>18</v>
      </c>
      <c r="F688" s="540">
        <v>310400</v>
      </c>
      <c r="G688" s="466">
        <f>[2]потребность!I623+1200000</f>
        <v>1300000</v>
      </c>
      <c r="H688" s="443">
        <v>1220054.8</v>
      </c>
      <c r="I688" s="442">
        <v>100000</v>
      </c>
      <c r="J688" s="466">
        <v>580000</v>
      </c>
      <c r="K688" s="466">
        <v>580000</v>
      </c>
      <c r="L688" s="436">
        <f t="shared" si="121"/>
        <v>0</v>
      </c>
      <c r="M688" s="498">
        <f t="shared" si="123"/>
        <v>44.615384615384613</v>
      </c>
    </row>
    <row r="689" spans="1:13" outlineLevel="3" x14ac:dyDescent="0.3">
      <c r="A689" s="438" t="s">
        <v>19</v>
      </c>
      <c r="B689" s="439" t="s">
        <v>536</v>
      </c>
      <c r="C689" s="439" t="s">
        <v>117</v>
      </c>
      <c r="D689" s="539" t="s">
        <v>535</v>
      </c>
      <c r="E689" s="539" t="s">
        <v>20</v>
      </c>
      <c r="F689" s="540">
        <v>46871</v>
      </c>
      <c r="G689" s="466">
        <f>G690</f>
        <v>0</v>
      </c>
      <c r="H689" s="442">
        <f>H690</f>
        <v>0</v>
      </c>
      <c r="I689" s="442">
        <f>I690</f>
        <v>0</v>
      </c>
      <c r="J689" s="466">
        <v>0</v>
      </c>
      <c r="K689" s="466">
        <v>0</v>
      </c>
      <c r="L689" s="436">
        <f t="shared" si="121"/>
        <v>0</v>
      </c>
      <c r="M689" s="498"/>
    </row>
    <row r="690" spans="1:13" s="449" customFormat="1" outlineLevel="3" x14ac:dyDescent="0.3">
      <c r="A690" s="438" t="s">
        <v>21</v>
      </c>
      <c r="B690" s="439" t="s">
        <v>536</v>
      </c>
      <c r="C690" s="439" t="s">
        <v>117</v>
      </c>
      <c r="D690" s="539" t="s">
        <v>535</v>
      </c>
      <c r="E690" s="539" t="s">
        <v>22</v>
      </c>
      <c r="F690" s="540">
        <v>46871</v>
      </c>
      <c r="G690" s="466">
        <v>0</v>
      </c>
      <c r="H690" s="442">
        <v>0</v>
      </c>
      <c r="I690" s="442">
        <v>0</v>
      </c>
      <c r="J690" s="507">
        <v>0</v>
      </c>
      <c r="K690" s="507">
        <v>0</v>
      </c>
      <c r="L690" s="436">
        <f t="shared" si="121"/>
        <v>0</v>
      </c>
      <c r="M690" s="498"/>
    </row>
    <row r="691" spans="1:13" ht="34" outlineLevel="3" x14ac:dyDescent="0.3">
      <c r="A691" s="438" t="s">
        <v>33</v>
      </c>
      <c r="B691" s="439" t="s">
        <v>536</v>
      </c>
      <c r="C691" s="439" t="s">
        <v>117</v>
      </c>
      <c r="D691" s="539" t="s">
        <v>154</v>
      </c>
      <c r="E691" s="539" t="s">
        <v>6</v>
      </c>
      <c r="F691" s="540">
        <v>13829667.76</v>
      </c>
      <c r="G691" s="465">
        <f>G692+G694+G696</f>
        <v>15354732</v>
      </c>
      <c r="H691" s="440">
        <f>H692+H694+H696</f>
        <v>10604991.219999999</v>
      </c>
      <c r="I691" s="440">
        <f>I692+I694+I696</f>
        <v>14477700</v>
      </c>
      <c r="J691" s="465">
        <f>J692+J694+J696</f>
        <v>15696868</v>
      </c>
      <c r="K691" s="465">
        <f>K692+K694+K696</f>
        <v>15696868</v>
      </c>
      <c r="L691" s="436">
        <f t="shared" si="121"/>
        <v>0</v>
      </c>
      <c r="M691" s="498">
        <f t="shared" si="123"/>
        <v>102.2282121237935</v>
      </c>
    </row>
    <row r="692" spans="1:13" ht="84.9" outlineLevel="3" x14ac:dyDescent="0.3">
      <c r="A692" s="438" t="s">
        <v>11</v>
      </c>
      <c r="B692" s="439" t="s">
        <v>536</v>
      </c>
      <c r="C692" s="439" t="s">
        <v>117</v>
      </c>
      <c r="D692" s="539" t="s">
        <v>154</v>
      </c>
      <c r="E692" s="539" t="s">
        <v>12</v>
      </c>
      <c r="F692" s="540">
        <v>11317918.75</v>
      </c>
      <c r="G692" s="465">
        <f>G693</f>
        <v>12224586</v>
      </c>
      <c r="H692" s="440">
        <f>H693</f>
        <v>8887451.2799999993</v>
      </c>
      <c r="I692" s="440">
        <f>I693</f>
        <v>11638500</v>
      </c>
      <c r="J692" s="465">
        <f>J693</f>
        <v>12652855</v>
      </c>
      <c r="K692" s="465">
        <f>K693</f>
        <v>12652855</v>
      </c>
      <c r="L692" s="436">
        <f t="shared" si="121"/>
        <v>0</v>
      </c>
      <c r="M692" s="498">
        <f t="shared" si="123"/>
        <v>103.50334154465435</v>
      </c>
    </row>
    <row r="693" spans="1:13" outlineLevel="3" x14ac:dyDescent="0.3">
      <c r="A693" s="438" t="s">
        <v>34</v>
      </c>
      <c r="B693" s="439" t="s">
        <v>536</v>
      </c>
      <c r="C693" s="439" t="s">
        <v>117</v>
      </c>
      <c r="D693" s="539" t="s">
        <v>154</v>
      </c>
      <c r="E693" s="539" t="s">
        <v>35</v>
      </c>
      <c r="F693" s="540">
        <v>11317918.75</v>
      </c>
      <c r="G693" s="466">
        <f>11638500-64022+650000+108</f>
        <v>12224586</v>
      </c>
      <c r="H693" s="443">
        <v>8887451.2799999993</v>
      </c>
      <c r="I693" s="442">
        <v>11638500</v>
      </c>
      <c r="J693" s="466">
        <v>12652855</v>
      </c>
      <c r="K693" s="466">
        <v>12652855</v>
      </c>
      <c r="L693" s="436">
        <f t="shared" si="121"/>
        <v>0</v>
      </c>
      <c r="M693" s="498">
        <f t="shared" si="123"/>
        <v>103.50334154465435</v>
      </c>
    </row>
    <row r="694" spans="1:13" ht="34" outlineLevel="3" x14ac:dyDescent="0.3">
      <c r="A694" s="438" t="s">
        <v>15</v>
      </c>
      <c r="B694" s="439" t="s">
        <v>536</v>
      </c>
      <c r="C694" s="439" t="s">
        <v>117</v>
      </c>
      <c r="D694" s="539" t="s">
        <v>154</v>
      </c>
      <c r="E694" s="539" t="s">
        <v>16</v>
      </c>
      <c r="F694" s="540">
        <v>2478211.0099999998</v>
      </c>
      <c r="G694" s="465">
        <f>G695</f>
        <v>3090946</v>
      </c>
      <c r="H694" s="440">
        <f>H695</f>
        <v>1695350.94</v>
      </c>
      <c r="I694" s="440">
        <f>I695</f>
        <v>2800000</v>
      </c>
      <c r="J694" s="465">
        <f>J695</f>
        <v>3005948</v>
      </c>
      <c r="K694" s="465">
        <f>K695</f>
        <v>3005948</v>
      </c>
      <c r="L694" s="436">
        <f t="shared" si="121"/>
        <v>0</v>
      </c>
      <c r="M694" s="498">
        <f t="shared" si="123"/>
        <v>97.250097542952872</v>
      </c>
    </row>
    <row r="695" spans="1:13" ht="34" outlineLevel="3" x14ac:dyDescent="0.3">
      <c r="A695" s="438" t="s">
        <v>17</v>
      </c>
      <c r="B695" s="439" t="s">
        <v>536</v>
      </c>
      <c r="C695" s="439" t="s">
        <v>117</v>
      </c>
      <c r="D695" s="539" t="s">
        <v>154</v>
      </c>
      <c r="E695" s="539" t="s">
        <v>18</v>
      </c>
      <c r="F695" s="540">
        <v>2478211.0099999998</v>
      </c>
      <c r="G695" s="466">
        <f>[2]потребность!I630+7425+240000</f>
        <v>3090946</v>
      </c>
      <c r="H695" s="443">
        <v>1695350.94</v>
      </c>
      <c r="I695" s="442">
        <v>2800000</v>
      </c>
      <c r="J695" s="466">
        <v>3005948</v>
      </c>
      <c r="K695" s="466">
        <v>3005948</v>
      </c>
      <c r="L695" s="436">
        <f t="shared" si="121"/>
        <v>0</v>
      </c>
      <c r="M695" s="498">
        <f t="shared" si="123"/>
        <v>97.250097542952872</v>
      </c>
    </row>
    <row r="696" spans="1:13" s="449" customFormat="1" outlineLevel="3" x14ac:dyDescent="0.3">
      <c r="A696" s="438" t="s">
        <v>19</v>
      </c>
      <c r="B696" s="439" t="s">
        <v>536</v>
      </c>
      <c r="C696" s="439" t="s">
        <v>117</v>
      </c>
      <c r="D696" s="539" t="s">
        <v>154</v>
      </c>
      <c r="E696" s="539" t="s">
        <v>20</v>
      </c>
      <c r="F696" s="540">
        <v>33538</v>
      </c>
      <c r="G696" s="465">
        <f>G697</f>
        <v>39200</v>
      </c>
      <c r="H696" s="440">
        <f>H697</f>
        <v>22189</v>
      </c>
      <c r="I696" s="440">
        <f>I697</f>
        <v>39200</v>
      </c>
      <c r="J696" s="465">
        <f>J697</f>
        <v>38065</v>
      </c>
      <c r="K696" s="465">
        <f>K697</f>
        <v>38065</v>
      </c>
      <c r="L696" s="436">
        <f t="shared" si="121"/>
        <v>0</v>
      </c>
      <c r="M696" s="498">
        <f t="shared" si="123"/>
        <v>97.104591836734699</v>
      </c>
    </row>
    <row r="697" spans="1:13" outlineLevel="3" x14ac:dyDescent="0.3">
      <c r="A697" s="438" t="s">
        <v>21</v>
      </c>
      <c r="B697" s="439" t="s">
        <v>536</v>
      </c>
      <c r="C697" s="439" t="s">
        <v>117</v>
      </c>
      <c r="D697" s="539" t="s">
        <v>154</v>
      </c>
      <c r="E697" s="539" t="s">
        <v>22</v>
      </c>
      <c r="F697" s="540">
        <v>33538</v>
      </c>
      <c r="G697" s="466">
        <v>39200</v>
      </c>
      <c r="H697" s="443">
        <v>22189</v>
      </c>
      <c r="I697" s="442">
        <v>39200</v>
      </c>
      <c r="J697" s="466">
        <v>38065</v>
      </c>
      <c r="K697" s="466">
        <v>38065</v>
      </c>
      <c r="L697" s="436">
        <f t="shared" si="121"/>
        <v>0</v>
      </c>
      <c r="M697" s="498">
        <f t="shared" si="123"/>
        <v>97.104591836734699</v>
      </c>
    </row>
    <row r="698" spans="1:13" ht="23.3" customHeight="1" outlineLevel="3" x14ac:dyDescent="0.3">
      <c r="A698" s="397" t="s">
        <v>36</v>
      </c>
      <c r="B698" s="439" t="s">
        <v>536</v>
      </c>
      <c r="C698" s="439" t="s">
        <v>117</v>
      </c>
      <c r="D698" s="539" t="s">
        <v>155</v>
      </c>
      <c r="E698" s="539" t="s">
        <v>6</v>
      </c>
      <c r="F698" s="540">
        <v>2073691.36</v>
      </c>
      <c r="G698" s="465">
        <f t="shared" ref="G698:K699" si="129">G699</f>
        <v>2157261</v>
      </c>
      <c r="H698" s="440">
        <f t="shared" si="129"/>
        <v>1624342.39</v>
      </c>
      <c r="I698" s="440">
        <f t="shared" si="129"/>
        <v>2081533</v>
      </c>
      <c r="J698" s="466">
        <f t="shared" si="129"/>
        <v>2266235</v>
      </c>
      <c r="K698" s="466">
        <f t="shared" si="129"/>
        <v>2266235</v>
      </c>
      <c r="L698" s="436">
        <f t="shared" si="121"/>
        <v>0</v>
      </c>
      <c r="M698" s="498">
        <f t="shared" si="123"/>
        <v>105.05149817291463</v>
      </c>
    </row>
    <row r="699" spans="1:13" ht="45.7" customHeight="1" outlineLevel="3" x14ac:dyDescent="0.3">
      <c r="A699" s="438" t="s">
        <v>37</v>
      </c>
      <c r="B699" s="439" t="s">
        <v>536</v>
      </c>
      <c r="C699" s="439" t="s">
        <v>117</v>
      </c>
      <c r="D699" s="539" t="s">
        <v>155</v>
      </c>
      <c r="E699" s="539" t="s">
        <v>38</v>
      </c>
      <c r="F699" s="540">
        <v>2073691.36</v>
      </c>
      <c r="G699" s="465">
        <f t="shared" si="129"/>
        <v>2157261</v>
      </c>
      <c r="H699" s="440">
        <f t="shared" si="129"/>
        <v>1624342.39</v>
      </c>
      <c r="I699" s="440">
        <f t="shared" si="129"/>
        <v>2081533</v>
      </c>
      <c r="J699" s="466">
        <f t="shared" si="129"/>
        <v>2266235</v>
      </c>
      <c r="K699" s="466">
        <f t="shared" si="129"/>
        <v>2266235</v>
      </c>
      <c r="L699" s="436">
        <f t="shared" si="121"/>
        <v>0</v>
      </c>
      <c r="M699" s="498">
        <f t="shared" si="123"/>
        <v>105.05149817291463</v>
      </c>
    </row>
    <row r="700" spans="1:13" ht="22.75" customHeight="1" outlineLevel="3" x14ac:dyDescent="0.3">
      <c r="A700" s="438" t="s">
        <v>39</v>
      </c>
      <c r="B700" s="439" t="s">
        <v>536</v>
      </c>
      <c r="C700" s="439" t="s">
        <v>117</v>
      </c>
      <c r="D700" s="539" t="s">
        <v>155</v>
      </c>
      <c r="E700" s="539" t="s">
        <v>40</v>
      </c>
      <c r="F700" s="540">
        <v>2073691.36</v>
      </c>
      <c r="G700" s="466">
        <f>2081533+64022+11706</f>
        <v>2157261</v>
      </c>
      <c r="H700" s="443">
        <v>1624342.39</v>
      </c>
      <c r="I700" s="442">
        <v>2081533</v>
      </c>
      <c r="J700" s="466">
        <v>2266235</v>
      </c>
      <c r="K700" s="466">
        <v>2266235</v>
      </c>
      <c r="L700" s="436">
        <f t="shared" si="121"/>
        <v>0</v>
      </c>
      <c r="M700" s="498">
        <f t="shared" si="123"/>
        <v>105.05149817291463</v>
      </c>
    </row>
    <row r="701" spans="1:13" ht="23.3" customHeight="1" outlineLevel="3" x14ac:dyDescent="0.3">
      <c r="A701" s="444" t="s">
        <v>85</v>
      </c>
      <c r="B701" s="445" t="s">
        <v>536</v>
      </c>
      <c r="C701" s="445" t="s">
        <v>86</v>
      </c>
      <c r="D701" s="541" t="s">
        <v>126</v>
      </c>
      <c r="E701" s="541" t="s">
        <v>6</v>
      </c>
      <c r="F701" s="540">
        <v>4717600.49</v>
      </c>
      <c r="G701" s="508">
        <f>G702+G708</f>
        <v>4489069</v>
      </c>
      <c r="H701" s="446">
        <f>H702+H708</f>
        <v>2535444.17</v>
      </c>
      <c r="I701" s="446">
        <f>I702+I708</f>
        <v>4489069</v>
      </c>
      <c r="J701" s="508">
        <f>J702+J708</f>
        <v>5476354</v>
      </c>
      <c r="K701" s="508">
        <f>K702+K708</f>
        <v>5476354</v>
      </c>
      <c r="L701" s="436">
        <f t="shared" si="121"/>
        <v>0</v>
      </c>
      <c r="M701" s="498">
        <f t="shared" si="123"/>
        <v>121.99309032674704</v>
      </c>
    </row>
    <row r="702" spans="1:13" outlineLevel="3" x14ac:dyDescent="0.3">
      <c r="A702" s="438" t="s">
        <v>94</v>
      </c>
      <c r="B702" s="439" t="s">
        <v>536</v>
      </c>
      <c r="C702" s="439" t="s">
        <v>95</v>
      </c>
      <c r="D702" s="539" t="s">
        <v>126</v>
      </c>
      <c r="E702" s="539" t="s">
        <v>6</v>
      </c>
      <c r="F702" s="540">
        <v>1640454.55</v>
      </c>
      <c r="G702" s="465">
        <f t="shared" ref="G702:K706" si="130">G703</f>
        <v>1310000</v>
      </c>
      <c r="H702" s="440">
        <f t="shared" si="130"/>
        <v>566956.52</v>
      </c>
      <c r="I702" s="440">
        <f t="shared" si="130"/>
        <v>1310000</v>
      </c>
      <c r="J702" s="465">
        <f t="shared" si="130"/>
        <v>1685000</v>
      </c>
      <c r="K702" s="465">
        <f t="shared" si="130"/>
        <v>1685000</v>
      </c>
      <c r="L702" s="436">
        <f t="shared" si="121"/>
        <v>0</v>
      </c>
      <c r="M702" s="498">
        <f t="shared" si="123"/>
        <v>128.62595419847329</v>
      </c>
    </row>
    <row r="703" spans="1:13" ht="34" outlineLevel="3" x14ac:dyDescent="0.3">
      <c r="A703" s="444" t="s">
        <v>825</v>
      </c>
      <c r="B703" s="445" t="s">
        <v>536</v>
      </c>
      <c r="C703" s="445" t="s">
        <v>95</v>
      </c>
      <c r="D703" s="541" t="s">
        <v>138</v>
      </c>
      <c r="E703" s="541" t="s">
        <v>6</v>
      </c>
      <c r="F703" s="542">
        <v>1640454.55</v>
      </c>
      <c r="G703" s="508">
        <f t="shared" si="130"/>
        <v>1310000</v>
      </c>
      <c r="H703" s="446">
        <f t="shared" si="130"/>
        <v>566956.52</v>
      </c>
      <c r="I703" s="446">
        <f t="shared" si="130"/>
        <v>1310000</v>
      </c>
      <c r="J703" s="508">
        <f t="shared" si="130"/>
        <v>1685000</v>
      </c>
      <c r="K703" s="508">
        <f t="shared" si="130"/>
        <v>1685000</v>
      </c>
      <c r="L703" s="436">
        <f t="shared" si="121"/>
        <v>0</v>
      </c>
      <c r="M703" s="498">
        <f t="shared" si="123"/>
        <v>128.62595419847329</v>
      </c>
    </row>
    <row r="704" spans="1:13" outlineLevel="3" x14ac:dyDescent="0.3">
      <c r="A704" s="450" t="s">
        <v>738</v>
      </c>
      <c r="B704" s="439" t="s">
        <v>536</v>
      </c>
      <c r="C704" s="439" t="s">
        <v>95</v>
      </c>
      <c r="D704" s="539" t="s">
        <v>736</v>
      </c>
      <c r="E704" s="539" t="s">
        <v>6</v>
      </c>
      <c r="F704" s="540">
        <v>1640454.55</v>
      </c>
      <c r="G704" s="465">
        <f t="shared" si="130"/>
        <v>1310000</v>
      </c>
      <c r="H704" s="440">
        <f t="shared" si="130"/>
        <v>566956.52</v>
      </c>
      <c r="I704" s="440">
        <f t="shared" si="130"/>
        <v>1310000</v>
      </c>
      <c r="J704" s="465">
        <f t="shared" si="130"/>
        <v>1685000</v>
      </c>
      <c r="K704" s="465">
        <f t="shared" si="130"/>
        <v>1685000</v>
      </c>
      <c r="L704" s="436">
        <f t="shared" si="121"/>
        <v>0</v>
      </c>
      <c r="M704" s="498">
        <f t="shared" si="123"/>
        <v>128.62595419847329</v>
      </c>
    </row>
    <row r="705" spans="1:13" ht="101.9" outlineLevel="3" x14ac:dyDescent="0.3">
      <c r="A705" s="393" t="s">
        <v>405</v>
      </c>
      <c r="B705" s="439" t="s">
        <v>536</v>
      </c>
      <c r="C705" s="439" t="s">
        <v>95</v>
      </c>
      <c r="D705" s="539" t="s">
        <v>737</v>
      </c>
      <c r="E705" s="539" t="s">
        <v>6</v>
      </c>
      <c r="F705" s="540">
        <v>1640454.55</v>
      </c>
      <c r="G705" s="465">
        <f t="shared" si="130"/>
        <v>1310000</v>
      </c>
      <c r="H705" s="440">
        <f t="shared" si="130"/>
        <v>566956.52</v>
      </c>
      <c r="I705" s="440">
        <f t="shared" si="130"/>
        <v>1310000</v>
      </c>
      <c r="J705" s="513">
        <f t="shared" si="130"/>
        <v>1685000</v>
      </c>
      <c r="K705" s="513">
        <f t="shared" si="130"/>
        <v>1685000</v>
      </c>
      <c r="L705" s="436">
        <f t="shared" si="121"/>
        <v>0</v>
      </c>
      <c r="M705" s="498">
        <f t="shared" si="123"/>
        <v>128.62595419847329</v>
      </c>
    </row>
    <row r="706" spans="1:13" ht="23.3" customHeight="1" outlineLevel="3" x14ac:dyDescent="0.3">
      <c r="A706" s="438" t="s">
        <v>90</v>
      </c>
      <c r="B706" s="439" t="s">
        <v>536</v>
      </c>
      <c r="C706" s="439" t="s">
        <v>95</v>
      </c>
      <c r="D706" s="539" t="s">
        <v>737</v>
      </c>
      <c r="E706" s="539" t="s">
        <v>91</v>
      </c>
      <c r="F706" s="540">
        <v>1640454.55</v>
      </c>
      <c r="G706" s="465">
        <f t="shared" si="130"/>
        <v>1310000</v>
      </c>
      <c r="H706" s="440">
        <f t="shared" si="130"/>
        <v>566956.52</v>
      </c>
      <c r="I706" s="440">
        <f t="shared" si="130"/>
        <v>1310000</v>
      </c>
      <c r="J706" s="465">
        <f t="shared" si="130"/>
        <v>1685000</v>
      </c>
      <c r="K706" s="465">
        <f t="shared" si="130"/>
        <v>1685000</v>
      </c>
      <c r="L706" s="436">
        <f t="shared" si="121"/>
        <v>0</v>
      </c>
      <c r="M706" s="498">
        <f t="shared" si="123"/>
        <v>128.62595419847329</v>
      </c>
    </row>
    <row r="707" spans="1:13" ht="34" outlineLevel="3" x14ac:dyDescent="0.3">
      <c r="A707" s="438" t="s">
        <v>97</v>
      </c>
      <c r="B707" s="439" t="s">
        <v>536</v>
      </c>
      <c r="C707" s="439" t="s">
        <v>95</v>
      </c>
      <c r="D707" s="539" t="s">
        <v>737</v>
      </c>
      <c r="E707" s="539" t="s">
        <v>98</v>
      </c>
      <c r="F707" s="540">
        <v>1640454.55</v>
      </c>
      <c r="G707" s="466">
        <v>1310000</v>
      </c>
      <c r="H707" s="443">
        <v>566956.52</v>
      </c>
      <c r="I707" s="442">
        <v>1310000</v>
      </c>
      <c r="J707" s="510">
        <v>1685000</v>
      </c>
      <c r="K707" s="510">
        <v>1685000</v>
      </c>
      <c r="L707" s="436">
        <f t="shared" si="121"/>
        <v>0</v>
      </c>
      <c r="M707" s="498">
        <f t="shared" si="123"/>
        <v>128.62595419847329</v>
      </c>
    </row>
    <row r="708" spans="1:13" outlineLevel="3" x14ac:dyDescent="0.3">
      <c r="A708" s="438" t="s">
        <v>123</v>
      </c>
      <c r="B708" s="439" t="s">
        <v>536</v>
      </c>
      <c r="C708" s="439" t="s">
        <v>124</v>
      </c>
      <c r="D708" s="539" t="s">
        <v>126</v>
      </c>
      <c r="E708" s="539" t="s">
        <v>6</v>
      </c>
      <c r="F708" s="540">
        <v>3077145.94</v>
      </c>
      <c r="G708" s="465">
        <f t="shared" ref="G708:K711" si="131">G709</f>
        <v>3179069</v>
      </c>
      <c r="H708" s="440">
        <f t="shared" si="131"/>
        <v>1968487.6500000001</v>
      </c>
      <c r="I708" s="440">
        <f t="shared" si="131"/>
        <v>3179069</v>
      </c>
      <c r="J708" s="465">
        <f t="shared" si="131"/>
        <v>3791354</v>
      </c>
      <c r="K708" s="465">
        <f t="shared" si="131"/>
        <v>3791354</v>
      </c>
      <c r="L708" s="436">
        <f t="shared" si="121"/>
        <v>0</v>
      </c>
      <c r="M708" s="498">
        <f t="shared" si="123"/>
        <v>119.2598839471556</v>
      </c>
    </row>
    <row r="709" spans="1:13" ht="39.75" customHeight="1" outlineLevel="3" x14ac:dyDescent="0.3">
      <c r="A709" s="444" t="s">
        <v>827</v>
      </c>
      <c r="B709" s="445" t="s">
        <v>536</v>
      </c>
      <c r="C709" s="445" t="s">
        <v>124</v>
      </c>
      <c r="D709" s="541" t="s">
        <v>138</v>
      </c>
      <c r="E709" s="541" t="s">
        <v>6</v>
      </c>
      <c r="F709" s="542">
        <v>3077145.94</v>
      </c>
      <c r="G709" s="508">
        <f t="shared" si="131"/>
        <v>3179069</v>
      </c>
      <c r="H709" s="446">
        <f t="shared" si="131"/>
        <v>1968487.6500000001</v>
      </c>
      <c r="I709" s="446">
        <f t="shared" si="131"/>
        <v>3179069</v>
      </c>
      <c r="J709" s="508">
        <f t="shared" si="131"/>
        <v>3791354</v>
      </c>
      <c r="K709" s="508">
        <f t="shared" si="131"/>
        <v>3791354</v>
      </c>
      <c r="L709" s="436">
        <f t="shared" si="121"/>
        <v>0</v>
      </c>
      <c r="M709" s="498">
        <f t="shared" si="123"/>
        <v>119.2598839471556</v>
      </c>
    </row>
    <row r="710" spans="1:13" ht="34" outlineLevel="3" x14ac:dyDescent="0.3">
      <c r="A710" s="438" t="s">
        <v>396</v>
      </c>
      <c r="B710" s="439" t="s">
        <v>536</v>
      </c>
      <c r="C710" s="439" t="s">
        <v>124</v>
      </c>
      <c r="D710" s="539" t="s">
        <v>139</v>
      </c>
      <c r="E710" s="539" t="s">
        <v>6</v>
      </c>
      <c r="F710" s="540">
        <v>3077145.94</v>
      </c>
      <c r="G710" s="465">
        <f t="shared" si="131"/>
        <v>3179069</v>
      </c>
      <c r="H710" s="440">
        <f t="shared" si="131"/>
        <v>1968487.6500000001</v>
      </c>
      <c r="I710" s="440">
        <f t="shared" si="131"/>
        <v>3179069</v>
      </c>
      <c r="J710" s="465">
        <f t="shared" si="131"/>
        <v>3791354</v>
      </c>
      <c r="K710" s="465">
        <f t="shared" si="131"/>
        <v>3791354</v>
      </c>
      <c r="L710" s="436">
        <f t="shared" si="121"/>
        <v>0</v>
      </c>
      <c r="M710" s="498">
        <f t="shared" si="123"/>
        <v>119.2598839471556</v>
      </c>
    </row>
    <row r="711" spans="1:13" ht="24.8" customHeight="1" outlineLevel="3" x14ac:dyDescent="0.3">
      <c r="A711" s="450" t="s">
        <v>204</v>
      </c>
      <c r="B711" s="439" t="s">
        <v>536</v>
      </c>
      <c r="C711" s="439" t="s">
        <v>124</v>
      </c>
      <c r="D711" s="539" t="s">
        <v>234</v>
      </c>
      <c r="E711" s="539" t="s">
        <v>6</v>
      </c>
      <c r="F711" s="540">
        <v>3077145.94</v>
      </c>
      <c r="G711" s="465">
        <f t="shared" si="131"/>
        <v>3179069</v>
      </c>
      <c r="H711" s="440">
        <f t="shared" si="131"/>
        <v>1968487.6500000001</v>
      </c>
      <c r="I711" s="440">
        <f t="shared" si="131"/>
        <v>3179069</v>
      </c>
      <c r="J711" s="465">
        <f t="shared" si="131"/>
        <v>3791354</v>
      </c>
      <c r="K711" s="465">
        <f t="shared" si="131"/>
        <v>3791354</v>
      </c>
      <c r="L711" s="436">
        <f t="shared" si="121"/>
        <v>0</v>
      </c>
      <c r="M711" s="498">
        <f t="shared" si="123"/>
        <v>119.2598839471556</v>
      </c>
    </row>
    <row r="712" spans="1:13" s="437" customFormat="1" ht="137.25" customHeight="1" x14ac:dyDescent="0.3">
      <c r="A712" s="393" t="s">
        <v>657</v>
      </c>
      <c r="B712" s="439" t="s">
        <v>536</v>
      </c>
      <c r="C712" s="439" t="s">
        <v>124</v>
      </c>
      <c r="D712" s="539" t="s">
        <v>156</v>
      </c>
      <c r="E712" s="539" t="s">
        <v>6</v>
      </c>
      <c r="F712" s="540">
        <v>3077145.94</v>
      </c>
      <c r="G712" s="465">
        <f>G715+G713</f>
        <v>3179069</v>
      </c>
      <c r="H712" s="440">
        <f>H715+H713</f>
        <v>1968487.6500000001</v>
      </c>
      <c r="I712" s="440">
        <f>I715+I713</f>
        <v>3179069</v>
      </c>
      <c r="J712" s="513">
        <f>J715+J713</f>
        <v>3791354</v>
      </c>
      <c r="K712" s="513">
        <f>K715+K713</f>
        <v>3791354</v>
      </c>
      <c r="L712" s="436">
        <f t="shared" ref="L712:L761" si="132">K712-J712</f>
        <v>0</v>
      </c>
      <c r="M712" s="498">
        <f t="shared" si="123"/>
        <v>119.2598839471556</v>
      </c>
    </row>
    <row r="713" spans="1:13" s="437" customFormat="1" ht="34" x14ac:dyDescent="0.3">
      <c r="A713" s="438" t="s">
        <v>15</v>
      </c>
      <c r="B713" s="439" t="s">
        <v>536</v>
      </c>
      <c r="C713" s="439" t="s">
        <v>124</v>
      </c>
      <c r="D713" s="539" t="s">
        <v>156</v>
      </c>
      <c r="E713" s="539" t="s">
        <v>16</v>
      </c>
      <c r="F713" s="540">
        <v>19534.14</v>
      </c>
      <c r="G713" s="465">
        <f>G714</f>
        <v>27000</v>
      </c>
      <c r="H713" s="440">
        <f>H714</f>
        <v>12323.04</v>
      </c>
      <c r="I713" s="440">
        <v>0</v>
      </c>
      <c r="J713" s="465">
        <f>J714</f>
        <v>0</v>
      </c>
      <c r="K713" s="465">
        <f>K714</f>
        <v>0</v>
      </c>
      <c r="L713" s="436">
        <f t="shared" si="132"/>
        <v>0</v>
      </c>
      <c r="M713" s="498">
        <f t="shared" si="123"/>
        <v>0</v>
      </c>
    </row>
    <row r="714" spans="1:13" s="437" customFormat="1" ht="34" x14ac:dyDescent="0.3">
      <c r="A714" s="438" t="s">
        <v>17</v>
      </c>
      <c r="B714" s="439" t="s">
        <v>536</v>
      </c>
      <c r="C714" s="439" t="s">
        <v>124</v>
      </c>
      <c r="D714" s="539" t="s">
        <v>156</v>
      </c>
      <c r="E714" s="539" t="s">
        <v>18</v>
      </c>
      <c r="F714" s="540">
        <v>19534.14</v>
      </c>
      <c r="G714" s="465">
        <f>22000+5000</f>
        <v>27000</v>
      </c>
      <c r="H714" s="441">
        <v>12323.04</v>
      </c>
      <c r="I714" s="440">
        <v>0</v>
      </c>
      <c r="J714" s="517">
        <v>0</v>
      </c>
      <c r="K714" s="517">
        <v>0</v>
      </c>
      <c r="L714" s="436">
        <f t="shared" si="132"/>
        <v>0</v>
      </c>
      <c r="M714" s="498">
        <f t="shared" ref="M714:M748" si="133">J714/G714%</f>
        <v>0</v>
      </c>
    </row>
    <row r="715" spans="1:13" s="437" customFormat="1" x14ac:dyDescent="0.3">
      <c r="A715" s="438" t="s">
        <v>90</v>
      </c>
      <c r="B715" s="439" t="s">
        <v>536</v>
      </c>
      <c r="C715" s="439" t="s">
        <v>124</v>
      </c>
      <c r="D715" s="539" t="s">
        <v>156</v>
      </c>
      <c r="E715" s="539" t="s">
        <v>91</v>
      </c>
      <c r="F715" s="540">
        <v>3057611.8</v>
      </c>
      <c r="G715" s="465">
        <f>G716</f>
        <v>3152069</v>
      </c>
      <c r="H715" s="440">
        <f>H716</f>
        <v>1956164.61</v>
      </c>
      <c r="I715" s="440">
        <f>I716</f>
        <v>3179069</v>
      </c>
      <c r="J715" s="465">
        <f>J716</f>
        <v>3791354</v>
      </c>
      <c r="K715" s="465">
        <f>K716</f>
        <v>3791354</v>
      </c>
      <c r="L715" s="436">
        <f t="shared" si="132"/>
        <v>0</v>
      </c>
      <c r="M715" s="498">
        <f t="shared" si="133"/>
        <v>120.28144053953135</v>
      </c>
    </row>
    <row r="716" spans="1:13" s="437" customFormat="1" ht="39.25" customHeight="1" x14ac:dyDescent="0.3">
      <c r="A716" s="438" t="s">
        <v>97</v>
      </c>
      <c r="B716" s="439" t="s">
        <v>536</v>
      </c>
      <c r="C716" s="439" t="s">
        <v>124</v>
      </c>
      <c r="D716" s="539" t="s">
        <v>156</v>
      </c>
      <c r="E716" s="539" t="s">
        <v>98</v>
      </c>
      <c r="F716" s="540">
        <v>3057611.8</v>
      </c>
      <c r="G716" s="466">
        <f>3179069-22000-5000</f>
        <v>3152069</v>
      </c>
      <c r="H716" s="443">
        <v>1956164.61</v>
      </c>
      <c r="I716" s="442">
        <v>3179069</v>
      </c>
      <c r="J716" s="510">
        <v>3791354</v>
      </c>
      <c r="K716" s="510">
        <v>3791354</v>
      </c>
      <c r="L716" s="436">
        <f t="shared" si="132"/>
        <v>0</v>
      </c>
      <c r="M716" s="498">
        <f t="shared" si="133"/>
        <v>120.28144053953135</v>
      </c>
    </row>
    <row r="717" spans="1:13" s="437" customFormat="1" x14ac:dyDescent="0.3">
      <c r="A717" s="444" t="s">
        <v>100</v>
      </c>
      <c r="B717" s="439" t="s">
        <v>536</v>
      </c>
      <c r="C717" s="439" t="s">
        <v>101</v>
      </c>
      <c r="D717" s="541" t="s">
        <v>126</v>
      </c>
      <c r="E717" s="539" t="s">
        <v>6</v>
      </c>
      <c r="F717" s="540">
        <v>3619351.16</v>
      </c>
      <c r="G717" s="466">
        <f t="shared" ref="G717:K725" si="134">G718</f>
        <v>2084474.79</v>
      </c>
      <c r="H717" s="442">
        <f t="shared" si="134"/>
        <v>1444149.23</v>
      </c>
      <c r="I717" s="442">
        <f t="shared" si="134"/>
        <v>358800</v>
      </c>
      <c r="J717" s="466">
        <f t="shared" si="134"/>
        <v>358800</v>
      </c>
      <c r="K717" s="466">
        <f t="shared" si="134"/>
        <v>358800</v>
      </c>
      <c r="L717" s="436">
        <f t="shared" si="132"/>
        <v>0</v>
      </c>
      <c r="M717" s="498">
        <f t="shared" si="133"/>
        <v>17.212969028039911</v>
      </c>
    </row>
    <row r="718" spans="1:13" x14ac:dyDescent="0.3">
      <c r="A718" s="438" t="s">
        <v>301</v>
      </c>
      <c r="B718" s="439" t="s">
        <v>536</v>
      </c>
      <c r="C718" s="439" t="s">
        <v>300</v>
      </c>
      <c r="D718" s="541" t="s">
        <v>126</v>
      </c>
      <c r="E718" s="539" t="s">
        <v>6</v>
      </c>
      <c r="F718" s="540">
        <v>3619351.16</v>
      </c>
      <c r="G718" s="466">
        <f t="shared" si="134"/>
        <v>2084474.79</v>
      </c>
      <c r="H718" s="442">
        <f t="shared" si="134"/>
        <v>1444149.23</v>
      </c>
      <c r="I718" s="442">
        <f t="shared" si="134"/>
        <v>358800</v>
      </c>
      <c r="J718" s="466">
        <f t="shared" si="134"/>
        <v>358800</v>
      </c>
      <c r="K718" s="466">
        <f t="shared" si="134"/>
        <v>358800</v>
      </c>
      <c r="L718" s="436">
        <f t="shared" si="132"/>
        <v>0</v>
      </c>
      <c r="M718" s="498">
        <f t="shared" si="133"/>
        <v>17.212969028039911</v>
      </c>
    </row>
    <row r="719" spans="1:13" ht="44.5" customHeight="1" x14ac:dyDescent="0.3">
      <c r="A719" s="444" t="s">
        <v>377</v>
      </c>
      <c r="B719" s="439" t="s">
        <v>536</v>
      </c>
      <c r="C719" s="439" t="s">
        <v>300</v>
      </c>
      <c r="D719" s="541" t="s">
        <v>200</v>
      </c>
      <c r="E719" s="539" t="s">
        <v>6</v>
      </c>
      <c r="F719" s="542">
        <v>3619351.16</v>
      </c>
      <c r="G719" s="466">
        <f t="shared" si="134"/>
        <v>2084474.79</v>
      </c>
      <c r="H719" s="442">
        <f t="shared" si="134"/>
        <v>1444149.23</v>
      </c>
      <c r="I719" s="442">
        <f t="shared" si="134"/>
        <v>358800</v>
      </c>
      <c r="J719" s="466">
        <f t="shared" si="134"/>
        <v>358800</v>
      </c>
      <c r="K719" s="466">
        <f t="shared" si="134"/>
        <v>358800</v>
      </c>
      <c r="L719" s="436">
        <f t="shared" si="132"/>
        <v>0</v>
      </c>
      <c r="M719" s="498">
        <f t="shared" si="133"/>
        <v>17.212969028039911</v>
      </c>
    </row>
    <row r="720" spans="1:13" ht="50.95" x14ac:dyDescent="0.3">
      <c r="A720" s="438" t="s">
        <v>213</v>
      </c>
      <c r="B720" s="439" t="s">
        <v>536</v>
      </c>
      <c r="C720" s="439" t="s">
        <v>300</v>
      </c>
      <c r="D720" s="539" t="s">
        <v>674</v>
      </c>
      <c r="E720" s="539" t="s">
        <v>6</v>
      </c>
      <c r="F720" s="540">
        <v>3619351.16</v>
      </c>
      <c r="G720" s="466">
        <f>G721+G734</f>
        <v>2084474.79</v>
      </c>
      <c r="H720" s="442">
        <f>H721+H734</f>
        <v>1444149.23</v>
      </c>
      <c r="I720" s="442">
        <f>I724</f>
        <v>358800</v>
      </c>
      <c r="J720" s="466">
        <f>J724</f>
        <v>358800</v>
      </c>
      <c r="K720" s="466">
        <f>K724</f>
        <v>358800</v>
      </c>
      <c r="L720" s="436">
        <f t="shared" si="132"/>
        <v>0</v>
      </c>
      <c r="M720" s="498">
        <f t="shared" si="133"/>
        <v>17.212969028039911</v>
      </c>
    </row>
    <row r="721" spans="1:13" ht="45.7" customHeight="1" x14ac:dyDescent="0.3">
      <c r="A721" s="438" t="s">
        <v>925</v>
      </c>
      <c r="B721" s="439" t="s">
        <v>536</v>
      </c>
      <c r="C721" s="439" t="s">
        <v>300</v>
      </c>
      <c r="D721" s="539" t="s">
        <v>926</v>
      </c>
      <c r="E721" s="539" t="s">
        <v>6</v>
      </c>
      <c r="F721" s="539"/>
      <c r="G721" s="466">
        <f>G722</f>
        <v>1677418.74</v>
      </c>
      <c r="H721" s="442">
        <f>H722</f>
        <v>1128718.53</v>
      </c>
      <c r="I721" s="442">
        <v>0</v>
      </c>
      <c r="J721" s="466">
        <v>0</v>
      </c>
      <c r="K721" s="466">
        <v>0</v>
      </c>
      <c r="L721" s="436">
        <f t="shared" si="132"/>
        <v>0</v>
      </c>
      <c r="M721" s="498">
        <f t="shared" si="133"/>
        <v>0</v>
      </c>
    </row>
    <row r="722" spans="1:13" ht="34" x14ac:dyDescent="0.3">
      <c r="A722" s="438" t="s">
        <v>37</v>
      </c>
      <c r="B722" s="439" t="s">
        <v>536</v>
      </c>
      <c r="C722" s="439" t="s">
        <v>300</v>
      </c>
      <c r="D722" s="539" t="s">
        <v>926</v>
      </c>
      <c r="E722" s="539" t="s">
        <v>38</v>
      </c>
      <c r="F722" s="539"/>
      <c r="G722" s="466">
        <f>G723</f>
        <v>1677418.74</v>
      </c>
      <c r="H722" s="442">
        <f>H723</f>
        <v>1128718.53</v>
      </c>
      <c r="I722" s="442">
        <v>0</v>
      </c>
      <c r="J722" s="466">
        <v>0</v>
      </c>
      <c r="K722" s="466">
        <v>0</v>
      </c>
      <c r="L722" s="436">
        <f t="shared" si="132"/>
        <v>0</v>
      </c>
      <c r="M722" s="498">
        <f t="shared" si="133"/>
        <v>0</v>
      </c>
    </row>
    <row r="723" spans="1:13" ht="19.55" customHeight="1" x14ac:dyDescent="0.3">
      <c r="A723" s="438" t="s">
        <v>74</v>
      </c>
      <c r="B723" s="439" t="s">
        <v>536</v>
      </c>
      <c r="C723" s="439" t="s">
        <v>300</v>
      </c>
      <c r="D723" s="539" t="s">
        <v>926</v>
      </c>
      <c r="E723" s="539" t="s">
        <v>75</v>
      </c>
      <c r="F723" s="539"/>
      <c r="G723" s="466">
        <v>1677418.74</v>
      </c>
      <c r="H723" s="443">
        <v>1128718.53</v>
      </c>
      <c r="I723" s="442">
        <v>0</v>
      </c>
      <c r="J723" s="466">
        <v>0</v>
      </c>
      <c r="K723" s="466">
        <v>0</v>
      </c>
      <c r="L723" s="436">
        <f t="shared" si="132"/>
        <v>0</v>
      </c>
      <c r="M723" s="498">
        <f t="shared" si="133"/>
        <v>0</v>
      </c>
    </row>
    <row r="724" spans="1:13" x14ac:dyDescent="0.3">
      <c r="A724" s="438" t="s">
        <v>378</v>
      </c>
      <c r="B724" s="439" t="s">
        <v>536</v>
      </c>
      <c r="C724" s="439" t="s">
        <v>300</v>
      </c>
      <c r="D724" s="539" t="s">
        <v>303</v>
      </c>
      <c r="E724" s="539" t="s">
        <v>6</v>
      </c>
      <c r="F724" s="539"/>
      <c r="G724" s="466">
        <f>G725+G728+G731</f>
        <v>0</v>
      </c>
      <c r="H724" s="442">
        <f>H725+H728+H731</f>
        <v>0</v>
      </c>
      <c r="I724" s="442">
        <f t="shared" ref="I724:K726" si="135">I725</f>
        <v>358800</v>
      </c>
      <c r="J724" s="466">
        <f t="shared" si="135"/>
        <v>358800</v>
      </c>
      <c r="K724" s="466">
        <f t="shared" si="135"/>
        <v>358800</v>
      </c>
      <c r="L724" s="436">
        <f t="shared" si="132"/>
        <v>0</v>
      </c>
      <c r="M724" s="498"/>
    </row>
    <row r="725" spans="1:13" ht="34" x14ac:dyDescent="0.3">
      <c r="A725" s="438" t="s">
        <v>281</v>
      </c>
      <c r="B725" s="439" t="s">
        <v>536</v>
      </c>
      <c r="C725" s="439" t="s">
        <v>300</v>
      </c>
      <c r="D725" s="539" t="s">
        <v>302</v>
      </c>
      <c r="E725" s="539" t="s">
        <v>6</v>
      </c>
      <c r="F725" s="539"/>
      <c r="G725" s="466">
        <f t="shared" si="134"/>
        <v>0</v>
      </c>
      <c r="H725" s="442">
        <f t="shared" si="134"/>
        <v>0</v>
      </c>
      <c r="I725" s="442">
        <f t="shared" si="135"/>
        <v>358800</v>
      </c>
      <c r="J725" s="466">
        <f t="shared" si="135"/>
        <v>358800</v>
      </c>
      <c r="K725" s="466">
        <f t="shared" si="135"/>
        <v>358800</v>
      </c>
      <c r="L725" s="436">
        <f t="shared" si="132"/>
        <v>0</v>
      </c>
      <c r="M725" s="498"/>
    </row>
    <row r="726" spans="1:13" ht="34" x14ac:dyDescent="0.3">
      <c r="A726" s="438" t="s">
        <v>37</v>
      </c>
      <c r="B726" s="439" t="s">
        <v>536</v>
      </c>
      <c r="C726" s="439" t="s">
        <v>300</v>
      </c>
      <c r="D726" s="539" t="s">
        <v>302</v>
      </c>
      <c r="E726" s="539" t="s">
        <v>38</v>
      </c>
      <c r="F726" s="539"/>
      <c r="G726" s="466">
        <f>G727</f>
        <v>0</v>
      </c>
      <c r="H726" s="442">
        <f>H727</f>
        <v>0</v>
      </c>
      <c r="I726" s="442">
        <f t="shared" si="135"/>
        <v>358800</v>
      </c>
      <c r="J726" s="466">
        <f t="shared" si="135"/>
        <v>358800</v>
      </c>
      <c r="K726" s="466">
        <f t="shared" si="135"/>
        <v>358800</v>
      </c>
      <c r="L726" s="436">
        <f t="shared" si="132"/>
        <v>0</v>
      </c>
      <c r="M726" s="498"/>
    </row>
    <row r="727" spans="1:13" ht="18" customHeight="1" x14ac:dyDescent="0.3">
      <c r="A727" s="438" t="s">
        <v>74</v>
      </c>
      <c r="B727" s="439" t="s">
        <v>536</v>
      </c>
      <c r="C727" s="439" t="s">
        <v>300</v>
      </c>
      <c r="D727" s="539" t="s">
        <v>302</v>
      </c>
      <c r="E727" s="539" t="s">
        <v>75</v>
      </c>
      <c r="F727" s="539"/>
      <c r="G727" s="466">
        <f>[2]потребность!I659</f>
        <v>0</v>
      </c>
      <c r="H727" s="442">
        <v>0</v>
      </c>
      <c r="I727" s="442">
        <v>358800</v>
      </c>
      <c r="J727" s="466">
        <v>358800</v>
      </c>
      <c r="K727" s="466">
        <v>358800</v>
      </c>
      <c r="L727" s="436">
        <f t="shared" si="132"/>
        <v>0</v>
      </c>
      <c r="M727" s="498"/>
    </row>
    <row r="728" spans="1:13" ht="50.95" x14ac:dyDescent="0.3">
      <c r="A728" s="438" t="s">
        <v>788</v>
      </c>
      <c r="B728" s="439" t="s">
        <v>536</v>
      </c>
      <c r="C728" s="439" t="s">
        <v>300</v>
      </c>
      <c r="D728" s="539" t="s">
        <v>764</v>
      </c>
      <c r="E728" s="539" t="s">
        <v>6</v>
      </c>
      <c r="F728" s="539"/>
      <c r="G728" s="466">
        <f>G729</f>
        <v>0</v>
      </c>
      <c r="H728" s="442">
        <f>H729</f>
        <v>0</v>
      </c>
      <c r="I728" s="442">
        <v>0</v>
      </c>
      <c r="J728" s="509">
        <v>0</v>
      </c>
      <c r="K728" s="509">
        <v>0</v>
      </c>
      <c r="L728" s="436">
        <f t="shared" si="132"/>
        <v>0</v>
      </c>
      <c r="M728" s="498"/>
    </row>
    <row r="729" spans="1:13" ht="34" x14ac:dyDescent="0.3">
      <c r="A729" s="438" t="s">
        <v>37</v>
      </c>
      <c r="B729" s="439" t="s">
        <v>536</v>
      </c>
      <c r="C729" s="439" t="s">
        <v>300</v>
      </c>
      <c r="D729" s="539" t="s">
        <v>764</v>
      </c>
      <c r="E729" s="539" t="s">
        <v>38</v>
      </c>
      <c r="F729" s="539"/>
      <c r="G729" s="466">
        <f>G730</f>
        <v>0</v>
      </c>
      <c r="H729" s="442">
        <f>H730</f>
        <v>0</v>
      </c>
      <c r="I729" s="442">
        <v>0</v>
      </c>
      <c r="J729" s="466">
        <v>0</v>
      </c>
      <c r="K729" s="466">
        <v>0</v>
      </c>
      <c r="L729" s="436">
        <f t="shared" si="132"/>
        <v>0</v>
      </c>
      <c r="M729" s="498"/>
    </row>
    <row r="730" spans="1:13" x14ac:dyDescent="0.3">
      <c r="A730" s="438" t="s">
        <v>74</v>
      </c>
      <c r="B730" s="439" t="s">
        <v>536</v>
      </c>
      <c r="C730" s="439" t="s">
        <v>300</v>
      </c>
      <c r="D730" s="539" t="s">
        <v>764</v>
      </c>
      <c r="E730" s="539" t="s">
        <v>75</v>
      </c>
      <c r="F730" s="539"/>
      <c r="G730" s="466">
        <v>0</v>
      </c>
      <c r="H730" s="442">
        <v>0</v>
      </c>
      <c r="I730" s="442">
        <v>0</v>
      </c>
      <c r="J730" s="466">
        <v>0</v>
      </c>
      <c r="K730" s="466">
        <v>0</v>
      </c>
      <c r="L730" s="436">
        <f t="shared" si="132"/>
        <v>0</v>
      </c>
      <c r="M730" s="498"/>
    </row>
    <row r="731" spans="1:13" ht="67.95" x14ac:dyDescent="0.3">
      <c r="A731" s="438" t="s">
        <v>911</v>
      </c>
      <c r="B731" s="439" t="s">
        <v>536</v>
      </c>
      <c r="C731" s="439" t="s">
        <v>300</v>
      </c>
      <c r="D731" s="539" t="s">
        <v>769</v>
      </c>
      <c r="E731" s="539" t="s">
        <v>6</v>
      </c>
      <c r="F731" s="539"/>
      <c r="G731" s="466">
        <f>G732</f>
        <v>0</v>
      </c>
      <c r="H731" s="442">
        <f>H732</f>
        <v>0</v>
      </c>
      <c r="I731" s="442">
        <v>0</v>
      </c>
      <c r="J731" s="466">
        <v>0</v>
      </c>
      <c r="K731" s="466">
        <v>0</v>
      </c>
      <c r="L731" s="436">
        <f t="shared" si="132"/>
        <v>0</v>
      </c>
      <c r="M731" s="498"/>
    </row>
    <row r="732" spans="1:13" ht="34" x14ac:dyDescent="0.3">
      <c r="A732" s="438" t="s">
        <v>37</v>
      </c>
      <c r="B732" s="439" t="s">
        <v>536</v>
      </c>
      <c r="C732" s="439" t="s">
        <v>300</v>
      </c>
      <c r="D732" s="539" t="s">
        <v>769</v>
      </c>
      <c r="E732" s="539" t="s">
        <v>38</v>
      </c>
      <c r="F732" s="539"/>
      <c r="G732" s="466">
        <f>G733</f>
        <v>0</v>
      </c>
      <c r="H732" s="442">
        <f>H733</f>
        <v>0</v>
      </c>
      <c r="I732" s="442">
        <v>0</v>
      </c>
      <c r="J732" s="466">
        <v>0</v>
      </c>
      <c r="K732" s="466">
        <v>0</v>
      </c>
      <c r="L732" s="436">
        <f t="shared" si="132"/>
        <v>0</v>
      </c>
      <c r="M732" s="498"/>
    </row>
    <row r="733" spans="1:13" x14ac:dyDescent="0.3">
      <c r="A733" s="438" t="s">
        <v>74</v>
      </c>
      <c r="B733" s="439" t="s">
        <v>536</v>
      </c>
      <c r="C733" s="439" t="s">
        <v>300</v>
      </c>
      <c r="D733" s="539" t="s">
        <v>769</v>
      </c>
      <c r="E733" s="539" t="s">
        <v>75</v>
      </c>
      <c r="F733" s="539"/>
      <c r="G733" s="466">
        <v>0</v>
      </c>
      <c r="H733" s="442">
        <v>0</v>
      </c>
      <c r="I733" s="442">
        <v>0</v>
      </c>
      <c r="J733" s="466">
        <v>0</v>
      </c>
      <c r="K733" s="466">
        <v>0</v>
      </c>
      <c r="L733" s="436">
        <f t="shared" si="132"/>
        <v>0</v>
      </c>
      <c r="M733" s="498"/>
    </row>
    <row r="734" spans="1:13" ht="27" customHeight="1" x14ac:dyDescent="0.3">
      <c r="A734" s="438" t="s">
        <v>102</v>
      </c>
      <c r="B734" s="439" t="s">
        <v>536</v>
      </c>
      <c r="C734" s="439" t="s">
        <v>300</v>
      </c>
      <c r="D734" s="539" t="s">
        <v>201</v>
      </c>
      <c r="E734" s="539" t="s">
        <v>6</v>
      </c>
      <c r="F734" s="539"/>
      <c r="G734" s="466">
        <f>G735</f>
        <v>407056.05</v>
      </c>
      <c r="H734" s="442">
        <f>H735</f>
        <v>315430.7</v>
      </c>
      <c r="I734" s="442">
        <v>0</v>
      </c>
      <c r="J734" s="466">
        <v>0</v>
      </c>
      <c r="K734" s="466">
        <v>0</v>
      </c>
      <c r="L734" s="436">
        <f t="shared" si="132"/>
        <v>0</v>
      </c>
      <c r="M734" s="498">
        <f t="shared" si="133"/>
        <v>0</v>
      </c>
    </row>
    <row r="735" spans="1:13" ht="34" x14ac:dyDescent="0.3">
      <c r="A735" s="438" t="s">
        <v>37</v>
      </c>
      <c r="B735" s="439" t="s">
        <v>536</v>
      </c>
      <c r="C735" s="439" t="s">
        <v>300</v>
      </c>
      <c r="D735" s="539" t="s">
        <v>201</v>
      </c>
      <c r="E735" s="539" t="s">
        <v>38</v>
      </c>
      <c r="F735" s="539"/>
      <c r="G735" s="466">
        <f>G736</f>
        <v>407056.05</v>
      </c>
      <c r="H735" s="442">
        <f>H736</f>
        <v>315430.7</v>
      </c>
      <c r="I735" s="442">
        <v>0</v>
      </c>
      <c r="J735" s="466">
        <v>0</v>
      </c>
      <c r="K735" s="466">
        <v>0</v>
      </c>
      <c r="L735" s="436">
        <f t="shared" si="132"/>
        <v>0</v>
      </c>
      <c r="M735" s="498">
        <f t="shared" si="133"/>
        <v>0</v>
      </c>
    </row>
    <row r="736" spans="1:13" x14ac:dyDescent="0.3">
      <c r="A736" s="438" t="s">
        <v>74</v>
      </c>
      <c r="B736" s="439" t="s">
        <v>536</v>
      </c>
      <c r="C736" s="439" t="s">
        <v>300</v>
      </c>
      <c r="D736" s="539" t="s">
        <v>201</v>
      </c>
      <c r="E736" s="539" t="s">
        <v>75</v>
      </c>
      <c r="F736" s="539"/>
      <c r="G736" s="466">
        <v>407056.05</v>
      </c>
      <c r="H736" s="443">
        <v>315430.7</v>
      </c>
      <c r="I736" s="442">
        <v>0</v>
      </c>
      <c r="J736" s="466">
        <v>0</v>
      </c>
      <c r="K736" s="466">
        <v>0</v>
      </c>
      <c r="L736" s="436">
        <f t="shared" si="132"/>
        <v>0</v>
      </c>
      <c r="M736" s="498">
        <f t="shared" si="133"/>
        <v>0</v>
      </c>
    </row>
    <row r="737" spans="1:13" ht="34" x14ac:dyDescent="0.3">
      <c r="A737" s="394" t="s">
        <v>750</v>
      </c>
      <c r="B737" s="472">
        <v>959</v>
      </c>
      <c r="C737" s="434" t="s">
        <v>5</v>
      </c>
      <c r="D737" s="537" t="s">
        <v>126</v>
      </c>
      <c r="E737" s="537" t="s">
        <v>6</v>
      </c>
      <c r="F737" s="538">
        <v>300218.82</v>
      </c>
      <c r="G737" s="521">
        <f>G738</f>
        <v>1627772</v>
      </c>
      <c r="H737" s="473">
        <f>H738</f>
        <v>1140137.2000000002</v>
      </c>
      <c r="I737" s="473">
        <f>I738</f>
        <v>1510000</v>
      </c>
      <c r="J737" s="521">
        <f>J738</f>
        <v>1745512</v>
      </c>
      <c r="K737" s="521">
        <f>K738</f>
        <v>1745512</v>
      </c>
      <c r="L737" s="436">
        <f t="shared" si="132"/>
        <v>0</v>
      </c>
      <c r="M737" s="498">
        <f t="shared" si="133"/>
        <v>107.23319973558951</v>
      </c>
    </row>
    <row r="738" spans="1:13" x14ac:dyDescent="0.3">
      <c r="A738" s="438" t="s">
        <v>7</v>
      </c>
      <c r="B738" s="439" t="s">
        <v>751</v>
      </c>
      <c r="C738" s="439" t="s">
        <v>8</v>
      </c>
      <c r="D738" s="539" t="s">
        <v>126</v>
      </c>
      <c r="E738" s="539" t="s">
        <v>6</v>
      </c>
      <c r="F738" s="540">
        <v>300218.82</v>
      </c>
      <c r="G738" s="466">
        <f t="shared" ref="G738:I739" si="136">G739</f>
        <v>1627772</v>
      </c>
      <c r="H738" s="442">
        <f t="shared" si="136"/>
        <v>1140137.2000000002</v>
      </c>
      <c r="I738" s="442">
        <f t="shared" si="136"/>
        <v>1510000</v>
      </c>
      <c r="J738" s="466">
        <f>J739+J751</f>
        <v>1745512</v>
      </c>
      <c r="K738" s="466">
        <f>K739+K751</f>
        <v>1745512</v>
      </c>
      <c r="L738" s="436">
        <f t="shared" si="132"/>
        <v>0</v>
      </c>
      <c r="M738" s="498">
        <f t="shared" si="133"/>
        <v>107.23319973558951</v>
      </c>
    </row>
    <row r="739" spans="1:13" ht="50.95" x14ac:dyDescent="0.3">
      <c r="A739" s="438" t="s">
        <v>9</v>
      </c>
      <c r="B739" s="439" t="s">
        <v>751</v>
      </c>
      <c r="C739" s="439" t="s">
        <v>10</v>
      </c>
      <c r="D739" s="539" t="s">
        <v>126</v>
      </c>
      <c r="E739" s="539" t="s">
        <v>6</v>
      </c>
      <c r="F739" s="540">
        <v>300218.82</v>
      </c>
      <c r="G739" s="465">
        <f t="shared" si="136"/>
        <v>1627772</v>
      </c>
      <c r="H739" s="440">
        <f t="shared" si="136"/>
        <v>1140137.2000000002</v>
      </c>
      <c r="I739" s="440">
        <f t="shared" si="136"/>
        <v>1510000</v>
      </c>
      <c r="J739" s="465">
        <f>J740</f>
        <v>1688872</v>
      </c>
      <c r="K739" s="465">
        <f>K740</f>
        <v>1688872</v>
      </c>
      <c r="L739" s="436">
        <f t="shared" si="132"/>
        <v>0</v>
      </c>
      <c r="M739" s="498">
        <f t="shared" si="133"/>
        <v>103.75359694109495</v>
      </c>
    </row>
    <row r="740" spans="1:13" ht="34" x14ac:dyDescent="0.3">
      <c r="A740" s="438" t="s">
        <v>132</v>
      </c>
      <c r="B740" s="439" t="s">
        <v>751</v>
      </c>
      <c r="C740" s="439" t="s">
        <v>10</v>
      </c>
      <c r="D740" s="539" t="s">
        <v>127</v>
      </c>
      <c r="E740" s="539" t="s">
        <v>6</v>
      </c>
      <c r="F740" s="540">
        <v>300218.82</v>
      </c>
      <c r="G740" s="465">
        <f>G741+G744</f>
        <v>1627772</v>
      </c>
      <c r="H740" s="440">
        <f>H741+H744</f>
        <v>1140137.2000000002</v>
      </c>
      <c r="I740" s="440">
        <f>I741+I744</f>
        <v>1510000</v>
      </c>
      <c r="J740" s="465">
        <f>J741+J744</f>
        <v>1688872</v>
      </c>
      <c r="K740" s="465">
        <f>K741+K744</f>
        <v>1688872</v>
      </c>
      <c r="L740" s="436">
        <f t="shared" si="132"/>
        <v>0</v>
      </c>
      <c r="M740" s="498">
        <f t="shared" si="133"/>
        <v>103.75359694109495</v>
      </c>
    </row>
    <row r="741" spans="1:13" x14ac:dyDescent="0.3">
      <c r="A741" s="438" t="s">
        <v>752</v>
      </c>
      <c r="B741" s="439" t="s">
        <v>751</v>
      </c>
      <c r="C741" s="439" t="s">
        <v>10</v>
      </c>
      <c r="D741" s="539" t="s">
        <v>143</v>
      </c>
      <c r="E741" s="539" t="s">
        <v>6</v>
      </c>
      <c r="F741" s="540">
        <v>174318.55</v>
      </c>
      <c r="G741" s="465">
        <f t="shared" ref="G741:K742" si="137">G742</f>
        <v>1347772</v>
      </c>
      <c r="H741" s="440">
        <f t="shared" si="137"/>
        <v>981643.31</v>
      </c>
      <c r="I741" s="440">
        <f t="shared" si="137"/>
        <v>1220000</v>
      </c>
      <c r="J741" s="466">
        <f t="shared" si="137"/>
        <v>1384096</v>
      </c>
      <c r="K741" s="466">
        <f t="shared" si="137"/>
        <v>1384096</v>
      </c>
      <c r="L741" s="436">
        <f t="shared" si="132"/>
        <v>0</v>
      </c>
      <c r="M741" s="498">
        <f t="shared" si="133"/>
        <v>102.69511460395378</v>
      </c>
    </row>
    <row r="742" spans="1:13" ht="84.9" x14ac:dyDescent="0.3">
      <c r="A742" s="438" t="s">
        <v>11</v>
      </c>
      <c r="B742" s="439" t="s">
        <v>751</v>
      </c>
      <c r="C742" s="439" t="s">
        <v>10</v>
      </c>
      <c r="D742" s="539" t="s">
        <v>143</v>
      </c>
      <c r="E742" s="539" t="s">
        <v>12</v>
      </c>
      <c r="F742" s="540">
        <v>174318.55</v>
      </c>
      <c r="G742" s="465">
        <f t="shared" si="137"/>
        <v>1347772</v>
      </c>
      <c r="H742" s="440">
        <f t="shared" si="137"/>
        <v>981643.31</v>
      </c>
      <c r="I742" s="440">
        <f t="shared" si="137"/>
        <v>1220000</v>
      </c>
      <c r="J742" s="466">
        <f t="shared" si="137"/>
        <v>1384096</v>
      </c>
      <c r="K742" s="466">
        <f t="shared" si="137"/>
        <v>1384096</v>
      </c>
      <c r="L742" s="436">
        <f t="shared" si="132"/>
        <v>0</v>
      </c>
      <c r="M742" s="498">
        <f t="shared" si="133"/>
        <v>102.69511460395378</v>
      </c>
    </row>
    <row r="743" spans="1:13" ht="34" x14ac:dyDescent="0.3">
      <c r="A743" s="438" t="s">
        <v>13</v>
      </c>
      <c r="B743" s="439" t="s">
        <v>751</v>
      </c>
      <c r="C743" s="439" t="s">
        <v>10</v>
      </c>
      <c r="D743" s="539" t="s">
        <v>143</v>
      </c>
      <c r="E743" s="539" t="s">
        <v>14</v>
      </c>
      <c r="F743" s="540">
        <v>174318.55</v>
      </c>
      <c r="G743" s="466">
        <f>[2]потребность!I672+248000-40228</f>
        <v>1347772</v>
      </c>
      <c r="H743" s="443">
        <v>981643.31</v>
      </c>
      <c r="I743" s="442">
        <f>'[2]прил 12'!F678</f>
        <v>1220000</v>
      </c>
      <c r="J743" s="466">
        <v>1384096</v>
      </c>
      <c r="K743" s="466">
        <v>1384096</v>
      </c>
      <c r="L743" s="436">
        <f t="shared" si="132"/>
        <v>0</v>
      </c>
      <c r="M743" s="498">
        <f t="shared" si="133"/>
        <v>102.69511460395378</v>
      </c>
    </row>
    <row r="744" spans="1:13" ht="45.7" customHeight="1" x14ac:dyDescent="0.3">
      <c r="A744" s="438" t="s">
        <v>494</v>
      </c>
      <c r="B744" s="439" t="s">
        <v>751</v>
      </c>
      <c r="C744" s="439" t="s">
        <v>10</v>
      </c>
      <c r="D744" s="539" t="s">
        <v>495</v>
      </c>
      <c r="E744" s="539" t="s">
        <v>6</v>
      </c>
      <c r="F744" s="540">
        <v>125900.27</v>
      </c>
      <c r="G744" s="466">
        <f>G745+G747</f>
        <v>280000</v>
      </c>
      <c r="H744" s="442">
        <f>H745+H747</f>
        <v>158493.89000000001</v>
      </c>
      <c r="I744" s="442">
        <f>I745+I747</f>
        <v>290000</v>
      </c>
      <c r="J744" s="466">
        <f>J745+J747+J749</f>
        <v>304776</v>
      </c>
      <c r="K744" s="466">
        <f>K745+K747+K749</f>
        <v>304776</v>
      </c>
      <c r="L744" s="436">
        <f t="shared" si="132"/>
        <v>0</v>
      </c>
      <c r="M744" s="498">
        <f t="shared" si="133"/>
        <v>108.84857142857143</v>
      </c>
    </row>
    <row r="745" spans="1:13" ht="84.9" x14ac:dyDescent="0.3">
      <c r="A745" s="438" t="s">
        <v>11</v>
      </c>
      <c r="B745" s="439" t="s">
        <v>751</v>
      </c>
      <c r="C745" s="439" t="s">
        <v>10</v>
      </c>
      <c r="D745" s="539" t="s">
        <v>495</v>
      </c>
      <c r="E745" s="539" t="s">
        <v>12</v>
      </c>
      <c r="F745" s="540">
        <v>14739.19</v>
      </c>
      <c r="G745" s="466">
        <f>G746</f>
        <v>200000</v>
      </c>
      <c r="H745" s="442">
        <f>H746</f>
        <v>148323.89000000001</v>
      </c>
      <c r="I745" s="442">
        <f>I746</f>
        <v>210000</v>
      </c>
      <c r="J745" s="466">
        <f>J746</f>
        <v>212776</v>
      </c>
      <c r="K745" s="466">
        <f>K746</f>
        <v>212776</v>
      </c>
      <c r="L745" s="436">
        <f t="shared" si="132"/>
        <v>0</v>
      </c>
      <c r="M745" s="498">
        <f t="shared" si="133"/>
        <v>106.38800000000001</v>
      </c>
    </row>
    <row r="746" spans="1:13" ht="34" x14ac:dyDescent="0.3">
      <c r="A746" s="438" t="s">
        <v>13</v>
      </c>
      <c r="B746" s="439" t="s">
        <v>751</v>
      </c>
      <c r="C746" s="439" t="s">
        <v>10</v>
      </c>
      <c r="D746" s="539" t="s">
        <v>495</v>
      </c>
      <c r="E746" s="539" t="s">
        <v>14</v>
      </c>
      <c r="F746" s="540">
        <v>14739.19</v>
      </c>
      <c r="G746" s="466">
        <f>[2]потребность!I675</f>
        <v>200000</v>
      </c>
      <c r="H746" s="443">
        <v>148323.89000000001</v>
      </c>
      <c r="I746" s="442">
        <f>'[2]прил 12'!F681</f>
        <v>210000</v>
      </c>
      <c r="J746" s="466">
        <v>212776</v>
      </c>
      <c r="K746" s="466">
        <v>212776</v>
      </c>
      <c r="L746" s="436">
        <f t="shared" si="132"/>
        <v>0</v>
      </c>
      <c r="M746" s="498">
        <f t="shared" si="133"/>
        <v>106.38800000000001</v>
      </c>
    </row>
    <row r="747" spans="1:13" ht="34" x14ac:dyDescent="0.3">
      <c r="A747" s="438" t="s">
        <v>15</v>
      </c>
      <c r="B747" s="439" t="s">
        <v>751</v>
      </c>
      <c r="C747" s="439" t="s">
        <v>10</v>
      </c>
      <c r="D747" s="539" t="s">
        <v>495</v>
      </c>
      <c r="E747" s="539" t="s">
        <v>16</v>
      </c>
      <c r="F747" s="540">
        <v>111161.08</v>
      </c>
      <c r="G747" s="466">
        <f>G748</f>
        <v>80000</v>
      </c>
      <c r="H747" s="442">
        <f>H748</f>
        <v>10170</v>
      </c>
      <c r="I747" s="442">
        <f>I748</f>
        <v>80000</v>
      </c>
      <c r="J747" s="466">
        <f>J748</f>
        <v>91500</v>
      </c>
      <c r="K747" s="466">
        <f>K748</f>
        <v>91500</v>
      </c>
      <c r="L747" s="436">
        <f t="shared" si="132"/>
        <v>0</v>
      </c>
      <c r="M747" s="498">
        <f t="shared" si="133"/>
        <v>114.375</v>
      </c>
    </row>
    <row r="748" spans="1:13" ht="42.8" customHeight="1" x14ac:dyDescent="0.3">
      <c r="A748" s="438" t="s">
        <v>17</v>
      </c>
      <c r="B748" s="439" t="s">
        <v>751</v>
      </c>
      <c r="C748" s="439" t="s">
        <v>10</v>
      </c>
      <c r="D748" s="539" t="s">
        <v>495</v>
      </c>
      <c r="E748" s="539" t="s">
        <v>18</v>
      </c>
      <c r="F748" s="540">
        <v>111161.08</v>
      </c>
      <c r="G748" s="466">
        <f>[2]потребность!I677</f>
        <v>80000</v>
      </c>
      <c r="H748" s="443">
        <v>10170</v>
      </c>
      <c r="I748" s="442">
        <f>'[2]прил 12'!F683</f>
        <v>80000</v>
      </c>
      <c r="J748" s="466">
        <v>91500</v>
      </c>
      <c r="K748" s="466">
        <v>91500</v>
      </c>
      <c r="L748" s="436">
        <f t="shared" si="132"/>
        <v>0</v>
      </c>
      <c r="M748" s="498">
        <f t="shared" si="133"/>
        <v>114.375</v>
      </c>
    </row>
    <row r="749" spans="1:13" ht="29.25" customHeight="1" x14ac:dyDescent="0.3">
      <c r="A749" s="438" t="s">
        <v>19</v>
      </c>
      <c r="B749" s="439" t="s">
        <v>751</v>
      </c>
      <c r="C749" s="439" t="s">
        <v>10</v>
      </c>
      <c r="D749" s="539" t="s">
        <v>495</v>
      </c>
      <c r="E749" s="539" t="s">
        <v>20</v>
      </c>
      <c r="F749" s="539"/>
      <c r="G749" s="466">
        <v>0</v>
      </c>
      <c r="H749" s="442">
        <v>0</v>
      </c>
      <c r="I749" s="442">
        <v>0</v>
      </c>
      <c r="J749" s="466">
        <f>J750</f>
        <v>500</v>
      </c>
      <c r="K749" s="466">
        <f>K750</f>
        <v>500</v>
      </c>
      <c r="L749" s="436">
        <f t="shared" si="132"/>
        <v>0</v>
      </c>
      <c r="M749" s="498"/>
    </row>
    <row r="750" spans="1:13" ht="27.2" customHeight="1" x14ac:dyDescent="0.3">
      <c r="A750" s="438" t="s">
        <v>21</v>
      </c>
      <c r="B750" s="439" t="s">
        <v>751</v>
      </c>
      <c r="C750" s="439" t="s">
        <v>10</v>
      </c>
      <c r="D750" s="539" t="s">
        <v>495</v>
      </c>
      <c r="E750" s="539" t="s">
        <v>22</v>
      </c>
      <c r="F750" s="539"/>
      <c r="G750" s="466">
        <v>0</v>
      </c>
      <c r="H750" s="442">
        <v>0</v>
      </c>
      <c r="I750" s="442">
        <v>0</v>
      </c>
      <c r="J750" s="466">
        <v>500</v>
      </c>
      <c r="K750" s="466">
        <v>500</v>
      </c>
      <c r="L750" s="436">
        <f t="shared" si="132"/>
        <v>0</v>
      </c>
      <c r="M750" s="498"/>
    </row>
    <row r="751" spans="1:13" ht="31.75" customHeight="1" x14ac:dyDescent="0.3">
      <c r="A751" s="438" t="s">
        <v>23</v>
      </c>
      <c r="B751" s="439" t="s">
        <v>751</v>
      </c>
      <c r="C751" s="439" t="s">
        <v>24</v>
      </c>
      <c r="D751" s="539" t="s">
        <v>126</v>
      </c>
      <c r="E751" s="539" t="s">
        <v>6</v>
      </c>
      <c r="F751" s="539"/>
      <c r="G751" s="466">
        <v>0</v>
      </c>
      <c r="H751" s="442">
        <v>0</v>
      </c>
      <c r="I751" s="442">
        <v>0</v>
      </c>
      <c r="J751" s="466">
        <f>J752+J757</f>
        <v>56640</v>
      </c>
      <c r="K751" s="466">
        <f>K752+K757</f>
        <v>56640</v>
      </c>
      <c r="L751" s="436">
        <f t="shared" si="132"/>
        <v>0</v>
      </c>
      <c r="M751" s="498"/>
    </row>
    <row r="752" spans="1:13" ht="42.8" customHeight="1" x14ac:dyDescent="0.3">
      <c r="A752" s="444" t="s">
        <v>830</v>
      </c>
      <c r="B752" s="445" t="s">
        <v>751</v>
      </c>
      <c r="C752" s="445" t="s">
        <v>24</v>
      </c>
      <c r="D752" s="541" t="s">
        <v>128</v>
      </c>
      <c r="E752" s="541" t="s">
        <v>6</v>
      </c>
      <c r="F752" s="541"/>
      <c r="G752" s="466">
        <v>0</v>
      </c>
      <c r="H752" s="442">
        <v>0</v>
      </c>
      <c r="I752" s="442">
        <v>0</v>
      </c>
      <c r="J752" s="466">
        <f t="shared" ref="J752:K755" si="138">J753</f>
        <v>10000</v>
      </c>
      <c r="K752" s="466">
        <f t="shared" si="138"/>
        <v>10000</v>
      </c>
      <c r="L752" s="436">
        <f t="shared" si="132"/>
        <v>0</v>
      </c>
      <c r="M752" s="498"/>
    </row>
    <row r="753" spans="1:14" ht="38.049999999999997" customHeight="1" x14ac:dyDescent="0.3">
      <c r="A753" s="450" t="s">
        <v>835</v>
      </c>
      <c r="B753" s="439" t="s">
        <v>751</v>
      </c>
      <c r="C753" s="439" t="s">
        <v>24</v>
      </c>
      <c r="D753" s="539" t="s">
        <v>315</v>
      </c>
      <c r="E753" s="539" t="s">
        <v>6</v>
      </c>
      <c r="F753" s="539"/>
      <c r="G753" s="466">
        <v>0</v>
      </c>
      <c r="H753" s="442">
        <v>0</v>
      </c>
      <c r="I753" s="442">
        <v>0</v>
      </c>
      <c r="J753" s="466">
        <f t="shared" si="138"/>
        <v>10000</v>
      </c>
      <c r="K753" s="466">
        <f t="shared" si="138"/>
        <v>10000</v>
      </c>
      <c r="L753" s="436">
        <f t="shared" si="132"/>
        <v>0</v>
      </c>
      <c r="M753" s="498"/>
    </row>
    <row r="754" spans="1:14" ht="23.8" customHeight="1" x14ac:dyDescent="0.3">
      <c r="A754" s="450" t="s">
        <v>321</v>
      </c>
      <c r="B754" s="439" t="s">
        <v>751</v>
      </c>
      <c r="C754" s="439" t="s">
        <v>24</v>
      </c>
      <c r="D754" s="539" t="s">
        <v>316</v>
      </c>
      <c r="E754" s="539" t="s">
        <v>6</v>
      </c>
      <c r="F754" s="539"/>
      <c r="G754" s="466">
        <v>0</v>
      </c>
      <c r="H754" s="442">
        <v>0</v>
      </c>
      <c r="I754" s="442">
        <v>0</v>
      </c>
      <c r="J754" s="466">
        <f t="shared" si="138"/>
        <v>10000</v>
      </c>
      <c r="K754" s="466">
        <f t="shared" si="138"/>
        <v>10000</v>
      </c>
      <c r="L754" s="436">
        <f t="shared" si="132"/>
        <v>0</v>
      </c>
      <c r="M754" s="498"/>
    </row>
    <row r="755" spans="1:14" ht="42.8" customHeight="1" x14ac:dyDescent="0.3">
      <c r="A755" s="438" t="s">
        <v>15</v>
      </c>
      <c r="B755" s="439" t="s">
        <v>751</v>
      </c>
      <c r="C755" s="439" t="s">
        <v>24</v>
      </c>
      <c r="D755" s="539" t="s">
        <v>316</v>
      </c>
      <c r="E755" s="539" t="s">
        <v>16</v>
      </c>
      <c r="F755" s="539"/>
      <c r="G755" s="466">
        <v>0</v>
      </c>
      <c r="H755" s="442">
        <v>0</v>
      </c>
      <c r="I755" s="442">
        <v>0</v>
      </c>
      <c r="J755" s="466">
        <f t="shared" si="138"/>
        <v>10000</v>
      </c>
      <c r="K755" s="466">
        <f t="shared" si="138"/>
        <v>10000</v>
      </c>
      <c r="L755" s="436">
        <f t="shared" si="132"/>
        <v>0</v>
      </c>
      <c r="M755" s="498"/>
    </row>
    <row r="756" spans="1:14" ht="42.8" customHeight="1" x14ac:dyDescent="0.3">
      <c r="A756" s="438" t="s">
        <v>17</v>
      </c>
      <c r="B756" s="439" t="s">
        <v>751</v>
      </c>
      <c r="C756" s="439" t="s">
        <v>24</v>
      </c>
      <c r="D756" s="539" t="s">
        <v>316</v>
      </c>
      <c r="E756" s="539" t="s">
        <v>18</v>
      </c>
      <c r="F756" s="539"/>
      <c r="G756" s="466">
        <v>0</v>
      </c>
      <c r="H756" s="442">
        <v>0</v>
      </c>
      <c r="I756" s="442">
        <v>0</v>
      </c>
      <c r="J756" s="466">
        <v>10000</v>
      </c>
      <c r="K756" s="466">
        <v>10000</v>
      </c>
      <c r="L756" s="436">
        <f t="shared" si="132"/>
        <v>0</v>
      </c>
      <c r="M756" s="498"/>
    </row>
    <row r="757" spans="1:14" ht="44.15" customHeight="1" x14ac:dyDescent="0.3">
      <c r="A757" s="451" t="s">
        <v>829</v>
      </c>
      <c r="B757" s="445" t="s">
        <v>751</v>
      </c>
      <c r="C757" s="439" t="s">
        <v>24</v>
      </c>
      <c r="D757" s="541" t="s">
        <v>317</v>
      </c>
      <c r="E757" s="541" t="s">
        <v>6</v>
      </c>
      <c r="F757" s="541"/>
      <c r="G757" s="466">
        <v>0</v>
      </c>
      <c r="H757" s="442">
        <v>0</v>
      </c>
      <c r="I757" s="442">
        <v>0</v>
      </c>
      <c r="J757" s="466">
        <f t="shared" ref="J757:K760" si="139">J758</f>
        <v>46640</v>
      </c>
      <c r="K757" s="466">
        <f t="shared" si="139"/>
        <v>46640</v>
      </c>
      <c r="L757" s="436">
        <f t="shared" si="132"/>
        <v>0</v>
      </c>
      <c r="M757" s="498"/>
    </row>
    <row r="758" spans="1:14" ht="19.2" customHeight="1" x14ac:dyDescent="0.3">
      <c r="A758" s="450" t="s">
        <v>249</v>
      </c>
      <c r="B758" s="439" t="s">
        <v>751</v>
      </c>
      <c r="C758" s="439" t="s">
        <v>24</v>
      </c>
      <c r="D758" s="539" t="s">
        <v>318</v>
      </c>
      <c r="E758" s="539" t="s">
        <v>6</v>
      </c>
      <c r="F758" s="539"/>
      <c r="G758" s="466">
        <v>0</v>
      </c>
      <c r="H758" s="442">
        <v>0</v>
      </c>
      <c r="I758" s="442">
        <v>0</v>
      </c>
      <c r="J758" s="466">
        <f t="shared" si="139"/>
        <v>46640</v>
      </c>
      <c r="K758" s="466">
        <f t="shared" si="139"/>
        <v>46640</v>
      </c>
      <c r="L758" s="436">
        <f t="shared" si="132"/>
        <v>0</v>
      </c>
      <c r="M758" s="498"/>
    </row>
    <row r="759" spans="1:14" ht="23.8" customHeight="1" x14ac:dyDescent="0.3">
      <c r="A759" s="438" t="s">
        <v>25</v>
      </c>
      <c r="B759" s="439" t="s">
        <v>751</v>
      </c>
      <c r="C759" s="439" t="s">
        <v>24</v>
      </c>
      <c r="D759" s="539" t="s">
        <v>329</v>
      </c>
      <c r="E759" s="539" t="s">
        <v>6</v>
      </c>
      <c r="F759" s="539"/>
      <c r="G759" s="466">
        <v>0</v>
      </c>
      <c r="H759" s="442">
        <v>0</v>
      </c>
      <c r="I759" s="442">
        <v>0</v>
      </c>
      <c r="J759" s="466">
        <f t="shared" si="139"/>
        <v>46640</v>
      </c>
      <c r="K759" s="466">
        <f t="shared" si="139"/>
        <v>46640</v>
      </c>
      <c r="L759" s="436">
        <f t="shared" si="132"/>
        <v>0</v>
      </c>
      <c r="M759" s="498"/>
    </row>
    <row r="760" spans="1:14" ht="23.8" customHeight="1" x14ac:dyDescent="0.3">
      <c r="A760" s="438" t="s">
        <v>15</v>
      </c>
      <c r="B760" s="439" t="s">
        <v>751</v>
      </c>
      <c r="C760" s="439" t="s">
        <v>24</v>
      </c>
      <c r="D760" s="539" t="s">
        <v>329</v>
      </c>
      <c r="E760" s="539" t="s">
        <v>16</v>
      </c>
      <c r="F760" s="539"/>
      <c r="G760" s="466">
        <v>0</v>
      </c>
      <c r="H760" s="442">
        <v>0</v>
      </c>
      <c r="I760" s="442">
        <v>0</v>
      </c>
      <c r="J760" s="466">
        <f t="shared" si="139"/>
        <v>46640</v>
      </c>
      <c r="K760" s="466">
        <f t="shared" si="139"/>
        <v>46640</v>
      </c>
      <c r="L760" s="436">
        <f t="shared" si="132"/>
        <v>0</v>
      </c>
      <c r="M760" s="498"/>
    </row>
    <row r="761" spans="1:14" ht="22.75" customHeight="1" x14ac:dyDescent="0.3">
      <c r="A761" s="438" t="s">
        <v>17</v>
      </c>
      <c r="B761" s="439" t="s">
        <v>751</v>
      </c>
      <c r="C761" s="439" t="s">
        <v>24</v>
      </c>
      <c r="D761" s="539" t="s">
        <v>329</v>
      </c>
      <c r="E761" s="539" t="s">
        <v>18</v>
      </c>
      <c r="F761" s="539"/>
      <c r="G761" s="466">
        <v>0</v>
      </c>
      <c r="H761" s="442">
        <v>0</v>
      </c>
      <c r="I761" s="442">
        <v>0</v>
      </c>
      <c r="J761" s="466">
        <v>46640</v>
      </c>
      <c r="K761" s="466">
        <v>46640</v>
      </c>
      <c r="L761" s="436">
        <f t="shared" si="132"/>
        <v>0</v>
      </c>
      <c r="M761" s="498"/>
    </row>
    <row r="762" spans="1:14" x14ac:dyDescent="0.3">
      <c r="A762" s="399" t="s">
        <v>768</v>
      </c>
      <c r="B762" s="469"/>
      <c r="C762" s="469"/>
      <c r="D762" s="554"/>
      <c r="E762" s="552"/>
      <c r="F762" s="521">
        <v>988413094.71000004</v>
      </c>
      <c r="G762" s="506">
        <f>G7+G29+G512+G549+G737</f>
        <v>1057478517.41</v>
      </c>
      <c r="H762" s="435">
        <f>H7+H29+H512+H549+H737</f>
        <v>721773772.18000019</v>
      </c>
      <c r="I762" s="435">
        <f>I7+I29+I512+I549+I737</f>
        <v>898231865.89999998</v>
      </c>
      <c r="J762" s="506">
        <f>J7+J29+J512+J549+J737</f>
        <v>1006948650.3900001</v>
      </c>
      <c r="K762" s="506">
        <f>K7+K29+K512+K549+K737</f>
        <v>980739686.56999993</v>
      </c>
      <c r="L762" s="387">
        <f>J762-K762</f>
        <v>26208963.820000172</v>
      </c>
      <c r="M762" s="499"/>
    </row>
    <row r="763" spans="1:14" x14ac:dyDescent="0.3">
      <c r="A763" s="475"/>
      <c r="B763" s="476"/>
      <c r="C763" s="476"/>
      <c r="D763" s="555"/>
      <c r="E763" s="556"/>
      <c r="F763" s="524"/>
      <c r="G763" s="522"/>
      <c r="H763" s="478"/>
      <c r="I763" s="477"/>
      <c r="J763" s="522"/>
      <c r="K763" s="523">
        <v>973877103.89999998</v>
      </c>
      <c r="L763" s="479"/>
    </row>
    <row r="764" spans="1:14" x14ac:dyDescent="0.3">
      <c r="A764" s="475"/>
      <c r="B764" s="476"/>
      <c r="C764" s="476"/>
      <c r="D764" s="555" t="s">
        <v>798</v>
      </c>
      <c r="E764" s="556"/>
      <c r="F764" s="556"/>
      <c r="G764" s="522">
        <v>422970631.79000002</v>
      </c>
      <c r="H764" s="478"/>
      <c r="I764" s="477">
        <f>'[2]прил 12'!F685</f>
        <v>426818000</v>
      </c>
      <c r="J764" s="524">
        <v>452526957</v>
      </c>
      <c r="K764" s="525">
        <f>K762-K765</f>
        <v>459294539.6699999</v>
      </c>
      <c r="L764" s="480">
        <f>K764-J764</f>
        <v>6767582.6699998975</v>
      </c>
      <c r="N764" s="391">
        <f>L764/K764*100</f>
        <v>1.4734733565224531</v>
      </c>
    </row>
    <row r="765" spans="1:14" x14ac:dyDescent="0.3">
      <c r="A765" s="475"/>
      <c r="B765" s="476"/>
      <c r="C765" s="476"/>
      <c r="D765" s="555" t="s">
        <v>970</v>
      </c>
      <c r="E765" s="556"/>
      <c r="F765" s="556"/>
      <c r="G765" s="522">
        <v>616907493.53999996</v>
      </c>
      <c r="H765" s="478"/>
      <c r="I765" s="477">
        <f>'[2]прил 12'!F686</f>
        <v>482120951.43599993</v>
      </c>
      <c r="J765" s="524">
        <f>J46+J134+J139+J142+J147+J152+J157+J166+J187+J193+J207+J262+J269+J298+J307+J315+J327+J359+J367+J377+J408+J415+J418+J434+J445+J452+J455+J472+J478+J488+J494+J558+J577+J591+J597+J603+J616+J626+J629+J670+J705+J712+J728-135113.43-173500-32776.18-69324.76-33081.95-186904.51</f>
        <v>521445146.90000004</v>
      </c>
      <c r="K765" s="524">
        <f>K46+K134+K139+K142+K147+K152+K157+K166+K187+K193+K207+K262+K269+K298+K307+K315+K327+K359+K367+K377+K408+K415+K418+K434+K445+K452+K455+K472+K478+K488+K494+K558+K577+K591+K597+K603+K616+K626+K629+K670+K705+K712+K728-135113.43-173500-32776.18-69324.76-33081.95-186904.51</f>
        <v>521445146.90000004</v>
      </c>
      <c r="L765" s="480"/>
    </row>
    <row r="766" spans="1:14" x14ac:dyDescent="0.3">
      <c r="A766" s="475"/>
      <c r="B766" s="476"/>
      <c r="C766" s="476"/>
      <c r="D766" s="555" t="s">
        <v>978</v>
      </c>
      <c r="E766" s="556"/>
      <c r="F766" s="556"/>
      <c r="G766" s="522"/>
      <c r="H766" s="478"/>
      <c r="I766" s="477">
        <f>'[2]прил 12'!F687</f>
        <v>10670450</v>
      </c>
      <c r="J766" s="526"/>
      <c r="K766" s="527"/>
      <c r="L766" s="479"/>
    </row>
    <row r="767" spans="1:14" x14ac:dyDescent="0.3">
      <c r="A767" s="475"/>
      <c r="B767" s="476"/>
      <c r="C767" s="476"/>
      <c r="D767" s="555" t="s">
        <v>971</v>
      </c>
      <c r="E767" s="556"/>
      <c r="F767" s="556"/>
      <c r="G767" s="522">
        <f>G764+G765</f>
        <v>1039878125.3299999</v>
      </c>
      <c r="H767" s="478"/>
      <c r="I767" s="477">
        <f>I764+I765</f>
        <v>908938951.43599987</v>
      </c>
      <c r="J767" s="524">
        <f>J764+J765</f>
        <v>973972103.9000001</v>
      </c>
      <c r="K767" s="527"/>
      <c r="L767" s="479">
        <v>973877103.89999998</v>
      </c>
    </row>
    <row r="768" spans="1:14" x14ac:dyDescent="0.3">
      <c r="A768" s="475"/>
      <c r="B768" s="476"/>
      <c r="C768" s="476"/>
      <c r="D768" s="555"/>
      <c r="E768" s="556"/>
      <c r="F768" s="556"/>
      <c r="G768" s="522"/>
      <c r="H768" s="478"/>
      <c r="I768" s="477"/>
      <c r="J768" s="526">
        <v>164499000</v>
      </c>
      <c r="K768" s="527"/>
      <c r="L768" s="479"/>
    </row>
    <row r="769" spans="1:12" x14ac:dyDescent="0.3">
      <c r="A769" s="475"/>
      <c r="B769" s="476"/>
      <c r="C769" s="476"/>
      <c r="D769" s="555"/>
      <c r="E769" s="556"/>
      <c r="F769" s="556"/>
      <c r="G769" s="522"/>
      <c r="H769" s="478"/>
      <c r="I769" s="477"/>
      <c r="J769" s="526">
        <v>250588957</v>
      </c>
      <c r="K769" s="527"/>
      <c r="L769" s="479"/>
    </row>
    <row r="770" spans="1:12" x14ac:dyDescent="0.3">
      <c r="A770" s="475"/>
      <c r="B770" s="476"/>
      <c r="C770" s="476"/>
      <c r="D770" s="555"/>
      <c r="E770" s="556"/>
      <c r="F770" s="556"/>
      <c r="G770" s="522"/>
      <c r="H770" s="478"/>
      <c r="I770" s="477"/>
      <c r="J770" s="526">
        <v>37439000</v>
      </c>
      <c r="K770" s="527"/>
      <c r="L770" s="479"/>
    </row>
    <row r="771" spans="1:12" x14ac:dyDescent="0.3">
      <c r="D771" s="557"/>
    </row>
    <row r="772" spans="1:12" x14ac:dyDescent="0.3">
      <c r="D772" s="558" t="s">
        <v>875</v>
      </c>
      <c r="G772" s="528" t="e">
        <f>'[2]прил 7'!C14+'[2]прил 7'!C43</f>
        <v>#REF!</v>
      </c>
      <c r="I772" s="481">
        <f>'[2]прил 7'!D14+'[2]прил 7'!D43</f>
        <v>0</v>
      </c>
      <c r="J772" s="528">
        <f>'[2]прил 7'!E14+'[2]прил 7'!E43</f>
        <v>0</v>
      </c>
    </row>
    <row r="773" spans="1:12" x14ac:dyDescent="0.3">
      <c r="D773" s="557"/>
      <c r="G773" s="529" t="e">
        <f>G772-G762</f>
        <v>#REF!</v>
      </c>
      <c r="H773" s="484"/>
      <c r="I773" s="483">
        <f>I772-I762</f>
        <v>-898231865.89999998</v>
      </c>
      <c r="J773" s="529">
        <f>J772-J762</f>
        <v>-1006948650.3900001</v>
      </c>
    </row>
    <row r="774" spans="1:12" x14ac:dyDescent="0.3">
      <c r="D774" s="557"/>
      <c r="G774" s="529" t="e">
        <f>'[2]прил 7'!C73-G762</f>
        <v>#REF!</v>
      </c>
      <c r="H774" s="484"/>
      <c r="I774" s="483">
        <f>'[2]прил 7'!D73-I762</f>
        <v>-898231865.89999998</v>
      </c>
      <c r="J774" s="529">
        <f>'[2]прил 7'!E73-J762</f>
        <v>-1006948650.3900001</v>
      </c>
    </row>
    <row r="775" spans="1:12" x14ac:dyDescent="0.3">
      <c r="C775" s="474" t="s">
        <v>8</v>
      </c>
      <c r="D775" s="557"/>
      <c r="G775" s="528">
        <f>G8+G30++G513+G738</f>
        <v>123659726.01000001</v>
      </c>
      <c r="I775" s="481">
        <f>I8+I30++I513+I738</f>
        <v>114096497.84</v>
      </c>
      <c r="J775" s="528">
        <f>J8+J30++J513+J738</f>
        <v>144260238.30000001</v>
      </c>
    </row>
    <row r="776" spans="1:12" x14ac:dyDescent="0.3">
      <c r="C776" s="474" t="s">
        <v>26</v>
      </c>
      <c r="D776" s="557"/>
      <c r="G776" s="528">
        <f>G162</f>
        <v>1626656</v>
      </c>
      <c r="I776" s="481">
        <f>I162</f>
        <v>1700240</v>
      </c>
      <c r="J776" s="528">
        <f>J162</f>
        <v>1951380</v>
      </c>
    </row>
    <row r="777" spans="1:12" x14ac:dyDescent="0.3">
      <c r="C777" s="474" t="s">
        <v>42</v>
      </c>
      <c r="D777" s="557"/>
      <c r="G777" s="528">
        <f>G172</f>
        <v>991747.04</v>
      </c>
      <c r="I777" s="481">
        <f>I172</f>
        <v>400000</v>
      </c>
      <c r="J777" s="528">
        <f>J172</f>
        <v>1805000</v>
      </c>
    </row>
    <row r="778" spans="1:12" x14ac:dyDescent="0.3">
      <c r="C778" s="474" t="s">
        <v>46</v>
      </c>
      <c r="D778" s="557"/>
      <c r="G778" s="528">
        <f>G183</f>
        <v>29220883.93</v>
      </c>
      <c r="I778" s="481">
        <f>I183</f>
        <v>14114514.17</v>
      </c>
      <c r="J778" s="528">
        <f>J183</f>
        <v>16168133.93</v>
      </c>
    </row>
    <row r="779" spans="1:12" x14ac:dyDescent="0.3">
      <c r="C779" s="474" t="s">
        <v>55</v>
      </c>
      <c r="D779" s="557"/>
      <c r="G779" s="528">
        <f>G228</f>
        <v>126974379.52000001</v>
      </c>
      <c r="I779" s="481">
        <f>I228</f>
        <v>48705734.209999993</v>
      </c>
      <c r="J779" s="528">
        <f>J228</f>
        <v>62901864.480000004</v>
      </c>
    </row>
    <row r="780" spans="1:12" x14ac:dyDescent="0.3">
      <c r="C780" s="474" t="s">
        <v>65</v>
      </c>
      <c r="D780" s="557"/>
      <c r="G780" s="528">
        <f>G333</f>
        <v>555000</v>
      </c>
      <c r="I780" s="481">
        <f>I333</f>
        <v>515000</v>
      </c>
      <c r="J780" s="528">
        <f>J333</f>
        <v>515000</v>
      </c>
    </row>
    <row r="781" spans="1:12" x14ac:dyDescent="0.3">
      <c r="C781" s="474" t="s">
        <v>70</v>
      </c>
      <c r="D781" s="557"/>
      <c r="G781" s="528">
        <f>G349+G550</f>
        <v>657541021.93000007</v>
      </c>
      <c r="I781" s="481">
        <f>I349+I550</f>
        <v>604016307.83999991</v>
      </c>
      <c r="J781" s="528">
        <f>J349+J550</f>
        <v>631678734.47000003</v>
      </c>
    </row>
    <row r="782" spans="1:12" x14ac:dyDescent="0.3">
      <c r="C782" s="474" t="s">
        <v>80</v>
      </c>
      <c r="D782" s="557"/>
      <c r="G782" s="528">
        <f>G370</f>
        <v>41452318.13000001</v>
      </c>
      <c r="I782" s="481">
        <f>I370</f>
        <v>39865848.490000002</v>
      </c>
      <c r="J782" s="528">
        <f>J370</f>
        <v>43751559.600000001</v>
      </c>
    </row>
    <row r="783" spans="1:12" x14ac:dyDescent="0.3">
      <c r="C783" s="474" t="s">
        <v>86</v>
      </c>
      <c r="D783" s="557"/>
      <c r="G783" s="530">
        <f>G421+G701</f>
        <v>58858914.619999997</v>
      </c>
      <c r="H783" s="486"/>
      <c r="I783" s="485">
        <f>I421+I701</f>
        <v>69985693.950000003</v>
      </c>
      <c r="J783" s="530">
        <f>J421+J701</f>
        <v>96001620.789999992</v>
      </c>
    </row>
    <row r="784" spans="1:12" x14ac:dyDescent="0.3">
      <c r="C784" s="474" t="s">
        <v>101</v>
      </c>
      <c r="D784" s="557"/>
      <c r="G784" s="528">
        <f>G457+G717</f>
        <v>13240870.23</v>
      </c>
      <c r="I784" s="481">
        <f>I457+I717</f>
        <v>2332029.4</v>
      </c>
      <c r="J784" s="528">
        <f>J457+J717</f>
        <v>4558118.82</v>
      </c>
    </row>
    <row r="785" spans="1:13" x14ac:dyDescent="0.3">
      <c r="C785" s="474" t="s">
        <v>104</v>
      </c>
      <c r="G785" s="528">
        <f>G505</f>
        <v>3357000</v>
      </c>
      <c r="I785" s="481">
        <f>I505</f>
        <v>2500000</v>
      </c>
      <c r="J785" s="528">
        <f>J505</f>
        <v>3357000</v>
      </c>
    </row>
    <row r="786" spans="1:13" x14ac:dyDescent="0.3">
      <c r="A786" s="487"/>
      <c r="G786" s="531">
        <f>SUBTOTAL(9,G775:G785)</f>
        <v>1057478517.4100001</v>
      </c>
      <c r="H786" s="489"/>
      <c r="I786" s="488">
        <f>SUBTOTAL(9,I775:I785)</f>
        <v>898231865.89999998</v>
      </c>
      <c r="J786" s="531">
        <f>SUBTOTAL(9,J775:J785)</f>
        <v>1006948650.3900001</v>
      </c>
    </row>
    <row r="788" spans="1:13" x14ac:dyDescent="0.3">
      <c r="D788" s="554" t="s">
        <v>876</v>
      </c>
      <c r="G788" s="528">
        <f>G552+G588+G637+G663+G682+G703+G709</f>
        <v>642938628.35000002</v>
      </c>
      <c r="I788" s="481">
        <f>I552+I588+I637+I663+I682+I703+I709</f>
        <v>584994922.39999998</v>
      </c>
      <c r="J788" s="528">
        <f>J552+J588+J637+J663+J682+J703+J709</f>
        <v>611858670.23000002</v>
      </c>
    </row>
    <row r="789" spans="1:13" x14ac:dyDescent="0.3">
      <c r="D789" s="554" t="s">
        <v>877</v>
      </c>
      <c r="G789" s="532">
        <f>G351+G372+G402</f>
        <v>58376849.760000005</v>
      </c>
      <c r="H789" s="491"/>
      <c r="I789" s="490">
        <f>I351+I372+I402</f>
        <v>59972938.369999997</v>
      </c>
      <c r="J789" s="532">
        <f>J351+J372+J402</f>
        <v>66781328.439999998</v>
      </c>
    </row>
    <row r="790" spans="1:13" x14ac:dyDescent="0.3">
      <c r="D790" s="554" t="s">
        <v>878</v>
      </c>
      <c r="G790" s="532">
        <f>G335</f>
        <v>470000</v>
      </c>
      <c r="H790" s="491"/>
      <c r="I790" s="490">
        <f>I335</f>
        <v>470000</v>
      </c>
      <c r="J790" s="532">
        <f>J335</f>
        <v>470000</v>
      </c>
    </row>
    <row r="791" spans="1:13" x14ac:dyDescent="0.3">
      <c r="D791" s="554" t="s">
        <v>879</v>
      </c>
      <c r="G791" s="528">
        <f>G459+G719</f>
        <v>13190870.23</v>
      </c>
      <c r="I791" s="481">
        <f>I459+I719</f>
        <v>2282029.4</v>
      </c>
      <c r="J791" s="528">
        <f>J459+J719</f>
        <v>4508118.82</v>
      </c>
    </row>
    <row r="792" spans="1:13" x14ac:dyDescent="0.3">
      <c r="D792" s="554" t="s">
        <v>880</v>
      </c>
      <c r="G792" s="528">
        <f>G428</f>
        <v>150000</v>
      </c>
      <c r="I792" s="481">
        <f>I428</f>
        <v>150000</v>
      </c>
      <c r="J792" s="528">
        <f>J428</f>
        <v>150000</v>
      </c>
    </row>
    <row r="793" spans="1:13" x14ac:dyDescent="0.3">
      <c r="D793" s="554" t="s">
        <v>881</v>
      </c>
      <c r="G793" s="528">
        <f>G19+G60+G535</f>
        <v>23565855</v>
      </c>
      <c r="I793" s="481">
        <f>I19+I60+I535</f>
        <v>25122401.030000001</v>
      </c>
      <c r="J793" s="528">
        <f>J19+J60+J535</f>
        <v>26677664</v>
      </c>
    </row>
    <row r="794" spans="1:13" x14ac:dyDescent="0.3">
      <c r="D794" s="554" t="s">
        <v>882</v>
      </c>
      <c r="G794" s="528">
        <f>G241+G273+G325</f>
        <v>69475792.460000008</v>
      </c>
      <c r="I794" s="481">
        <f>I241+I273+I325</f>
        <v>17293288.939999998</v>
      </c>
      <c r="J794" s="528">
        <f>J241+J273+J325</f>
        <v>37812108.920000002</v>
      </c>
    </row>
    <row r="795" spans="1:13" x14ac:dyDescent="0.3">
      <c r="D795" s="554" t="s">
        <v>883</v>
      </c>
      <c r="G795" s="528">
        <f>G85</f>
        <v>50000</v>
      </c>
      <c r="I795" s="481">
        <f>I85</f>
        <v>50000</v>
      </c>
      <c r="J795" s="528">
        <f>J85</f>
        <v>50000</v>
      </c>
    </row>
    <row r="796" spans="1:13" x14ac:dyDescent="0.3">
      <c r="D796" s="554" t="s">
        <v>884</v>
      </c>
      <c r="G796" s="528">
        <f>G214</f>
        <v>100000</v>
      </c>
      <c r="I796" s="481">
        <f>I214</f>
        <v>100000</v>
      </c>
      <c r="J796" s="528">
        <f>J214</f>
        <v>100000</v>
      </c>
    </row>
    <row r="797" spans="1:13" s="392" customFormat="1" x14ac:dyDescent="0.3">
      <c r="A797" s="419"/>
      <c r="B797" s="420"/>
      <c r="C797" s="420"/>
      <c r="D797" s="554" t="s">
        <v>885</v>
      </c>
      <c r="E797" s="500"/>
      <c r="F797" s="500"/>
      <c r="G797" s="528">
        <f>G433</f>
        <v>1276800</v>
      </c>
      <c r="H797" s="482"/>
      <c r="I797" s="481">
        <f>I433</f>
        <v>735609.95</v>
      </c>
      <c r="J797" s="528">
        <f>J433</f>
        <v>734438.26</v>
      </c>
      <c r="K797" s="501"/>
      <c r="L797" s="391"/>
      <c r="M797" s="495"/>
    </row>
    <row r="798" spans="1:13" s="392" customFormat="1" x14ac:dyDescent="0.3">
      <c r="A798" s="419"/>
      <c r="B798" s="420"/>
      <c r="C798" s="420"/>
      <c r="D798" s="554" t="s">
        <v>886</v>
      </c>
      <c r="E798" s="500"/>
      <c r="F798" s="500"/>
      <c r="G798" s="528">
        <f>G24+G90+G507</f>
        <v>5979054</v>
      </c>
      <c r="H798" s="482"/>
      <c r="I798" s="481">
        <f>I24+I90+I507</f>
        <v>4521373.5</v>
      </c>
      <c r="J798" s="528">
        <f>J24+J90+J507</f>
        <v>11050226</v>
      </c>
      <c r="K798" s="501"/>
      <c r="L798" s="391"/>
      <c r="M798" s="495"/>
    </row>
    <row r="799" spans="1:13" s="392" customFormat="1" x14ac:dyDescent="0.3">
      <c r="A799" s="419"/>
      <c r="B799" s="420"/>
      <c r="C799" s="420"/>
      <c r="D799" s="554" t="s">
        <v>887</v>
      </c>
      <c r="E799" s="500"/>
      <c r="F799" s="500"/>
      <c r="G799" s="528">
        <f>G202</f>
        <v>24051150</v>
      </c>
      <c r="H799" s="482"/>
      <c r="I799" s="481">
        <f>I202</f>
        <v>13157000</v>
      </c>
      <c r="J799" s="528">
        <f>J202</f>
        <v>13057000</v>
      </c>
      <c r="K799" s="501"/>
      <c r="L799" s="391"/>
      <c r="M799" s="495"/>
    </row>
    <row r="800" spans="1:13" s="392" customFormat="1" x14ac:dyDescent="0.3">
      <c r="A800" s="419"/>
      <c r="B800" s="420"/>
      <c r="C800" s="420"/>
      <c r="D800" s="554" t="s">
        <v>888</v>
      </c>
      <c r="E800" s="500"/>
      <c r="F800" s="500"/>
      <c r="G800" s="528">
        <f>G344</f>
        <v>85000</v>
      </c>
      <c r="H800" s="482"/>
      <c r="I800" s="481">
        <f>I344</f>
        <v>45000</v>
      </c>
      <c r="J800" s="528">
        <f>J344</f>
        <v>45000</v>
      </c>
      <c r="K800" s="501"/>
      <c r="L800" s="391"/>
      <c r="M800" s="495"/>
    </row>
    <row r="801" spans="1:13" s="392" customFormat="1" x14ac:dyDescent="0.3">
      <c r="A801" s="419"/>
      <c r="B801" s="420"/>
      <c r="C801" s="420"/>
      <c r="D801" s="554" t="s">
        <v>889</v>
      </c>
      <c r="E801" s="500"/>
      <c r="F801" s="500"/>
      <c r="G801" s="528">
        <f>G219</f>
        <v>3843600</v>
      </c>
      <c r="H801" s="482"/>
      <c r="I801" s="481">
        <f>I219</f>
        <v>430000</v>
      </c>
      <c r="J801" s="528">
        <f>J219</f>
        <v>1785000</v>
      </c>
      <c r="K801" s="501"/>
      <c r="L801" s="391"/>
      <c r="M801" s="495"/>
    </row>
    <row r="802" spans="1:13" s="392" customFormat="1" x14ac:dyDescent="0.3">
      <c r="A802" s="419"/>
      <c r="B802" s="420"/>
      <c r="C802" s="420"/>
      <c r="D802" s="554" t="s">
        <v>890</v>
      </c>
      <c r="E802" s="500"/>
      <c r="F802" s="500"/>
      <c r="G802" s="528">
        <f>G98+G230+G413</f>
        <v>10156930.949999999</v>
      </c>
      <c r="H802" s="482"/>
      <c r="I802" s="481">
        <f>I98+I230+I413</f>
        <v>7503364.5600000005</v>
      </c>
      <c r="J802" s="528">
        <f>J98+J230+J413</f>
        <v>8483649.4000000004</v>
      </c>
      <c r="K802" s="501"/>
      <c r="L802" s="391"/>
      <c r="M802" s="495"/>
    </row>
    <row r="803" spans="1:13" s="392" customFormat="1" x14ac:dyDescent="0.3">
      <c r="A803" s="419"/>
      <c r="B803" s="420"/>
      <c r="C803" s="420"/>
      <c r="D803" s="554" t="s">
        <v>895</v>
      </c>
      <c r="E803" s="500"/>
      <c r="F803" s="500"/>
      <c r="G803" s="528">
        <f>G196</f>
        <v>100000</v>
      </c>
      <c r="H803" s="482"/>
      <c r="I803" s="481">
        <f>I196</f>
        <v>100000</v>
      </c>
      <c r="J803" s="528">
        <f>J196</f>
        <v>100000</v>
      </c>
      <c r="K803" s="501"/>
      <c r="L803" s="391"/>
      <c r="M803" s="495"/>
    </row>
    <row r="804" spans="1:13" s="392" customFormat="1" x14ac:dyDescent="0.3">
      <c r="A804" s="419"/>
      <c r="B804" s="420"/>
      <c r="C804" s="420"/>
      <c r="D804" s="554" t="s">
        <v>891</v>
      </c>
      <c r="E804" s="500"/>
      <c r="F804" s="500"/>
      <c r="G804" s="528">
        <f>G500</f>
        <v>50000</v>
      </c>
      <c r="H804" s="482"/>
      <c r="I804" s="481">
        <f>I500</f>
        <v>50000</v>
      </c>
      <c r="J804" s="528">
        <f>J500</f>
        <v>50000</v>
      </c>
      <c r="K804" s="501"/>
      <c r="L804" s="391"/>
      <c r="M804" s="495"/>
    </row>
    <row r="805" spans="1:13" s="392" customFormat="1" x14ac:dyDescent="0.3">
      <c r="A805" s="419"/>
      <c r="B805" s="420"/>
      <c r="C805" s="420"/>
      <c r="D805" s="554" t="s">
        <v>892</v>
      </c>
      <c r="E805" s="500"/>
      <c r="F805" s="500"/>
      <c r="G805" s="528">
        <f>G287</f>
        <v>37602759.850000001</v>
      </c>
      <c r="H805" s="482"/>
      <c r="I805" s="481">
        <f>I287</f>
        <v>8938369</v>
      </c>
      <c r="J805" s="528">
        <f>J287</f>
        <v>9414506.0600000005</v>
      </c>
      <c r="K805" s="501"/>
      <c r="L805" s="391"/>
      <c r="M805" s="495"/>
    </row>
    <row r="806" spans="1:13" s="392" customFormat="1" x14ac:dyDescent="0.3">
      <c r="A806" s="419"/>
      <c r="B806" s="420"/>
      <c r="C806" s="420"/>
      <c r="D806" s="554" t="s">
        <v>893</v>
      </c>
      <c r="E806" s="500"/>
      <c r="F806" s="500"/>
      <c r="G806" s="528">
        <f>G304</f>
        <v>15345827.210000001</v>
      </c>
      <c r="H806" s="482"/>
      <c r="I806" s="481">
        <f>I304</f>
        <v>19974076.27</v>
      </c>
      <c r="J806" s="528">
        <f>J304</f>
        <v>13175249.5</v>
      </c>
      <c r="K806" s="501"/>
      <c r="L806" s="391"/>
      <c r="M806" s="495"/>
    </row>
    <row r="807" spans="1:13" s="392" customFormat="1" x14ac:dyDescent="0.3">
      <c r="A807" s="419"/>
      <c r="B807" s="420"/>
      <c r="C807" s="420"/>
      <c r="D807" s="554" t="s">
        <v>977</v>
      </c>
      <c r="E807" s="500"/>
      <c r="F807" s="500"/>
      <c r="G807" s="528">
        <v>50000</v>
      </c>
      <c r="H807" s="482"/>
      <c r="I807" s="481"/>
      <c r="J807" s="528"/>
      <c r="K807" s="501"/>
      <c r="L807" s="391"/>
      <c r="M807" s="495"/>
    </row>
    <row r="808" spans="1:13" s="392" customFormat="1" x14ac:dyDescent="0.3">
      <c r="A808" s="419"/>
      <c r="B808" s="420"/>
      <c r="C808" s="420"/>
      <c r="D808" s="554" t="s">
        <v>894</v>
      </c>
      <c r="E808" s="500"/>
      <c r="F808" s="500"/>
      <c r="G808" s="528">
        <f>G10+G32+G37+G44+G50+G55+G110+G164+G174+G179+G185+G191+G235+G423+G438+G443+G515+G530+G540+G740</f>
        <v>150619399.59999999</v>
      </c>
      <c r="H808" s="482"/>
      <c r="I808" s="481">
        <f>I10+I32+I37+I44+I50+I55+I110+I164+I174+I179+I185+I191+I235+I423+I438+I443+I515+I530+I540+I740</f>
        <v>152341492.47999999</v>
      </c>
      <c r="J808" s="528">
        <f>J10+J32+J37+J44+J50+J55+J110+J164+J174+J179+J185+J191+J235+J423+J438+J443+J515+J530+J540+J740</f>
        <v>200375380.75999999</v>
      </c>
      <c r="K808" s="501"/>
      <c r="L808" s="391"/>
      <c r="M808" s="495"/>
    </row>
    <row r="809" spans="1:13" s="392" customFormat="1" x14ac:dyDescent="0.3">
      <c r="A809" s="419"/>
      <c r="B809" s="420"/>
      <c r="C809" s="420"/>
      <c r="D809" s="500"/>
      <c r="E809" s="500"/>
      <c r="F809" s="500"/>
      <c r="G809" s="531">
        <f>SUBTOTAL(9,G788:G808)</f>
        <v>1057478517.4100002</v>
      </c>
      <c r="H809" s="489"/>
      <c r="I809" s="488">
        <f>SUBTOTAL(9,I788:I808)</f>
        <v>898231865.89999986</v>
      </c>
      <c r="J809" s="531">
        <f>SUBTOTAL(9,J788:J808)</f>
        <v>1006678340.39</v>
      </c>
      <c r="K809" s="501"/>
      <c r="L809" s="391"/>
      <c r="M809" s="495"/>
    </row>
    <row r="810" spans="1:13" s="392" customFormat="1" x14ac:dyDescent="0.3">
      <c r="A810" s="419"/>
      <c r="B810" s="420" t="s">
        <v>896</v>
      </c>
      <c r="C810" s="420"/>
      <c r="D810" s="500"/>
      <c r="E810" s="500"/>
      <c r="F810" s="500"/>
      <c r="G810" s="531">
        <f>G426+G449</f>
        <v>25582766.18</v>
      </c>
      <c r="H810" s="489"/>
      <c r="I810" s="488">
        <f>I426+I449</f>
        <v>25861130.34</v>
      </c>
      <c r="J810" s="531">
        <f>J426+J449</f>
        <v>39431638.340000004</v>
      </c>
      <c r="K810" s="501"/>
      <c r="L810" s="391"/>
      <c r="M810" s="495"/>
    </row>
    <row r="812" spans="1:13" s="392" customFormat="1" x14ac:dyDescent="0.3">
      <c r="A812" s="419"/>
      <c r="B812" s="420" t="s">
        <v>774</v>
      </c>
      <c r="C812" s="420"/>
      <c r="D812" s="500"/>
      <c r="E812" s="500"/>
      <c r="F812" s="500"/>
      <c r="G812" s="528">
        <f>G11+G33+G38+G51+G114+G516+G519+G526+G684+G741+G744</f>
        <v>79038115.810000002</v>
      </c>
      <c r="H812" s="482"/>
      <c r="I812" s="481"/>
      <c r="J812" s="528"/>
      <c r="K812" s="501"/>
      <c r="L812" s="391"/>
      <c r="M812" s="495"/>
    </row>
    <row r="813" spans="1:13" s="482" customFormat="1" x14ac:dyDescent="0.3">
      <c r="A813" s="487" t="s">
        <v>775</v>
      </c>
      <c r="B813" s="420"/>
      <c r="C813" s="492">
        <v>25.55</v>
      </c>
      <c r="D813" s="500"/>
      <c r="E813" s="500"/>
      <c r="F813" s="500"/>
      <c r="G813" s="528">
        <f>'[2]прил 7'!C14*25.55%</f>
        <v>108068996.42234501</v>
      </c>
      <c r="I813" s="481"/>
      <c r="J813" s="528"/>
      <c r="K813" s="501"/>
      <c r="L813" s="391"/>
      <c r="M813" s="497"/>
    </row>
    <row r="814" spans="1:13" s="482" customFormat="1" x14ac:dyDescent="0.3">
      <c r="A814" s="487" t="s">
        <v>776</v>
      </c>
      <c r="B814" s="420"/>
      <c r="C814" s="420"/>
      <c r="D814" s="500"/>
      <c r="E814" s="500"/>
      <c r="F814" s="500"/>
      <c r="G814" s="528">
        <v>2136400</v>
      </c>
      <c r="I814" s="481"/>
      <c r="J814" s="528"/>
      <c r="K814" s="501"/>
      <c r="L814" s="391"/>
      <c r="M814" s="497"/>
    </row>
    <row r="815" spans="1:13" s="482" customFormat="1" x14ac:dyDescent="0.3">
      <c r="A815" s="487" t="s">
        <v>969</v>
      </c>
      <c r="B815" s="420"/>
      <c r="C815" s="420"/>
      <c r="D815" s="500"/>
      <c r="E815" s="500"/>
      <c r="F815" s="500"/>
      <c r="G815" s="528">
        <v>2136400</v>
      </c>
      <c r="I815" s="481"/>
      <c r="J815" s="528"/>
      <c r="K815" s="501"/>
      <c r="L815" s="391"/>
      <c r="M815" s="497"/>
    </row>
  </sheetData>
  <autoFilter ref="A6:M770"/>
  <mergeCells count="3">
    <mergeCell ref="A2:G2"/>
    <mergeCell ref="A3:G3"/>
    <mergeCell ref="A4:G4"/>
  </mergeCells>
  <pageMargins left="0.25" right="0.25" top="0.75" bottom="0.75" header="0.3" footer="0.3"/>
  <pageSetup paperSize="9" scale="54" fitToHeight="0" orientation="portrait" r:id="rId1"/>
  <rowBreaks count="3" manualBreakCount="3">
    <brk id="110" max="12" man="1"/>
    <brk id="170" max="12" man="1"/>
    <brk id="542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815"/>
  <sheetViews>
    <sheetView view="pageBreakPreview" topLeftCell="A302" zoomScale="90" zoomScaleNormal="100" zoomScaleSheetLayoutView="90" workbookViewId="0">
      <selection activeCell="A284" sqref="A284:XFD286"/>
    </sheetView>
  </sheetViews>
  <sheetFormatPr defaultRowHeight="17" outlineLevelRow="7" x14ac:dyDescent="0.3"/>
  <cols>
    <col min="1" max="1" width="59.625" style="419" customWidth="1"/>
    <col min="2" max="2" width="6.375" style="420" customWidth="1"/>
    <col min="3" max="3" width="8" style="420" customWidth="1"/>
    <col min="4" max="4" width="15.875" style="500" customWidth="1"/>
    <col min="5" max="5" width="6.875" style="500" customWidth="1"/>
    <col min="6" max="6" width="19.75" style="500" hidden="1" customWidth="1"/>
    <col min="7" max="7" width="17" style="528" customWidth="1"/>
    <col min="8" max="8" width="18.75" style="482" hidden="1" customWidth="1"/>
    <col min="9" max="9" width="20" style="481" hidden="1" customWidth="1"/>
    <col min="10" max="10" width="17.75" style="528" customWidth="1"/>
    <col min="11" max="11" width="18.125" style="501" customWidth="1"/>
    <col min="12" max="12" width="16.375" style="391" customWidth="1"/>
    <col min="13" max="13" width="11.125" style="495" customWidth="1"/>
    <col min="14" max="14" width="11.75" style="391" bestFit="1" customWidth="1"/>
    <col min="15" max="239" width="9" style="391"/>
    <col min="240" max="240" width="75.875" style="391" customWidth="1"/>
    <col min="241" max="242" width="7.625" style="391" customWidth="1"/>
    <col min="243" max="243" width="9.625" style="391" customWidth="1"/>
    <col min="244" max="244" width="7.625" style="391" customWidth="1"/>
    <col min="245" max="248" width="0" style="391" hidden="1" customWidth="1"/>
    <col min="249" max="249" width="14.375" style="391" customWidth="1"/>
    <col min="250" max="255" width="0" style="391" hidden="1" customWidth="1"/>
    <col min="256" max="256" width="10.125" style="391" bestFit="1" customWidth="1"/>
    <col min="257" max="495" width="9" style="391"/>
    <col min="496" max="496" width="75.875" style="391" customWidth="1"/>
    <col min="497" max="498" width="7.625" style="391" customWidth="1"/>
    <col min="499" max="499" width="9.625" style="391" customWidth="1"/>
    <col min="500" max="500" width="7.625" style="391" customWidth="1"/>
    <col min="501" max="504" width="0" style="391" hidden="1" customWidth="1"/>
    <col min="505" max="505" width="14.375" style="391" customWidth="1"/>
    <col min="506" max="511" width="0" style="391" hidden="1" customWidth="1"/>
    <col min="512" max="512" width="10.125" style="391" bestFit="1" customWidth="1"/>
    <col min="513" max="751" width="9" style="391"/>
    <col min="752" max="752" width="75.875" style="391" customWidth="1"/>
    <col min="753" max="754" width="7.625" style="391" customWidth="1"/>
    <col min="755" max="755" width="9.625" style="391" customWidth="1"/>
    <col min="756" max="756" width="7.625" style="391" customWidth="1"/>
    <col min="757" max="760" width="0" style="391" hidden="1" customWidth="1"/>
    <col min="761" max="761" width="14.375" style="391" customWidth="1"/>
    <col min="762" max="767" width="0" style="391" hidden="1" customWidth="1"/>
    <col min="768" max="768" width="10.125" style="391" bestFit="1" customWidth="1"/>
    <col min="769" max="1007" width="9" style="391"/>
    <col min="1008" max="1008" width="75.875" style="391" customWidth="1"/>
    <col min="1009" max="1010" width="7.625" style="391" customWidth="1"/>
    <col min="1011" max="1011" width="9.625" style="391" customWidth="1"/>
    <col min="1012" max="1012" width="7.625" style="391" customWidth="1"/>
    <col min="1013" max="1016" width="0" style="391" hidden="1" customWidth="1"/>
    <col min="1017" max="1017" width="14.375" style="391" customWidth="1"/>
    <col min="1018" max="1023" width="0" style="391" hidden="1" customWidth="1"/>
    <col min="1024" max="1024" width="10.125" style="391" bestFit="1" customWidth="1"/>
    <col min="1025" max="1263" width="9" style="391"/>
    <col min="1264" max="1264" width="75.875" style="391" customWidth="1"/>
    <col min="1265" max="1266" width="7.625" style="391" customWidth="1"/>
    <col min="1267" max="1267" width="9.625" style="391" customWidth="1"/>
    <col min="1268" max="1268" width="7.625" style="391" customWidth="1"/>
    <col min="1269" max="1272" width="0" style="391" hidden="1" customWidth="1"/>
    <col min="1273" max="1273" width="14.375" style="391" customWidth="1"/>
    <col min="1274" max="1279" width="0" style="391" hidden="1" customWidth="1"/>
    <col min="1280" max="1280" width="10.125" style="391" bestFit="1" customWidth="1"/>
    <col min="1281" max="1519" width="9" style="391"/>
    <col min="1520" max="1520" width="75.875" style="391" customWidth="1"/>
    <col min="1521" max="1522" width="7.625" style="391" customWidth="1"/>
    <col min="1523" max="1523" width="9.625" style="391" customWidth="1"/>
    <col min="1524" max="1524" width="7.625" style="391" customWidth="1"/>
    <col min="1525" max="1528" width="0" style="391" hidden="1" customWidth="1"/>
    <col min="1529" max="1529" width="14.375" style="391" customWidth="1"/>
    <col min="1530" max="1535" width="0" style="391" hidden="1" customWidth="1"/>
    <col min="1536" max="1536" width="10.125" style="391" bestFit="1" customWidth="1"/>
    <col min="1537" max="1775" width="9" style="391"/>
    <col min="1776" max="1776" width="75.875" style="391" customWidth="1"/>
    <col min="1777" max="1778" width="7.625" style="391" customWidth="1"/>
    <col min="1779" max="1779" width="9.625" style="391" customWidth="1"/>
    <col min="1780" max="1780" width="7.625" style="391" customWidth="1"/>
    <col min="1781" max="1784" width="0" style="391" hidden="1" customWidth="1"/>
    <col min="1785" max="1785" width="14.375" style="391" customWidth="1"/>
    <col min="1786" max="1791" width="0" style="391" hidden="1" customWidth="1"/>
    <col min="1792" max="1792" width="10.125" style="391" bestFit="1" customWidth="1"/>
    <col min="1793" max="2031" width="9" style="391"/>
    <col min="2032" max="2032" width="75.875" style="391" customWidth="1"/>
    <col min="2033" max="2034" width="7.625" style="391" customWidth="1"/>
    <col min="2035" max="2035" width="9.625" style="391" customWidth="1"/>
    <col min="2036" max="2036" width="7.625" style="391" customWidth="1"/>
    <col min="2037" max="2040" width="0" style="391" hidden="1" customWidth="1"/>
    <col min="2041" max="2041" width="14.375" style="391" customWidth="1"/>
    <col min="2042" max="2047" width="0" style="391" hidden="1" customWidth="1"/>
    <col min="2048" max="2048" width="10.125" style="391" bestFit="1" customWidth="1"/>
    <col min="2049" max="2287" width="9" style="391"/>
    <col min="2288" max="2288" width="75.875" style="391" customWidth="1"/>
    <col min="2289" max="2290" width="7.625" style="391" customWidth="1"/>
    <col min="2291" max="2291" width="9.625" style="391" customWidth="1"/>
    <col min="2292" max="2292" width="7.625" style="391" customWidth="1"/>
    <col min="2293" max="2296" width="0" style="391" hidden="1" customWidth="1"/>
    <col min="2297" max="2297" width="14.375" style="391" customWidth="1"/>
    <col min="2298" max="2303" width="0" style="391" hidden="1" customWidth="1"/>
    <col min="2304" max="2304" width="10.125" style="391" bestFit="1" customWidth="1"/>
    <col min="2305" max="2543" width="9" style="391"/>
    <col min="2544" max="2544" width="75.875" style="391" customWidth="1"/>
    <col min="2545" max="2546" width="7.625" style="391" customWidth="1"/>
    <col min="2547" max="2547" width="9.625" style="391" customWidth="1"/>
    <col min="2548" max="2548" width="7.625" style="391" customWidth="1"/>
    <col min="2549" max="2552" width="0" style="391" hidden="1" customWidth="1"/>
    <col min="2553" max="2553" width="14.375" style="391" customWidth="1"/>
    <col min="2554" max="2559" width="0" style="391" hidden="1" customWidth="1"/>
    <col min="2560" max="2560" width="10.125" style="391" bestFit="1" customWidth="1"/>
    <col min="2561" max="2799" width="9" style="391"/>
    <col min="2800" max="2800" width="75.875" style="391" customWidth="1"/>
    <col min="2801" max="2802" width="7.625" style="391" customWidth="1"/>
    <col min="2803" max="2803" width="9.625" style="391" customWidth="1"/>
    <col min="2804" max="2804" width="7.625" style="391" customWidth="1"/>
    <col min="2805" max="2808" width="0" style="391" hidden="1" customWidth="1"/>
    <col min="2809" max="2809" width="14.375" style="391" customWidth="1"/>
    <col min="2810" max="2815" width="0" style="391" hidden="1" customWidth="1"/>
    <col min="2816" max="2816" width="10.125" style="391" bestFit="1" customWidth="1"/>
    <col min="2817" max="3055" width="9" style="391"/>
    <col min="3056" max="3056" width="75.875" style="391" customWidth="1"/>
    <col min="3057" max="3058" width="7.625" style="391" customWidth="1"/>
    <col min="3059" max="3059" width="9.625" style="391" customWidth="1"/>
    <col min="3060" max="3060" width="7.625" style="391" customWidth="1"/>
    <col min="3061" max="3064" width="0" style="391" hidden="1" customWidth="1"/>
    <col min="3065" max="3065" width="14.375" style="391" customWidth="1"/>
    <col min="3066" max="3071" width="0" style="391" hidden="1" customWidth="1"/>
    <col min="3072" max="3072" width="10.125" style="391" bestFit="1" customWidth="1"/>
    <col min="3073" max="3311" width="9" style="391"/>
    <col min="3312" max="3312" width="75.875" style="391" customWidth="1"/>
    <col min="3313" max="3314" width="7.625" style="391" customWidth="1"/>
    <col min="3315" max="3315" width="9.625" style="391" customWidth="1"/>
    <col min="3316" max="3316" width="7.625" style="391" customWidth="1"/>
    <col min="3317" max="3320" width="0" style="391" hidden="1" customWidth="1"/>
    <col min="3321" max="3321" width="14.375" style="391" customWidth="1"/>
    <col min="3322" max="3327" width="0" style="391" hidden="1" customWidth="1"/>
    <col min="3328" max="3328" width="10.125" style="391" bestFit="1" customWidth="1"/>
    <col min="3329" max="3567" width="9" style="391"/>
    <col min="3568" max="3568" width="75.875" style="391" customWidth="1"/>
    <col min="3569" max="3570" width="7.625" style="391" customWidth="1"/>
    <col min="3571" max="3571" width="9.625" style="391" customWidth="1"/>
    <col min="3572" max="3572" width="7.625" style="391" customWidth="1"/>
    <col min="3573" max="3576" width="0" style="391" hidden="1" customWidth="1"/>
    <col min="3577" max="3577" width="14.375" style="391" customWidth="1"/>
    <col min="3578" max="3583" width="0" style="391" hidden="1" customWidth="1"/>
    <col min="3584" max="3584" width="10.125" style="391" bestFit="1" customWidth="1"/>
    <col min="3585" max="3823" width="9" style="391"/>
    <col min="3824" max="3824" width="75.875" style="391" customWidth="1"/>
    <col min="3825" max="3826" width="7.625" style="391" customWidth="1"/>
    <col min="3827" max="3827" width="9.625" style="391" customWidth="1"/>
    <col min="3828" max="3828" width="7.625" style="391" customWidth="1"/>
    <col min="3829" max="3832" width="0" style="391" hidden="1" customWidth="1"/>
    <col min="3833" max="3833" width="14.375" style="391" customWidth="1"/>
    <col min="3834" max="3839" width="0" style="391" hidden="1" customWidth="1"/>
    <col min="3840" max="3840" width="10.125" style="391" bestFit="1" customWidth="1"/>
    <col min="3841" max="4079" width="9" style="391"/>
    <col min="4080" max="4080" width="75.875" style="391" customWidth="1"/>
    <col min="4081" max="4082" width="7.625" style="391" customWidth="1"/>
    <col min="4083" max="4083" width="9.625" style="391" customWidth="1"/>
    <col min="4084" max="4084" width="7.625" style="391" customWidth="1"/>
    <col min="4085" max="4088" width="0" style="391" hidden="1" customWidth="1"/>
    <col min="4089" max="4089" width="14.375" style="391" customWidth="1"/>
    <col min="4090" max="4095" width="0" style="391" hidden="1" customWidth="1"/>
    <col min="4096" max="4096" width="10.125" style="391" bestFit="1" customWidth="1"/>
    <col min="4097" max="4335" width="9" style="391"/>
    <col min="4336" max="4336" width="75.875" style="391" customWidth="1"/>
    <col min="4337" max="4338" width="7.625" style="391" customWidth="1"/>
    <col min="4339" max="4339" width="9.625" style="391" customWidth="1"/>
    <col min="4340" max="4340" width="7.625" style="391" customWidth="1"/>
    <col min="4341" max="4344" width="0" style="391" hidden="1" customWidth="1"/>
    <col min="4345" max="4345" width="14.375" style="391" customWidth="1"/>
    <col min="4346" max="4351" width="0" style="391" hidden="1" customWidth="1"/>
    <col min="4352" max="4352" width="10.125" style="391" bestFit="1" customWidth="1"/>
    <col min="4353" max="4591" width="9" style="391"/>
    <col min="4592" max="4592" width="75.875" style="391" customWidth="1"/>
    <col min="4593" max="4594" width="7.625" style="391" customWidth="1"/>
    <col min="4595" max="4595" width="9.625" style="391" customWidth="1"/>
    <col min="4596" max="4596" width="7.625" style="391" customWidth="1"/>
    <col min="4597" max="4600" width="0" style="391" hidden="1" customWidth="1"/>
    <col min="4601" max="4601" width="14.375" style="391" customWidth="1"/>
    <col min="4602" max="4607" width="0" style="391" hidden="1" customWidth="1"/>
    <col min="4608" max="4608" width="10.125" style="391" bestFit="1" customWidth="1"/>
    <col min="4609" max="4847" width="9" style="391"/>
    <col min="4848" max="4848" width="75.875" style="391" customWidth="1"/>
    <col min="4849" max="4850" width="7.625" style="391" customWidth="1"/>
    <col min="4851" max="4851" width="9.625" style="391" customWidth="1"/>
    <col min="4852" max="4852" width="7.625" style="391" customWidth="1"/>
    <col min="4853" max="4856" width="0" style="391" hidden="1" customWidth="1"/>
    <col min="4857" max="4857" width="14.375" style="391" customWidth="1"/>
    <col min="4858" max="4863" width="0" style="391" hidden="1" customWidth="1"/>
    <col min="4864" max="4864" width="10.125" style="391" bestFit="1" customWidth="1"/>
    <col min="4865" max="5103" width="9" style="391"/>
    <col min="5104" max="5104" width="75.875" style="391" customWidth="1"/>
    <col min="5105" max="5106" width="7.625" style="391" customWidth="1"/>
    <col min="5107" max="5107" width="9.625" style="391" customWidth="1"/>
    <col min="5108" max="5108" width="7.625" style="391" customWidth="1"/>
    <col min="5109" max="5112" width="0" style="391" hidden="1" customWidth="1"/>
    <col min="5113" max="5113" width="14.375" style="391" customWidth="1"/>
    <col min="5114" max="5119" width="0" style="391" hidden="1" customWidth="1"/>
    <col min="5120" max="5120" width="10.125" style="391" bestFit="1" customWidth="1"/>
    <col min="5121" max="5359" width="9" style="391"/>
    <col min="5360" max="5360" width="75.875" style="391" customWidth="1"/>
    <col min="5361" max="5362" width="7.625" style="391" customWidth="1"/>
    <col min="5363" max="5363" width="9.625" style="391" customWidth="1"/>
    <col min="5364" max="5364" width="7.625" style="391" customWidth="1"/>
    <col min="5365" max="5368" width="0" style="391" hidden="1" customWidth="1"/>
    <col min="5369" max="5369" width="14.375" style="391" customWidth="1"/>
    <col min="5370" max="5375" width="0" style="391" hidden="1" customWidth="1"/>
    <col min="5376" max="5376" width="10.125" style="391" bestFit="1" customWidth="1"/>
    <col min="5377" max="5615" width="9" style="391"/>
    <col min="5616" max="5616" width="75.875" style="391" customWidth="1"/>
    <col min="5617" max="5618" width="7.625" style="391" customWidth="1"/>
    <col min="5619" max="5619" width="9.625" style="391" customWidth="1"/>
    <col min="5620" max="5620" width="7.625" style="391" customWidth="1"/>
    <col min="5621" max="5624" width="0" style="391" hidden="1" customWidth="1"/>
    <col min="5625" max="5625" width="14.375" style="391" customWidth="1"/>
    <col min="5626" max="5631" width="0" style="391" hidden="1" customWidth="1"/>
    <col min="5632" max="5632" width="10.125" style="391" bestFit="1" customWidth="1"/>
    <col min="5633" max="5871" width="9" style="391"/>
    <col min="5872" max="5872" width="75.875" style="391" customWidth="1"/>
    <col min="5873" max="5874" width="7.625" style="391" customWidth="1"/>
    <col min="5875" max="5875" width="9.625" style="391" customWidth="1"/>
    <col min="5876" max="5876" width="7.625" style="391" customWidth="1"/>
    <col min="5877" max="5880" width="0" style="391" hidden="1" customWidth="1"/>
    <col min="5881" max="5881" width="14.375" style="391" customWidth="1"/>
    <col min="5882" max="5887" width="0" style="391" hidden="1" customWidth="1"/>
    <col min="5888" max="5888" width="10.125" style="391" bestFit="1" customWidth="1"/>
    <col min="5889" max="6127" width="9" style="391"/>
    <col min="6128" max="6128" width="75.875" style="391" customWidth="1"/>
    <col min="6129" max="6130" width="7.625" style="391" customWidth="1"/>
    <col min="6131" max="6131" width="9.625" style="391" customWidth="1"/>
    <col min="6132" max="6132" width="7.625" style="391" customWidth="1"/>
    <col min="6133" max="6136" width="0" style="391" hidden="1" customWidth="1"/>
    <col min="6137" max="6137" width="14.375" style="391" customWidth="1"/>
    <col min="6138" max="6143" width="0" style="391" hidden="1" customWidth="1"/>
    <col min="6144" max="6144" width="10.125" style="391" bestFit="1" customWidth="1"/>
    <col min="6145" max="6383" width="9" style="391"/>
    <col min="6384" max="6384" width="75.875" style="391" customWidth="1"/>
    <col min="6385" max="6386" width="7.625" style="391" customWidth="1"/>
    <col min="6387" max="6387" width="9.625" style="391" customWidth="1"/>
    <col min="6388" max="6388" width="7.625" style="391" customWidth="1"/>
    <col min="6389" max="6392" width="0" style="391" hidden="1" customWidth="1"/>
    <col min="6393" max="6393" width="14.375" style="391" customWidth="1"/>
    <col min="6394" max="6399" width="0" style="391" hidden="1" customWidth="1"/>
    <col min="6400" max="6400" width="10.125" style="391" bestFit="1" customWidth="1"/>
    <col min="6401" max="6639" width="9" style="391"/>
    <col min="6640" max="6640" width="75.875" style="391" customWidth="1"/>
    <col min="6641" max="6642" width="7.625" style="391" customWidth="1"/>
    <col min="6643" max="6643" width="9.625" style="391" customWidth="1"/>
    <col min="6644" max="6644" width="7.625" style="391" customWidth="1"/>
    <col min="6645" max="6648" width="0" style="391" hidden="1" customWidth="1"/>
    <col min="6649" max="6649" width="14.375" style="391" customWidth="1"/>
    <col min="6650" max="6655" width="0" style="391" hidden="1" customWidth="1"/>
    <col min="6656" max="6656" width="10.125" style="391" bestFit="1" customWidth="1"/>
    <col min="6657" max="6895" width="9" style="391"/>
    <col min="6896" max="6896" width="75.875" style="391" customWidth="1"/>
    <col min="6897" max="6898" width="7.625" style="391" customWidth="1"/>
    <col min="6899" max="6899" width="9.625" style="391" customWidth="1"/>
    <col min="6900" max="6900" width="7.625" style="391" customWidth="1"/>
    <col min="6901" max="6904" width="0" style="391" hidden="1" customWidth="1"/>
    <col min="6905" max="6905" width="14.375" style="391" customWidth="1"/>
    <col min="6906" max="6911" width="0" style="391" hidden="1" customWidth="1"/>
    <col min="6912" max="6912" width="10.125" style="391" bestFit="1" customWidth="1"/>
    <col min="6913" max="7151" width="9" style="391"/>
    <col min="7152" max="7152" width="75.875" style="391" customWidth="1"/>
    <col min="7153" max="7154" width="7.625" style="391" customWidth="1"/>
    <col min="7155" max="7155" width="9.625" style="391" customWidth="1"/>
    <col min="7156" max="7156" width="7.625" style="391" customWidth="1"/>
    <col min="7157" max="7160" width="0" style="391" hidden="1" customWidth="1"/>
    <col min="7161" max="7161" width="14.375" style="391" customWidth="1"/>
    <col min="7162" max="7167" width="0" style="391" hidden="1" customWidth="1"/>
    <col min="7168" max="7168" width="10.125" style="391" bestFit="1" customWidth="1"/>
    <col min="7169" max="7407" width="9" style="391"/>
    <col min="7408" max="7408" width="75.875" style="391" customWidth="1"/>
    <col min="7409" max="7410" width="7.625" style="391" customWidth="1"/>
    <col min="7411" max="7411" width="9.625" style="391" customWidth="1"/>
    <col min="7412" max="7412" width="7.625" style="391" customWidth="1"/>
    <col min="7413" max="7416" width="0" style="391" hidden="1" customWidth="1"/>
    <col min="7417" max="7417" width="14.375" style="391" customWidth="1"/>
    <col min="7418" max="7423" width="0" style="391" hidden="1" customWidth="1"/>
    <col min="7424" max="7424" width="10.125" style="391" bestFit="1" customWidth="1"/>
    <col min="7425" max="7663" width="9" style="391"/>
    <col min="7664" max="7664" width="75.875" style="391" customWidth="1"/>
    <col min="7665" max="7666" width="7.625" style="391" customWidth="1"/>
    <col min="7667" max="7667" width="9.625" style="391" customWidth="1"/>
    <col min="7668" max="7668" width="7.625" style="391" customWidth="1"/>
    <col min="7669" max="7672" width="0" style="391" hidden="1" customWidth="1"/>
    <col min="7673" max="7673" width="14.375" style="391" customWidth="1"/>
    <col min="7674" max="7679" width="0" style="391" hidden="1" customWidth="1"/>
    <col min="7680" max="7680" width="10.125" style="391" bestFit="1" customWidth="1"/>
    <col min="7681" max="7919" width="9" style="391"/>
    <col min="7920" max="7920" width="75.875" style="391" customWidth="1"/>
    <col min="7921" max="7922" width="7.625" style="391" customWidth="1"/>
    <col min="7923" max="7923" width="9.625" style="391" customWidth="1"/>
    <col min="7924" max="7924" width="7.625" style="391" customWidth="1"/>
    <col min="7925" max="7928" width="0" style="391" hidden="1" customWidth="1"/>
    <col min="7929" max="7929" width="14.375" style="391" customWidth="1"/>
    <col min="7930" max="7935" width="0" style="391" hidden="1" customWidth="1"/>
    <col min="7936" max="7936" width="10.125" style="391" bestFit="1" customWidth="1"/>
    <col min="7937" max="8175" width="9" style="391"/>
    <col min="8176" max="8176" width="75.875" style="391" customWidth="1"/>
    <col min="8177" max="8178" width="7.625" style="391" customWidth="1"/>
    <col min="8179" max="8179" width="9.625" style="391" customWidth="1"/>
    <col min="8180" max="8180" width="7.625" style="391" customWidth="1"/>
    <col min="8181" max="8184" width="0" style="391" hidden="1" customWidth="1"/>
    <col min="8185" max="8185" width="14.375" style="391" customWidth="1"/>
    <col min="8186" max="8191" width="0" style="391" hidden="1" customWidth="1"/>
    <col min="8192" max="8192" width="10.125" style="391" bestFit="1" customWidth="1"/>
    <col min="8193" max="8431" width="9" style="391"/>
    <col min="8432" max="8432" width="75.875" style="391" customWidth="1"/>
    <col min="8433" max="8434" width="7.625" style="391" customWidth="1"/>
    <col min="8435" max="8435" width="9.625" style="391" customWidth="1"/>
    <col min="8436" max="8436" width="7.625" style="391" customWidth="1"/>
    <col min="8437" max="8440" width="0" style="391" hidden="1" customWidth="1"/>
    <col min="8441" max="8441" width="14.375" style="391" customWidth="1"/>
    <col min="8442" max="8447" width="0" style="391" hidden="1" customWidth="1"/>
    <col min="8448" max="8448" width="10.125" style="391" bestFit="1" customWidth="1"/>
    <col min="8449" max="8687" width="9" style="391"/>
    <col min="8688" max="8688" width="75.875" style="391" customWidth="1"/>
    <col min="8689" max="8690" width="7.625" style="391" customWidth="1"/>
    <col min="8691" max="8691" width="9.625" style="391" customWidth="1"/>
    <col min="8692" max="8692" width="7.625" style="391" customWidth="1"/>
    <col min="8693" max="8696" width="0" style="391" hidden="1" customWidth="1"/>
    <col min="8697" max="8697" width="14.375" style="391" customWidth="1"/>
    <col min="8698" max="8703" width="0" style="391" hidden="1" customWidth="1"/>
    <col min="8704" max="8704" width="10.125" style="391" bestFit="1" customWidth="1"/>
    <col min="8705" max="8943" width="9" style="391"/>
    <col min="8944" max="8944" width="75.875" style="391" customWidth="1"/>
    <col min="8945" max="8946" width="7.625" style="391" customWidth="1"/>
    <col min="8947" max="8947" width="9.625" style="391" customWidth="1"/>
    <col min="8948" max="8948" width="7.625" style="391" customWidth="1"/>
    <col min="8949" max="8952" width="0" style="391" hidden="1" customWidth="1"/>
    <col min="8953" max="8953" width="14.375" style="391" customWidth="1"/>
    <col min="8954" max="8959" width="0" style="391" hidden="1" customWidth="1"/>
    <col min="8960" max="8960" width="10.125" style="391" bestFit="1" customWidth="1"/>
    <col min="8961" max="9199" width="9" style="391"/>
    <col min="9200" max="9200" width="75.875" style="391" customWidth="1"/>
    <col min="9201" max="9202" width="7.625" style="391" customWidth="1"/>
    <col min="9203" max="9203" width="9.625" style="391" customWidth="1"/>
    <col min="9204" max="9204" width="7.625" style="391" customWidth="1"/>
    <col min="9205" max="9208" width="0" style="391" hidden="1" customWidth="1"/>
    <col min="9209" max="9209" width="14.375" style="391" customWidth="1"/>
    <col min="9210" max="9215" width="0" style="391" hidden="1" customWidth="1"/>
    <col min="9216" max="9216" width="10.125" style="391" bestFit="1" customWidth="1"/>
    <col min="9217" max="9455" width="9" style="391"/>
    <col min="9456" max="9456" width="75.875" style="391" customWidth="1"/>
    <col min="9457" max="9458" width="7.625" style="391" customWidth="1"/>
    <col min="9459" max="9459" width="9.625" style="391" customWidth="1"/>
    <col min="9460" max="9460" width="7.625" style="391" customWidth="1"/>
    <col min="9461" max="9464" width="0" style="391" hidden="1" customWidth="1"/>
    <col min="9465" max="9465" width="14.375" style="391" customWidth="1"/>
    <col min="9466" max="9471" width="0" style="391" hidden="1" customWidth="1"/>
    <col min="9472" max="9472" width="10.125" style="391" bestFit="1" customWidth="1"/>
    <col min="9473" max="9711" width="9" style="391"/>
    <col min="9712" max="9712" width="75.875" style="391" customWidth="1"/>
    <col min="9713" max="9714" width="7.625" style="391" customWidth="1"/>
    <col min="9715" max="9715" width="9.625" style="391" customWidth="1"/>
    <col min="9716" max="9716" width="7.625" style="391" customWidth="1"/>
    <col min="9717" max="9720" width="0" style="391" hidden="1" customWidth="1"/>
    <col min="9721" max="9721" width="14.375" style="391" customWidth="1"/>
    <col min="9722" max="9727" width="0" style="391" hidden="1" customWidth="1"/>
    <col min="9728" max="9728" width="10.125" style="391" bestFit="1" customWidth="1"/>
    <col min="9729" max="9967" width="9" style="391"/>
    <col min="9968" max="9968" width="75.875" style="391" customWidth="1"/>
    <col min="9969" max="9970" width="7.625" style="391" customWidth="1"/>
    <col min="9971" max="9971" width="9.625" style="391" customWidth="1"/>
    <col min="9972" max="9972" width="7.625" style="391" customWidth="1"/>
    <col min="9973" max="9976" width="0" style="391" hidden="1" customWidth="1"/>
    <col min="9977" max="9977" width="14.375" style="391" customWidth="1"/>
    <col min="9978" max="9983" width="0" style="391" hidden="1" customWidth="1"/>
    <col min="9984" max="9984" width="10.125" style="391" bestFit="1" customWidth="1"/>
    <col min="9985" max="10223" width="9" style="391"/>
    <col min="10224" max="10224" width="75.875" style="391" customWidth="1"/>
    <col min="10225" max="10226" width="7.625" style="391" customWidth="1"/>
    <col min="10227" max="10227" width="9.625" style="391" customWidth="1"/>
    <col min="10228" max="10228" width="7.625" style="391" customWidth="1"/>
    <col min="10229" max="10232" width="0" style="391" hidden="1" customWidth="1"/>
    <col min="10233" max="10233" width="14.375" style="391" customWidth="1"/>
    <col min="10234" max="10239" width="0" style="391" hidden="1" customWidth="1"/>
    <col min="10240" max="10240" width="10.125" style="391" bestFit="1" customWidth="1"/>
    <col min="10241" max="10479" width="9" style="391"/>
    <col min="10480" max="10480" width="75.875" style="391" customWidth="1"/>
    <col min="10481" max="10482" width="7.625" style="391" customWidth="1"/>
    <col min="10483" max="10483" width="9.625" style="391" customWidth="1"/>
    <col min="10484" max="10484" width="7.625" style="391" customWidth="1"/>
    <col min="10485" max="10488" width="0" style="391" hidden="1" customWidth="1"/>
    <col min="10489" max="10489" width="14.375" style="391" customWidth="1"/>
    <col min="10490" max="10495" width="0" style="391" hidden="1" customWidth="1"/>
    <col min="10496" max="10496" width="10.125" style="391" bestFit="1" customWidth="1"/>
    <col min="10497" max="10735" width="9" style="391"/>
    <col min="10736" max="10736" width="75.875" style="391" customWidth="1"/>
    <col min="10737" max="10738" width="7.625" style="391" customWidth="1"/>
    <col min="10739" max="10739" width="9.625" style="391" customWidth="1"/>
    <col min="10740" max="10740" width="7.625" style="391" customWidth="1"/>
    <col min="10741" max="10744" width="0" style="391" hidden="1" customWidth="1"/>
    <col min="10745" max="10745" width="14.375" style="391" customWidth="1"/>
    <col min="10746" max="10751" width="0" style="391" hidden="1" customWidth="1"/>
    <col min="10752" max="10752" width="10.125" style="391" bestFit="1" customWidth="1"/>
    <col min="10753" max="10991" width="9" style="391"/>
    <col min="10992" max="10992" width="75.875" style="391" customWidth="1"/>
    <col min="10993" max="10994" width="7.625" style="391" customWidth="1"/>
    <col min="10995" max="10995" width="9.625" style="391" customWidth="1"/>
    <col min="10996" max="10996" width="7.625" style="391" customWidth="1"/>
    <col min="10997" max="11000" width="0" style="391" hidden="1" customWidth="1"/>
    <col min="11001" max="11001" width="14.375" style="391" customWidth="1"/>
    <col min="11002" max="11007" width="0" style="391" hidden="1" customWidth="1"/>
    <col min="11008" max="11008" width="10.125" style="391" bestFit="1" customWidth="1"/>
    <col min="11009" max="11247" width="9" style="391"/>
    <col min="11248" max="11248" width="75.875" style="391" customWidth="1"/>
    <col min="11249" max="11250" width="7.625" style="391" customWidth="1"/>
    <col min="11251" max="11251" width="9.625" style="391" customWidth="1"/>
    <col min="11252" max="11252" width="7.625" style="391" customWidth="1"/>
    <col min="11253" max="11256" width="0" style="391" hidden="1" customWidth="1"/>
    <col min="11257" max="11257" width="14.375" style="391" customWidth="1"/>
    <col min="11258" max="11263" width="0" style="391" hidden="1" customWidth="1"/>
    <col min="11264" max="11264" width="10.125" style="391" bestFit="1" customWidth="1"/>
    <col min="11265" max="11503" width="9" style="391"/>
    <col min="11504" max="11504" width="75.875" style="391" customWidth="1"/>
    <col min="11505" max="11506" width="7.625" style="391" customWidth="1"/>
    <col min="11507" max="11507" width="9.625" style="391" customWidth="1"/>
    <col min="11508" max="11508" width="7.625" style="391" customWidth="1"/>
    <col min="11509" max="11512" width="0" style="391" hidden="1" customWidth="1"/>
    <col min="11513" max="11513" width="14.375" style="391" customWidth="1"/>
    <col min="11514" max="11519" width="0" style="391" hidden="1" customWidth="1"/>
    <col min="11520" max="11520" width="10.125" style="391" bestFit="1" customWidth="1"/>
    <col min="11521" max="11759" width="9" style="391"/>
    <col min="11760" max="11760" width="75.875" style="391" customWidth="1"/>
    <col min="11761" max="11762" width="7.625" style="391" customWidth="1"/>
    <col min="11763" max="11763" width="9.625" style="391" customWidth="1"/>
    <col min="11764" max="11764" width="7.625" style="391" customWidth="1"/>
    <col min="11765" max="11768" width="0" style="391" hidden="1" customWidth="1"/>
    <col min="11769" max="11769" width="14.375" style="391" customWidth="1"/>
    <col min="11770" max="11775" width="0" style="391" hidden="1" customWidth="1"/>
    <col min="11776" max="11776" width="10.125" style="391" bestFit="1" customWidth="1"/>
    <col min="11777" max="12015" width="9" style="391"/>
    <col min="12016" max="12016" width="75.875" style="391" customWidth="1"/>
    <col min="12017" max="12018" width="7.625" style="391" customWidth="1"/>
    <col min="12019" max="12019" width="9.625" style="391" customWidth="1"/>
    <col min="12020" max="12020" width="7.625" style="391" customWidth="1"/>
    <col min="12021" max="12024" width="0" style="391" hidden="1" customWidth="1"/>
    <col min="12025" max="12025" width="14.375" style="391" customWidth="1"/>
    <col min="12026" max="12031" width="0" style="391" hidden="1" customWidth="1"/>
    <col min="12032" max="12032" width="10.125" style="391" bestFit="1" customWidth="1"/>
    <col min="12033" max="12271" width="9" style="391"/>
    <col min="12272" max="12272" width="75.875" style="391" customWidth="1"/>
    <col min="12273" max="12274" width="7.625" style="391" customWidth="1"/>
    <col min="12275" max="12275" width="9.625" style="391" customWidth="1"/>
    <col min="12276" max="12276" width="7.625" style="391" customWidth="1"/>
    <col min="12277" max="12280" width="0" style="391" hidden="1" customWidth="1"/>
    <col min="12281" max="12281" width="14.375" style="391" customWidth="1"/>
    <col min="12282" max="12287" width="0" style="391" hidden="1" customWidth="1"/>
    <col min="12288" max="12288" width="10.125" style="391" bestFit="1" customWidth="1"/>
    <col min="12289" max="12527" width="9" style="391"/>
    <col min="12528" max="12528" width="75.875" style="391" customWidth="1"/>
    <col min="12529" max="12530" width="7.625" style="391" customWidth="1"/>
    <col min="12531" max="12531" width="9.625" style="391" customWidth="1"/>
    <col min="12532" max="12532" width="7.625" style="391" customWidth="1"/>
    <col min="12533" max="12536" width="0" style="391" hidden="1" customWidth="1"/>
    <col min="12537" max="12537" width="14.375" style="391" customWidth="1"/>
    <col min="12538" max="12543" width="0" style="391" hidden="1" customWidth="1"/>
    <col min="12544" max="12544" width="10.125" style="391" bestFit="1" customWidth="1"/>
    <col min="12545" max="12783" width="9" style="391"/>
    <col min="12784" max="12784" width="75.875" style="391" customWidth="1"/>
    <col min="12785" max="12786" width="7.625" style="391" customWidth="1"/>
    <col min="12787" max="12787" width="9.625" style="391" customWidth="1"/>
    <col min="12788" max="12788" width="7.625" style="391" customWidth="1"/>
    <col min="12789" max="12792" width="0" style="391" hidden="1" customWidth="1"/>
    <col min="12793" max="12793" width="14.375" style="391" customWidth="1"/>
    <col min="12794" max="12799" width="0" style="391" hidden="1" customWidth="1"/>
    <col min="12800" max="12800" width="10.125" style="391" bestFit="1" customWidth="1"/>
    <col min="12801" max="13039" width="9" style="391"/>
    <col min="13040" max="13040" width="75.875" style="391" customWidth="1"/>
    <col min="13041" max="13042" width="7.625" style="391" customWidth="1"/>
    <col min="13043" max="13043" width="9.625" style="391" customWidth="1"/>
    <col min="13044" max="13044" width="7.625" style="391" customWidth="1"/>
    <col min="13045" max="13048" width="0" style="391" hidden="1" customWidth="1"/>
    <col min="13049" max="13049" width="14.375" style="391" customWidth="1"/>
    <col min="13050" max="13055" width="0" style="391" hidden="1" customWidth="1"/>
    <col min="13056" max="13056" width="10.125" style="391" bestFit="1" customWidth="1"/>
    <col min="13057" max="13295" width="9" style="391"/>
    <col min="13296" max="13296" width="75.875" style="391" customWidth="1"/>
    <col min="13297" max="13298" width="7.625" style="391" customWidth="1"/>
    <col min="13299" max="13299" width="9.625" style="391" customWidth="1"/>
    <col min="13300" max="13300" width="7.625" style="391" customWidth="1"/>
    <col min="13301" max="13304" width="0" style="391" hidden="1" customWidth="1"/>
    <col min="13305" max="13305" width="14.375" style="391" customWidth="1"/>
    <col min="13306" max="13311" width="0" style="391" hidden="1" customWidth="1"/>
    <col min="13312" max="13312" width="10.125" style="391" bestFit="1" customWidth="1"/>
    <col min="13313" max="13551" width="9" style="391"/>
    <col min="13552" max="13552" width="75.875" style="391" customWidth="1"/>
    <col min="13553" max="13554" width="7.625" style="391" customWidth="1"/>
    <col min="13555" max="13555" width="9.625" style="391" customWidth="1"/>
    <col min="13556" max="13556" width="7.625" style="391" customWidth="1"/>
    <col min="13557" max="13560" width="0" style="391" hidden="1" customWidth="1"/>
    <col min="13561" max="13561" width="14.375" style="391" customWidth="1"/>
    <col min="13562" max="13567" width="0" style="391" hidden="1" customWidth="1"/>
    <col min="13568" max="13568" width="10.125" style="391" bestFit="1" customWidth="1"/>
    <col min="13569" max="13807" width="9" style="391"/>
    <col min="13808" max="13808" width="75.875" style="391" customWidth="1"/>
    <col min="13809" max="13810" width="7.625" style="391" customWidth="1"/>
    <col min="13811" max="13811" width="9.625" style="391" customWidth="1"/>
    <col min="13812" max="13812" width="7.625" style="391" customWidth="1"/>
    <col min="13813" max="13816" width="0" style="391" hidden="1" customWidth="1"/>
    <col min="13817" max="13817" width="14.375" style="391" customWidth="1"/>
    <col min="13818" max="13823" width="0" style="391" hidden="1" customWidth="1"/>
    <col min="13824" max="13824" width="10.125" style="391" bestFit="1" customWidth="1"/>
    <col min="13825" max="14063" width="9" style="391"/>
    <col min="14064" max="14064" width="75.875" style="391" customWidth="1"/>
    <col min="14065" max="14066" width="7.625" style="391" customWidth="1"/>
    <col min="14067" max="14067" width="9.625" style="391" customWidth="1"/>
    <col min="14068" max="14068" width="7.625" style="391" customWidth="1"/>
    <col min="14069" max="14072" width="0" style="391" hidden="1" customWidth="1"/>
    <col min="14073" max="14073" width="14.375" style="391" customWidth="1"/>
    <col min="14074" max="14079" width="0" style="391" hidden="1" customWidth="1"/>
    <col min="14080" max="14080" width="10.125" style="391" bestFit="1" customWidth="1"/>
    <col min="14081" max="14319" width="9" style="391"/>
    <col min="14320" max="14320" width="75.875" style="391" customWidth="1"/>
    <col min="14321" max="14322" width="7.625" style="391" customWidth="1"/>
    <col min="14323" max="14323" width="9.625" style="391" customWidth="1"/>
    <col min="14324" max="14324" width="7.625" style="391" customWidth="1"/>
    <col min="14325" max="14328" width="0" style="391" hidden="1" customWidth="1"/>
    <col min="14329" max="14329" width="14.375" style="391" customWidth="1"/>
    <col min="14330" max="14335" width="0" style="391" hidden="1" customWidth="1"/>
    <col min="14336" max="14336" width="10.125" style="391" bestFit="1" customWidth="1"/>
    <col min="14337" max="14575" width="9" style="391"/>
    <col min="14576" max="14576" width="75.875" style="391" customWidth="1"/>
    <col min="14577" max="14578" width="7.625" style="391" customWidth="1"/>
    <col min="14579" max="14579" width="9.625" style="391" customWidth="1"/>
    <col min="14580" max="14580" width="7.625" style="391" customWidth="1"/>
    <col min="14581" max="14584" width="0" style="391" hidden="1" customWidth="1"/>
    <col min="14585" max="14585" width="14.375" style="391" customWidth="1"/>
    <col min="14586" max="14591" width="0" style="391" hidden="1" customWidth="1"/>
    <col min="14592" max="14592" width="10.125" style="391" bestFit="1" customWidth="1"/>
    <col min="14593" max="14831" width="9" style="391"/>
    <col min="14832" max="14832" width="75.875" style="391" customWidth="1"/>
    <col min="14833" max="14834" width="7.625" style="391" customWidth="1"/>
    <col min="14835" max="14835" width="9.625" style="391" customWidth="1"/>
    <col min="14836" max="14836" width="7.625" style="391" customWidth="1"/>
    <col min="14837" max="14840" width="0" style="391" hidden="1" customWidth="1"/>
    <col min="14841" max="14841" width="14.375" style="391" customWidth="1"/>
    <col min="14842" max="14847" width="0" style="391" hidden="1" customWidth="1"/>
    <col min="14848" max="14848" width="10.125" style="391" bestFit="1" customWidth="1"/>
    <col min="14849" max="15087" width="9" style="391"/>
    <col min="15088" max="15088" width="75.875" style="391" customWidth="1"/>
    <col min="15089" max="15090" width="7.625" style="391" customWidth="1"/>
    <col min="15091" max="15091" width="9.625" style="391" customWidth="1"/>
    <col min="15092" max="15092" width="7.625" style="391" customWidth="1"/>
    <col min="15093" max="15096" width="0" style="391" hidden="1" customWidth="1"/>
    <col min="15097" max="15097" width="14.375" style="391" customWidth="1"/>
    <col min="15098" max="15103" width="0" style="391" hidden="1" customWidth="1"/>
    <col min="15104" max="15104" width="10.125" style="391" bestFit="1" customWidth="1"/>
    <col min="15105" max="15343" width="9" style="391"/>
    <col min="15344" max="15344" width="75.875" style="391" customWidth="1"/>
    <col min="15345" max="15346" width="7.625" style="391" customWidth="1"/>
    <col min="15347" max="15347" width="9.625" style="391" customWidth="1"/>
    <col min="15348" max="15348" width="7.625" style="391" customWidth="1"/>
    <col min="15349" max="15352" width="0" style="391" hidden="1" customWidth="1"/>
    <col min="15353" max="15353" width="14.375" style="391" customWidth="1"/>
    <col min="15354" max="15359" width="0" style="391" hidden="1" customWidth="1"/>
    <col min="15360" max="15360" width="10.125" style="391" bestFit="1" customWidth="1"/>
    <col min="15361" max="15599" width="9" style="391"/>
    <col min="15600" max="15600" width="75.875" style="391" customWidth="1"/>
    <col min="15601" max="15602" width="7.625" style="391" customWidth="1"/>
    <col min="15603" max="15603" width="9.625" style="391" customWidth="1"/>
    <col min="15604" max="15604" width="7.625" style="391" customWidth="1"/>
    <col min="15605" max="15608" width="0" style="391" hidden="1" customWidth="1"/>
    <col min="15609" max="15609" width="14.375" style="391" customWidth="1"/>
    <col min="15610" max="15615" width="0" style="391" hidden="1" customWidth="1"/>
    <col min="15616" max="15616" width="10.125" style="391" bestFit="1" customWidth="1"/>
    <col min="15617" max="15855" width="9" style="391"/>
    <col min="15856" max="15856" width="75.875" style="391" customWidth="1"/>
    <col min="15857" max="15858" width="7.625" style="391" customWidth="1"/>
    <col min="15859" max="15859" width="9.625" style="391" customWidth="1"/>
    <col min="15860" max="15860" width="7.625" style="391" customWidth="1"/>
    <col min="15861" max="15864" width="0" style="391" hidden="1" customWidth="1"/>
    <col min="15865" max="15865" width="14.375" style="391" customWidth="1"/>
    <col min="15866" max="15871" width="0" style="391" hidden="1" customWidth="1"/>
    <col min="15872" max="15872" width="10.125" style="391" bestFit="1" customWidth="1"/>
    <col min="15873" max="16111" width="9" style="391"/>
    <col min="16112" max="16112" width="75.875" style="391" customWidth="1"/>
    <col min="16113" max="16114" width="7.625" style="391" customWidth="1"/>
    <col min="16115" max="16115" width="9.625" style="391" customWidth="1"/>
    <col min="16116" max="16116" width="7.625" style="391" customWidth="1"/>
    <col min="16117" max="16120" width="0" style="391" hidden="1" customWidth="1"/>
    <col min="16121" max="16121" width="14.375" style="391" customWidth="1"/>
    <col min="16122" max="16127" width="0" style="391" hidden="1" customWidth="1"/>
    <col min="16128" max="16128" width="10.125" style="391" bestFit="1" customWidth="1"/>
    <col min="16129" max="16384" width="9" style="391"/>
  </cols>
  <sheetData>
    <row r="1" spans="1:14" x14ac:dyDescent="0.3">
      <c r="G1" s="500"/>
      <c r="H1" s="419"/>
      <c r="I1" s="420"/>
      <c r="J1" s="500"/>
      <c r="L1" s="421"/>
    </row>
    <row r="2" spans="1:14" s="425" customFormat="1" x14ac:dyDescent="0.3">
      <c r="A2" s="691" t="s">
        <v>240</v>
      </c>
      <c r="B2" s="691"/>
      <c r="C2" s="691"/>
      <c r="D2" s="691"/>
      <c r="E2" s="691"/>
      <c r="F2" s="691"/>
      <c r="G2" s="691"/>
      <c r="H2" s="422"/>
      <c r="I2" s="423"/>
      <c r="J2" s="502"/>
      <c r="K2" s="503"/>
      <c r="M2" s="496"/>
    </row>
    <row r="3" spans="1:14" s="425" customFormat="1" x14ac:dyDescent="0.3">
      <c r="A3" s="692" t="s">
        <v>965</v>
      </c>
      <c r="B3" s="692"/>
      <c r="C3" s="692"/>
      <c r="D3" s="692"/>
      <c r="E3" s="692"/>
      <c r="F3" s="692"/>
      <c r="G3" s="692"/>
      <c r="H3" s="426"/>
      <c r="I3" s="427"/>
      <c r="J3" s="502"/>
      <c r="K3" s="503"/>
      <c r="M3" s="496"/>
    </row>
    <row r="4" spans="1:14" s="425" customFormat="1" x14ac:dyDescent="0.3">
      <c r="A4" s="692" t="s">
        <v>472</v>
      </c>
      <c r="B4" s="692"/>
      <c r="C4" s="692"/>
      <c r="D4" s="692"/>
      <c r="E4" s="692"/>
      <c r="F4" s="692"/>
      <c r="G4" s="692"/>
      <c r="H4" s="426"/>
      <c r="I4" s="427"/>
      <c r="J4" s="502"/>
      <c r="K4" s="503"/>
      <c r="M4" s="496"/>
    </row>
    <row r="5" spans="1:14" s="425" customFormat="1" x14ac:dyDescent="0.3">
      <c r="A5" s="427"/>
      <c r="B5" s="427"/>
      <c r="C5" s="427"/>
      <c r="D5" s="534"/>
      <c r="E5" s="534"/>
      <c r="F5" s="534"/>
      <c r="G5" s="502" t="s">
        <v>408</v>
      </c>
      <c r="H5" s="428"/>
      <c r="I5" s="424"/>
      <c r="J5" s="502"/>
      <c r="K5" s="503"/>
      <c r="M5" s="496"/>
    </row>
    <row r="6" spans="1:14" ht="50.95" x14ac:dyDescent="0.3">
      <c r="A6" s="429" t="s">
        <v>0</v>
      </c>
      <c r="B6" s="429" t="s">
        <v>1</v>
      </c>
      <c r="C6" s="429" t="s">
        <v>2</v>
      </c>
      <c r="D6" s="535" t="s">
        <v>3</v>
      </c>
      <c r="E6" s="535" t="s">
        <v>4</v>
      </c>
      <c r="F6" s="535" t="s">
        <v>975</v>
      </c>
      <c r="G6" s="536" t="s">
        <v>966</v>
      </c>
      <c r="H6" s="431" t="s">
        <v>979</v>
      </c>
      <c r="I6" s="430" t="s">
        <v>967</v>
      </c>
      <c r="J6" s="504" t="s">
        <v>962</v>
      </c>
      <c r="K6" s="505" t="s">
        <v>963</v>
      </c>
      <c r="L6" s="563" t="s">
        <v>1028</v>
      </c>
      <c r="M6" s="562" t="s">
        <v>1026</v>
      </c>
      <c r="N6" s="396" t="s">
        <v>1027</v>
      </c>
    </row>
    <row r="7" spans="1:14" s="437" customFormat="1" ht="50.95" x14ac:dyDescent="0.3">
      <c r="A7" s="433" t="s">
        <v>493</v>
      </c>
      <c r="B7" s="434" t="s">
        <v>499</v>
      </c>
      <c r="C7" s="434" t="s">
        <v>5</v>
      </c>
      <c r="D7" s="537" t="s">
        <v>126</v>
      </c>
      <c r="E7" s="537" t="s">
        <v>6</v>
      </c>
      <c r="F7" s="538">
        <v>7431987.3099999996</v>
      </c>
      <c r="G7" s="506">
        <f>G8</f>
        <v>7668127.0300000003</v>
      </c>
      <c r="H7" s="368">
        <v>5396024.0800000001</v>
      </c>
      <c r="I7" s="435">
        <f>I8</f>
        <v>8050477.2300000004</v>
      </c>
      <c r="J7" s="506">
        <f>J8</f>
        <v>8752491</v>
      </c>
      <c r="K7" s="506">
        <f>K8</f>
        <v>8202491</v>
      </c>
      <c r="L7" s="564">
        <f>K7-J7</f>
        <v>-550000</v>
      </c>
      <c r="M7" s="565">
        <f>J7/G7%</f>
        <v>114.14118422605213</v>
      </c>
      <c r="N7" s="565">
        <f>K7/G7*100</f>
        <v>106.96863742488105</v>
      </c>
    </row>
    <row r="8" spans="1:14" outlineLevel="1" x14ac:dyDescent="0.3">
      <c r="A8" s="438" t="s">
        <v>7</v>
      </c>
      <c r="B8" s="439" t="s">
        <v>499</v>
      </c>
      <c r="C8" s="439" t="s">
        <v>8</v>
      </c>
      <c r="D8" s="539" t="s">
        <v>126</v>
      </c>
      <c r="E8" s="539" t="s">
        <v>6</v>
      </c>
      <c r="F8" s="540">
        <v>7431987.3099999996</v>
      </c>
      <c r="G8" s="465">
        <f>G9+G18</f>
        <v>7668127.0300000003</v>
      </c>
      <c r="H8" s="367">
        <v>5396024.0800000001</v>
      </c>
      <c r="I8" s="440">
        <f>I9+I18</f>
        <v>8050477.2300000004</v>
      </c>
      <c r="J8" s="465">
        <f>J9+J18</f>
        <v>8752491</v>
      </c>
      <c r="K8" s="465">
        <f>K9+K18</f>
        <v>8202491</v>
      </c>
      <c r="L8" s="564">
        <f t="shared" ref="L8:L71" si="0">K8-J8</f>
        <v>-550000</v>
      </c>
      <c r="M8" s="565">
        <f t="shared" ref="M8:M71" si="1">J8/G8%</f>
        <v>114.14118422605213</v>
      </c>
      <c r="N8" s="565">
        <f t="shared" ref="N8:N71" si="2">K8/G8*100</f>
        <v>106.96863742488105</v>
      </c>
    </row>
    <row r="9" spans="1:14" ht="39.25" customHeight="1" outlineLevel="2" x14ac:dyDescent="0.3">
      <c r="A9" s="438" t="s">
        <v>9</v>
      </c>
      <c r="B9" s="439" t="s">
        <v>499</v>
      </c>
      <c r="C9" s="439" t="s">
        <v>10</v>
      </c>
      <c r="D9" s="539" t="s">
        <v>126</v>
      </c>
      <c r="E9" s="539" t="s">
        <v>6</v>
      </c>
      <c r="F9" s="540">
        <v>6921278.3099999996</v>
      </c>
      <c r="G9" s="465">
        <f t="shared" ref="G9:K10" si="3">G10</f>
        <v>7132671.0300000003</v>
      </c>
      <c r="H9" s="367">
        <v>5352630.08</v>
      </c>
      <c r="I9" s="440">
        <f t="shared" si="3"/>
        <v>7515021.2300000004</v>
      </c>
      <c r="J9" s="465">
        <f t="shared" si="3"/>
        <v>7594704</v>
      </c>
      <c r="K9" s="465">
        <f t="shared" si="3"/>
        <v>7594704</v>
      </c>
      <c r="L9" s="564">
        <f t="shared" si="0"/>
        <v>0</v>
      </c>
      <c r="M9" s="565">
        <f t="shared" si="1"/>
        <v>106.47769914042986</v>
      </c>
      <c r="N9" s="565">
        <f t="shared" si="2"/>
        <v>106.47769914042986</v>
      </c>
    </row>
    <row r="10" spans="1:14" ht="34" outlineLevel="4" x14ac:dyDescent="0.3">
      <c r="A10" s="438" t="s">
        <v>132</v>
      </c>
      <c r="B10" s="439" t="s">
        <v>499</v>
      </c>
      <c r="C10" s="439" t="s">
        <v>10</v>
      </c>
      <c r="D10" s="539" t="s">
        <v>127</v>
      </c>
      <c r="E10" s="539" t="s">
        <v>6</v>
      </c>
      <c r="F10" s="540">
        <v>6921278.3099999996</v>
      </c>
      <c r="G10" s="465">
        <f t="shared" si="3"/>
        <v>7132671.0300000003</v>
      </c>
      <c r="H10" s="441">
        <f t="shared" si="3"/>
        <v>5352630.08</v>
      </c>
      <c r="I10" s="440">
        <f t="shared" si="3"/>
        <v>7515021.2300000004</v>
      </c>
      <c r="J10" s="465">
        <f t="shared" si="3"/>
        <v>7594704</v>
      </c>
      <c r="K10" s="465">
        <f t="shared" si="3"/>
        <v>7594704</v>
      </c>
      <c r="L10" s="564">
        <f t="shared" si="0"/>
        <v>0</v>
      </c>
      <c r="M10" s="565">
        <f t="shared" si="1"/>
        <v>106.47769914042986</v>
      </c>
      <c r="N10" s="565">
        <f t="shared" si="2"/>
        <v>106.47769914042986</v>
      </c>
    </row>
    <row r="11" spans="1:14" ht="40.75" customHeight="1" outlineLevel="5" x14ac:dyDescent="0.3">
      <c r="A11" s="438" t="s">
        <v>494</v>
      </c>
      <c r="B11" s="439" t="s">
        <v>499</v>
      </c>
      <c r="C11" s="439" t="s">
        <v>10</v>
      </c>
      <c r="D11" s="539" t="s">
        <v>495</v>
      </c>
      <c r="E11" s="539" t="s">
        <v>6</v>
      </c>
      <c r="F11" s="540">
        <v>6921278.3099999996</v>
      </c>
      <c r="G11" s="465">
        <f>G12+G14+G16</f>
        <v>7132671.0300000003</v>
      </c>
      <c r="H11" s="441">
        <f>H12+H14+H16</f>
        <v>5352630.08</v>
      </c>
      <c r="I11" s="440">
        <f>I12+I14+I16</f>
        <v>7515021.2300000004</v>
      </c>
      <c r="J11" s="465">
        <f>J12+J14+J16</f>
        <v>7594704</v>
      </c>
      <c r="K11" s="465">
        <f>K12+K14+K16</f>
        <v>7594704</v>
      </c>
      <c r="L11" s="564">
        <f t="shared" si="0"/>
        <v>0</v>
      </c>
      <c r="M11" s="565">
        <f t="shared" si="1"/>
        <v>106.47769914042986</v>
      </c>
      <c r="N11" s="565">
        <f t="shared" si="2"/>
        <v>106.47769914042986</v>
      </c>
    </row>
    <row r="12" spans="1:14" ht="76.75" customHeight="1" outlineLevel="6" x14ac:dyDescent="0.3">
      <c r="A12" s="438" t="s">
        <v>11</v>
      </c>
      <c r="B12" s="439" t="s">
        <v>499</v>
      </c>
      <c r="C12" s="439" t="s">
        <v>10</v>
      </c>
      <c r="D12" s="539" t="s">
        <v>495</v>
      </c>
      <c r="E12" s="539" t="s">
        <v>12</v>
      </c>
      <c r="F12" s="540">
        <v>6756822.3099999996</v>
      </c>
      <c r="G12" s="465">
        <f>G13</f>
        <v>6786101.0300000003</v>
      </c>
      <c r="H12" s="367">
        <v>5151988.76</v>
      </c>
      <c r="I12" s="440">
        <f>I13</f>
        <v>7264821.2300000004</v>
      </c>
      <c r="J12" s="466">
        <f>J13</f>
        <v>7311140</v>
      </c>
      <c r="K12" s="466">
        <f>K13</f>
        <v>7311140</v>
      </c>
      <c r="L12" s="564">
        <f t="shared" si="0"/>
        <v>0</v>
      </c>
      <c r="M12" s="565">
        <f t="shared" si="1"/>
        <v>107.7369754396362</v>
      </c>
      <c r="N12" s="565">
        <f t="shared" si="2"/>
        <v>107.73697543963621</v>
      </c>
    </row>
    <row r="13" spans="1:14" ht="34" outlineLevel="7" x14ac:dyDescent="0.3">
      <c r="A13" s="438" t="s">
        <v>13</v>
      </c>
      <c r="B13" s="439" t="s">
        <v>499</v>
      </c>
      <c r="C13" s="439" t="s">
        <v>10</v>
      </c>
      <c r="D13" s="539" t="s">
        <v>495</v>
      </c>
      <c r="E13" s="539" t="s">
        <v>14</v>
      </c>
      <c r="F13" s="540">
        <v>6756822.3099999996</v>
      </c>
      <c r="G13" s="466">
        <f>[2]потребность!I20-199304</f>
        <v>6786101.0300000003</v>
      </c>
      <c r="H13" s="367">
        <v>5151988.76</v>
      </c>
      <c r="I13" s="442">
        <f>'[2]прил 12'!F20</f>
        <v>7264821.2300000004</v>
      </c>
      <c r="J13" s="466">
        <f>7457647-146507</f>
        <v>7311140</v>
      </c>
      <c r="K13" s="466">
        <f>7457647-146507</f>
        <v>7311140</v>
      </c>
      <c r="L13" s="564">
        <f t="shared" si="0"/>
        <v>0</v>
      </c>
      <c r="M13" s="565">
        <f t="shared" si="1"/>
        <v>107.7369754396362</v>
      </c>
      <c r="N13" s="565">
        <f t="shared" si="2"/>
        <v>107.73697543963621</v>
      </c>
    </row>
    <row r="14" spans="1:14" ht="34" outlineLevel="6" x14ac:dyDescent="0.3">
      <c r="A14" s="438" t="s">
        <v>15</v>
      </c>
      <c r="B14" s="439" t="s">
        <v>499</v>
      </c>
      <c r="C14" s="439" t="s">
        <v>10</v>
      </c>
      <c r="D14" s="539" t="s">
        <v>495</v>
      </c>
      <c r="E14" s="539" t="s">
        <v>16</v>
      </c>
      <c r="F14" s="540">
        <v>164456</v>
      </c>
      <c r="G14" s="465">
        <f>G15</f>
        <v>346570</v>
      </c>
      <c r="H14" s="367">
        <v>200641.32</v>
      </c>
      <c r="I14" s="440">
        <f>I15</f>
        <v>250200</v>
      </c>
      <c r="J14" s="466">
        <f>J15</f>
        <v>282564</v>
      </c>
      <c r="K14" s="466">
        <f>K15</f>
        <v>282564</v>
      </c>
      <c r="L14" s="564">
        <f t="shared" si="0"/>
        <v>0</v>
      </c>
      <c r="M14" s="565">
        <f t="shared" si="1"/>
        <v>81.531580921603137</v>
      </c>
      <c r="N14" s="565">
        <f t="shared" si="2"/>
        <v>81.531580921603137</v>
      </c>
    </row>
    <row r="15" spans="1:14" ht="22.75" customHeight="1" outlineLevel="7" x14ac:dyDescent="0.3">
      <c r="A15" s="438" t="s">
        <v>17</v>
      </c>
      <c r="B15" s="439" t="s">
        <v>499</v>
      </c>
      <c r="C15" s="439" t="s">
        <v>10</v>
      </c>
      <c r="D15" s="539" t="s">
        <v>495</v>
      </c>
      <c r="E15" s="539" t="s">
        <v>18</v>
      </c>
      <c r="F15" s="540">
        <v>164456</v>
      </c>
      <c r="G15" s="466">
        <f>250200+53570+42800</f>
        <v>346570</v>
      </c>
      <c r="H15" s="367">
        <v>200641.32</v>
      </c>
      <c r="I15" s="442">
        <f>'[2]прил 12'!F22</f>
        <v>250200</v>
      </c>
      <c r="J15" s="466">
        <v>282564</v>
      </c>
      <c r="K15" s="466">
        <v>282564</v>
      </c>
      <c r="L15" s="564">
        <f t="shared" si="0"/>
        <v>0</v>
      </c>
      <c r="M15" s="565">
        <f t="shared" si="1"/>
        <v>81.531580921603137</v>
      </c>
      <c r="N15" s="565">
        <f t="shared" si="2"/>
        <v>81.531580921603137</v>
      </c>
    </row>
    <row r="16" spans="1:14" outlineLevel="6" x14ac:dyDescent="0.3">
      <c r="A16" s="438" t="s">
        <v>19</v>
      </c>
      <c r="B16" s="439" t="s">
        <v>499</v>
      </c>
      <c r="C16" s="439" t="s">
        <v>10</v>
      </c>
      <c r="D16" s="539" t="s">
        <v>495</v>
      </c>
      <c r="E16" s="539" t="s">
        <v>20</v>
      </c>
      <c r="F16" s="539" t="s">
        <v>976</v>
      </c>
      <c r="G16" s="465">
        <f>G17</f>
        <v>0</v>
      </c>
      <c r="H16" s="441">
        <f>H17</f>
        <v>0</v>
      </c>
      <c r="I16" s="440">
        <v>0</v>
      </c>
      <c r="J16" s="466">
        <f>J17</f>
        <v>1000</v>
      </c>
      <c r="K16" s="466">
        <f>K17</f>
        <v>1000</v>
      </c>
      <c r="L16" s="564">
        <f t="shared" si="0"/>
        <v>0</v>
      </c>
      <c r="M16" s="565"/>
      <c r="N16" s="565"/>
    </row>
    <row r="17" spans="1:14" outlineLevel="7" x14ac:dyDescent="0.3">
      <c r="A17" s="438" t="s">
        <v>21</v>
      </c>
      <c r="B17" s="439" t="s">
        <v>499</v>
      </c>
      <c r="C17" s="439" t="s">
        <v>10</v>
      </c>
      <c r="D17" s="539" t="s">
        <v>495</v>
      </c>
      <c r="E17" s="539" t="s">
        <v>22</v>
      </c>
      <c r="F17" s="539" t="s">
        <v>976</v>
      </c>
      <c r="G17" s="466">
        <v>0</v>
      </c>
      <c r="H17" s="443">
        <v>0</v>
      </c>
      <c r="I17" s="442">
        <v>0</v>
      </c>
      <c r="J17" s="466">
        <v>1000</v>
      </c>
      <c r="K17" s="466">
        <v>1000</v>
      </c>
      <c r="L17" s="564">
        <f t="shared" si="0"/>
        <v>0</v>
      </c>
      <c r="M17" s="565"/>
      <c r="N17" s="565"/>
    </row>
    <row r="18" spans="1:14" outlineLevel="2" x14ac:dyDescent="0.3">
      <c r="A18" s="438" t="s">
        <v>23</v>
      </c>
      <c r="B18" s="439" t="s">
        <v>499</v>
      </c>
      <c r="C18" s="439" t="s">
        <v>24</v>
      </c>
      <c r="D18" s="539" t="s">
        <v>126</v>
      </c>
      <c r="E18" s="539" t="s">
        <v>6</v>
      </c>
      <c r="F18" s="540">
        <v>510709</v>
      </c>
      <c r="G18" s="465">
        <f>G19+G24</f>
        <v>535456</v>
      </c>
      <c r="H18" s="367">
        <v>43394</v>
      </c>
      <c r="I18" s="440">
        <f>I19+I24</f>
        <v>535456</v>
      </c>
      <c r="J18" s="465">
        <f>J19+J24</f>
        <v>1157787</v>
      </c>
      <c r="K18" s="465">
        <f>K19+K24</f>
        <v>607787</v>
      </c>
      <c r="L18" s="564">
        <f t="shared" si="0"/>
        <v>-550000</v>
      </c>
      <c r="M18" s="565">
        <f t="shared" si="1"/>
        <v>216.22448903364608</v>
      </c>
      <c r="N18" s="565">
        <f t="shared" si="2"/>
        <v>113.50829946811689</v>
      </c>
    </row>
    <row r="19" spans="1:14" s="449" customFormat="1" ht="39.75" customHeight="1" outlineLevel="3" x14ac:dyDescent="0.3">
      <c r="A19" s="444" t="s">
        <v>830</v>
      </c>
      <c r="B19" s="445" t="s">
        <v>499</v>
      </c>
      <c r="C19" s="445" t="s">
        <v>24</v>
      </c>
      <c r="D19" s="541" t="s">
        <v>128</v>
      </c>
      <c r="E19" s="541" t="s">
        <v>6</v>
      </c>
      <c r="F19" s="542">
        <v>37620</v>
      </c>
      <c r="G19" s="508">
        <f t="shared" ref="G19:K22" si="4">G20</f>
        <v>58240</v>
      </c>
      <c r="H19" s="447">
        <f t="shared" si="4"/>
        <v>850</v>
      </c>
      <c r="I19" s="446">
        <f t="shared" si="4"/>
        <v>58240</v>
      </c>
      <c r="J19" s="507">
        <f t="shared" si="4"/>
        <v>60571</v>
      </c>
      <c r="K19" s="507">
        <f t="shared" si="4"/>
        <v>60571</v>
      </c>
      <c r="L19" s="564">
        <f t="shared" si="0"/>
        <v>0</v>
      </c>
      <c r="M19" s="565">
        <f t="shared" si="1"/>
        <v>104.00240384615385</v>
      </c>
      <c r="N19" s="565">
        <f t="shared" si="2"/>
        <v>104.00240384615384</v>
      </c>
    </row>
    <row r="20" spans="1:14" ht="39.25" customHeight="1" outlineLevel="4" x14ac:dyDescent="0.3">
      <c r="A20" s="438" t="s">
        <v>854</v>
      </c>
      <c r="B20" s="439" t="s">
        <v>499</v>
      </c>
      <c r="C20" s="439" t="s">
        <v>24</v>
      </c>
      <c r="D20" s="539" t="s">
        <v>315</v>
      </c>
      <c r="E20" s="539" t="s">
        <v>6</v>
      </c>
      <c r="F20" s="540">
        <v>37620</v>
      </c>
      <c r="G20" s="465">
        <f t="shared" si="4"/>
        <v>58240</v>
      </c>
      <c r="H20" s="441">
        <f t="shared" si="4"/>
        <v>850</v>
      </c>
      <c r="I20" s="440">
        <f t="shared" si="4"/>
        <v>58240</v>
      </c>
      <c r="J20" s="466">
        <f t="shared" si="4"/>
        <v>60571</v>
      </c>
      <c r="K20" s="466">
        <f t="shared" si="4"/>
        <v>60571</v>
      </c>
      <c r="L20" s="564">
        <f t="shared" si="0"/>
        <v>0</v>
      </c>
      <c r="M20" s="565">
        <f t="shared" si="1"/>
        <v>104.00240384615385</v>
      </c>
      <c r="N20" s="565">
        <f t="shared" si="2"/>
        <v>104.00240384615384</v>
      </c>
    </row>
    <row r="21" spans="1:14" outlineLevel="5" x14ac:dyDescent="0.3">
      <c r="A21" s="450" t="s">
        <v>321</v>
      </c>
      <c r="B21" s="439" t="s">
        <v>499</v>
      </c>
      <c r="C21" s="439" t="s">
        <v>24</v>
      </c>
      <c r="D21" s="539" t="s">
        <v>316</v>
      </c>
      <c r="E21" s="539" t="s">
        <v>6</v>
      </c>
      <c r="F21" s="540">
        <v>37620</v>
      </c>
      <c r="G21" s="465">
        <f t="shared" si="4"/>
        <v>58240</v>
      </c>
      <c r="H21" s="441">
        <f t="shared" si="4"/>
        <v>850</v>
      </c>
      <c r="I21" s="440">
        <f t="shared" si="4"/>
        <v>58240</v>
      </c>
      <c r="J21" s="466">
        <f t="shared" si="4"/>
        <v>60571</v>
      </c>
      <c r="K21" s="466">
        <f t="shared" si="4"/>
        <v>60571</v>
      </c>
      <c r="L21" s="564">
        <f t="shared" si="0"/>
        <v>0</v>
      </c>
      <c r="M21" s="565">
        <f t="shared" si="1"/>
        <v>104.00240384615385</v>
      </c>
      <c r="N21" s="565">
        <f t="shared" si="2"/>
        <v>104.00240384615384</v>
      </c>
    </row>
    <row r="22" spans="1:14" ht="34" outlineLevel="6" x14ac:dyDescent="0.3">
      <c r="A22" s="438" t="s">
        <v>15</v>
      </c>
      <c r="B22" s="439" t="s">
        <v>499</v>
      </c>
      <c r="C22" s="439" t="s">
        <v>24</v>
      </c>
      <c r="D22" s="539" t="s">
        <v>316</v>
      </c>
      <c r="E22" s="539" t="s">
        <v>16</v>
      </c>
      <c r="F22" s="540">
        <v>37620</v>
      </c>
      <c r="G22" s="465">
        <f t="shared" si="4"/>
        <v>58240</v>
      </c>
      <c r="H22" s="441">
        <f t="shared" si="4"/>
        <v>850</v>
      </c>
      <c r="I22" s="440">
        <f t="shared" si="4"/>
        <v>58240</v>
      </c>
      <c r="J22" s="466">
        <f t="shared" si="4"/>
        <v>60571</v>
      </c>
      <c r="K22" s="466">
        <f t="shared" si="4"/>
        <v>60571</v>
      </c>
      <c r="L22" s="564">
        <f t="shared" si="0"/>
        <v>0</v>
      </c>
      <c r="M22" s="565">
        <f t="shared" si="1"/>
        <v>104.00240384615385</v>
      </c>
      <c r="N22" s="565">
        <f t="shared" si="2"/>
        <v>104.00240384615384</v>
      </c>
    </row>
    <row r="23" spans="1:14" ht="19.55" customHeight="1" outlineLevel="7" x14ac:dyDescent="0.3">
      <c r="A23" s="438" t="s">
        <v>17</v>
      </c>
      <c r="B23" s="439" t="s">
        <v>499</v>
      </c>
      <c r="C23" s="439" t="s">
        <v>24</v>
      </c>
      <c r="D23" s="539" t="s">
        <v>316</v>
      </c>
      <c r="E23" s="539" t="s">
        <v>18</v>
      </c>
      <c r="F23" s="540">
        <v>37620</v>
      </c>
      <c r="G23" s="466">
        <v>58240</v>
      </c>
      <c r="H23" s="367">
        <v>850</v>
      </c>
      <c r="I23" s="442">
        <f>'[2]прил 12'!F30</f>
        <v>58240</v>
      </c>
      <c r="J23" s="466">
        <v>60571</v>
      </c>
      <c r="K23" s="466">
        <v>60571</v>
      </c>
      <c r="L23" s="564">
        <f t="shared" si="0"/>
        <v>0</v>
      </c>
      <c r="M23" s="565">
        <f t="shared" si="1"/>
        <v>104.00240384615385</v>
      </c>
      <c r="N23" s="565">
        <f t="shared" si="2"/>
        <v>104.00240384615384</v>
      </c>
    </row>
    <row r="24" spans="1:14" s="449" customFormat="1" ht="36.700000000000003" customHeight="1" outlineLevel="7" x14ac:dyDescent="0.3">
      <c r="A24" s="451" t="s">
        <v>829</v>
      </c>
      <c r="B24" s="445" t="s">
        <v>499</v>
      </c>
      <c r="C24" s="439" t="s">
        <v>24</v>
      </c>
      <c r="D24" s="541" t="s">
        <v>317</v>
      </c>
      <c r="E24" s="541" t="s">
        <v>6</v>
      </c>
      <c r="F24" s="542">
        <v>473089</v>
      </c>
      <c r="G24" s="507">
        <f t="shared" ref="G24:K27" si="5">G25</f>
        <v>477216</v>
      </c>
      <c r="H24" s="452">
        <f t="shared" si="5"/>
        <v>42544</v>
      </c>
      <c r="I24" s="448">
        <f t="shared" si="5"/>
        <v>477216</v>
      </c>
      <c r="J24" s="507">
        <f t="shared" si="5"/>
        <v>1097216</v>
      </c>
      <c r="K24" s="507">
        <f t="shared" si="5"/>
        <v>547216</v>
      </c>
      <c r="L24" s="564">
        <f t="shared" si="0"/>
        <v>-550000</v>
      </c>
      <c r="M24" s="565">
        <f t="shared" si="1"/>
        <v>229.92020384899081</v>
      </c>
      <c r="N24" s="565">
        <f t="shared" si="2"/>
        <v>114.66841011198284</v>
      </c>
    </row>
    <row r="25" spans="1:14" ht="34" outlineLevel="7" x14ac:dyDescent="0.3">
      <c r="A25" s="450" t="s">
        <v>249</v>
      </c>
      <c r="B25" s="439" t="s">
        <v>499</v>
      </c>
      <c r="C25" s="439" t="s">
        <v>24</v>
      </c>
      <c r="D25" s="539" t="s">
        <v>318</v>
      </c>
      <c r="E25" s="539" t="s">
        <v>6</v>
      </c>
      <c r="F25" s="540">
        <v>473089</v>
      </c>
      <c r="G25" s="466">
        <f t="shared" si="5"/>
        <v>477216</v>
      </c>
      <c r="H25" s="443">
        <f t="shared" si="5"/>
        <v>42544</v>
      </c>
      <c r="I25" s="442">
        <f t="shared" si="5"/>
        <v>477216</v>
      </c>
      <c r="J25" s="466">
        <f t="shared" si="5"/>
        <v>1097216</v>
      </c>
      <c r="K25" s="466">
        <f t="shared" si="5"/>
        <v>547216</v>
      </c>
      <c r="L25" s="564">
        <f t="shared" si="0"/>
        <v>-550000</v>
      </c>
      <c r="M25" s="565">
        <f t="shared" si="1"/>
        <v>229.92020384899081</v>
      </c>
      <c r="N25" s="565">
        <f t="shared" si="2"/>
        <v>114.66841011198284</v>
      </c>
    </row>
    <row r="26" spans="1:14" ht="39.75" customHeight="1" outlineLevel="5" x14ac:dyDescent="0.3">
      <c r="A26" s="438" t="s">
        <v>25</v>
      </c>
      <c r="B26" s="439" t="s">
        <v>499</v>
      </c>
      <c r="C26" s="439" t="s">
        <v>24</v>
      </c>
      <c r="D26" s="539" t="s">
        <v>329</v>
      </c>
      <c r="E26" s="539" t="s">
        <v>6</v>
      </c>
      <c r="F26" s="540">
        <v>473089</v>
      </c>
      <c r="G26" s="465">
        <f t="shared" si="5"/>
        <v>477216</v>
      </c>
      <c r="H26" s="441">
        <f t="shared" si="5"/>
        <v>42544</v>
      </c>
      <c r="I26" s="440">
        <f t="shared" si="5"/>
        <v>477216</v>
      </c>
      <c r="J26" s="466">
        <f t="shared" si="5"/>
        <v>1097216</v>
      </c>
      <c r="K26" s="466">
        <f t="shared" si="5"/>
        <v>547216</v>
      </c>
      <c r="L26" s="564">
        <f t="shared" si="0"/>
        <v>-550000</v>
      </c>
      <c r="M26" s="565">
        <f t="shared" si="1"/>
        <v>229.92020384899081</v>
      </c>
      <c r="N26" s="565">
        <f t="shared" si="2"/>
        <v>114.66841011198284</v>
      </c>
    </row>
    <row r="27" spans="1:14" ht="34" outlineLevel="6" x14ac:dyDescent="0.3">
      <c r="A27" s="438" t="s">
        <v>15</v>
      </c>
      <c r="B27" s="439" t="s">
        <v>499</v>
      </c>
      <c r="C27" s="439" t="s">
        <v>24</v>
      </c>
      <c r="D27" s="539" t="s">
        <v>329</v>
      </c>
      <c r="E27" s="539" t="s">
        <v>16</v>
      </c>
      <c r="F27" s="540">
        <v>473089</v>
      </c>
      <c r="G27" s="465">
        <f t="shared" si="5"/>
        <v>477216</v>
      </c>
      <c r="H27" s="441">
        <f t="shared" si="5"/>
        <v>42544</v>
      </c>
      <c r="I27" s="440">
        <f t="shared" si="5"/>
        <v>477216</v>
      </c>
      <c r="J27" s="466">
        <f t="shared" si="5"/>
        <v>1097216</v>
      </c>
      <c r="K27" s="466">
        <f t="shared" si="5"/>
        <v>547216</v>
      </c>
      <c r="L27" s="564">
        <f t="shared" si="0"/>
        <v>-550000</v>
      </c>
      <c r="M27" s="565">
        <f t="shared" si="1"/>
        <v>229.92020384899081</v>
      </c>
      <c r="N27" s="565">
        <f t="shared" si="2"/>
        <v>114.66841011198284</v>
      </c>
    </row>
    <row r="28" spans="1:14" ht="21.25" customHeight="1" outlineLevel="7" x14ac:dyDescent="0.3">
      <c r="A28" s="438" t="s">
        <v>17</v>
      </c>
      <c r="B28" s="439" t="s">
        <v>499</v>
      </c>
      <c r="C28" s="439" t="s">
        <v>24</v>
      </c>
      <c r="D28" s="539" t="s">
        <v>329</v>
      </c>
      <c r="E28" s="539" t="s">
        <v>18</v>
      </c>
      <c r="F28" s="540">
        <v>473089</v>
      </c>
      <c r="G28" s="465">
        <v>477216</v>
      </c>
      <c r="H28" s="367">
        <v>42544</v>
      </c>
      <c r="I28" s="440">
        <f>'[2]прил 12'!F35</f>
        <v>477216</v>
      </c>
      <c r="J28" s="466">
        <v>1097216</v>
      </c>
      <c r="K28" s="466">
        <f>1097216-550000</f>
        <v>547216</v>
      </c>
      <c r="L28" s="564">
        <f t="shared" si="0"/>
        <v>-550000</v>
      </c>
      <c r="M28" s="565">
        <f t="shared" si="1"/>
        <v>229.92020384899081</v>
      </c>
      <c r="N28" s="565">
        <f t="shared" si="2"/>
        <v>114.66841011198284</v>
      </c>
    </row>
    <row r="29" spans="1:14" s="437" customFormat="1" ht="34" x14ac:dyDescent="0.3">
      <c r="A29" s="433" t="s">
        <v>27</v>
      </c>
      <c r="B29" s="434" t="s">
        <v>500</v>
      </c>
      <c r="C29" s="434" t="s">
        <v>5</v>
      </c>
      <c r="D29" s="537" t="s">
        <v>126</v>
      </c>
      <c r="E29" s="537" t="s">
        <v>6</v>
      </c>
      <c r="F29" s="538">
        <v>434475577.67000002</v>
      </c>
      <c r="G29" s="506">
        <f>G30+G162+G172+G228+G333+G349+G370+G421+G505+G457+G183</f>
        <v>397671497.94999999</v>
      </c>
      <c r="H29" s="368">
        <v>262532003.14999998</v>
      </c>
      <c r="I29" s="435">
        <f>I30+I162+I172+I228+I333+I349+I370+I421+I505+I457+I183</f>
        <v>297512184.63</v>
      </c>
      <c r="J29" s="506">
        <f>J30+J162+J172+J228+J333+J349+J370+J421+J505+J457+J183</f>
        <v>372952838.86000001</v>
      </c>
      <c r="K29" s="506">
        <f>K30+K162+K172+K228+K333+K349+K370+K421+K505+K457+K183</f>
        <v>360022483.16999996</v>
      </c>
      <c r="L29" s="564">
        <f t="shared" si="0"/>
        <v>-12930355.690000057</v>
      </c>
      <c r="M29" s="565">
        <f t="shared" si="1"/>
        <v>93.784151185733734</v>
      </c>
      <c r="N29" s="565">
        <f t="shared" si="2"/>
        <v>90.53263435421421</v>
      </c>
    </row>
    <row r="30" spans="1:14" s="449" customFormat="1" outlineLevel="1" x14ac:dyDescent="0.3">
      <c r="A30" s="444" t="s">
        <v>7</v>
      </c>
      <c r="B30" s="445" t="s">
        <v>500</v>
      </c>
      <c r="C30" s="445" t="s">
        <v>8</v>
      </c>
      <c r="D30" s="541" t="s">
        <v>126</v>
      </c>
      <c r="E30" s="541" t="s">
        <v>6</v>
      </c>
      <c r="F30" s="540">
        <v>94220120.439999998</v>
      </c>
      <c r="G30" s="508">
        <f>G31+G36+G43+G49+G59+G54</f>
        <v>108875809.69</v>
      </c>
      <c r="H30" s="367">
        <v>77521805.720000014</v>
      </c>
      <c r="I30" s="446">
        <f>I31+I36+I43+I49+I59+I54</f>
        <v>98730538.969999999</v>
      </c>
      <c r="J30" s="508">
        <f>J31+J36+J43+J49+J59+J54</f>
        <v>122481897</v>
      </c>
      <c r="K30" s="508">
        <f>K31+K36+K43+K49+K59+K54</f>
        <v>114349289</v>
      </c>
      <c r="L30" s="564">
        <f t="shared" si="0"/>
        <v>-8132608</v>
      </c>
      <c r="M30" s="565">
        <f t="shared" si="1"/>
        <v>112.49688736987615</v>
      </c>
      <c r="N30" s="565">
        <f t="shared" si="2"/>
        <v>105.02726852326933</v>
      </c>
    </row>
    <row r="31" spans="1:14" ht="50.95" outlineLevel="2" x14ac:dyDescent="0.3">
      <c r="A31" s="438" t="s">
        <v>28</v>
      </c>
      <c r="B31" s="439" t="s">
        <v>500</v>
      </c>
      <c r="C31" s="439" t="s">
        <v>29</v>
      </c>
      <c r="D31" s="539" t="s">
        <v>126</v>
      </c>
      <c r="E31" s="539" t="s">
        <v>6</v>
      </c>
      <c r="F31" s="540">
        <v>2580816.7200000002</v>
      </c>
      <c r="G31" s="465">
        <f t="shared" ref="G31:K34" si="6">G32</f>
        <v>2681000</v>
      </c>
      <c r="H31" s="367">
        <v>2133514.06</v>
      </c>
      <c r="I31" s="440">
        <f t="shared" si="6"/>
        <v>2846266</v>
      </c>
      <c r="J31" s="465">
        <f t="shared" si="6"/>
        <v>3046120</v>
      </c>
      <c r="K31" s="465">
        <f t="shared" si="6"/>
        <v>3046120</v>
      </c>
      <c r="L31" s="564">
        <f t="shared" si="0"/>
        <v>0</v>
      </c>
      <c r="M31" s="565">
        <f t="shared" si="1"/>
        <v>113.61879895561357</v>
      </c>
      <c r="N31" s="565">
        <f t="shared" si="2"/>
        <v>113.61879895561357</v>
      </c>
    </row>
    <row r="32" spans="1:14" ht="34" outlineLevel="3" x14ac:dyDescent="0.3">
      <c r="A32" s="438" t="s">
        <v>132</v>
      </c>
      <c r="B32" s="439" t="s">
        <v>500</v>
      </c>
      <c r="C32" s="439" t="s">
        <v>29</v>
      </c>
      <c r="D32" s="539" t="s">
        <v>127</v>
      </c>
      <c r="E32" s="539" t="s">
        <v>6</v>
      </c>
      <c r="F32" s="540">
        <v>2580816.7200000002</v>
      </c>
      <c r="G32" s="465">
        <f t="shared" si="6"/>
        <v>2681000</v>
      </c>
      <c r="H32" s="441">
        <f t="shared" si="6"/>
        <v>2133514.06</v>
      </c>
      <c r="I32" s="440">
        <f t="shared" si="6"/>
        <v>2846266</v>
      </c>
      <c r="J32" s="465">
        <f t="shared" si="6"/>
        <v>3046120</v>
      </c>
      <c r="K32" s="465">
        <f t="shared" si="6"/>
        <v>3046120</v>
      </c>
      <c r="L32" s="564">
        <f t="shared" si="0"/>
        <v>0</v>
      </c>
      <c r="M32" s="565">
        <f t="shared" si="1"/>
        <v>113.61879895561357</v>
      </c>
      <c r="N32" s="565">
        <f t="shared" si="2"/>
        <v>113.61879895561357</v>
      </c>
    </row>
    <row r="33" spans="1:14" outlineLevel="5" x14ac:dyDescent="0.3">
      <c r="A33" s="438" t="s">
        <v>496</v>
      </c>
      <c r="B33" s="439" t="s">
        <v>500</v>
      </c>
      <c r="C33" s="439" t="s">
        <v>29</v>
      </c>
      <c r="D33" s="539" t="s">
        <v>497</v>
      </c>
      <c r="E33" s="539" t="s">
        <v>6</v>
      </c>
      <c r="F33" s="540">
        <v>2580816.7200000002</v>
      </c>
      <c r="G33" s="465">
        <f t="shared" si="6"/>
        <v>2681000</v>
      </c>
      <c r="H33" s="441">
        <f t="shared" si="6"/>
        <v>2133514.06</v>
      </c>
      <c r="I33" s="440">
        <f t="shared" si="6"/>
        <v>2846266</v>
      </c>
      <c r="J33" s="465">
        <f t="shared" si="6"/>
        <v>3046120</v>
      </c>
      <c r="K33" s="465">
        <f t="shared" si="6"/>
        <v>3046120</v>
      </c>
      <c r="L33" s="564">
        <f t="shared" si="0"/>
        <v>0</v>
      </c>
      <c r="M33" s="565">
        <f t="shared" si="1"/>
        <v>113.61879895561357</v>
      </c>
      <c r="N33" s="565">
        <f t="shared" si="2"/>
        <v>113.61879895561357</v>
      </c>
    </row>
    <row r="34" spans="1:14" ht="84.9" outlineLevel="6" x14ac:dyDescent="0.3">
      <c r="A34" s="438" t="s">
        <v>11</v>
      </c>
      <c r="B34" s="439" t="s">
        <v>500</v>
      </c>
      <c r="C34" s="439" t="s">
        <v>29</v>
      </c>
      <c r="D34" s="539" t="s">
        <v>497</v>
      </c>
      <c r="E34" s="539" t="s">
        <v>12</v>
      </c>
      <c r="F34" s="540">
        <v>2580816.7200000002</v>
      </c>
      <c r="G34" s="465">
        <f t="shared" si="6"/>
        <v>2681000</v>
      </c>
      <c r="H34" s="367">
        <v>2133514.06</v>
      </c>
      <c r="I34" s="440">
        <f t="shared" si="6"/>
        <v>2846266</v>
      </c>
      <c r="J34" s="465">
        <f t="shared" si="6"/>
        <v>3046120</v>
      </c>
      <c r="K34" s="465">
        <f t="shared" si="6"/>
        <v>3046120</v>
      </c>
      <c r="L34" s="564">
        <f t="shared" si="0"/>
        <v>0</v>
      </c>
      <c r="M34" s="565">
        <f t="shared" si="1"/>
        <v>113.61879895561357</v>
      </c>
      <c r="N34" s="565">
        <f t="shared" si="2"/>
        <v>113.61879895561357</v>
      </c>
    </row>
    <row r="35" spans="1:14" ht="34" outlineLevel="7" x14ac:dyDescent="0.3">
      <c r="A35" s="438" t="s">
        <v>13</v>
      </c>
      <c r="B35" s="439" t="s">
        <v>500</v>
      </c>
      <c r="C35" s="439" t="s">
        <v>29</v>
      </c>
      <c r="D35" s="539" t="s">
        <v>497</v>
      </c>
      <c r="E35" s="539" t="s">
        <v>14</v>
      </c>
      <c r="F35" s="540">
        <v>2580816.7200000002</v>
      </c>
      <c r="G35" s="465">
        <f>2846266-165266</f>
        <v>2681000</v>
      </c>
      <c r="H35" s="367">
        <v>2133514.06</v>
      </c>
      <c r="I35" s="440">
        <f>'[2]прил 12'!F42</f>
        <v>2846266</v>
      </c>
      <c r="J35" s="466">
        <v>3046120</v>
      </c>
      <c r="K35" s="466">
        <v>3046120</v>
      </c>
      <c r="L35" s="564">
        <f t="shared" si="0"/>
        <v>0</v>
      </c>
      <c r="M35" s="565">
        <f t="shared" si="1"/>
        <v>113.61879895561357</v>
      </c>
      <c r="N35" s="565">
        <f t="shared" si="2"/>
        <v>113.61879895561357</v>
      </c>
    </row>
    <row r="36" spans="1:14" ht="57.75" customHeight="1" outlineLevel="2" x14ac:dyDescent="0.3">
      <c r="A36" s="438" t="s">
        <v>30</v>
      </c>
      <c r="B36" s="439" t="s">
        <v>500</v>
      </c>
      <c r="C36" s="439" t="s">
        <v>31</v>
      </c>
      <c r="D36" s="539" t="s">
        <v>126</v>
      </c>
      <c r="E36" s="539" t="s">
        <v>6</v>
      </c>
      <c r="F36" s="540">
        <v>20028152.170000002</v>
      </c>
      <c r="G36" s="465">
        <f t="shared" ref="G36:K37" si="7">G37</f>
        <v>21208806</v>
      </c>
      <c r="H36" s="367">
        <v>14506752.189999999</v>
      </c>
      <c r="I36" s="440">
        <f t="shared" si="7"/>
        <v>22524109.440000001</v>
      </c>
      <c r="J36" s="465">
        <f t="shared" si="7"/>
        <v>23294985</v>
      </c>
      <c r="K36" s="465">
        <f t="shared" si="7"/>
        <v>23294985</v>
      </c>
      <c r="L36" s="564">
        <f t="shared" si="0"/>
        <v>0</v>
      </c>
      <c r="M36" s="565">
        <f t="shared" si="1"/>
        <v>109.83638117110412</v>
      </c>
      <c r="N36" s="565">
        <f t="shared" si="2"/>
        <v>109.83638117110412</v>
      </c>
    </row>
    <row r="37" spans="1:14" ht="34" outlineLevel="3" x14ac:dyDescent="0.3">
      <c r="A37" s="438" t="s">
        <v>132</v>
      </c>
      <c r="B37" s="439" t="s">
        <v>500</v>
      </c>
      <c r="C37" s="439" t="s">
        <v>31</v>
      </c>
      <c r="D37" s="539" t="s">
        <v>127</v>
      </c>
      <c r="E37" s="539" t="s">
        <v>6</v>
      </c>
      <c r="F37" s="540">
        <v>20028152.170000002</v>
      </c>
      <c r="G37" s="465">
        <f t="shared" si="7"/>
        <v>21208806</v>
      </c>
      <c r="H37" s="367">
        <v>14506752.189999999</v>
      </c>
      <c r="I37" s="440">
        <f t="shared" si="7"/>
        <v>22524109.440000001</v>
      </c>
      <c r="J37" s="465">
        <f t="shared" si="7"/>
        <v>23294985</v>
      </c>
      <c r="K37" s="465">
        <f t="shared" si="7"/>
        <v>23294985</v>
      </c>
      <c r="L37" s="564">
        <f t="shared" si="0"/>
        <v>0</v>
      </c>
      <c r="M37" s="565">
        <f t="shared" si="1"/>
        <v>109.83638117110412</v>
      </c>
      <c r="N37" s="565">
        <f t="shared" si="2"/>
        <v>109.83638117110412</v>
      </c>
    </row>
    <row r="38" spans="1:14" ht="57.25" customHeight="1" outlineLevel="5" x14ac:dyDescent="0.3">
      <c r="A38" s="438" t="s">
        <v>494</v>
      </c>
      <c r="B38" s="439" t="s">
        <v>500</v>
      </c>
      <c r="C38" s="439" t="s">
        <v>31</v>
      </c>
      <c r="D38" s="539" t="s">
        <v>495</v>
      </c>
      <c r="E38" s="539" t="s">
        <v>6</v>
      </c>
      <c r="F38" s="540">
        <v>20028152.170000002</v>
      </c>
      <c r="G38" s="465">
        <f>G39+G41</f>
        <v>21208806</v>
      </c>
      <c r="H38" s="367">
        <v>14506752.189999999</v>
      </c>
      <c r="I38" s="440">
        <f>I39+I41</f>
        <v>22524109.440000001</v>
      </c>
      <c r="J38" s="465">
        <f>J39+J41</f>
        <v>23294985</v>
      </c>
      <c r="K38" s="465">
        <f>K39+K41</f>
        <v>23294985</v>
      </c>
      <c r="L38" s="564">
        <f t="shared" si="0"/>
        <v>0</v>
      </c>
      <c r="M38" s="565">
        <f t="shared" si="1"/>
        <v>109.83638117110412</v>
      </c>
      <c r="N38" s="565">
        <f t="shared" si="2"/>
        <v>109.83638117110412</v>
      </c>
    </row>
    <row r="39" spans="1:14" ht="84.9" outlineLevel="6" x14ac:dyDescent="0.3">
      <c r="A39" s="438" t="s">
        <v>11</v>
      </c>
      <c r="B39" s="439" t="s">
        <v>500</v>
      </c>
      <c r="C39" s="439" t="s">
        <v>31</v>
      </c>
      <c r="D39" s="539" t="s">
        <v>495</v>
      </c>
      <c r="E39" s="539" t="s">
        <v>12</v>
      </c>
      <c r="F39" s="540">
        <v>19944570.670000002</v>
      </c>
      <c r="G39" s="465">
        <f>G40</f>
        <v>21116806</v>
      </c>
      <c r="H39" s="367">
        <v>14437454.199999999</v>
      </c>
      <c r="I39" s="440">
        <f>I40</f>
        <v>22432109.440000001</v>
      </c>
      <c r="J39" s="465">
        <f>J40</f>
        <v>23192985</v>
      </c>
      <c r="K39" s="465">
        <f>K40</f>
        <v>23192985</v>
      </c>
      <c r="L39" s="564">
        <f t="shared" si="0"/>
        <v>0</v>
      </c>
      <c r="M39" s="565">
        <f t="shared" si="1"/>
        <v>109.83187987804595</v>
      </c>
      <c r="N39" s="565">
        <f t="shared" si="2"/>
        <v>109.83187987804595</v>
      </c>
    </row>
    <row r="40" spans="1:14" ht="34" outlineLevel="7" x14ac:dyDescent="0.3">
      <c r="A40" s="438" t="s">
        <v>13</v>
      </c>
      <c r="B40" s="439" t="s">
        <v>500</v>
      </c>
      <c r="C40" s="439" t="s">
        <v>31</v>
      </c>
      <c r="D40" s="539" t="s">
        <v>495</v>
      </c>
      <c r="E40" s="539" t="s">
        <v>14</v>
      </c>
      <c r="F40" s="540">
        <v>19944570.670000002</v>
      </c>
      <c r="G40" s="466">
        <f>[2]потребность!I47+165266-617796</f>
        <v>21116806</v>
      </c>
      <c r="H40" s="367">
        <v>14437454.199999999</v>
      </c>
      <c r="I40" s="442">
        <f>'[2]прил 12'!F47</f>
        <v>22432109.440000001</v>
      </c>
      <c r="J40" s="466">
        <f>23192985</f>
        <v>23192985</v>
      </c>
      <c r="K40" s="466">
        <f>23192985+683511-683511</f>
        <v>23192985</v>
      </c>
      <c r="L40" s="564">
        <f t="shared" si="0"/>
        <v>0</v>
      </c>
      <c r="M40" s="565">
        <f t="shared" si="1"/>
        <v>109.83187987804595</v>
      </c>
      <c r="N40" s="565">
        <f t="shared" si="2"/>
        <v>109.83187987804595</v>
      </c>
    </row>
    <row r="41" spans="1:14" ht="34" outlineLevel="6" x14ac:dyDescent="0.3">
      <c r="A41" s="438" t="s">
        <v>15</v>
      </c>
      <c r="B41" s="439" t="s">
        <v>500</v>
      </c>
      <c r="C41" s="439" t="s">
        <v>31</v>
      </c>
      <c r="D41" s="539" t="s">
        <v>495</v>
      </c>
      <c r="E41" s="539" t="s">
        <v>16</v>
      </c>
      <c r="F41" s="540">
        <v>83581.5</v>
      </c>
      <c r="G41" s="465">
        <f>G42</f>
        <v>92000</v>
      </c>
      <c r="H41" s="367">
        <v>69297.990000000005</v>
      </c>
      <c r="I41" s="440">
        <f>I42</f>
        <v>92000</v>
      </c>
      <c r="J41" s="465">
        <f>J42</f>
        <v>102000</v>
      </c>
      <c r="K41" s="465">
        <f>K42</f>
        <v>102000</v>
      </c>
      <c r="L41" s="564">
        <f t="shared" si="0"/>
        <v>0</v>
      </c>
      <c r="M41" s="565">
        <f t="shared" si="1"/>
        <v>110.8695652173913</v>
      </c>
      <c r="N41" s="565">
        <f t="shared" si="2"/>
        <v>110.86956521739131</v>
      </c>
    </row>
    <row r="42" spans="1:14" ht="21.25" customHeight="1" outlineLevel="7" x14ac:dyDescent="0.3">
      <c r="A42" s="438" t="s">
        <v>17</v>
      </c>
      <c r="B42" s="439" t="s">
        <v>500</v>
      </c>
      <c r="C42" s="439" t="s">
        <v>31</v>
      </c>
      <c r="D42" s="539" t="s">
        <v>495</v>
      </c>
      <c r="E42" s="539" t="s">
        <v>18</v>
      </c>
      <c r="F42" s="540">
        <v>83581.5</v>
      </c>
      <c r="G42" s="466">
        <v>92000</v>
      </c>
      <c r="H42" s="367">
        <v>69297.990000000005</v>
      </c>
      <c r="I42" s="442">
        <f>'[2]прил 12'!F49</f>
        <v>92000</v>
      </c>
      <c r="J42" s="466">
        <v>102000</v>
      </c>
      <c r="K42" s="466">
        <v>102000</v>
      </c>
      <c r="L42" s="564">
        <f t="shared" si="0"/>
        <v>0</v>
      </c>
      <c r="M42" s="565">
        <f t="shared" si="1"/>
        <v>110.8695652173913</v>
      </c>
      <c r="N42" s="565">
        <f t="shared" si="2"/>
        <v>110.86956521739131</v>
      </c>
    </row>
    <row r="43" spans="1:14" outlineLevel="7" x14ac:dyDescent="0.3">
      <c r="A43" s="438" t="s">
        <v>260</v>
      </c>
      <c r="B43" s="439" t="s">
        <v>500</v>
      </c>
      <c r="C43" s="439" t="s">
        <v>261</v>
      </c>
      <c r="D43" s="539" t="s">
        <v>126</v>
      </c>
      <c r="E43" s="539" t="s">
        <v>6</v>
      </c>
      <c r="F43" s="540">
        <v>5100</v>
      </c>
      <c r="G43" s="466">
        <f>G44</f>
        <v>219244</v>
      </c>
      <c r="H43" s="367">
        <v>183414</v>
      </c>
      <c r="I43" s="442">
        <f>I44</f>
        <v>13010</v>
      </c>
      <c r="J43" s="466">
        <f>J44</f>
        <v>12402</v>
      </c>
      <c r="K43" s="466">
        <f>K44</f>
        <v>12402</v>
      </c>
      <c r="L43" s="564">
        <f t="shared" si="0"/>
        <v>0</v>
      </c>
      <c r="M43" s="565">
        <f t="shared" si="1"/>
        <v>5.6567112440933389</v>
      </c>
      <c r="N43" s="565">
        <f t="shared" si="2"/>
        <v>5.6567112440933389</v>
      </c>
    </row>
    <row r="44" spans="1:14" ht="34" outlineLevel="7" x14ac:dyDescent="0.3">
      <c r="A44" s="438" t="s">
        <v>132</v>
      </c>
      <c r="B44" s="439" t="s">
        <v>500</v>
      </c>
      <c r="C44" s="439" t="s">
        <v>261</v>
      </c>
      <c r="D44" s="539" t="s">
        <v>127</v>
      </c>
      <c r="E44" s="539" t="s">
        <v>6</v>
      </c>
      <c r="F44" s="540">
        <v>5100</v>
      </c>
      <c r="G44" s="466">
        <f>G46</f>
        <v>219244</v>
      </c>
      <c r="H44" s="367">
        <v>183414</v>
      </c>
      <c r="I44" s="442">
        <f t="shared" ref="I44:K47" si="8">I45</f>
        <v>13010</v>
      </c>
      <c r="J44" s="466">
        <f t="shared" si="8"/>
        <v>12402</v>
      </c>
      <c r="K44" s="466">
        <f t="shared" si="8"/>
        <v>12402</v>
      </c>
      <c r="L44" s="564">
        <f t="shared" si="0"/>
        <v>0</v>
      </c>
      <c r="M44" s="565">
        <f t="shared" si="1"/>
        <v>5.6567112440933389</v>
      </c>
      <c r="N44" s="565">
        <f t="shared" si="2"/>
        <v>5.6567112440933389</v>
      </c>
    </row>
    <row r="45" spans="1:14" outlineLevel="7" x14ac:dyDescent="0.3">
      <c r="A45" s="438" t="s">
        <v>277</v>
      </c>
      <c r="B45" s="439" t="s">
        <v>500</v>
      </c>
      <c r="C45" s="439" t="s">
        <v>261</v>
      </c>
      <c r="D45" s="539" t="s">
        <v>276</v>
      </c>
      <c r="E45" s="539" t="s">
        <v>6</v>
      </c>
      <c r="F45" s="540">
        <v>5100</v>
      </c>
      <c r="G45" s="466">
        <f>G46</f>
        <v>219244</v>
      </c>
      <c r="H45" s="367">
        <v>183414</v>
      </c>
      <c r="I45" s="442">
        <f t="shared" si="8"/>
        <v>13010</v>
      </c>
      <c r="J45" s="466">
        <f t="shared" si="8"/>
        <v>12402</v>
      </c>
      <c r="K45" s="466">
        <f t="shared" si="8"/>
        <v>12402</v>
      </c>
      <c r="L45" s="564">
        <f t="shared" si="0"/>
        <v>0</v>
      </c>
      <c r="M45" s="565">
        <f t="shared" si="1"/>
        <v>5.6567112440933389</v>
      </c>
      <c r="N45" s="565">
        <f t="shared" si="2"/>
        <v>5.6567112440933389</v>
      </c>
    </row>
    <row r="46" spans="1:14" ht="95.3" customHeight="1" outlineLevel="7" x14ac:dyDescent="0.3">
      <c r="A46" s="453" t="s">
        <v>410</v>
      </c>
      <c r="B46" s="439" t="s">
        <v>500</v>
      </c>
      <c r="C46" s="439" t="s">
        <v>261</v>
      </c>
      <c r="D46" s="539" t="s">
        <v>285</v>
      </c>
      <c r="E46" s="539" t="s">
        <v>6</v>
      </c>
      <c r="F46" s="540">
        <v>5100</v>
      </c>
      <c r="G46" s="466">
        <f>G47</f>
        <v>219244</v>
      </c>
      <c r="H46" s="367">
        <v>183414</v>
      </c>
      <c r="I46" s="442">
        <f t="shared" si="8"/>
        <v>13010</v>
      </c>
      <c r="J46" s="466">
        <f t="shared" si="8"/>
        <v>12402</v>
      </c>
      <c r="K46" s="466">
        <f t="shared" si="8"/>
        <v>12402</v>
      </c>
      <c r="L46" s="564">
        <f t="shared" si="0"/>
        <v>0</v>
      </c>
      <c r="M46" s="565">
        <f t="shared" si="1"/>
        <v>5.6567112440933389</v>
      </c>
      <c r="N46" s="565">
        <f t="shared" si="2"/>
        <v>5.6567112440933389</v>
      </c>
    </row>
    <row r="47" spans="1:14" ht="34" outlineLevel="7" x14ac:dyDescent="0.3">
      <c r="A47" s="438" t="s">
        <v>15</v>
      </c>
      <c r="B47" s="439" t="s">
        <v>500</v>
      </c>
      <c r="C47" s="439" t="s">
        <v>261</v>
      </c>
      <c r="D47" s="539" t="s">
        <v>285</v>
      </c>
      <c r="E47" s="539" t="s">
        <v>16</v>
      </c>
      <c r="F47" s="540">
        <v>5100</v>
      </c>
      <c r="G47" s="466">
        <f>G48</f>
        <v>219244</v>
      </c>
      <c r="H47" s="367">
        <v>183414</v>
      </c>
      <c r="I47" s="442">
        <f t="shared" si="8"/>
        <v>13010</v>
      </c>
      <c r="J47" s="466">
        <f t="shared" si="8"/>
        <v>12402</v>
      </c>
      <c r="K47" s="466">
        <f t="shared" si="8"/>
        <v>12402</v>
      </c>
      <c r="L47" s="564">
        <f t="shared" si="0"/>
        <v>0</v>
      </c>
      <c r="M47" s="565">
        <f t="shared" si="1"/>
        <v>5.6567112440933389</v>
      </c>
      <c r="N47" s="565">
        <f t="shared" si="2"/>
        <v>5.6567112440933389</v>
      </c>
    </row>
    <row r="48" spans="1:14" ht="19.55" customHeight="1" outlineLevel="7" x14ac:dyDescent="0.3">
      <c r="A48" s="438" t="s">
        <v>17</v>
      </c>
      <c r="B48" s="439" t="s">
        <v>500</v>
      </c>
      <c r="C48" s="439" t="s">
        <v>261</v>
      </c>
      <c r="D48" s="539" t="s">
        <v>285</v>
      </c>
      <c r="E48" s="539" t="s">
        <v>18</v>
      </c>
      <c r="F48" s="540">
        <v>5100</v>
      </c>
      <c r="G48" s="465">
        <v>219244</v>
      </c>
      <c r="H48" s="367">
        <v>183414</v>
      </c>
      <c r="I48" s="440">
        <v>13010</v>
      </c>
      <c r="J48" s="466">
        <v>12402</v>
      </c>
      <c r="K48" s="466">
        <v>12402</v>
      </c>
      <c r="L48" s="564">
        <f t="shared" si="0"/>
        <v>0</v>
      </c>
      <c r="M48" s="565">
        <f t="shared" si="1"/>
        <v>5.6567112440933389</v>
      </c>
      <c r="N48" s="565">
        <f t="shared" si="2"/>
        <v>5.6567112440933389</v>
      </c>
    </row>
    <row r="49" spans="1:14" ht="36.700000000000003" customHeight="1" outlineLevel="2" x14ac:dyDescent="0.3">
      <c r="A49" s="438" t="s">
        <v>9</v>
      </c>
      <c r="B49" s="439" t="s">
        <v>500</v>
      </c>
      <c r="C49" s="439" t="s">
        <v>10</v>
      </c>
      <c r="D49" s="539" t="s">
        <v>126</v>
      </c>
      <c r="E49" s="539" t="s">
        <v>6</v>
      </c>
      <c r="F49" s="540">
        <v>703771.03</v>
      </c>
      <c r="G49" s="465">
        <f t="shared" ref="G49:K52" si="9">G50</f>
        <v>799829</v>
      </c>
      <c r="H49" s="367">
        <v>493755.27</v>
      </c>
      <c r="I49" s="440">
        <f t="shared" si="9"/>
        <v>825175</v>
      </c>
      <c r="J49" s="465">
        <f t="shared" si="9"/>
        <v>845370</v>
      </c>
      <c r="K49" s="465">
        <f t="shared" si="9"/>
        <v>845370</v>
      </c>
      <c r="L49" s="564">
        <f t="shared" si="0"/>
        <v>0</v>
      </c>
      <c r="M49" s="565">
        <f t="shared" si="1"/>
        <v>105.69384205874006</v>
      </c>
      <c r="N49" s="565">
        <f t="shared" si="2"/>
        <v>105.69384205874006</v>
      </c>
    </row>
    <row r="50" spans="1:14" ht="34" outlineLevel="4" x14ac:dyDescent="0.3">
      <c r="A50" s="438" t="s">
        <v>132</v>
      </c>
      <c r="B50" s="439" t="s">
        <v>500</v>
      </c>
      <c r="C50" s="439" t="s">
        <v>10</v>
      </c>
      <c r="D50" s="539" t="s">
        <v>127</v>
      </c>
      <c r="E50" s="539" t="s">
        <v>6</v>
      </c>
      <c r="F50" s="540">
        <v>703771.03</v>
      </c>
      <c r="G50" s="465">
        <f t="shared" si="9"/>
        <v>799829</v>
      </c>
      <c r="H50" s="367">
        <v>493755.27</v>
      </c>
      <c r="I50" s="440">
        <f t="shared" si="9"/>
        <v>825175</v>
      </c>
      <c r="J50" s="465">
        <f t="shared" si="9"/>
        <v>845370</v>
      </c>
      <c r="K50" s="465">
        <f t="shared" si="9"/>
        <v>845370</v>
      </c>
      <c r="L50" s="564">
        <f t="shared" si="0"/>
        <v>0</v>
      </c>
      <c r="M50" s="565">
        <f t="shared" si="1"/>
        <v>105.69384205874006</v>
      </c>
      <c r="N50" s="565">
        <f t="shared" si="2"/>
        <v>105.69384205874006</v>
      </c>
    </row>
    <row r="51" spans="1:14" ht="34" outlineLevel="5" x14ac:dyDescent="0.3">
      <c r="A51" s="438" t="s">
        <v>498</v>
      </c>
      <c r="B51" s="439" t="s">
        <v>500</v>
      </c>
      <c r="C51" s="439" t="s">
        <v>10</v>
      </c>
      <c r="D51" s="539" t="s">
        <v>537</v>
      </c>
      <c r="E51" s="539" t="s">
        <v>6</v>
      </c>
      <c r="F51" s="540">
        <v>703771.03</v>
      </c>
      <c r="G51" s="465">
        <f t="shared" si="9"/>
        <v>799829</v>
      </c>
      <c r="H51" s="367">
        <v>493755.27</v>
      </c>
      <c r="I51" s="440">
        <f t="shared" si="9"/>
        <v>825175</v>
      </c>
      <c r="J51" s="465">
        <f t="shared" si="9"/>
        <v>845370</v>
      </c>
      <c r="K51" s="465">
        <f t="shared" si="9"/>
        <v>845370</v>
      </c>
      <c r="L51" s="564">
        <f t="shared" si="0"/>
        <v>0</v>
      </c>
      <c r="M51" s="565">
        <f t="shared" si="1"/>
        <v>105.69384205874006</v>
      </c>
      <c r="N51" s="565">
        <f t="shared" si="2"/>
        <v>105.69384205874006</v>
      </c>
    </row>
    <row r="52" spans="1:14" ht="84.9" outlineLevel="6" x14ac:dyDescent="0.3">
      <c r="A52" s="438" t="s">
        <v>11</v>
      </c>
      <c r="B52" s="439" t="s">
        <v>500</v>
      </c>
      <c r="C52" s="439" t="s">
        <v>10</v>
      </c>
      <c r="D52" s="539" t="s">
        <v>537</v>
      </c>
      <c r="E52" s="539" t="s">
        <v>12</v>
      </c>
      <c r="F52" s="540">
        <v>703771.03</v>
      </c>
      <c r="G52" s="465">
        <f t="shared" si="9"/>
        <v>799829</v>
      </c>
      <c r="H52" s="367">
        <v>493755.27</v>
      </c>
      <c r="I52" s="440">
        <f t="shared" si="9"/>
        <v>825175</v>
      </c>
      <c r="J52" s="465">
        <f t="shared" si="9"/>
        <v>845370</v>
      </c>
      <c r="K52" s="465">
        <f t="shared" si="9"/>
        <v>845370</v>
      </c>
      <c r="L52" s="564">
        <f t="shared" si="0"/>
        <v>0</v>
      </c>
      <c r="M52" s="565">
        <f t="shared" si="1"/>
        <v>105.69384205874006</v>
      </c>
      <c r="N52" s="565">
        <f t="shared" si="2"/>
        <v>105.69384205874006</v>
      </c>
    </row>
    <row r="53" spans="1:14" ht="34" outlineLevel="7" x14ac:dyDescent="0.3">
      <c r="A53" s="438" t="s">
        <v>13</v>
      </c>
      <c r="B53" s="439" t="s">
        <v>500</v>
      </c>
      <c r="C53" s="439" t="s">
        <v>10</v>
      </c>
      <c r="D53" s="539" t="s">
        <v>537</v>
      </c>
      <c r="E53" s="539" t="s">
        <v>14</v>
      </c>
      <c r="F53" s="540">
        <v>703771.03</v>
      </c>
      <c r="G53" s="465">
        <f>825175-25346</f>
        <v>799829</v>
      </c>
      <c r="H53" s="367">
        <v>493755.27</v>
      </c>
      <c r="I53" s="440">
        <f>'[2]прил 12'!F60</f>
        <v>825175</v>
      </c>
      <c r="J53" s="466">
        <v>845370</v>
      </c>
      <c r="K53" s="466">
        <v>845370</v>
      </c>
      <c r="L53" s="564">
        <f t="shared" si="0"/>
        <v>0</v>
      </c>
      <c r="M53" s="565">
        <f t="shared" si="1"/>
        <v>105.69384205874006</v>
      </c>
      <c r="N53" s="565">
        <f t="shared" si="2"/>
        <v>105.69384205874006</v>
      </c>
    </row>
    <row r="54" spans="1:14" outlineLevel="7" x14ac:dyDescent="0.3">
      <c r="A54" s="438" t="s">
        <v>698</v>
      </c>
      <c r="B54" s="439" t="s">
        <v>500</v>
      </c>
      <c r="C54" s="439" t="s">
        <v>695</v>
      </c>
      <c r="D54" s="539" t="s">
        <v>126</v>
      </c>
      <c r="E54" s="539" t="s">
        <v>6</v>
      </c>
      <c r="F54" s="540">
        <v>0</v>
      </c>
      <c r="G54" s="465">
        <f t="shared" ref="G54:K57" si="10">G55</f>
        <v>1644227.3600000031</v>
      </c>
      <c r="H54" s="367"/>
      <c r="I54" s="440">
        <f t="shared" si="10"/>
        <v>0</v>
      </c>
      <c r="J54" s="465">
        <f t="shared" si="10"/>
        <v>12000000</v>
      </c>
      <c r="K54" s="465">
        <f t="shared" si="10"/>
        <v>12000000</v>
      </c>
      <c r="L54" s="564">
        <f t="shared" si="0"/>
        <v>0</v>
      </c>
      <c r="M54" s="565">
        <f t="shared" si="1"/>
        <v>729.82607466159538</v>
      </c>
      <c r="N54" s="565">
        <f t="shared" si="2"/>
        <v>729.82607466159527</v>
      </c>
    </row>
    <row r="55" spans="1:14" ht="34" outlineLevel="7" x14ac:dyDescent="0.3">
      <c r="A55" s="438" t="s">
        <v>132</v>
      </c>
      <c r="B55" s="439" t="s">
        <v>500</v>
      </c>
      <c r="C55" s="439" t="s">
        <v>695</v>
      </c>
      <c r="D55" s="539" t="s">
        <v>127</v>
      </c>
      <c r="E55" s="539" t="s">
        <v>6</v>
      </c>
      <c r="F55" s="540">
        <v>0</v>
      </c>
      <c r="G55" s="465">
        <f t="shared" si="10"/>
        <v>1644227.3600000031</v>
      </c>
      <c r="H55" s="441"/>
      <c r="I55" s="440">
        <f t="shared" si="10"/>
        <v>0</v>
      </c>
      <c r="J55" s="465">
        <f t="shared" si="10"/>
        <v>12000000</v>
      </c>
      <c r="K55" s="465">
        <f t="shared" si="10"/>
        <v>12000000</v>
      </c>
      <c r="L55" s="564">
        <f t="shared" si="0"/>
        <v>0</v>
      </c>
      <c r="M55" s="565">
        <f t="shared" si="1"/>
        <v>729.82607466159538</v>
      </c>
      <c r="N55" s="565">
        <f t="shared" si="2"/>
        <v>729.82607466159527</v>
      </c>
    </row>
    <row r="56" spans="1:14" ht="34" outlineLevel="7" x14ac:dyDescent="0.3">
      <c r="A56" s="438" t="s">
        <v>526</v>
      </c>
      <c r="B56" s="439" t="s">
        <v>500</v>
      </c>
      <c r="C56" s="439" t="s">
        <v>695</v>
      </c>
      <c r="D56" s="539" t="s">
        <v>539</v>
      </c>
      <c r="E56" s="539" t="s">
        <v>6</v>
      </c>
      <c r="F56" s="540">
        <v>0</v>
      </c>
      <c r="G56" s="465">
        <f t="shared" si="10"/>
        <v>1644227.3600000031</v>
      </c>
      <c r="H56" s="441"/>
      <c r="I56" s="440">
        <f t="shared" si="10"/>
        <v>0</v>
      </c>
      <c r="J56" s="465">
        <f t="shared" si="10"/>
        <v>12000000</v>
      </c>
      <c r="K56" s="465">
        <f t="shared" si="10"/>
        <v>12000000</v>
      </c>
      <c r="L56" s="564">
        <f t="shared" si="0"/>
        <v>0</v>
      </c>
      <c r="M56" s="565">
        <f t="shared" si="1"/>
        <v>729.82607466159538</v>
      </c>
      <c r="N56" s="565">
        <f t="shared" si="2"/>
        <v>729.82607466159527</v>
      </c>
    </row>
    <row r="57" spans="1:14" outlineLevel="7" x14ac:dyDescent="0.3">
      <c r="A57" s="438" t="s">
        <v>19</v>
      </c>
      <c r="B57" s="439" t="s">
        <v>500</v>
      </c>
      <c r="C57" s="439" t="s">
        <v>695</v>
      </c>
      <c r="D57" s="539" t="s">
        <v>539</v>
      </c>
      <c r="E57" s="539" t="s">
        <v>20</v>
      </c>
      <c r="F57" s="540">
        <v>0</v>
      </c>
      <c r="G57" s="465">
        <f t="shared" si="10"/>
        <v>1644227.3600000031</v>
      </c>
      <c r="H57" s="441"/>
      <c r="I57" s="440">
        <f t="shared" si="10"/>
        <v>0</v>
      </c>
      <c r="J57" s="465">
        <f t="shared" si="10"/>
        <v>12000000</v>
      </c>
      <c r="K57" s="465">
        <f t="shared" si="10"/>
        <v>12000000</v>
      </c>
      <c r="L57" s="564">
        <f t="shared" si="0"/>
        <v>0</v>
      </c>
      <c r="M57" s="565">
        <f t="shared" si="1"/>
        <v>729.82607466159538</v>
      </c>
      <c r="N57" s="565">
        <f t="shared" si="2"/>
        <v>729.82607466159527</v>
      </c>
    </row>
    <row r="58" spans="1:14" outlineLevel="7" x14ac:dyDescent="0.3">
      <c r="A58" s="438" t="s">
        <v>696</v>
      </c>
      <c r="B58" s="439" t="s">
        <v>500</v>
      </c>
      <c r="C58" s="439" t="s">
        <v>695</v>
      </c>
      <c r="D58" s="539" t="s">
        <v>539</v>
      </c>
      <c r="E58" s="539" t="s">
        <v>694</v>
      </c>
      <c r="F58" s="540">
        <v>0</v>
      </c>
      <c r="G58" s="465">
        <f>[2]потребность!L65-247000-26399.58-22900478.19+1393.94-72913.58-143709.27+5012765.36+3173352.2-8884417.62+502896.1-2456240-183872</f>
        <v>1644227.3600000031</v>
      </c>
      <c r="H58" s="441"/>
      <c r="I58" s="440">
        <v>0</v>
      </c>
      <c r="J58" s="465">
        <v>12000000</v>
      </c>
      <c r="K58" s="465">
        <v>12000000</v>
      </c>
      <c r="L58" s="564">
        <f t="shared" si="0"/>
        <v>0</v>
      </c>
      <c r="M58" s="565">
        <f t="shared" si="1"/>
        <v>729.82607466159538</v>
      </c>
      <c r="N58" s="565">
        <f t="shared" si="2"/>
        <v>729.82607466159527</v>
      </c>
    </row>
    <row r="59" spans="1:14" outlineLevel="2" x14ac:dyDescent="0.3">
      <c r="A59" s="438" t="s">
        <v>23</v>
      </c>
      <c r="B59" s="439" t="s">
        <v>500</v>
      </c>
      <c r="C59" s="439" t="s">
        <v>24</v>
      </c>
      <c r="D59" s="539" t="s">
        <v>126</v>
      </c>
      <c r="E59" s="539" t="s">
        <v>6</v>
      </c>
      <c r="F59" s="540">
        <v>70902280.519999996</v>
      </c>
      <c r="G59" s="465">
        <f>G60+G85+G98+G90+G110+G105</f>
        <v>82322703.329999998</v>
      </c>
      <c r="H59" s="369">
        <v>60204370.20000001</v>
      </c>
      <c r="I59" s="440">
        <f>I60+I85+I98+I90+I110+I105</f>
        <v>72521978.530000001</v>
      </c>
      <c r="J59" s="465">
        <f>J60+J85+J98+J90+J110+J105</f>
        <v>83283020</v>
      </c>
      <c r="K59" s="465">
        <f>K60+K85+K98+K90+K110+K105</f>
        <v>75150412</v>
      </c>
      <c r="L59" s="564">
        <f t="shared" si="0"/>
        <v>-8132608</v>
      </c>
      <c r="M59" s="565">
        <f t="shared" si="1"/>
        <v>101.16652713182955</v>
      </c>
      <c r="N59" s="565">
        <f t="shared" si="2"/>
        <v>91.287590130211044</v>
      </c>
    </row>
    <row r="60" spans="1:14" s="449" customFormat="1" ht="37.549999999999997" customHeight="1" outlineLevel="3" x14ac:dyDescent="0.3">
      <c r="A60" s="444" t="s">
        <v>853</v>
      </c>
      <c r="B60" s="445" t="s">
        <v>500</v>
      </c>
      <c r="C60" s="445" t="s">
        <v>24</v>
      </c>
      <c r="D60" s="541" t="s">
        <v>128</v>
      </c>
      <c r="E60" s="541" t="s">
        <v>6</v>
      </c>
      <c r="F60" s="542">
        <v>22886854.309999999</v>
      </c>
      <c r="G60" s="508">
        <f>G61+G68+G76</f>
        <v>23474335</v>
      </c>
      <c r="H60" s="447">
        <f>H61+H68+H76</f>
        <v>14784021.529999999</v>
      </c>
      <c r="I60" s="446">
        <f>I61+I68+I76</f>
        <v>25030881.030000001</v>
      </c>
      <c r="J60" s="508">
        <f>J61+J68+J76</f>
        <v>26583813</v>
      </c>
      <c r="K60" s="508">
        <f>K61+K68+K76</f>
        <v>24712813</v>
      </c>
      <c r="L60" s="564">
        <f t="shared" si="0"/>
        <v>-1871000</v>
      </c>
      <c r="M60" s="565">
        <f t="shared" si="1"/>
        <v>113.24628791401332</v>
      </c>
      <c r="N60" s="565">
        <f t="shared" si="2"/>
        <v>105.27588108459729</v>
      </c>
    </row>
    <row r="61" spans="1:14" ht="39.25" customHeight="1" outlineLevel="7" x14ac:dyDescent="0.3">
      <c r="A61" s="438" t="s">
        <v>835</v>
      </c>
      <c r="B61" s="439" t="s">
        <v>500</v>
      </c>
      <c r="C61" s="439" t="s">
        <v>24</v>
      </c>
      <c r="D61" s="539" t="s">
        <v>315</v>
      </c>
      <c r="E61" s="539" t="s">
        <v>6</v>
      </c>
      <c r="F61" s="540">
        <v>796387</v>
      </c>
      <c r="G61" s="466">
        <f>G62+G65</f>
        <v>845385</v>
      </c>
      <c r="H61" s="442">
        <f>H62+H65</f>
        <v>20900</v>
      </c>
      <c r="I61" s="442">
        <f>I62+I65</f>
        <v>795385</v>
      </c>
      <c r="J61" s="466">
        <f>J62+J65</f>
        <v>845385</v>
      </c>
      <c r="K61" s="466">
        <f>K62+K65</f>
        <v>845385</v>
      </c>
      <c r="L61" s="564">
        <f t="shared" si="0"/>
        <v>0</v>
      </c>
      <c r="M61" s="565">
        <f t="shared" si="1"/>
        <v>100</v>
      </c>
      <c r="N61" s="565">
        <f t="shared" si="2"/>
        <v>100</v>
      </c>
    </row>
    <row r="62" spans="1:14" outlineLevel="7" x14ac:dyDescent="0.3">
      <c r="A62" s="438" t="s">
        <v>321</v>
      </c>
      <c r="B62" s="439" t="s">
        <v>500</v>
      </c>
      <c r="C62" s="439" t="s">
        <v>24</v>
      </c>
      <c r="D62" s="539" t="s">
        <v>316</v>
      </c>
      <c r="E62" s="539" t="s">
        <v>6</v>
      </c>
      <c r="F62" s="540">
        <v>628897</v>
      </c>
      <c r="G62" s="466">
        <f t="shared" ref="G62:K63" si="11">G63</f>
        <v>745385</v>
      </c>
      <c r="H62" s="442">
        <v>5100</v>
      </c>
      <c r="I62" s="442">
        <f t="shared" si="11"/>
        <v>745385</v>
      </c>
      <c r="J62" s="466">
        <f t="shared" si="11"/>
        <v>745385</v>
      </c>
      <c r="K62" s="466">
        <f t="shared" si="11"/>
        <v>745385</v>
      </c>
      <c r="L62" s="564">
        <f t="shared" si="0"/>
        <v>0</v>
      </c>
      <c r="M62" s="565">
        <f t="shared" si="1"/>
        <v>100</v>
      </c>
      <c r="N62" s="565">
        <f t="shared" si="2"/>
        <v>100</v>
      </c>
    </row>
    <row r="63" spans="1:14" ht="34" outlineLevel="7" x14ac:dyDescent="0.3">
      <c r="A63" s="438" t="s">
        <v>15</v>
      </c>
      <c r="B63" s="439" t="s">
        <v>500</v>
      </c>
      <c r="C63" s="439" t="s">
        <v>24</v>
      </c>
      <c r="D63" s="539" t="s">
        <v>316</v>
      </c>
      <c r="E63" s="539" t="s">
        <v>16</v>
      </c>
      <c r="F63" s="540">
        <v>628897</v>
      </c>
      <c r="G63" s="465">
        <f t="shared" si="11"/>
        <v>745385</v>
      </c>
      <c r="H63" s="370">
        <v>5100</v>
      </c>
      <c r="I63" s="440">
        <f t="shared" si="11"/>
        <v>745385</v>
      </c>
      <c r="J63" s="465">
        <f t="shared" si="11"/>
        <v>745385</v>
      </c>
      <c r="K63" s="465">
        <f t="shared" si="11"/>
        <v>745385</v>
      </c>
      <c r="L63" s="564">
        <f t="shared" si="0"/>
        <v>0</v>
      </c>
      <c r="M63" s="565">
        <f t="shared" si="1"/>
        <v>100</v>
      </c>
      <c r="N63" s="565">
        <f t="shared" si="2"/>
        <v>100</v>
      </c>
    </row>
    <row r="64" spans="1:14" ht="21.25" customHeight="1" outlineLevel="7" x14ac:dyDescent="0.3">
      <c r="A64" s="438" t="s">
        <v>17</v>
      </c>
      <c r="B64" s="439" t="s">
        <v>500</v>
      </c>
      <c r="C64" s="439" t="s">
        <v>24</v>
      </c>
      <c r="D64" s="539" t="s">
        <v>316</v>
      </c>
      <c r="E64" s="539" t="s">
        <v>18</v>
      </c>
      <c r="F64" s="540">
        <v>628897</v>
      </c>
      <c r="G64" s="466">
        <v>745385</v>
      </c>
      <c r="H64" s="370">
        <v>5100</v>
      </c>
      <c r="I64" s="442">
        <f>'[2]прил 12'!F71</f>
        <v>745385</v>
      </c>
      <c r="J64" s="466">
        <v>745385</v>
      </c>
      <c r="K64" s="466">
        <v>745385</v>
      </c>
      <c r="L64" s="564">
        <f t="shared" si="0"/>
        <v>0</v>
      </c>
      <c r="M64" s="565">
        <f t="shared" si="1"/>
        <v>100</v>
      </c>
      <c r="N64" s="565">
        <f t="shared" si="2"/>
        <v>100</v>
      </c>
    </row>
    <row r="65" spans="1:14" outlineLevel="7" x14ac:dyDescent="0.3">
      <c r="A65" s="438" t="s">
        <v>322</v>
      </c>
      <c r="B65" s="439" t="s">
        <v>500</v>
      </c>
      <c r="C65" s="439" t="s">
        <v>24</v>
      </c>
      <c r="D65" s="539" t="s">
        <v>323</v>
      </c>
      <c r="E65" s="539" t="s">
        <v>6</v>
      </c>
      <c r="F65" s="540">
        <v>167490</v>
      </c>
      <c r="G65" s="466">
        <f t="shared" ref="G65:K66" si="12">G66</f>
        <v>100000</v>
      </c>
      <c r="H65" s="370">
        <v>15800</v>
      </c>
      <c r="I65" s="442">
        <f t="shared" si="12"/>
        <v>50000</v>
      </c>
      <c r="J65" s="466">
        <f t="shared" si="12"/>
        <v>100000</v>
      </c>
      <c r="K65" s="466">
        <f t="shared" si="12"/>
        <v>100000</v>
      </c>
      <c r="L65" s="564">
        <f t="shared" si="0"/>
        <v>0</v>
      </c>
      <c r="M65" s="565">
        <f t="shared" si="1"/>
        <v>100</v>
      </c>
      <c r="N65" s="565">
        <f t="shared" si="2"/>
        <v>100</v>
      </c>
    </row>
    <row r="66" spans="1:14" ht="34" outlineLevel="7" x14ac:dyDescent="0.3">
      <c r="A66" s="438" t="s">
        <v>15</v>
      </c>
      <c r="B66" s="439" t="s">
        <v>500</v>
      </c>
      <c r="C66" s="439" t="s">
        <v>24</v>
      </c>
      <c r="D66" s="539" t="s">
        <v>323</v>
      </c>
      <c r="E66" s="539" t="s">
        <v>16</v>
      </c>
      <c r="F66" s="540">
        <v>167490</v>
      </c>
      <c r="G66" s="465">
        <f t="shared" si="12"/>
        <v>100000</v>
      </c>
      <c r="H66" s="370">
        <v>15800</v>
      </c>
      <c r="I66" s="440">
        <f t="shared" si="12"/>
        <v>50000</v>
      </c>
      <c r="J66" s="465">
        <f t="shared" si="12"/>
        <v>100000</v>
      </c>
      <c r="K66" s="465">
        <f t="shared" si="12"/>
        <v>100000</v>
      </c>
      <c r="L66" s="564">
        <f t="shared" si="0"/>
        <v>0</v>
      </c>
      <c r="M66" s="565">
        <f t="shared" si="1"/>
        <v>100</v>
      </c>
      <c r="N66" s="565">
        <f t="shared" si="2"/>
        <v>100</v>
      </c>
    </row>
    <row r="67" spans="1:14" ht="19.55" customHeight="1" outlineLevel="7" x14ac:dyDescent="0.3">
      <c r="A67" s="438" t="s">
        <v>17</v>
      </c>
      <c r="B67" s="439" t="s">
        <v>500</v>
      </c>
      <c r="C67" s="439" t="s">
        <v>24</v>
      </c>
      <c r="D67" s="539" t="s">
        <v>323</v>
      </c>
      <c r="E67" s="539" t="s">
        <v>18</v>
      </c>
      <c r="F67" s="540">
        <v>167490</v>
      </c>
      <c r="G67" s="465">
        <f>50000+50000</f>
        <v>100000</v>
      </c>
      <c r="H67" s="440">
        <v>15800</v>
      </c>
      <c r="I67" s="440">
        <f>'[2]прил 12'!F74</f>
        <v>50000</v>
      </c>
      <c r="J67" s="465">
        <f>50000+50000</f>
        <v>100000</v>
      </c>
      <c r="K67" s="465">
        <f>50000+50000</f>
        <v>100000</v>
      </c>
      <c r="L67" s="564">
        <f t="shared" si="0"/>
        <v>0</v>
      </c>
      <c r="M67" s="565">
        <f t="shared" si="1"/>
        <v>100</v>
      </c>
      <c r="N67" s="565">
        <f t="shared" si="2"/>
        <v>100</v>
      </c>
    </row>
    <row r="68" spans="1:14" ht="42.45" customHeight="1" outlineLevel="7" x14ac:dyDescent="0.3">
      <c r="A68" s="438" t="s">
        <v>216</v>
      </c>
      <c r="B68" s="439" t="s">
        <v>500</v>
      </c>
      <c r="C68" s="439" t="s">
        <v>24</v>
      </c>
      <c r="D68" s="539" t="s">
        <v>231</v>
      </c>
      <c r="E68" s="539" t="s">
        <v>6</v>
      </c>
      <c r="F68" s="540">
        <v>19431974.879999999</v>
      </c>
      <c r="G68" s="466">
        <f>G69</f>
        <v>21177850</v>
      </c>
      <c r="H68" s="443">
        <f>H69</f>
        <v>13917675.359999999</v>
      </c>
      <c r="I68" s="442">
        <f>I69</f>
        <v>22135496.030000001</v>
      </c>
      <c r="J68" s="466">
        <f>J69</f>
        <v>24287328</v>
      </c>
      <c r="K68" s="466">
        <f>K69</f>
        <v>22416328</v>
      </c>
      <c r="L68" s="564">
        <f t="shared" si="0"/>
        <v>-1871000</v>
      </c>
      <c r="M68" s="565">
        <f t="shared" si="1"/>
        <v>114.68268969701835</v>
      </c>
      <c r="N68" s="565">
        <f t="shared" si="2"/>
        <v>105.84798740193173</v>
      </c>
    </row>
    <row r="69" spans="1:14" ht="34" outlineLevel="5" x14ac:dyDescent="0.3">
      <c r="A69" s="438" t="s">
        <v>33</v>
      </c>
      <c r="B69" s="439" t="s">
        <v>500</v>
      </c>
      <c r="C69" s="439" t="s">
        <v>24</v>
      </c>
      <c r="D69" s="539" t="s">
        <v>130</v>
      </c>
      <c r="E69" s="539" t="s">
        <v>6</v>
      </c>
      <c r="F69" s="540">
        <v>19431974.879999999</v>
      </c>
      <c r="G69" s="465">
        <f>G70+G72+G74</f>
        <v>21177850</v>
      </c>
      <c r="H69" s="441">
        <f>H70+H72+H74</f>
        <v>13917675.359999999</v>
      </c>
      <c r="I69" s="440">
        <f>I70+I72+I74</f>
        <v>22135496.030000001</v>
      </c>
      <c r="J69" s="465">
        <f>J70+J72+J74</f>
        <v>24287328</v>
      </c>
      <c r="K69" s="465">
        <f>K70+K72+K74</f>
        <v>22416328</v>
      </c>
      <c r="L69" s="564">
        <f t="shared" si="0"/>
        <v>-1871000</v>
      </c>
      <c r="M69" s="565">
        <f t="shared" si="1"/>
        <v>114.68268969701835</v>
      </c>
      <c r="N69" s="565">
        <f t="shared" si="2"/>
        <v>105.84798740193173</v>
      </c>
    </row>
    <row r="70" spans="1:14" ht="84.9" outlineLevel="6" x14ac:dyDescent="0.3">
      <c r="A70" s="438" t="s">
        <v>11</v>
      </c>
      <c r="B70" s="439" t="s">
        <v>500</v>
      </c>
      <c r="C70" s="439" t="s">
        <v>24</v>
      </c>
      <c r="D70" s="539" t="s">
        <v>130</v>
      </c>
      <c r="E70" s="539" t="s">
        <v>12</v>
      </c>
      <c r="F70" s="540">
        <v>9763033.2200000007</v>
      </c>
      <c r="G70" s="465">
        <f>G71</f>
        <v>11340000</v>
      </c>
      <c r="H70" s="370">
        <v>8110814.9500000002</v>
      </c>
      <c r="I70" s="440">
        <f>I71</f>
        <v>11334046.030000001</v>
      </c>
      <c r="J70" s="465">
        <f>J71</f>
        <v>11899000</v>
      </c>
      <c r="K70" s="465">
        <f>K71</f>
        <v>11899000</v>
      </c>
      <c r="L70" s="564">
        <f t="shared" si="0"/>
        <v>0</v>
      </c>
      <c r="M70" s="565">
        <f t="shared" si="1"/>
        <v>104.92945326278659</v>
      </c>
      <c r="N70" s="565">
        <f t="shared" si="2"/>
        <v>104.92945326278659</v>
      </c>
    </row>
    <row r="71" spans="1:14" outlineLevel="7" x14ac:dyDescent="0.3">
      <c r="A71" s="438" t="s">
        <v>34</v>
      </c>
      <c r="B71" s="439" t="s">
        <v>500</v>
      </c>
      <c r="C71" s="439" t="s">
        <v>24</v>
      </c>
      <c r="D71" s="539" t="s">
        <v>130</v>
      </c>
      <c r="E71" s="539" t="s">
        <v>35</v>
      </c>
      <c r="F71" s="540">
        <v>9763033.2200000007</v>
      </c>
      <c r="G71" s="466">
        <f>[2]потребность!I78+340000</f>
        <v>11340000</v>
      </c>
      <c r="H71" s="370">
        <v>8110814.9500000002</v>
      </c>
      <c r="I71" s="442">
        <f>'[2]прил 12'!F78</f>
        <v>11334046.030000001</v>
      </c>
      <c r="J71" s="466">
        <v>11899000</v>
      </c>
      <c r="K71" s="466">
        <v>11899000</v>
      </c>
      <c r="L71" s="564">
        <f t="shared" si="0"/>
        <v>0</v>
      </c>
      <c r="M71" s="565">
        <f t="shared" si="1"/>
        <v>104.92945326278659</v>
      </c>
      <c r="N71" s="565">
        <f t="shared" si="2"/>
        <v>104.92945326278659</v>
      </c>
    </row>
    <row r="72" spans="1:14" ht="34" outlineLevel="6" x14ac:dyDescent="0.3">
      <c r="A72" s="438" t="s">
        <v>15</v>
      </c>
      <c r="B72" s="439" t="s">
        <v>500</v>
      </c>
      <c r="C72" s="439" t="s">
        <v>24</v>
      </c>
      <c r="D72" s="539" t="s">
        <v>130</v>
      </c>
      <c r="E72" s="539" t="s">
        <v>16</v>
      </c>
      <c r="F72" s="540">
        <v>8912074.9000000004</v>
      </c>
      <c r="G72" s="465">
        <f>G73</f>
        <v>9036400</v>
      </c>
      <c r="H72" s="370">
        <v>5501055.75</v>
      </c>
      <c r="I72" s="440">
        <f>I73</f>
        <v>10000000</v>
      </c>
      <c r="J72" s="465">
        <f>J73</f>
        <v>11619820</v>
      </c>
      <c r="K72" s="465">
        <f>K73</f>
        <v>9748820</v>
      </c>
      <c r="L72" s="564">
        <f t="shared" ref="L72:L135" si="13">K72-J72</f>
        <v>-1871000</v>
      </c>
      <c r="M72" s="565">
        <f t="shared" ref="M72:M135" si="14">J72/G72%</f>
        <v>128.58903988313929</v>
      </c>
      <c r="N72" s="565">
        <f t="shared" ref="N72:N135" si="15">K72/G72*100</f>
        <v>107.88389181532469</v>
      </c>
    </row>
    <row r="73" spans="1:14" ht="21.25" customHeight="1" outlineLevel="7" x14ac:dyDescent="0.3">
      <c r="A73" s="438" t="s">
        <v>17</v>
      </c>
      <c r="B73" s="439" t="s">
        <v>500</v>
      </c>
      <c r="C73" s="439" t="s">
        <v>24</v>
      </c>
      <c r="D73" s="539" t="s">
        <v>130</v>
      </c>
      <c r="E73" s="539" t="s">
        <v>18</v>
      </c>
      <c r="F73" s="540">
        <v>8912074.9000000004</v>
      </c>
      <c r="G73" s="466">
        <f>[2]потребность!I80+36400</f>
        <v>9036400</v>
      </c>
      <c r="H73" s="370">
        <v>5501055.75</v>
      </c>
      <c r="I73" s="442">
        <f>'[2]прил 12'!F80</f>
        <v>10000000</v>
      </c>
      <c r="J73" s="465">
        <v>11619820</v>
      </c>
      <c r="K73" s="465">
        <f>J73-1871000</f>
        <v>9748820</v>
      </c>
      <c r="L73" s="564">
        <f t="shared" si="13"/>
        <v>-1871000</v>
      </c>
      <c r="M73" s="565">
        <f t="shared" si="14"/>
        <v>128.58903988313929</v>
      </c>
      <c r="N73" s="565">
        <f t="shared" si="15"/>
        <v>107.88389181532469</v>
      </c>
    </row>
    <row r="74" spans="1:14" outlineLevel="6" x14ac:dyDescent="0.3">
      <c r="A74" s="438" t="s">
        <v>19</v>
      </c>
      <c r="B74" s="439" t="s">
        <v>500</v>
      </c>
      <c r="C74" s="439" t="s">
        <v>24</v>
      </c>
      <c r="D74" s="539" t="s">
        <v>130</v>
      </c>
      <c r="E74" s="539" t="s">
        <v>20</v>
      </c>
      <c r="F74" s="540">
        <v>756866.76</v>
      </c>
      <c r="G74" s="465">
        <f>G75</f>
        <v>801450</v>
      </c>
      <c r="H74" s="370">
        <v>305804.65999999997</v>
      </c>
      <c r="I74" s="440">
        <f>I75</f>
        <v>801450</v>
      </c>
      <c r="J74" s="466">
        <v>768508</v>
      </c>
      <c r="K74" s="466">
        <v>768508</v>
      </c>
      <c r="L74" s="564">
        <f t="shared" si="13"/>
        <v>0</v>
      </c>
      <c r="M74" s="565">
        <f t="shared" si="14"/>
        <v>95.889699918896994</v>
      </c>
      <c r="N74" s="565">
        <f t="shared" si="15"/>
        <v>95.889699918896994</v>
      </c>
    </row>
    <row r="75" spans="1:14" outlineLevel="7" x14ac:dyDescent="0.3">
      <c r="A75" s="438" t="s">
        <v>21</v>
      </c>
      <c r="B75" s="439" t="s">
        <v>500</v>
      </c>
      <c r="C75" s="439" t="s">
        <v>24</v>
      </c>
      <c r="D75" s="539" t="s">
        <v>130</v>
      </c>
      <c r="E75" s="539" t="s">
        <v>22</v>
      </c>
      <c r="F75" s="543">
        <v>756866.76</v>
      </c>
      <c r="G75" s="466">
        <v>801450</v>
      </c>
      <c r="H75" s="370">
        <v>305804.65999999997</v>
      </c>
      <c r="I75" s="442">
        <f>'[2]прил 12'!F82</f>
        <v>801450</v>
      </c>
      <c r="J75" s="466">
        <v>768508</v>
      </c>
      <c r="K75" s="466">
        <v>768508</v>
      </c>
      <c r="L75" s="564">
        <f t="shared" si="13"/>
        <v>0</v>
      </c>
      <c r="M75" s="565">
        <f t="shared" si="14"/>
        <v>95.889699918896994</v>
      </c>
      <c r="N75" s="565">
        <f t="shared" si="15"/>
        <v>95.889699918896994</v>
      </c>
    </row>
    <row r="76" spans="1:14" ht="17.5" customHeight="1" outlineLevel="7" x14ac:dyDescent="0.3">
      <c r="A76" s="438" t="s">
        <v>748</v>
      </c>
      <c r="B76" s="439" t="s">
        <v>500</v>
      </c>
      <c r="C76" s="439" t="s">
        <v>24</v>
      </c>
      <c r="D76" s="539" t="s">
        <v>692</v>
      </c>
      <c r="E76" s="539" t="s">
        <v>6</v>
      </c>
      <c r="F76" s="540">
        <v>2692560</v>
      </c>
      <c r="G76" s="465">
        <f>G77+G80</f>
        <v>1451100</v>
      </c>
      <c r="H76" s="441">
        <f>H77+H80</f>
        <v>845446.17</v>
      </c>
      <c r="I76" s="440">
        <f>I77+I80</f>
        <v>2100000</v>
      </c>
      <c r="J76" s="465">
        <f>J77+J80</f>
        <v>1451100</v>
      </c>
      <c r="K76" s="465">
        <f>K77+K80</f>
        <v>1451100</v>
      </c>
      <c r="L76" s="564">
        <f t="shared" si="13"/>
        <v>0</v>
      </c>
      <c r="M76" s="565">
        <f t="shared" si="14"/>
        <v>100</v>
      </c>
      <c r="N76" s="565">
        <f t="shared" si="15"/>
        <v>100</v>
      </c>
    </row>
    <row r="77" spans="1:14" ht="34" hidden="1" outlineLevel="7" x14ac:dyDescent="0.3">
      <c r="A77" s="397" t="s">
        <v>717</v>
      </c>
      <c r="B77" s="439" t="s">
        <v>500</v>
      </c>
      <c r="C77" s="439" t="s">
        <v>24</v>
      </c>
      <c r="D77" s="539" t="s">
        <v>691</v>
      </c>
      <c r="E77" s="539" t="s">
        <v>6</v>
      </c>
      <c r="F77" s="540">
        <v>1601460</v>
      </c>
      <c r="G77" s="465">
        <f t="shared" ref="G77:K78" si="16">G78</f>
        <v>0</v>
      </c>
      <c r="H77" s="441">
        <f t="shared" si="16"/>
        <v>0</v>
      </c>
      <c r="I77" s="440">
        <f t="shared" si="16"/>
        <v>500000</v>
      </c>
      <c r="J77" s="465">
        <f t="shared" si="16"/>
        <v>0</v>
      </c>
      <c r="K77" s="465">
        <f t="shared" si="16"/>
        <v>0</v>
      </c>
      <c r="L77" s="564">
        <f t="shared" si="13"/>
        <v>0</v>
      </c>
      <c r="M77" s="565"/>
      <c r="N77" s="565"/>
    </row>
    <row r="78" spans="1:14" ht="34" hidden="1" outlineLevel="7" x14ac:dyDescent="0.3">
      <c r="A78" s="438" t="s">
        <v>15</v>
      </c>
      <c r="B78" s="439" t="s">
        <v>500</v>
      </c>
      <c r="C78" s="439" t="s">
        <v>24</v>
      </c>
      <c r="D78" s="539" t="s">
        <v>691</v>
      </c>
      <c r="E78" s="539" t="s">
        <v>16</v>
      </c>
      <c r="F78" s="540">
        <v>1601460</v>
      </c>
      <c r="G78" s="465">
        <f t="shared" si="16"/>
        <v>0</v>
      </c>
      <c r="H78" s="441">
        <f t="shared" si="16"/>
        <v>0</v>
      </c>
      <c r="I78" s="440">
        <f t="shared" si="16"/>
        <v>500000</v>
      </c>
      <c r="J78" s="465">
        <f t="shared" si="16"/>
        <v>0</v>
      </c>
      <c r="K78" s="465">
        <f t="shared" si="16"/>
        <v>0</v>
      </c>
      <c r="L78" s="564">
        <f t="shared" si="13"/>
        <v>0</v>
      </c>
      <c r="M78" s="565"/>
      <c r="N78" s="565"/>
    </row>
    <row r="79" spans="1:14" ht="34" hidden="1" outlineLevel="7" x14ac:dyDescent="0.3">
      <c r="A79" s="438" t="s">
        <v>17</v>
      </c>
      <c r="B79" s="439" t="s">
        <v>500</v>
      </c>
      <c r="C79" s="439" t="s">
        <v>24</v>
      </c>
      <c r="D79" s="539" t="s">
        <v>691</v>
      </c>
      <c r="E79" s="539" t="s">
        <v>18</v>
      </c>
      <c r="F79" s="540">
        <v>1601460</v>
      </c>
      <c r="G79" s="466">
        <v>0</v>
      </c>
      <c r="H79" s="443">
        <v>0</v>
      </c>
      <c r="I79" s="442">
        <f>'[2]прил 12'!F86</f>
        <v>500000</v>
      </c>
      <c r="J79" s="466">
        <v>0</v>
      </c>
      <c r="K79" s="466">
        <v>0</v>
      </c>
      <c r="L79" s="564">
        <f t="shared" si="13"/>
        <v>0</v>
      </c>
      <c r="M79" s="565"/>
      <c r="N79" s="565"/>
    </row>
    <row r="80" spans="1:14" ht="34" outlineLevel="7" x14ac:dyDescent="0.3">
      <c r="A80" s="438" t="s">
        <v>690</v>
      </c>
      <c r="B80" s="439" t="s">
        <v>500</v>
      </c>
      <c r="C80" s="439" t="s">
        <v>24</v>
      </c>
      <c r="D80" s="539" t="s">
        <v>689</v>
      </c>
      <c r="E80" s="539" t="s">
        <v>6</v>
      </c>
      <c r="F80" s="540">
        <v>1091100</v>
      </c>
      <c r="G80" s="465">
        <f>G83+G81</f>
        <v>1451100</v>
      </c>
      <c r="H80" s="441">
        <f>H83+H81</f>
        <v>845446.17</v>
      </c>
      <c r="I80" s="440">
        <f>I83+I81</f>
        <v>1600000</v>
      </c>
      <c r="J80" s="465">
        <f>J83+J81</f>
        <v>1451100</v>
      </c>
      <c r="K80" s="465">
        <f>K83+K81</f>
        <v>1451100</v>
      </c>
      <c r="L80" s="564">
        <f t="shared" si="13"/>
        <v>0</v>
      </c>
      <c r="M80" s="565">
        <f t="shared" si="14"/>
        <v>100</v>
      </c>
      <c r="N80" s="565">
        <f t="shared" si="15"/>
        <v>100</v>
      </c>
    </row>
    <row r="81" spans="1:14" ht="84.9" outlineLevel="7" x14ac:dyDescent="0.3">
      <c r="A81" s="438" t="s">
        <v>11</v>
      </c>
      <c r="B81" s="439" t="s">
        <v>500</v>
      </c>
      <c r="C81" s="439" t="s">
        <v>24</v>
      </c>
      <c r="D81" s="539" t="s">
        <v>689</v>
      </c>
      <c r="E81" s="539" t="s">
        <v>12</v>
      </c>
      <c r="F81" s="540">
        <v>29000</v>
      </c>
      <c r="G81" s="465">
        <f>G82</f>
        <v>116000</v>
      </c>
      <c r="H81" s="370">
        <v>58000</v>
      </c>
      <c r="I81" s="440">
        <v>0</v>
      </c>
      <c r="J81" s="465">
        <f>J82</f>
        <v>116000</v>
      </c>
      <c r="K81" s="465">
        <f>K82</f>
        <v>116000</v>
      </c>
      <c r="L81" s="564">
        <f t="shared" si="13"/>
        <v>0</v>
      </c>
      <c r="M81" s="565">
        <f t="shared" si="14"/>
        <v>100</v>
      </c>
      <c r="N81" s="565">
        <f t="shared" si="15"/>
        <v>100</v>
      </c>
    </row>
    <row r="82" spans="1:14" ht="34" outlineLevel="7" x14ac:dyDescent="0.3">
      <c r="A82" s="438" t="s">
        <v>13</v>
      </c>
      <c r="B82" s="439" t="s">
        <v>500</v>
      </c>
      <c r="C82" s="439" t="s">
        <v>24</v>
      </c>
      <c r="D82" s="539" t="s">
        <v>689</v>
      </c>
      <c r="E82" s="539" t="s">
        <v>14</v>
      </c>
      <c r="F82" s="540">
        <v>29000</v>
      </c>
      <c r="G82" s="465">
        <v>116000</v>
      </c>
      <c r="H82" s="370">
        <v>58000</v>
      </c>
      <c r="I82" s="440">
        <v>0</v>
      </c>
      <c r="J82" s="465">
        <v>116000</v>
      </c>
      <c r="K82" s="465">
        <v>116000</v>
      </c>
      <c r="L82" s="564">
        <f t="shared" si="13"/>
        <v>0</v>
      </c>
      <c r="M82" s="565">
        <f t="shared" si="14"/>
        <v>100</v>
      </c>
      <c r="N82" s="565">
        <f t="shared" si="15"/>
        <v>100</v>
      </c>
    </row>
    <row r="83" spans="1:14" ht="34" outlineLevel="7" x14ac:dyDescent="0.3">
      <c r="A83" s="438" t="s">
        <v>15</v>
      </c>
      <c r="B83" s="439" t="s">
        <v>500</v>
      </c>
      <c r="C83" s="439" t="s">
        <v>24</v>
      </c>
      <c r="D83" s="539" t="s">
        <v>689</v>
      </c>
      <c r="E83" s="539" t="s">
        <v>16</v>
      </c>
      <c r="F83" s="540">
        <v>1062100</v>
      </c>
      <c r="G83" s="465">
        <f>G84</f>
        <v>1335100</v>
      </c>
      <c r="H83" s="370">
        <v>787446.17</v>
      </c>
      <c r="I83" s="440">
        <f>I84</f>
        <v>1600000</v>
      </c>
      <c r="J83" s="465">
        <f>J84</f>
        <v>1335100</v>
      </c>
      <c r="K83" s="465">
        <f>K84</f>
        <v>1335100</v>
      </c>
      <c r="L83" s="564">
        <f t="shared" si="13"/>
        <v>0</v>
      </c>
      <c r="M83" s="565">
        <f t="shared" si="14"/>
        <v>100</v>
      </c>
      <c r="N83" s="565">
        <f t="shared" si="15"/>
        <v>100</v>
      </c>
    </row>
    <row r="84" spans="1:14" ht="34" outlineLevel="7" x14ac:dyDescent="0.3">
      <c r="A84" s="438" t="s">
        <v>17</v>
      </c>
      <c r="B84" s="439" t="s">
        <v>500</v>
      </c>
      <c r="C84" s="439" t="s">
        <v>24</v>
      </c>
      <c r="D84" s="539" t="s">
        <v>689</v>
      </c>
      <c r="E84" s="539" t="s">
        <v>18</v>
      </c>
      <c r="F84" s="540">
        <v>1062100</v>
      </c>
      <c r="G84" s="466">
        <f>1451100-116000</f>
        <v>1335100</v>
      </c>
      <c r="H84" s="370">
        <v>787446.17</v>
      </c>
      <c r="I84" s="442">
        <f>'[2]прил 12'!F89</f>
        <v>1600000</v>
      </c>
      <c r="J84" s="466">
        <v>1335100</v>
      </c>
      <c r="K84" s="466">
        <v>1335100</v>
      </c>
      <c r="L84" s="564">
        <f t="shared" si="13"/>
        <v>0</v>
      </c>
      <c r="M84" s="565">
        <f t="shared" si="14"/>
        <v>100</v>
      </c>
      <c r="N84" s="565">
        <f t="shared" si="15"/>
        <v>100</v>
      </c>
    </row>
    <row r="85" spans="1:14" s="449" customFormat="1" ht="34" outlineLevel="7" x14ac:dyDescent="0.3">
      <c r="A85" s="444" t="s">
        <v>852</v>
      </c>
      <c r="B85" s="445" t="s">
        <v>500</v>
      </c>
      <c r="C85" s="445" t="s">
        <v>24</v>
      </c>
      <c r="D85" s="541" t="s">
        <v>131</v>
      </c>
      <c r="E85" s="541" t="s">
        <v>6</v>
      </c>
      <c r="F85" s="542">
        <v>64753.57</v>
      </c>
      <c r="G85" s="508">
        <f t="shared" ref="G85:K88" si="17">G86</f>
        <v>50000</v>
      </c>
      <c r="H85" s="446">
        <f t="shared" si="17"/>
        <v>49993.440000000002</v>
      </c>
      <c r="I85" s="446">
        <f t="shared" si="17"/>
        <v>50000</v>
      </c>
      <c r="J85" s="508">
        <f t="shared" si="17"/>
        <v>50000</v>
      </c>
      <c r="K85" s="508">
        <f t="shared" si="17"/>
        <v>50000</v>
      </c>
      <c r="L85" s="564">
        <f t="shared" si="13"/>
        <v>0</v>
      </c>
      <c r="M85" s="565">
        <f t="shared" si="14"/>
        <v>100</v>
      </c>
      <c r="N85" s="565">
        <f t="shared" si="15"/>
        <v>100</v>
      </c>
    </row>
    <row r="86" spans="1:14" outlineLevel="7" x14ac:dyDescent="0.3">
      <c r="A86" s="438" t="s">
        <v>324</v>
      </c>
      <c r="B86" s="439" t="s">
        <v>500</v>
      </c>
      <c r="C86" s="439" t="s">
        <v>24</v>
      </c>
      <c r="D86" s="539" t="s">
        <v>233</v>
      </c>
      <c r="E86" s="539" t="s">
        <v>6</v>
      </c>
      <c r="F86" s="540">
        <v>64753.57</v>
      </c>
      <c r="G86" s="465">
        <f t="shared" si="17"/>
        <v>50000</v>
      </c>
      <c r="H86" s="440">
        <f t="shared" si="17"/>
        <v>49993.440000000002</v>
      </c>
      <c r="I86" s="440">
        <f t="shared" si="17"/>
        <v>50000</v>
      </c>
      <c r="J86" s="465">
        <f t="shared" si="17"/>
        <v>50000</v>
      </c>
      <c r="K86" s="465">
        <f t="shared" si="17"/>
        <v>50000</v>
      </c>
      <c r="L86" s="564">
        <f t="shared" si="13"/>
        <v>0</v>
      </c>
      <c r="M86" s="565">
        <f t="shared" si="14"/>
        <v>100</v>
      </c>
      <c r="N86" s="565">
        <f t="shared" si="15"/>
        <v>100</v>
      </c>
    </row>
    <row r="87" spans="1:14" ht="34" outlineLevel="7" x14ac:dyDescent="0.3">
      <c r="A87" s="438" t="s">
        <v>325</v>
      </c>
      <c r="B87" s="439" t="s">
        <v>500</v>
      </c>
      <c r="C87" s="439" t="s">
        <v>24</v>
      </c>
      <c r="D87" s="539" t="s">
        <v>326</v>
      </c>
      <c r="E87" s="539" t="s">
        <v>6</v>
      </c>
      <c r="F87" s="540">
        <v>64753.57</v>
      </c>
      <c r="G87" s="465">
        <f t="shared" si="17"/>
        <v>50000</v>
      </c>
      <c r="H87" s="440">
        <f t="shared" si="17"/>
        <v>49993.440000000002</v>
      </c>
      <c r="I87" s="440">
        <f t="shared" si="17"/>
        <v>50000</v>
      </c>
      <c r="J87" s="465">
        <f t="shared" si="17"/>
        <v>50000</v>
      </c>
      <c r="K87" s="465">
        <f t="shared" si="17"/>
        <v>50000</v>
      </c>
      <c r="L87" s="564">
        <f t="shared" si="13"/>
        <v>0</v>
      </c>
      <c r="M87" s="565">
        <f t="shared" si="14"/>
        <v>100</v>
      </c>
      <c r="N87" s="565">
        <f t="shared" si="15"/>
        <v>100</v>
      </c>
    </row>
    <row r="88" spans="1:14" ht="34" outlineLevel="7" x14ac:dyDescent="0.3">
      <c r="A88" s="438" t="s">
        <v>15</v>
      </c>
      <c r="B88" s="439" t="s">
        <v>500</v>
      </c>
      <c r="C88" s="439" t="s">
        <v>24</v>
      </c>
      <c r="D88" s="539" t="s">
        <v>326</v>
      </c>
      <c r="E88" s="539" t="s">
        <v>16</v>
      </c>
      <c r="F88" s="540">
        <v>64753.57</v>
      </c>
      <c r="G88" s="465">
        <f t="shared" si="17"/>
        <v>50000</v>
      </c>
      <c r="H88" s="370">
        <v>49993.440000000002</v>
      </c>
      <c r="I88" s="440">
        <f t="shared" si="17"/>
        <v>50000</v>
      </c>
      <c r="J88" s="465">
        <f t="shared" si="17"/>
        <v>50000</v>
      </c>
      <c r="K88" s="465">
        <f t="shared" si="17"/>
        <v>50000</v>
      </c>
      <c r="L88" s="564">
        <f t="shared" si="13"/>
        <v>0</v>
      </c>
      <c r="M88" s="565">
        <f t="shared" si="14"/>
        <v>100</v>
      </c>
      <c r="N88" s="565">
        <f t="shared" si="15"/>
        <v>100</v>
      </c>
    </row>
    <row r="89" spans="1:14" ht="21.25" customHeight="1" outlineLevel="7" x14ac:dyDescent="0.3">
      <c r="A89" s="438" t="s">
        <v>17</v>
      </c>
      <c r="B89" s="439" t="s">
        <v>500</v>
      </c>
      <c r="C89" s="439" t="s">
        <v>24</v>
      </c>
      <c r="D89" s="539" t="s">
        <v>326</v>
      </c>
      <c r="E89" s="539" t="s">
        <v>18</v>
      </c>
      <c r="F89" s="540">
        <v>64753.57</v>
      </c>
      <c r="G89" s="466">
        <v>50000</v>
      </c>
      <c r="H89" s="370">
        <v>49993.440000000002</v>
      </c>
      <c r="I89" s="442">
        <f>'[2]прил 12'!F94</f>
        <v>50000</v>
      </c>
      <c r="J89" s="466">
        <f>'[2]прил 12'!G94</f>
        <v>50000</v>
      </c>
      <c r="K89" s="466">
        <v>50000</v>
      </c>
      <c r="L89" s="564">
        <f t="shared" si="13"/>
        <v>0</v>
      </c>
      <c r="M89" s="565">
        <f t="shared" si="14"/>
        <v>100</v>
      </c>
      <c r="N89" s="565">
        <f t="shared" si="15"/>
        <v>100</v>
      </c>
    </row>
    <row r="90" spans="1:14" s="449" customFormat="1" ht="38.25" customHeight="1" outlineLevel="7" x14ac:dyDescent="0.3">
      <c r="A90" s="444" t="s">
        <v>829</v>
      </c>
      <c r="B90" s="445" t="s">
        <v>500</v>
      </c>
      <c r="C90" s="445" t="s">
        <v>24</v>
      </c>
      <c r="D90" s="541" t="s">
        <v>317</v>
      </c>
      <c r="E90" s="541" t="s">
        <v>6</v>
      </c>
      <c r="F90" s="542">
        <v>1741444.5</v>
      </c>
      <c r="G90" s="508">
        <f>G91</f>
        <v>2144838</v>
      </c>
      <c r="H90" s="447">
        <f>H91</f>
        <v>1516751.94</v>
      </c>
      <c r="I90" s="446">
        <f>I91</f>
        <v>1544157.5</v>
      </c>
      <c r="J90" s="508">
        <f>J91</f>
        <v>6596010</v>
      </c>
      <c r="K90" s="508">
        <f>K91</f>
        <v>1291402</v>
      </c>
      <c r="L90" s="564">
        <f t="shared" si="13"/>
        <v>-5304608</v>
      </c>
      <c r="M90" s="565">
        <f t="shared" si="14"/>
        <v>307.52951971197825</v>
      </c>
      <c r="N90" s="565">
        <f t="shared" si="15"/>
        <v>60.209768756428225</v>
      </c>
    </row>
    <row r="91" spans="1:14" ht="21.25" customHeight="1" outlineLevel="7" x14ac:dyDescent="0.3">
      <c r="A91" s="450" t="s">
        <v>327</v>
      </c>
      <c r="B91" s="439" t="s">
        <v>500</v>
      </c>
      <c r="C91" s="439" t="s">
        <v>24</v>
      </c>
      <c r="D91" s="539" t="s">
        <v>318</v>
      </c>
      <c r="E91" s="539" t="s">
        <v>6</v>
      </c>
      <c r="F91" s="540">
        <v>1741444.5</v>
      </c>
      <c r="G91" s="465">
        <f>G92+G95</f>
        <v>2144838</v>
      </c>
      <c r="H91" s="441">
        <f>H92+H95</f>
        <v>1516751.94</v>
      </c>
      <c r="I91" s="440">
        <f>I92+I95</f>
        <v>1544157.5</v>
      </c>
      <c r="J91" s="465">
        <f>J92+J95</f>
        <v>6596010</v>
      </c>
      <c r="K91" s="465">
        <f>K92+K95</f>
        <v>1291402</v>
      </c>
      <c r="L91" s="564">
        <f t="shared" si="13"/>
        <v>-5304608</v>
      </c>
      <c r="M91" s="565">
        <f t="shared" si="14"/>
        <v>307.52951971197825</v>
      </c>
      <c r="N91" s="565">
        <f t="shared" si="15"/>
        <v>60.209768756428225</v>
      </c>
    </row>
    <row r="92" spans="1:14" ht="37.549999999999997" customHeight="1" outlineLevel="7" x14ac:dyDescent="0.3">
      <c r="A92" s="450" t="s">
        <v>328</v>
      </c>
      <c r="B92" s="439" t="s">
        <v>500</v>
      </c>
      <c r="C92" s="439" t="s">
        <v>24</v>
      </c>
      <c r="D92" s="539" t="s">
        <v>329</v>
      </c>
      <c r="E92" s="539" t="s">
        <v>6</v>
      </c>
      <c r="F92" s="540">
        <v>1700874.5</v>
      </c>
      <c r="G92" s="465">
        <f t="shared" ref="G92:K93" si="18">G93</f>
        <v>2100680.5</v>
      </c>
      <c r="H92" s="441">
        <f t="shared" si="18"/>
        <v>1496951.94</v>
      </c>
      <c r="I92" s="440">
        <f t="shared" si="18"/>
        <v>1500000</v>
      </c>
      <c r="J92" s="465">
        <f t="shared" si="18"/>
        <v>6550080</v>
      </c>
      <c r="K92" s="465">
        <f t="shared" si="18"/>
        <v>1245472</v>
      </c>
      <c r="L92" s="564">
        <f t="shared" si="13"/>
        <v>-5304608</v>
      </c>
      <c r="M92" s="565">
        <f t="shared" si="14"/>
        <v>311.80753094056899</v>
      </c>
      <c r="N92" s="565">
        <f t="shared" si="15"/>
        <v>59.288978024026029</v>
      </c>
    </row>
    <row r="93" spans="1:14" ht="34" outlineLevel="7" x14ac:dyDescent="0.3">
      <c r="A93" s="438" t="s">
        <v>15</v>
      </c>
      <c r="B93" s="439" t="s">
        <v>500</v>
      </c>
      <c r="C93" s="439" t="s">
        <v>24</v>
      </c>
      <c r="D93" s="539" t="s">
        <v>329</v>
      </c>
      <c r="E93" s="539" t="s">
        <v>16</v>
      </c>
      <c r="F93" s="540">
        <v>1700874.5</v>
      </c>
      <c r="G93" s="465">
        <f t="shared" si="18"/>
        <v>2100680.5</v>
      </c>
      <c r="H93" s="370">
        <v>1496951.94</v>
      </c>
      <c r="I93" s="440">
        <f t="shared" si="18"/>
        <v>1500000</v>
      </c>
      <c r="J93" s="465">
        <f t="shared" si="18"/>
        <v>6550080</v>
      </c>
      <c r="K93" s="465">
        <f t="shared" si="18"/>
        <v>1245472</v>
      </c>
      <c r="L93" s="564">
        <f t="shared" si="13"/>
        <v>-5304608</v>
      </c>
      <c r="M93" s="565">
        <f t="shared" si="14"/>
        <v>311.80753094056899</v>
      </c>
      <c r="N93" s="565">
        <f t="shared" si="15"/>
        <v>59.288978024026029</v>
      </c>
    </row>
    <row r="94" spans="1:14" ht="18.7" customHeight="1" outlineLevel="7" x14ac:dyDescent="0.3">
      <c r="A94" s="438" t="s">
        <v>17</v>
      </c>
      <c r="B94" s="439" t="s">
        <v>500</v>
      </c>
      <c r="C94" s="439" t="s">
        <v>24</v>
      </c>
      <c r="D94" s="539" t="s">
        <v>329</v>
      </c>
      <c r="E94" s="539" t="s">
        <v>18</v>
      </c>
      <c r="F94" s="540">
        <v>1700874.5</v>
      </c>
      <c r="G94" s="466">
        <f>[2]потребность!I99+659300+149040</f>
        <v>2100680.5</v>
      </c>
      <c r="H94" s="370">
        <v>1496951.94</v>
      </c>
      <c r="I94" s="442">
        <f>'[2]прил 12'!F99</f>
        <v>1500000</v>
      </c>
      <c r="J94" s="466">
        <v>6550080</v>
      </c>
      <c r="K94" s="466">
        <f>J94-5304608</f>
        <v>1245472</v>
      </c>
      <c r="L94" s="564">
        <f t="shared" si="13"/>
        <v>-5304608</v>
      </c>
      <c r="M94" s="565">
        <f t="shared" si="14"/>
        <v>311.80753094056899</v>
      </c>
      <c r="N94" s="565">
        <f t="shared" si="15"/>
        <v>59.288978024026029</v>
      </c>
    </row>
    <row r="95" spans="1:14" ht="34" outlineLevel="7" x14ac:dyDescent="0.3">
      <c r="A95" s="450" t="s">
        <v>330</v>
      </c>
      <c r="B95" s="439" t="s">
        <v>500</v>
      </c>
      <c r="C95" s="439" t="s">
        <v>24</v>
      </c>
      <c r="D95" s="539" t="s">
        <v>319</v>
      </c>
      <c r="E95" s="539" t="s">
        <v>6</v>
      </c>
      <c r="F95" s="540">
        <v>40570</v>
      </c>
      <c r="G95" s="465">
        <f t="shared" ref="G95:K96" si="19">G96</f>
        <v>44157.5</v>
      </c>
      <c r="H95" s="440">
        <f t="shared" si="19"/>
        <v>19800</v>
      </c>
      <c r="I95" s="440">
        <f t="shared" si="19"/>
        <v>44157.5</v>
      </c>
      <c r="J95" s="465">
        <f t="shared" si="19"/>
        <v>45930</v>
      </c>
      <c r="K95" s="465">
        <f t="shared" si="19"/>
        <v>45930</v>
      </c>
      <c r="L95" s="564">
        <f t="shared" si="13"/>
        <v>0</v>
      </c>
      <c r="M95" s="565">
        <f t="shared" si="14"/>
        <v>104.01404064994622</v>
      </c>
      <c r="N95" s="565">
        <f t="shared" si="15"/>
        <v>104.01404064994621</v>
      </c>
    </row>
    <row r="96" spans="1:14" ht="34" outlineLevel="7" x14ac:dyDescent="0.3">
      <c r="A96" s="438" t="s">
        <v>15</v>
      </c>
      <c r="B96" s="439" t="s">
        <v>500</v>
      </c>
      <c r="C96" s="439" t="s">
        <v>24</v>
      </c>
      <c r="D96" s="539" t="s">
        <v>319</v>
      </c>
      <c r="E96" s="539" t="s">
        <v>16</v>
      </c>
      <c r="F96" s="540">
        <v>40570</v>
      </c>
      <c r="G96" s="465">
        <f t="shared" si="19"/>
        <v>44157.5</v>
      </c>
      <c r="H96" s="370">
        <v>19800</v>
      </c>
      <c r="I96" s="440">
        <f t="shared" si="19"/>
        <v>44157.5</v>
      </c>
      <c r="J96" s="465">
        <f t="shared" si="19"/>
        <v>45930</v>
      </c>
      <c r="K96" s="465">
        <f t="shared" si="19"/>
        <v>45930</v>
      </c>
      <c r="L96" s="564">
        <f t="shared" si="13"/>
        <v>0</v>
      </c>
      <c r="M96" s="565">
        <f t="shared" si="14"/>
        <v>104.01404064994622</v>
      </c>
      <c r="N96" s="565">
        <f t="shared" si="15"/>
        <v>104.01404064994621</v>
      </c>
    </row>
    <row r="97" spans="1:14" ht="19.55" customHeight="1" outlineLevel="7" x14ac:dyDescent="0.3">
      <c r="A97" s="438" t="s">
        <v>17</v>
      </c>
      <c r="B97" s="439" t="s">
        <v>500</v>
      </c>
      <c r="C97" s="439" t="s">
        <v>24</v>
      </c>
      <c r="D97" s="539" t="s">
        <v>319</v>
      </c>
      <c r="E97" s="539" t="s">
        <v>18</v>
      </c>
      <c r="F97" s="540">
        <v>40570</v>
      </c>
      <c r="G97" s="465">
        <v>44157.5</v>
      </c>
      <c r="H97" s="370">
        <v>19800</v>
      </c>
      <c r="I97" s="440">
        <f>'[2]прил 12'!F102</f>
        <v>44157.5</v>
      </c>
      <c r="J97" s="466">
        <v>45930</v>
      </c>
      <c r="K97" s="466">
        <v>45930</v>
      </c>
      <c r="L97" s="564">
        <f t="shared" si="13"/>
        <v>0</v>
      </c>
      <c r="M97" s="565">
        <f t="shared" si="14"/>
        <v>104.01404064994622</v>
      </c>
      <c r="N97" s="565">
        <f t="shared" si="15"/>
        <v>104.01404064994621</v>
      </c>
    </row>
    <row r="98" spans="1:14" s="449" customFormat="1" ht="50.95" outlineLevel="7" x14ac:dyDescent="0.3">
      <c r="A98" s="444" t="s">
        <v>851</v>
      </c>
      <c r="B98" s="445" t="s">
        <v>500</v>
      </c>
      <c r="C98" s="445" t="s">
        <v>24</v>
      </c>
      <c r="D98" s="541" t="s">
        <v>331</v>
      </c>
      <c r="E98" s="541" t="s">
        <v>6</v>
      </c>
      <c r="F98" s="542">
        <v>4246490.3</v>
      </c>
      <c r="G98" s="508">
        <f t="shared" ref="G98:K99" si="20">G99</f>
        <v>3440000</v>
      </c>
      <c r="H98" s="447">
        <f t="shared" si="20"/>
        <v>2212084.09</v>
      </c>
      <c r="I98" s="446">
        <f t="shared" si="20"/>
        <v>1600000</v>
      </c>
      <c r="J98" s="508">
        <f t="shared" si="20"/>
        <v>3717000</v>
      </c>
      <c r="K98" s="508">
        <f t="shared" si="20"/>
        <v>2760000</v>
      </c>
      <c r="L98" s="564">
        <f t="shared" si="13"/>
        <v>-957000</v>
      </c>
      <c r="M98" s="565">
        <f t="shared" si="14"/>
        <v>108.05232558139535</v>
      </c>
      <c r="N98" s="565">
        <f t="shared" si="15"/>
        <v>80.232558139534888</v>
      </c>
    </row>
    <row r="99" spans="1:14" ht="34" outlineLevel="7" x14ac:dyDescent="0.3">
      <c r="A99" s="438" t="s">
        <v>215</v>
      </c>
      <c r="B99" s="439" t="s">
        <v>500</v>
      </c>
      <c r="C99" s="439" t="s">
        <v>24</v>
      </c>
      <c r="D99" s="539" t="s">
        <v>332</v>
      </c>
      <c r="E99" s="539" t="s">
        <v>6</v>
      </c>
      <c r="F99" s="540">
        <v>4246490.3</v>
      </c>
      <c r="G99" s="465">
        <f t="shared" si="20"/>
        <v>3440000</v>
      </c>
      <c r="H99" s="441">
        <f t="shared" si="20"/>
        <v>2212084.09</v>
      </c>
      <c r="I99" s="440">
        <f t="shared" si="20"/>
        <v>1600000</v>
      </c>
      <c r="J99" s="465">
        <f t="shared" si="20"/>
        <v>3717000</v>
      </c>
      <c r="K99" s="465">
        <f t="shared" si="20"/>
        <v>2760000</v>
      </c>
      <c r="L99" s="564">
        <f t="shared" si="13"/>
        <v>-957000</v>
      </c>
      <c r="M99" s="565">
        <f t="shared" si="14"/>
        <v>108.05232558139535</v>
      </c>
      <c r="N99" s="565">
        <f t="shared" si="15"/>
        <v>80.232558139534888</v>
      </c>
    </row>
    <row r="100" spans="1:14" ht="50.95" outlineLevel="5" x14ac:dyDescent="0.3">
      <c r="A100" s="438" t="s">
        <v>32</v>
      </c>
      <c r="B100" s="439" t="s">
        <v>500</v>
      </c>
      <c r="C100" s="439" t="s">
        <v>24</v>
      </c>
      <c r="D100" s="539" t="s">
        <v>333</v>
      </c>
      <c r="E100" s="539" t="s">
        <v>6</v>
      </c>
      <c r="F100" s="540">
        <v>4246490.3</v>
      </c>
      <c r="G100" s="465">
        <f>G101+G103</f>
        <v>3440000</v>
      </c>
      <c r="H100" s="441">
        <f>H101+H103</f>
        <v>2212084.09</v>
      </c>
      <c r="I100" s="440">
        <f>I101+I103</f>
        <v>1600000</v>
      </c>
      <c r="J100" s="465">
        <f>J101+J103</f>
        <v>3717000</v>
      </c>
      <c r="K100" s="465">
        <f>K101+K103</f>
        <v>2760000</v>
      </c>
      <c r="L100" s="564">
        <f t="shared" si="13"/>
        <v>-957000</v>
      </c>
      <c r="M100" s="565">
        <f t="shared" si="14"/>
        <v>108.05232558139535</v>
      </c>
      <c r="N100" s="565">
        <f t="shared" si="15"/>
        <v>80.232558139534888</v>
      </c>
    </row>
    <row r="101" spans="1:14" ht="34" outlineLevel="6" x14ac:dyDescent="0.3">
      <c r="A101" s="438" t="s">
        <v>15</v>
      </c>
      <c r="B101" s="439" t="s">
        <v>500</v>
      </c>
      <c r="C101" s="439" t="s">
        <v>24</v>
      </c>
      <c r="D101" s="539" t="s">
        <v>333</v>
      </c>
      <c r="E101" s="539" t="s">
        <v>16</v>
      </c>
      <c r="F101" s="540">
        <v>4146490.3</v>
      </c>
      <c r="G101" s="465">
        <f>G102</f>
        <v>3300000</v>
      </c>
      <c r="H101" s="367">
        <v>2212084.09</v>
      </c>
      <c r="I101" s="440">
        <f>I102</f>
        <v>1460000</v>
      </c>
      <c r="J101" s="465">
        <f>J102</f>
        <v>3577000</v>
      </c>
      <c r="K101" s="465">
        <f>K102</f>
        <v>2620000</v>
      </c>
      <c r="L101" s="564">
        <f t="shared" si="13"/>
        <v>-957000</v>
      </c>
      <c r="M101" s="565">
        <f t="shared" si="14"/>
        <v>108.39393939393939</v>
      </c>
      <c r="N101" s="565">
        <f t="shared" si="15"/>
        <v>79.393939393939391</v>
      </c>
    </row>
    <row r="102" spans="1:14" ht="20.25" customHeight="1" outlineLevel="7" x14ac:dyDescent="0.3">
      <c r="A102" s="438" t="s">
        <v>17</v>
      </c>
      <c r="B102" s="439" t="s">
        <v>500</v>
      </c>
      <c r="C102" s="439" t="s">
        <v>24</v>
      </c>
      <c r="D102" s="539" t="s">
        <v>333</v>
      </c>
      <c r="E102" s="539" t="s">
        <v>18</v>
      </c>
      <c r="F102" s="540">
        <v>4146490.3</v>
      </c>
      <c r="G102" s="465">
        <f>2460000+315000+220000+305000</f>
        <v>3300000</v>
      </c>
      <c r="H102" s="367">
        <v>2212084.09</v>
      </c>
      <c r="I102" s="440">
        <f>'[2]прил 12'!F107</f>
        <v>1460000</v>
      </c>
      <c r="J102" s="466">
        <v>3577000</v>
      </c>
      <c r="K102" s="466">
        <f>3577000-532000-425000</f>
        <v>2620000</v>
      </c>
      <c r="L102" s="564">
        <f t="shared" si="13"/>
        <v>-957000</v>
      </c>
      <c r="M102" s="565">
        <f t="shared" si="14"/>
        <v>108.39393939393939</v>
      </c>
      <c r="N102" s="565">
        <f t="shared" si="15"/>
        <v>79.393939393939391</v>
      </c>
    </row>
    <row r="103" spans="1:14" outlineLevel="6" x14ac:dyDescent="0.3">
      <c r="A103" s="438" t="s">
        <v>19</v>
      </c>
      <c r="B103" s="439" t="s">
        <v>500</v>
      </c>
      <c r="C103" s="439" t="s">
        <v>24</v>
      </c>
      <c r="D103" s="539" t="s">
        <v>333</v>
      </c>
      <c r="E103" s="539" t="s">
        <v>20</v>
      </c>
      <c r="F103" s="540">
        <v>100000</v>
      </c>
      <c r="G103" s="465">
        <f>G104</f>
        <v>140000</v>
      </c>
      <c r="H103" s="441">
        <v>0</v>
      </c>
      <c r="I103" s="440">
        <f>I104</f>
        <v>140000</v>
      </c>
      <c r="J103" s="465">
        <f>J104</f>
        <v>140000</v>
      </c>
      <c r="K103" s="465">
        <f>K104</f>
        <v>140000</v>
      </c>
      <c r="L103" s="564">
        <f t="shared" si="13"/>
        <v>0</v>
      </c>
      <c r="M103" s="565">
        <f t="shared" si="14"/>
        <v>100</v>
      </c>
      <c r="N103" s="565">
        <f t="shared" si="15"/>
        <v>100</v>
      </c>
    </row>
    <row r="104" spans="1:14" outlineLevel="7" x14ac:dyDescent="0.3">
      <c r="A104" s="438" t="s">
        <v>21</v>
      </c>
      <c r="B104" s="439" t="s">
        <v>500</v>
      </c>
      <c r="C104" s="439" t="s">
        <v>24</v>
      </c>
      <c r="D104" s="539" t="s">
        <v>333</v>
      </c>
      <c r="E104" s="539" t="s">
        <v>22</v>
      </c>
      <c r="F104" s="540">
        <v>100000</v>
      </c>
      <c r="G104" s="466">
        <v>140000</v>
      </c>
      <c r="H104" s="443">
        <v>0</v>
      </c>
      <c r="I104" s="442">
        <f>'[2]прил 12'!F109</f>
        <v>140000</v>
      </c>
      <c r="J104" s="466">
        <f>'[2]прил 12'!G109</f>
        <v>140000</v>
      </c>
      <c r="K104" s="466">
        <v>140000</v>
      </c>
      <c r="L104" s="564">
        <f t="shared" si="13"/>
        <v>0</v>
      </c>
      <c r="M104" s="565">
        <f t="shared" si="14"/>
        <v>100</v>
      </c>
      <c r="N104" s="565">
        <f t="shared" si="15"/>
        <v>100</v>
      </c>
    </row>
    <row r="105" spans="1:14" ht="50.95" outlineLevel="7" x14ac:dyDescent="0.3">
      <c r="A105" s="444" t="s">
        <v>950</v>
      </c>
      <c r="B105" s="445" t="s">
        <v>500</v>
      </c>
      <c r="C105" s="445" t="s">
        <v>24</v>
      </c>
      <c r="D105" s="541" t="s">
        <v>952</v>
      </c>
      <c r="E105" s="541" t="s">
        <v>6</v>
      </c>
      <c r="F105" s="541" t="s">
        <v>976</v>
      </c>
      <c r="G105" s="466">
        <f t="shared" ref="G105:K108" si="21">G106</f>
        <v>50000</v>
      </c>
      <c r="H105" s="443"/>
      <c r="I105" s="442">
        <f t="shared" si="21"/>
        <v>0</v>
      </c>
      <c r="J105" s="466">
        <f t="shared" si="21"/>
        <v>100000</v>
      </c>
      <c r="K105" s="466">
        <f t="shared" si="21"/>
        <v>100000</v>
      </c>
      <c r="L105" s="564">
        <f t="shared" si="13"/>
        <v>0</v>
      </c>
      <c r="M105" s="565">
        <f t="shared" si="14"/>
        <v>200</v>
      </c>
      <c r="N105" s="565">
        <f t="shared" si="15"/>
        <v>200</v>
      </c>
    </row>
    <row r="106" spans="1:14" ht="34" outlineLevel="7" x14ac:dyDescent="0.3">
      <c r="A106" s="438" t="s">
        <v>951</v>
      </c>
      <c r="B106" s="439" t="s">
        <v>500</v>
      </c>
      <c r="C106" s="439" t="s">
        <v>24</v>
      </c>
      <c r="D106" s="539" t="s">
        <v>953</v>
      </c>
      <c r="E106" s="539" t="s">
        <v>6</v>
      </c>
      <c r="F106" s="539" t="s">
        <v>976</v>
      </c>
      <c r="G106" s="466">
        <f t="shared" si="21"/>
        <v>50000</v>
      </c>
      <c r="H106" s="443"/>
      <c r="I106" s="442">
        <f t="shared" si="21"/>
        <v>0</v>
      </c>
      <c r="J106" s="466">
        <f t="shared" si="21"/>
        <v>100000</v>
      </c>
      <c r="K106" s="466">
        <f t="shared" si="21"/>
        <v>100000</v>
      </c>
      <c r="L106" s="564">
        <f t="shared" si="13"/>
        <v>0</v>
      </c>
      <c r="M106" s="565">
        <f t="shared" si="14"/>
        <v>200</v>
      </c>
      <c r="N106" s="565">
        <f t="shared" si="15"/>
        <v>200</v>
      </c>
    </row>
    <row r="107" spans="1:14" outlineLevel="7" x14ac:dyDescent="0.3">
      <c r="A107" s="438" t="s">
        <v>322</v>
      </c>
      <c r="B107" s="439" t="s">
        <v>500</v>
      </c>
      <c r="C107" s="439" t="s">
        <v>24</v>
      </c>
      <c r="D107" s="539" t="s">
        <v>954</v>
      </c>
      <c r="E107" s="539" t="s">
        <v>6</v>
      </c>
      <c r="F107" s="539" t="s">
        <v>976</v>
      </c>
      <c r="G107" s="466">
        <f t="shared" si="21"/>
        <v>50000</v>
      </c>
      <c r="H107" s="443"/>
      <c r="I107" s="442">
        <f t="shared" si="21"/>
        <v>0</v>
      </c>
      <c r="J107" s="466">
        <v>100000</v>
      </c>
      <c r="K107" s="466">
        <f>100000</f>
        <v>100000</v>
      </c>
      <c r="L107" s="564">
        <f t="shared" si="13"/>
        <v>0</v>
      </c>
      <c r="M107" s="565">
        <f t="shared" si="14"/>
        <v>200</v>
      </c>
      <c r="N107" s="565">
        <f t="shared" si="15"/>
        <v>200</v>
      </c>
    </row>
    <row r="108" spans="1:14" ht="34" outlineLevel="7" x14ac:dyDescent="0.3">
      <c r="A108" s="438" t="s">
        <v>15</v>
      </c>
      <c r="B108" s="439" t="s">
        <v>500</v>
      </c>
      <c r="C108" s="439" t="s">
        <v>24</v>
      </c>
      <c r="D108" s="539" t="s">
        <v>954</v>
      </c>
      <c r="E108" s="539" t="s">
        <v>16</v>
      </c>
      <c r="F108" s="539" t="s">
        <v>976</v>
      </c>
      <c r="G108" s="466">
        <f t="shared" si="21"/>
        <v>50000</v>
      </c>
      <c r="H108" s="443"/>
      <c r="I108" s="442">
        <f t="shared" si="21"/>
        <v>0</v>
      </c>
      <c r="J108" s="466">
        <f t="shared" si="21"/>
        <v>100000</v>
      </c>
      <c r="K108" s="466">
        <f t="shared" si="21"/>
        <v>100000</v>
      </c>
      <c r="L108" s="564">
        <f t="shared" si="13"/>
        <v>0</v>
      </c>
      <c r="M108" s="565">
        <f t="shared" si="14"/>
        <v>200</v>
      </c>
      <c r="N108" s="565">
        <f t="shared" si="15"/>
        <v>200</v>
      </c>
    </row>
    <row r="109" spans="1:14" ht="34" outlineLevel="7" x14ac:dyDescent="0.3">
      <c r="A109" s="438" t="s">
        <v>17</v>
      </c>
      <c r="B109" s="439" t="s">
        <v>500</v>
      </c>
      <c r="C109" s="439" t="s">
        <v>24</v>
      </c>
      <c r="D109" s="539" t="s">
        <v>954</v>
      </c>
      <c r="E109" s="539" t="s">
        <v>18</v>
      </c>
      <c r="F109" s="539" t="s">
        <v>976</v>
      </c>
      <c r="G109" s="466">
        <v>50000</v>
      </c>
      <c r="H109" s="443"/>
      <c r="I109" s="442">
        <v>0</v>
      </c>
      <c r="J109" s="466">
        <v>100000</v>
      </c>
      <c r="K109" s="466">
        <v>100000</v>
      </c>
      <c r="L109" s="564">
        <f t="shared" si="13"/>
        <v>0</v>
      </c>
      <c r="M109" s="565">
        <f t="shared" si="14"/>
        <v>200</v>
      </c>
      <c r="N109" s="565">
        <f t="shared" si="15"/>
        <v>200</v>
      </c>
    </row>
    <row r="110" spans="1:14" ht="34" outlineLevel="3" x14ac:dyDescent="0.3">
      <c r="A110" s="438" t="s">
        <v>132</v>
      </c>
      <c r="B110" s="439" t="s">
        <v>500</v>
      </c>
      <c r="C110" s="439" t="s">
        <v>24</v>
      </c>
      <c r="D110" s="539" t="s">
        <v>127</v>
      </c>
      <c r="E110" s="539" t="s">
        <v>6</v>
      </c>
      <c r="F110" s="540">
        <v>41962737.840000004</v>
      </c>
      <c r="G110" s="465">
        <f>G133+G114+G130+G119+G112</f>
        <v>53163530.329999998</v>
      </c>
      <c r="H110" s="441">
        <f>H133+H114+H130+H119+H112</f>
        <v>41641519.200000003</v>
      </c>
      <c r="I110" s="440">
        <f>I133+I114+I130+I119+I112</f>
        <v>44296940</v>
      </c>
      <c r="J110" s="465">
        <f>J133+J114+J130+J119+J112</f>
        <v>46236197</v>
      </c>
      <c r="K110" s="465">
        <f>K133+K114+K130+K119+K112</f>
        <v>46236197</v>
      </c>
      <c r="L110" s="564">
        <f t="shared" si="13"/>
        <v>0</v>
      </c>
      <c r="M110" s="565">
        <f t="shared" si="14"/>
        <v>86.969764259445853</v>
      </c>
      <c r="N110" s="565">
        <f t="shared" si="15"/>
        <v>86.969764259445853</v>
      </c>
    </row>
    <row r="111" spans="1:14" ht="91.2" customHeight="1" outlineLevel="3" x14ac:dyDescent="0.3">
      <c r="A111" s="454" t="s">
        <v>941</v>
      </c>
      <c r="B111" s="439" t="s">
        <v>500</v>
      </c>
      <c r="C111" s="439" t="s">
        <v>24</v>
      </c>
      <c r="D111" s="539" t="s">
        <v>942</v>
      </c>
      <c r="E111" s="539" t="s">
        <v>6</v>
      </c>
      <c r="F111" s="539" t="s">
        <v>976</v>
      </c>
      <c r="G111" s="465">
        <f>G112</f>
        <v>570000</v>
      </c>
      <c r="H111" s="440">
        <f>H112</f>
        <v>298793.59999999998</v>
      </c>
      <c r="I111" s="440">
        <v>0</v>
      </c>
      <c r="J111" s="511">
        <f>J112</f>
        <v>1000000</v>
      </c>
      <c r="K111" s="511">
        <f>K112</f>
        <v>1000000</v>
      </c>
      <c r="L111" s="564">
        <f t="shared" si="13"/>
        <v>0</v>
      </c>
      <c r="M111" s="565">
        <f t="shared" si="14"/>
        <v>175.43859649122808</v>
      </c>
      <c r="N111" s="565">
        <f t="shared" si="15"/>
        <v>175.43859649122805</v>
      </c>
    </row>
    <row r="112" spans="1:14" ht="45.7" customHeight="1" outlineLevel="3" x14ac:dyDescent="0.3">
      <c r="A112" s="438" t="s">
        <v>15</v>
      </c>
      <c r="B112" s="439" t="s">
        <v>500</v>
      </c>
      <c r="C112" s="439" t="s">
        <v>24</v>
      </c>
      <c r="D112" s="539" t="s">
        <v>942</v>
      </c>
      <c r="E112" s="539" t="s">
        <v>16</v>
      </c>
      <c r="F112" s="539" t="s">
        <v>976</v>
      </c>
      <c r="G112" s="465">
        <f>G113</f>
        <v>570000</v>
      </c>
      <c r="H112" s="370">
        <v>298793.59999999998</v>
      </c>
      <c r="I112" s="440">
        <v>0</v>
      </c>
      <c r="J112" s="511">
        <f>J113</f>
        <v>1000000</v>
      </c>
      <c r="K112" s="511">
        <f>K113</f>
        <v>1000000</v>
      </c>
      <c r="L112" s="564">
        <f t="shared" si="13"/>
        <v>0</v>
      </c>
      <c r="M112" s="565">
        <f t="shared" si="14"/>
        <v>175.43859649122808</v>
      </c>
      <c r="N112" s="565">
        <f t="shared" si="15"/>
        <v>175.43859649122805</v>
      </c>
    </row>
    <row r="113" spans="1:14" ht="45.7" customHeight="1" outlineLevel="3" x14ac:dyDescent="0.3">
      <c r="A113" s="438" t="s">
        <v>17</v>
      </c>
      <c r="B113" s="439" t="s">
        <v>500</v>
      </c>
      <c r="C113" s="439" t="s">
        <v>24</v>
      </c>
      <c r="D113" s="539" t="s">
        <v>942</v>
      </c>
      <c r="E113" s="539" t="s">
        <v>18</v>
      </c>
      <c r="F113" s="539" t="s">
        <v>976</v>
      </c>
      <c r="G113" s="465">
        <v>570000</v>
      </c>
      <c r="H113" s="370">
        <v>298793.59999999998</v>
      </c>
      <c r="I113" s="440">
        <v>0</v>
      </c>
      <c r="J113" s="511">
        <v>1000000</v>
      </c>
      <c r="K113" s="511">
        <v>1000000</v>
      </c>
      <c r="L113" s="564">
        <f t="shared" si="13"/>
        <v>0</v>
      </c>
      <c r="M113" s="565">
        <f t="shared" si="14"/>
        <v>175.43859649122808</v>
      </c>
      <c r="N113" s="565">
        <f t="shared" si="15"/>
        <v>175.43859649122805</v>
      </c>
    </row>
    <row r="114" spans="1:14" ht="58.75" customHeight="1" outlineLevel="5" x14ac:dyDescent="0.3">
      <c r="A114" s="438" t="s">
        <v>494</v>
      </c>
      <c r="B114" s="439" t="s">
        <v>500</v>
      </c>
      <c r="C114" s="439" t="s">
        <v>24</v>
      </c>
      <c r="D114" s="539" t="s">
        <v>495</v>
      </c>
      <c r="E114" s="539" t="s">
        <v>6</v>
      </c>
      <c r="F114" s="540">
        <v>33020267.399999999</v>
      </c>
      <c r="G114" s="465">
        <f>G115+G117</f>
        <v>33848058.490000002</v>
      </c>
      <c r="H114" s="441">
        <f>H115+H117</f>
        <v>25868402.309999999</v>
      </c>
      <c r="I114" s="440">
        <f>I115+I117</f>
        <v>36378471</v>
      </c>
      <c r="J114" s="465">
        <f>J115+J117</f>
        <v>37225780</v>
      </c>
      <c r="K114" s="465">
        <f>K115+K117</f>
        <v>37225780</v>
      </c>
      <c r="L114" s="564">
        <f t="shared" si="13"/>
        <v>0</v>
      </c>
      <c r="M114" s="565">
        <f t="shared" si="14"/>
        <v>109.97907017620496</v>
      </c>
      <c r="N114" s="565">
        <f t="shared" si="15"/>
        <v>109.97907017620494</v>
      </c>
    </row>
    <row r="115" spans="1:14" ht="53.15" customHeight="1" outlineLevel="6" x14ac:dyDescent="0.3">
      <c r="A115" s="438" t="s">
        <v>11</v>
      </c>
      <c r="B115" s="439" t="s">
        <v>500</v>
      </c>
      <c r="C115" s="439" t="s">
        <v>24</v>
      </c>
      <c r="D115" s="539" t="s">
        <v>495</v>
      </c>
      <c r="E115" s="539" t="s">
        <v>12</v>
      </c>
      <c r="F115" s="540">
        <v>33020267.399999999</v>
      </c>
      <c r="G115" s="465">
        <f>G116</f>
        <v>33828058.490000002</v>
      </c>
      <c r="H115" s="367">
        <v>25860302.309999999</v>
      </c>
      <c r="I115" s="440">
        <f>I116</f>
        <v>36358471</v>
      </c>
      <c r="J115" s="465">
        <f>J116</f>
        <v>37205780</v>
      </c>
      <c r="K115" s="465">
        <f>K116</f>
        <v>37205780</v>
      </c>
      <c r="L115" s="564">
        <f t="shared" si="13"/>
        <v>0</v>
      </c>
      <c r="M115" s="565">
        <f t="shared" si="14"/>
        <v>109.98497005377502</v>
      </c>
      <c r="N115" s="565">
        <f t="shared" si="15"/>
        <v>109.98497005377502</v>
      </c>
    </row>
    <row r="116" spans="1:14" ht="39.4" customHeight="1" outlineLevel="7" x14ac:dyDescent="0.3">
      <c r="A116" s="438" t="s">
        <v>13</v>
      </c>
      <c r="B116" s="439" t="s">
        <v>500</v>
      </c>
      <c r="C116" s="439" t="s">
        <v>24</v>
      </c>
      <c r="D116" s="539" t="s">
        <v>495</v>
      </c>
      <c r="E116" s="539" t="s">
        <v>14</v>
      </c>
      <c r="F116" s="540">
        <v>33020267.399999999</v>
      </c>
      <c r="G116" s="465">
        <f>[2]потребность!I113-1157082</f>
        <v>33828058.490000002</v>
      </c>
      <c r="H116" s="370">
        <v>25860302.309999999</v>
      </c>
      <c r="I116" s="440">
        <f>'[2]прил 12'!F113</f>
        <v>36358471</v>
      </c>
      <c r="J116" s="466">
        <f>37205780+1200670-1200670</f>
        <v>37205780</v>
      </c>
      <c r="K116" s="466">
        <f>37205780+1200670-1200670</f>
        <v>37205780</v>
      </c>
      <c r="L116" s="564">
        <f t="shared" si="13"/>
        <v>0</v>
      </c>
      <c r="M116" s="565">
        <f t="shared" si="14"/>
        <v>109.98497005377502</v>
      </c>
      <c r="N116" s="565">
        <f t="shared" si="15"/>
        <v>109.98497005377502</v>
      </c>
    </row>
    <row r="117" spans="1:14" ht="42.8" customHeight="1" outlineLevel="7" x14ac:dyDescent="0.3">
      <c r="A117" s="438" t="s">
        <v>15</v>
      </c>
      <c r="B117" s="439" t="s">
        <v>500</v>
      </c>
      <c r="C117" s="439" t="s">
        <v>24</v>
      </c>
      <c r="D117" s="539" t="s">
        <v>495</v>
      </c>
      <c r="E117" s="539" t="s">
        <v>16</v>
      </c>
      <c r="F117" s="540">
        <v>0</v>
      </c>
      <c r="G117" s="466">
        <f>G118</f>
        <v>20000</v>
      </c>
      <c r="H117" s="370">
        <v>8100</v>
      </c>
      <c r="I117" s="442">
        <f>I118</f>
        <v>20000</v>
      </c>
      <c r="J117" s="466">
        <f>J118</f>
        <v>20000</v>
      </c>
      <c r="K117" s="466">
        <f>K118</f>
        <v>20000</v>
      </c>
      <c r="L117" s="564">
        <f t="shared" si="13"/>
        <v>0</v>
      </c>
      <c r="M117" s="565">
        <f t="shared" si="14"/>
        <v>100</v>
      </c>
      <c r="N117" s="565">
        <f t="shared" si="15"/>
        <v>100</v>
      </c>
    </row>
    <row r="118" spans="1:14" ht="53.15" customHeight="1" outlineLevel="7" x14ac:dyDescent="0.3">
      <c r="A118" s="438" t="s">
        <v>17</v>
      </c>
      <c r="B118" s="439" t="s">
        <v>500</v>
      </c>
      <c r="C118" s="439" t="s">
        <v>24</v>
      </c>
      <c r="D118" s="539" t="s">
        <v>495</v>
      </c>
      <c r="E118" s="539" t="s">
        <v>18</v>
      </c>
      <c r="F118" s="540">
        <v>0</v>
      </c>
      <c r="G118" s="465">
        <v>20000</v>
      </c>
      <c r="H118" s="370">
        <v>8100</v>
      </c>
      <c r="I118" s="440">
        <f>'[2]прил 12'!F115</f>
        <v>20000</v>
      </c>
      <c r="J118" s="465">
        <f>'[2]прил 12'!G115</f>
        <v>20000</v>
      </c>
      <c r="K118" s="465">
        <v>20000</v>
      </c>
      <c r="L118" s="564">
        <f t="shared" si="13"/>
        <v>0</v>
      </c>
      <c r="M118" s="565">
        <f t="shared" si="14"/>
        <v>100</v>
      </c>
      <c r="N118" s="565">
        <f t="shared" si="15"/>
        <v>100</v>
      </c>
    </row>
    <row r="119" spans="1:14" ht="33.450000000000003" hidden="1" customHeight="1" outlineLevel="7" x14ac:dyDescent="0.3">
      <c r="A119" s="438" t="s">
        <v>688</v>
      </c>
      <c r="B119" s="439" t="s">
        <v>500</v>
      </c>
      <c r="C119" s="439" t="s">
        <v>24</v>
      </c>
      <c r="D119" s="539" t="s">
        <v>686</v>
      </c>
      <c r="E119" s="539" t="s">
        <v>6</v>
      </c>
      <c r="F119" s="540">
        <v>454002.59</v>
      </c>
      <c r="G119" s="465">
        <f>G122+G120</f>
        <v>9824855.6199999992</v>
      </c>
      <c r="H119" s="440">
        <f>H122+H120</f>
        <v>9442891.7400000002</v>
      </c>
      <c r="I119" s="440">
        <f>I120+I122</f>
        <v>150000</v>
      </c>
      <c r="J119" s="465">
        <f>J120+J122</f>
        <v>0</v>
      </c>
      <c r="K119" s="465">
        <f>K120+K122</f>
        <v>0</v>
      </c>
      <c r="L119" s="564">
        <f t="shared" si="13"/>
        <v>0</v>
      </c>
      <c r="M119" s="565">
        <f t="shared" si="14"/>
        <v>0</v>
      </c>
      <c r="N119" s="565">
        <f t="shared" si="15"/>
        <v>0</v>
      </c>
    </row>
    <row r="120" spans="1:14" ht="55.7" hidden="1" customHeight="1" outlineLevel="7" x14ac:dyDescent="0.3">
      <c r="A120" s="438" t="s">
        <v>15</v>
      </c>
      <c r="B120" s="439" t="s">
        <v>500</v>
      </c>
      <c r="C120" s="439" t="s">
        <v>24</v>
      </c>
      <c r="D120" s="539" t="s">
        <v>686</v>
      </c>
      <c r="E120" s="539" t="s">
        <v>16</v>
      </c>
      <c r="F120" s="539" t="s">
        <v>976</v>
      </c>
      <c r="G120" s="465">
        <f>G121</f>
        <v>7162347.4199999999</v>
      </c>
      <c r="H120" s="370">
        <v>6805031.04</v>
      </c>
      <c r="I120" s="440">
        <f>I121</f>
        <v>0</v>
      </c>
      <c r="J120" s="465">
        <f>J121</f>
        <v>0</v>
      </c>
      <c r="K120" s="465">
        <f>K121</f>
        <v>0</v>
      </c>
      <c r="L120" s="564">
        <f t="shared" si="13"/>
        <v>0</v>
      </c>
      <c r="M120" s="565">
        <f t="shared" si="14"/>
        <v>0</v>
      </c>
      <c r="N120" s="565">
        <f t="shared" si="15"/>
        <v>0</v>
      </c>
    </row>
    <row r="121" spans="1:14" ht="44.85" hidden="1" customHeight="1" outlineLevel="7" x14ac:dyDescent="0.3">
      <c r="A121" s="438" t="s">
        <v>17</v>
      </c>
      <c r="B121" s="439" t="s">
        <v>500</v>
      </c>
      <c r="C121" s="439" t="s">
        <v>24</v>
      </c>
      <c r="D121" s="539" t="s">
        <v>686</v>
      </c>
      <c r="E121" s="539" t="s">
        <v>18</v>
      </c>
      <c r="F121" s="539" t="s">
        <v>976</v>
      </c>
      <c r="G121" s="465">
        <f>6135390+465000+392879.31+169078.11</f>
        <v>7162347.4199999999</v>
      </c>
      <c r="H121" s="370">
        <v>6805031.04</v>
      </c>
      <c r="I121" s="440">
        <v>0</v>
      </c>
      <c r="J121" s="465">
        <v>0</v>
      </c>
      <c r="K121" s="465">
        <v>0</v>
      </c>
      <c r="L121" s="564">
        <f t="shared" si="13"/>
        <v>0</v>
      </c>
      <c r="M121" s="565">
        <f t="shared" si="14"/>
        <v>0</v>
      </c>
      <c r="N121" s="565">
        <f t="shared" si="15"/>
        <v>0</v>
      </c>
    </row>
    <row r="122" spans="1:14" ht="47.9" hidden="1" customHeight="1" outlineLevel="7" x14ac:dyDescent="0.3">
      <c r="A122" s="438" t="s">
        <v>19</v>
      </c>
      <c r="B122" s="439" t="s">
        <v>500</v>
      </c>
      <c r="C122" s="439" t="s">
        <v>24</v>
      </c>
      <c r="D122" s="539" t="s">
        <v>686</v>
      </c>
      <c r="E122" s="539" t="s">
        <v>20</v>
      </c>
      <c r="F122" s="540">
        <v>454002.59</v>
      </c>
      <c r="G122" s="465">
        <f>G123+G124</f>
        <v>2662508.1999999997</v>
      </c>
      <c r="H122" s="370">
        <v>2637860.7000000002</v>
      </c>
      <c r="I122" s="440">
        <f>I123+I124</f>
        <v>150000</v>
      </c>
      <c r="J122" s="465">
        <f>J123+J124</f>
        <v>0</v>
      </c>
      <c r="K122" s="465">
        <f>K123+K124</f>
        <v>0</v>
      </c>
      <c r="L122" s="564">
        <f t="shared" si="13"/>
        <v>0</v>
      </c>
      <c r="M122" s="565">
        <f t="shared" si="14"/>
        <v>0</v>
      </c>
      <c r="N122" s="565">
        <f t="shared" si="15"/>
        <v>0</v>
      </c>
    </row>
    <row r="123" spans="1:14" ht="52.3" hidden="1" customHeight="1" outlineLevel="7" x14ac:dyDescent="0.3">
      <c r="A123" s="438" t="s">
        <v>715</v>
      </c>
      <c r="B123" s="439" t="s">
        <v>500</v>
      </c>
      <c r="C123" s="439" t="s">
        <v>24</v>
      </c>
      <c r="D123" s="539" t="s">
        <v>686</v>
      </c>
      <c r="E123" s="544" t="s">
        <v>716</v>
      </c>
      <c r="F123" s="540">
        <v>61000</v>
      </c>
      <c r="G123" s="465">
        <f>2463068.53+60000+61951.78+77487.89</f>
        <v>2662508.1999999997</v>
      </c>
      <c r="H123" s="370">
        <v>2637860.7000000002</v>
      </c>
      <c r="I123" s="440">
        <f>'[2]прил 12'!F118</f>
        <v>0</v>
      </c>
      <c r="J123" s="465">
        <f>'[2]прил 12'!G118</f>
        <v>0</v>
      </c>
      <c r="K123" s="465">
        <f>'[2]прил 12'!H118</f>
        <v>0</v>
      </c>
      <c r="L123" s="564">
        <f t="shared" si="13"/>
        <v>0</v>
      </c>
      <c r="M123" s="565">
        <f t="shared" si="14"/>
        <v>0</v>
      </c>
      <c r="N123" s="565">
        <f t="shared" si="15"/>
        <v>0</v>
      </c>
    </row>
    <row r="124" spans="1:14" ht="57.75" hidden="1" customHeight="1" outlineLevel="7" x14ac:dyDescent="0.3">
      <c r="A124" s="438" t="s">
        <v>687</v>
      </c>
      <c r="B124" s="439" t="s">
        <v>500</v>
      </c>
      <c r="C124" s="439" t="s">
        <v>24</v>
      </c>
      <c r="D124" s="539" t="s">
        <v>686</v>
      </c>
      <c r="E124" s="539" t="s">
        <v>22</v>
      </c>
      <c r="F124" s="540">
        <v>393002.59</v>
      </c>
      <c r="G124" s="465">
        <f>795959.09-525000-270959.09</f>
        <v>0</v>
      </c>
      <c r="H124" s="440">
        <v>0</v>
      </c>
      <c r="I124" s="440">
        <f>'[2]прил 12'!F119</f>
        <v>150000</v>
      </c>
      <c r="J124" s="466">
        <v>0</v>
      </c>
      <c r="K124" s="466">
        <v>0</v>
      </c>
      <c r="L124" s="564">
        <f t="shared" si="13"/>
        <v>0</v>
      </c>
      <c r="M124" s="565"/>
      <c r="N124" s="565"/>
    </row>
    <row r="125" spans="1:14" ht="36" hidden="1" customHeight="1" outlineLevel="7" x14ac:dyDescent="0.3">
      <c r="A125" s="397" t="s">
        <v>600</v>
      </c>
      <c r="B125" s="439" t="s">
        <v>500</v>
      </c>
      <c r="C125" s="439" t="s">
        <v>24</v>
      </c>
      <c r="D125" s="539" t="s">
        <v>601</v>
      </c>
      <c r="E125" s="539" t="s">
        <v>6</v>
      </c>
      <c r="F125" s="540">
        <v>1317671.32</v>
      </c>
      <c r="G125" s="465">
        <f>G126</f>
        <v>0</v>
      </c>
      <c r="H125" s="440">
        <f>H126</f>
        <v>0</v>
      </c>
      <c r="I125" s="440">
        <v>0</v>
      </c>
      <c r="J125" s="465">
        <v>0</v>
      </c>
      <c r="K125" s="465">
        <v>0</v>
      </c>
      <c r="L125" s="564">
        <f t="shared" si="13"/>
        <v>0</v>
      </c>
      <c r="M125" s="565"/>
      <c r="N125" s="565"/>
    </row>
    <row r="126" spans="1:14" ht="18.7" hidden="1" customHeight="1" outlineLevel="7" x14ac:dyDescent="0.3">
      <c r="A126" s="438" t="s">
        <v>15</v>
      </c>
      <c r="B126" s="439" t="s">
        <v>500</v>
      </c>
      <c r="C126" s="439" t="s">
        <v>24</v>
      </c>
      <c r="D126" s="539" t="s">
        <v>601</v>
      </c>
      <c r="E126" s="539" t="s">
        <v>16</v>
      </c>
      <c r="F126" s="540">
        <v>134942.99</v>
      </c>
      <c r="G126" s="465">
        <f>G127</f>
        <v>0</v>
      </c>
      <c r="H126" s="440">
        <f>H127</f>
        <v>0</v>
      </c>
      <c r="I126" s="440">
        <v>0</v>
      </c>
      <c r="J126" s="465">
        <v>0</v>
      </c>
      <c r="K126" s="465">
        <v>0</v>
      </c>
      <c r="L126" s="564">
        <f t="shared" si="13"/>
        <v>0</v>
      </c>
      <c r="M126" s="565"/>
      <c r="N126" s="565"/>
    </row>
    <row r="127" spans="1:14" ht="18.7" hidden="1" customHeight="1" outlineLevel="7" x14ac:dyDescent="0.3">
      <c r="A127" s="438" t="s">
        <v>17</v>
      </c>
      <c r="B127" s="439" t="s">
        <v>500</v>
      </c>
      <c r="C127" s="439" t="s">
        <v>24</v>
      </c>
      <c r="D127" s="539" t="s">
        <v>601</v>
      </c>
      <c r="E127" s="539" t="s">
        <v>18</v>
      </c>
      <c r="F127" s="540">
        <v>134942.99</v>
      </c>
      <c r="G127" s="465">
        <v>0</v>
      </c>
      <c r="H127" s="440">
        <v>0</v>
      </c>
      <c r="I127" s="440">
        <v>0</v>
      </c>
      <c r="J127" s="465">
        <v>0</v>
      </c>
      <c r="K127" s="465">
        <v>0</v>
      </c>
      <c r="L127" s="564">
        <f t="shared" si="13"/>
        <v>0</v>
      </c>
      <c r="M127" s="565"/>
      <c r="N127" s="565"/>
    </row>
    <row r="128" spans="1:14" ht="18.7" hidden="1" customHeight="1" outlineLevel="7" x14ac:dyDescent="0.3">
      <c r="A128" s="438" t="s">
        <v>90</v>
      </c>
      <c r="B128" s="439" t="s">
        <v>500</v>
      </c>
      <c r="C128" s="439" t="s">
        <v>24</v>
      </c>
      <c r="D128" s="539" t="s">
        <v>601</v>
      </c>
      <c r="E128" s="539" t="s">
        <v>91</v>
      </c>
      <c r="F128" s="540">
        <v>1182728.33</v>
      </c>
      <c r="G128" s="465">
        <f>G129</f>
        <v>0</v>
      </c>
      <c r="H128" s="440">
        <f>H129</f>
        <v>0</v>
      </c>
      <c r="I128" s="440">
        <v>0</v>
      </c>
      <c r="J128" s="465">
        <v>0</v>
      </c>
      <c r="K128" s="465">
        <v>0</v>
      </c>
      <c r="L128" s="564">
        <f t="shared" si="13"/>
        <v>0</v>
      </c>
      <c r="M128" s="565"/>
      <c r="N128" s="565"/>
    </row>
    <row r="129" spans="1:14" ht="20.25" hidden="1" customHeight="1" outlineLevel="7" x14ac:dyDescent="0.3">
      <c r="A129" s="438" t="s">
        <v>97</v>
      </c>
      <c r="B129" s="439" t="s">
        <v>500</v>
      </c>
      <c r="C129" s="439" t="s">
        <v>24</v>
      </c>
      <c r="D129" s="539" t="s">
        <v>601</v>
      </c>
      <c r="E129" s="539" t="s">
        <v>98</v>
      </c>
      <c r="F129" s="540">
        <v>1182728.33</v>
      </c>
      <c r="G129" s="465">
        <v>0</v>
      </c>
      <c r="H129" s="440">
        <v>0</v>
      </c>
      <c r="I129" s="440">
        <v>0</v>
      </c>
      <c r="J129" s="465">
        <v>0</v>
      </c>
      <c r="K129" s="465">
        <v>0</v>
      </c>
      <c r="L129" s="564">
        <f t="shared" si="13"/>
        <v>0</v>
      </c>
      <c r="M129" s="565"/>
      <c r="N129" s="565"/>
    </row>
    <row r="130" spans="1:14" ht="19.55" customHeight="1" outlineLevel="7" x14ac:dyDescent="0.3">
      <c r="A130" s="438" t="s">
        <v>503</v>
      </c>
      <c r="B130" s="439" t="s">
        <v>500</v>
      </c>
      <c r="C130" s="439" t="s">
        <v>24</v>
      </c>
      <c r="D130" s="539" t="s">
        <v>502</v>
      </c>
      <c r="E130" s="539" t="s">
        <v>6</v>
      </c>
      <c r="F130" s="540">
        <v>86999</v>
      </c>
      <c r="G130" s="466">
        <f t="shared" ref="G130:K131" si="22">G131</f>
        <v>200000</v>
      </c>
      <c r="H130" s="442">
        <f t="shared" si="22"/>
        <v>138434.92000000001</v>
      </c>
      <c r="I130" s="442">
        <f t="shared" si="22"/>
        <v>200000</v>
      </c>
      <c r="J130" s="466">
        <f t="shared" si="22"/>
        <v>200000</v>
      </c>
      <c r="K130" s="466">
        <f t="shared" si="22"/>
        <v>200000</v>
      </c>
      <c r="L130" s="564">
        <f t="shared" si="13"/>
        <v>0</v>
      </c>
      <c r="M130" s="565">
        <f t="shared" si="14"/>
        <v>100</v>
      </c>
      <c r="N130" s="565">
        <f t="shared" si="15"/>
        <v>100</v>
      </c>
    </row>
    <row r="131" spans="1:14" ht="34" outlineLevel="7" x14ac:dyDescent="0.3">
      <c r="A131" s="438" t="s">
        <v>15</v>
      </c>
      <c r="B131" s="439" t="s">
        <v>500</v>
      </c>
      <c r="C131" s="439" t="s">
        <v>24</v>
      </c>
      <c r="D131" s="539" t="s">
        <v>502</v>
      </c>
      <c r="E131" s="539" t="s">
        <v>16</v>
      </c>
      <c r="F131" s="540">
        <v>86999</v>
      </c>
      <c r="G131" s="466">
        <f t="shared" si="22"/>
        <v>200000</v>
      </c>
      <c r="H131" s="370">
        <v>138434.92000000001</v>
      </c>
      <c r="I131" s="442">
        <f t="shared" si="22"/>
        <v>200000</v>
      </c>
      <c r="J131" s="466">
        <f t="shared" si="22"/>
        <v>200000</v>
      </c>
      <c r="K131" s="466">
        <f t="shared" si="22"/>
        <v>200000</v>
      </c>
      <c r="L131" s="564">
        <f t="shared" si="13"/>
        <v>0</v>
      </c>
      <c r="M131" s="565">
        <f t="shared" si="14"/>
        <v>100</v>
      </c>
      <c r="N131" s="565">
        <f t="shared" si="15"/>
        <v>100</v>
      </c>
    </row>
    <row r="132" spans="1:14" ht="20.25" customHeight="1" outlineLevel="7" x14ac:dyDescent="0.3">
      <c r="A132" s="438" t="s">
        <v>17</v>
      </c>
      <c r="B132" s="439" t="s">
        <v>500</v>
      </c>
      <c r="C132" s="439" t="s">
        <v>24</v>
      </c>
      <c r="D132" s="539" t="s">
        <v>502</v>
      </c>
      <c r="E132" s="539" t="s">
        <v>18</v>
      </c>
      <c r="F132" s="540">
        <v>86999</v>
      </c>
      <c r="G132" s="465">
        <v>200000</v>
      </c>
      <c r="H132" s="370">
        <v>138434.92000000001</v>
      </c>
      <c r="I132" s="440">
        <f>'[2]прил 12'!G127</f>
        <v>200000</v>
      </c>
      <c r="J132" s="465">
        <v>200000</v>
      </c>
      <c r="K132" s="465">
        <v>200000</v>
      </c>
      <c r="L132" s="564">
        <f t="shared" si="13"/>
        <v>0</v>
      </c>
      <c r="M132" s="565">
        <f t="shared" si="14"/>
        <v>100</v>
      </c>
      <c r="N132" s="565">
        <f t="shared" si="15"/>
        <v>100</v>
      </c>
    </row>
    <row r="133" spans="1:14" outlineLevel="3" x14ac:dyDescent="0.3">
      <c r="A133" s="438" t="s">
        <v>277</v>
      </c>
      <c r="B133" s="439" t="s">
        <v>500</v>
      </c>
      <c r="C133" s="439" t="s">
        <v>24</v>
      </c>
      <c r="D133" s="539" t="s">
        <v>276</v>
      </c>
      <c r="E133" s="539" t="s">
        <v>6</v>
      </c>
      <c r="F133" s="540">
        <v>7083797.5300000003</v>
      </c>
      <c r="G133" s="465">
        <f>G157+G134+G142+G147+G152+G139</f>
        <v>8720616.2199999988</v>
      </c>
      <c r="H133" s="440">
        <f>H157+H134+H142+H147+H152+H139</f>
        <v>5892996.6299999999</v>
      </c>
      <c r="I133" s="440">
        <f>I157+I134+I142+I147+I152+I139</f>
        <v>7568469</v>
      </c>
      <c r="J133" s="465">
        <f>J157+J134+J142+J147+J152+J139</f>
        <v>7810417</v>
      </c>
      <c r="K133" s="465">
        <f>K157+K134+K142+K147+K152+K139</f>
        <v>7810417</v>
      </c>
      <c r="L133" s="564">
        <f t="shared" si="13"/>
        <v>0</v>
      </c>
      <c r="M133" s="565">
        <f t="shared" si="14"/>
        <v>89.562673129537174</v>
      </c>
      <c r="N133" s="565">
        <f t="shared" si="15"/>
        <v>89.562673129537188</v>
      </c>
    </row>
    <row r="134" spans="1:14" ht="77.45" customHeight="1" outlineLevel="3" x14ac:dyDescent="0.3">
      <c r="A134" s="393" t="s">
        <v>438</v>
      </c>
      <c r="B134" s="439" t="s">
        <v>500</v>
      </c>
      <c r="C134" s="439" t="s">
        <v>24</v>
      </c>
      <c r="D134" s="539" t="s">
        <v>278</v>
      </c>
      <c r="E134" s="539" t="s">
        <v>6</v>
      </c>
      <c r="F134" s="540">
        <v>1395192</v>
      </c>
      <c r="G134" s="465">
        <f>G135+G137</f>
        <v>1503968</v>
      </c>
      <c r="H134" s="440">
        <f>H135+H137</f>
        <v>1197590.32</v>
      </c>
      <c r="I134" s="440">
        <f>I135+I137</f>
        <v>1442603</v>
      </c>
      <c r="J134" s="465">
        <f>J135+J137</f>
        <v>1490622</v>
      </c>
      <c r="K134" s="465">
        <f>K135+K137</f>
        <v>1490622</v>
      </c>
      <c r="L134" s="564">
        <f t="shared" si="13"/>
        <v>0</v>
      </c>
      <c r="M134" s="565">
        <f t="shared" si="14"/>
        <v>99.112614098172301</v>
      </c>
      <c r="N134" s="565">
        <f t="shared" si="15"/>
        <v>99.112614098172301</v>
      </c>
    </row>
    <row r="135" spans="1:14" ht="84.9" outlineLevel="3" x14ac:dyDescent="0.3">
      <c r="A135" s="438" t="s">
        <v>11</v>
      </c>
      <c r="B135" s="439" t="s">
        <v>500</v>
      </c>
      <c r="C135" s="439" t="s">
        <v>24</v>
      </c>
      <c r="D135" s="539" t="s">
        <v>278</v>
      </c>
      <c r="E135" s="539" t="s">
        <v>12</v>
      </c>
      <c r="F135" s="540">
        <v>1380328.42</v>
      </c>
      <c r="G135" s="465">
        <f>G136</f>
        <v>1487018</v>
      </c>
      <c r="H135" s="370">
        <v>1187789.1000000001</v>
      </c>
      <c r="I135" s="440">
        <f>I136</f>
        <v>1427603</v>
      </c>
      <c r="J135" s="465">
        <f>J136</f>
        <v>1475622</v>
      </c>
      <c r="K135" s="465">
        <f>K136</f>
        <v>1475622</v>
      </c>
      <c r="L135" s="564">
        <f t="shared" si="13"/>
        <v>0</v>
      </c>
      <c r="M135" s="565">
        <f t="shared" si="14"/>
        <v>99.233634024604939</v>
      </c>
      <c r="N135" s="565">
        <f t="shared" si="15"/>
        <v>99.233634024604939</v>
      </c>
    </row>
    <row r="136" spans="1:14" ht="34" outlineLevel="3" x14ac:dyDescent="0.3">
      <c r="A136" s="438" t="s">
        <v>13</v>
      </c>
      <c r="B136" s="439" t="s">
        <v>500</v>
      </c>
      <c r="C136" s="439" t="s">
        <v>24</v>
      </c>
      <c r="D136" s="539" t="s">
        <v>278</v>
      </c>
      <c r="E136" s="539" t="s">
        <v>14</v>
      </c>
      <c r="F136" s="540">
        <v>1380328.42</v>
      </c>
      <c r="G136" s="465">
        <f>1399316+28287-1950+61365</f>
        <v>1487018</v>
      </c>
      <c r="H136" s="370">
        <v>1187789.1000000001</v>
      </c>
      <c r="I136" s="440">
        <f>'[2]прил 12'!F131</f>
        <v>1427603</v>
      </c>
      <c r="J136" s="466">
        <f>1490622-15000</f>
        <v>1475622</v>
      </c>
      <c r="K136" s="466">
        <f>1490622-15000</f>
        <v>1475622</v>
      </c>
      <c r="L136" s="564">
        <f t="shared" ref="L136:L199" si="23">K136-J136</f>
        <v>0</v>
      </c>
      <c r="M136" s="565">
        <f t="shared" ref="M136:M199" si="24">J136/G136%</f>
        <v>99.233634024604939</v>
      </c>
      <c r="N136" s="565">
        <f t="shared" ref="N136:N199" si="25">K136/G136*100</f>
        <v>99.233634024604939</v>
      </c>
    </row>
    <row r="137" spans="1:14" ht="41.3" customHeight="1" outlineLevel="7" x14ac:dyDescent="0.3">
      <c r="A137" s="438" t="s">
        <v>15</v>
      </c>
      <c r="B137" s="439" t="s">
        <v>500</v>
      </c>
      <c r="C137" s="439" t="s">
        <v>24</v>
      </c>
      <c r="D137" s="539" t="s">
        <v>278</v>
      </c>
      <c r="E137" s="539" t="s">
        <v>16</v>
      </c>
      <c r="F137" s="540">
        <v>14863.58</v>
      </c>
      <c r="G137" s="465">
        <f>G138</f>
        <v>16950</v>
      </c>
      <c r="H137" s="370">
        <v>9801.2199999999993</v>
      </c>
      <c r="I137" s="440">
        <f>I138</f>
        <v>15000</v>
      </c>
      <c r="J137" s="465">
        <f>J138</f>
        <v>15000</v>
      </c>
      <c r="K137" s="465">
        <f>K138</f>
        <v>15000</v>
      </c>
      <c r="L137" s="564">
        <f t="shared" si="23"/>
        <v>0</v>
      </c>
      <c r="M137" s="565">
        <f t="shared" si="24"/>
        <v>88.495575221238937</v>
      </c>
      <c r="N137" s="565">
        <f t="shared" si="25"/>
        <v>88.495575221238937</v>
      </c>
    </row>
    <row r="138" spans="1:14" ht="34" outlineLevel="7" x14ac:dyDescent="0.3">
      <c r="A138" s="438" t="s">
        <v>17</v>
      </c>
      <c r="B138" s="439" t="s">
        <v>500</v>
      </c>
      <c r="C138" s="439" t="s">
        <v>24</v>
      </c>
      <c r="D138" s="539" t="s">
        <v>278</v>
      </c>
      <c r="E138" s="539" t="s">
        <v>18</v>
      </c>
      <c r="F138" s="540">
        <v>14863.58</v>
      </c>
      <c r="G138" s="465">
        <f>15000+1950</f>
        <v>16950</v>
      </c>
      <c r="H138" s="370">
        <v>9801.2199999999993</v>
      </c>
      <c r="I138" s="440">
        <f>'[2]прил 12'!F133</f>
        <v>15000</v>
      </c>
      <c r="J138" s="466">
        <v>15000</v>
      </c>
      <c r="K138" s="466">
        <v>15000</v>
      </c>
      <c r="L138" s="564">
        <f t="shared" si="23"/>
        <v>0</v>
      </c>
      <c r="M138" s="565">
        <f t="shared" si="24"/>
        <v>88.495575221238937</v>
      </c>
      <c r="N138" s="565">
        <f t="shared" si="25"/>
        <v>88.495575221238937</v>
      </c>
    </row>
    <row r="139" spans="1:14" ht="84.9" outlineLevel="7" x14ac:dyDescent="0.3">
      <c r="A139" s="438" t="s">
        <v>722</v>
      </c>
      <c r="B139" s="439" t="s">
        <v>500</v>
      </c>
      <c r="C139" s="439" t="s">
        <v>24</v>
      </c>
      <c r="D139" s="539" t="s">
        <v>721</v>
      </c>
      <c r="E139" s="539" t="s">
        <v>6</v>
      </c>
      <c r="F139" s="540">
        <v>272232</v>
      </c>
      <c r="G139" s="465">
        <f t="shared" ref="G139:K140" si="26">G140</f>
        <v>353579</v>
      </c>
      <c r="H139" s="440">
        <f t="shared" si="26"/>
        <v>143160.51</v>
      </c>
      <c r="I139" s="440">
        <f t="shared" si="26"/>
        <v>353579</v>
      </c>
      <c r="J139" s="465">
        <f t="shared" si="26"/>
        <v>353579</v>
      </c>
      <c r="K139" s="465">
        <f t="shared" si="26"/>
        <v>353579</v>
      </c>
      <c r="L139" s="564">
        <f t="shared" si="23"/>
        <v>0</v>
      </c>
      <c r="M139" s="565">
        <f t="shared" si="24"/>
        <v>100</v>
      </c>
      <c r="N139" s="565">
        <f t="shared" si="25"/>
        <v>100</v>
      </c>
    </row>
    <row r="140" spans="1:14" ht="34" outlineLevel="7" x14ac:dyDescent="0.3">
      <c r="A140" s="438" t="s">
        <v>13</v>
      </c>
      <c r="B140" s="439" t="s">
        <v>500</v>
      </c>
      <c r="C140" s="439" t="s">
        <v>24</v>
      </c>
      <c r="D140" s="539" t="s">
        <v>721</v>
      </c>
      <c r="E140" s="539" t="s">
        <v>12</v>
      </c>
      <c r="F140" s="540">
        <v>272232</v>
      </c>
      <c r="G140" s="465">
        <f t="shared" si="26"/>
        <v>353579</v>
      </c>
      <c r="H140" s="370">
        <v>143160.51</v>
      </c>
      <c r="I140" s="440">
        <f t="shared" si="26"/>
        <v>353579</v>
      </c>
      <c r="J140" s="465">
        <f t="shared" si="26"/>
        <v>353579</v>
      </c>
      <c r="K140" s="465">
        <f t="shared" si="26"/>
        <v>353579</v>
      </c>
      <c r="L140" s="564">
        <f t="shared" si="23"/>
        <v>0</v>
      </c>
      <c r="M140" s="565">
        <f t="shared" si="24"/>
        <v>100</v>
      </c>
      <c r="N140" s="565">
        <f t="shared" si="25"/>
        <v>100</v>
      </c>
    </row>
    <row r="141" spans="1:14" ht="41.45" customHeight="1" outlineLevel="7" x14ac:dyDescent="0.3">
      <c r="A141" s="438" t="s">
        <v>13</v>
      </c>
      <c r="B141" s="439" t="s">
        <v>500</v>
      </c>
      <c r="C141" s="439" t="s">
        <v>24</v>
      </c>
      <c r="D141" s="539" t="s">
        <v>721</v>
      </c>
      <c r="E141" s="539" t="s">
        <v>14</v>
      </c>
      <c r="F141" s="540">
        <v>272232</v>
      </c>
      <c r="G141" s="465">
        <v>353579</v>
      </c>
      <c r="H141" s="370">
        <v>143160.51</v>
      </c>
      <c r="I141" s="440">
        <f>'[2]прил 12'!F136</f>
        <v>353579</v>
      </c>
      <c r="J141" s="466">
        <v>353579</v>
      </c>
      <c r="K141" s="466">
        <v>353579</v>
      </c>
      <c r="L141" s="564">
        <f t="shared" si="23"/>
        <v>0</v>
      </c>
      <c r="M141" s="565">
        <f t="shared" si="24"/>
        <v>100</v>
      </c>
      <c r="N141" s="565">
        <f t="shared" si="25"/>
        <v>100</v>
      </c>
    </row>
    <row r="142" spans="1:14" ht="24.8" customHeight="1" outlineLevel="7" x14ac:dyDescent="0.3">
      <c r="A142" s="393" t="s">
        <v>573</v>
      </c>
      <c r="B142" s="439" t="s">
        <v>500</v>
      </c>
      <c r="C142" s="439" t="s">
        <v>24</v>
      </c>
      <c r="D142" s="539" t="s">
        <v>580</v>
      </c>
      <c r="E142" s="539" t="s">
        <v>6</v>
      </c>
      <c r="F142" s="540">
        <v>2016764</v>
      </c>
      <c r="G142" s="465">
        <f>G143+G145</f>
        <v>2096028</v>
      </c>
      <c r="H142" s="440">
        <f>H143+H145</f>
        <v>1490075.2</v>
      </c>
      <c r="I142" s="440">
        <f>I143+I145</f>
        <v>2174817</v>
      </c>
      <c r="J142" s="465">
        <f>J143+J145</f>
        <v>2276349</v>
      </c>
      <c r="K142" s="465">
        <f>K143+K145</f>
        <v>2276349</v>
      </c>
      <c r="L142" s="564">
        <f t="shared" si="23"/>
        <v>0</v>
      </c>
      <c r="M142" s="565">
        <f t="shared" si="24"/>
        <v>108.60298621964975</v>
      </c>
      <c r="N142" s="565">
        <f t="shared" si="25"/>
        <v>108.60298621964975</v>
      </c>
    </row>
    <row r="143" spans="1:14" ht="39.75" customHeight="1" outlineLevel="7" x14ac:dyDescent="0.3">
      <c r="A143" s="438" t="s">
        <v>11</v>
      </c>
      <c r="B143" s="439" t="s">
        <v>500</v>
      </c>
      <c r="C143" s="439" t="s">
        <v>24</v>
      </c>
      <c r="D143" s="539" t="s">
        <v>580</v>
      </c>
      <c r="E143" s="539" t="s">
        <v>12</v>
      </c>
      <c r="F143" s="540">
        <v>2008305.5</v>
      </c>
      <c r="G143" s="465">
        <f>G144</f>
        <v>2081028</v>
      </c>
      <c r="H143" s="370">
        <v>1485262.04</v>
      </c>
      <c r="I143" s="440">
        <f>I144</f>
        <v>2159817</v>
      </c>
      <c r="J143" s="465">
        <f>J144</f>
        <v>0</v>
      </c>
      <c r="K143" s="465">
        <f>K144</f>
        <v>0</v>
      </c>
      <c r="L143" s="564">
        <f t="shared" si="23"/>
        <v>0</v>
      </c>
      <c r="M143" s="565">
        <f t="shared" si="24"/>
        <v>0</v>
      </c>
      <c r="N143" s="565">
        <f t="shared" si="25"/>
        <v>0</v>
      </c>
    </row>
    <row r="144" spans="1:14" ht="39.75" customHeight="1" outlineLevel="7" x14ac:dyDescent="0.3">
      <c r="A144" s="438" t="s">
        <v>13</v>
      </c>
      <c r="B144" s="439" t="s">
        <v>500</v>
      </c>
      <c r="C144" s="439" t="s">
        <v>24</v>
      </c>
      <c r="D144" s="539" t="s">
        <v>580</v>
      </c>
      <c r="E144" s="539" t="s">
        <v>14</v>
      </c>
      <c r="F144" s="540">
        <v>2008305.5</v>
      </c>
      <c r="G144" s="465">
        <v>2081028</v>
      </c>
      <c r="H144" s="370">
        <v>1485262.04</v>
      </c>
      <c r="I144" s="440">
        <f>'[2]прил 12'!F139</f>
        <v>2159817</v>
      </c>
      <c r="J144" s="466">
        <v>0</v>
      </c>
      <c r="K144" s="466">
        <v>0</v>
      </c>
      <c r="L144" s="564">
        <f t="shared" si="23"/>
        <v>0</v>
      </c>
      <c r="M144" s="565">
        <f t="shared" si="24"/>
        <v>0</v>
      </c>
      <c r="N144" s="565">
        <f t="shared" si="25"/>
        <v>0</v>
      </c>
    </row>
    <row r="145" spans="1:14" ht="34" outlineLevel="7" x14ac:dyDescent="0.3">
      <c r="A145" s="438" t="s">
        <v>15</v>
      </c>
      <c r="B145" s="439" t="s">
        <v>500</v>
      </c>
      <c r="C145" s="439" t="s">
        <v>24</v>
      </c>
      <c r="D145" s="539" t="s">
        <v>580</v>
      </c>
      <c r="E145" s="539" t="s">
        <v>16</v>
      </c>
      <c r="F145" s="540">
        <v>8458.5</v>
      </c>
      <c r="G145" s="465">
        <f>G146</f>
        <v>15000</v>
      </c>
      <c r="H145" s="370">
        <v>4813.16</v>
      </c>
      <c r="I145" s="440">
        <f>I146</f>
        <v>15000</v>
      </c>
      <c r="J145" s="465">
        <f>J146</f>
        <v>2276349</v>
      </c>
      <c r="K145" s="465">
        <f>K146</f>
        <v>2276349</v>
      </c>
      <c r="L145" s="564">
        <f t="shared" si="23"/>
        <v>0</v>
      </c>
      <c r="M145" s="565">
        <f t="shared" si="24"/>
        <v>15175.66</v>
      </c>
      <c r="N145" s="565">
        <f t="shared" si="25"/>
        <v>15175.66</v>
      </c>
    </row>
    <row r="146" spans="1:14" ht="34" outlineLevel="7" x14ac:dyDescent="0.3">
      <c r="A146" s="438" t="s">
        <v>17</v>
      </c>
      <c r="B146" s="439" t="s">
        <v>500</v>
      </c>
      <c r="C146" s="439" t="s">
        <v>24</v>
      </c>
      <c r="D146" s="539" t="s">
        <v>580</v>
      </c>
      <c r="E146" s="539" t="s">
        <v>18</v>
      </c>
      <c r="F146" s="540">
        <v>8458.5</v>
      </c>
      <c r="G146" s="465">
        <v>15000</v>
      </c>
      <c r="H146" s="370">
        <v>4813.16</v>
      </c>
      <c r="I146" s="440">
        <f>'[2]прил 12'!F141</f>
        <v>15000</v>
      </c>
      <c r="J146" s="466">
        <v>2276349</v>
      </c>
      <c r="K146" s="466">
        <v>2276349</v>
      </c>
      <c r="L146" s="564">
        <f t="shared" si="23"/>
        <v>0</v>
      </c>
      <c r="M146" s="565">
        <f t="shared" si="24"/>
        <v>15175.66</v>
      </c>
      <c r="N146" s="565">
        <f t="shared" si="25"/>
        <v>15175.66</v>
      </c>
    </row>
    <row r="147" spans="1:14" ht="74.05" customHeight="1" outlineLevel="7" x14ac:dyDescent="0.3">
      <c r="A147" s="393" t="s">
        <v>382</v>
      </c>
      <c r="B147" s="439" t="s">
        <v>500</v>
      </c>
      <c r="C147" s="439" t="s">
        <v>24</v>
      </c>
      <c r="D147" s="539" t="s">
        <v>279</v>
      </c>
      <c r="E147" s="539" t="s">
        <v>6</v>
      </c>
      <c r="F147" s="540">
        <v>764724.52</v>
      </c>
      <c r="G147" s="465">
        <f>G148+G150</f>
        <v>830909</v>
      </c>
      <c r="H147" s="440">
        <f>H148+H150</f>
        <v>587231.11</v>
      </c>
      <c r="I147" s="440">
        <f>I148+I150</f>
        <v>861546</v>
      </c>
      <c r="J147" s="465">
        <f>J148+J150</f>
        <v>946950</v>
      </c>
      <c r="K147" s="465">
        <f>K148+K150</f>
        <v>946950</v>
      </c>
      <c r="L147" s="564">
        <f t="shared" si="23"/>
        <v>0</v>
      </c>
      <c r="M147" s="565">
        <f t="shared" si="24"/>
        <v>113.96554857391122</v>
      </c>
      <c r="N147" s="565">
        <f t="shared" si="25"/>
        <v>113.96554857391121</v>
      </c>
    </row>
    <row r="148" spans="1:14" ht="84.9" outlineLevel="7" x14ac:dyDescent="0.3">
      <c r="A148" s="438" t="s">
        <v>11</v>
      </c>
      <c r="B148" s="439" t="s">
        <v>500</v>
      </c>
      <c r="C148" s="439" t="s">
        <v>24</v>
      </c>
      <c r="D148" s="539" t="s">
        <v>279</v>
      </c>
      <c r="E148" s="539" t="s">
        <v>12</v>
      </c>
      <c r="F148" s="540">
        <v>751053.37</v>
      </c>
      <c r="G148" s="465">
        <f>G149</f>
        <v>785909</v>
      </c>
      <c r="H148" s="370">
        <v>560781.04</v>
      </c>
      <c r="I148" s="440">
        <f>I149</f>
        <v>816546</v>
      </c>
      <c r="J148" s="465">
        <f>J149</f>
        <v>901950</v>
      </c>
      <c r="K148" s="465">
        <f>K149</f>
        <v>901950</v>
      </c>
      <c r="L148" s="564">
        <f t="shared" si="23"/>
        <v>0</v>
      </c>
      <c r="M148" s="565">
        <f t="shared" si="24"/>
        <v>114.76519546156106</v>
      </c>
      <c r="N148" s="565">
        <f t="shared" si="25"/>
        <v>114.76519546156108</v>
      </c>
    </row>
    <row r="149" spans="1:14" ht="32.6" customHeight="1" outlineLevel="7" x14ac:dyDescent="0.3">
      <c r="A149" s="438" t="s">
        <v>13</v>
      </c>
      <c r="B149" s="439" t="s">
        <v>500</v>
      </c>
      <c r="C149" s="439" t="s">
        <v>24</v>
      </c>
      <c r="D149" s="539" t="s">
        <v>279</v>
      </c>
      <c r="E149" s="539" t="s">
        <v>14</v>
      </c>
      <c r="F149" s="540">
        <v>751053.37</v>
      </c>
      <c r="G149" s="466">
        <v>785909</v>
      </c>
      <c r="H149" s="370">
        <v>560781.04</v>
      </c>
      <c r="I149" s="442">
        <f>'[2]прил 12'!F144</f>
        <v>816546</v>
      </c>
      <c r="J149" s="466">
        <f>946950-45000</f>
        <v>901950</v>
      </c>
      <c r="K149" s="466">
        <f>946950-45000</f>
        <v>901950</v>
      </c>
      <c r="L149" s="564">
        <f t="shared" si="23"/>
        <v>0</v>
      </c>
      <c r="M149" s="565">
        <f t="shared" si="24"/>
        <v>114.76519546156106</v>
      </c>
      <c r="N149" s="565">
        <f t="shared" si="25"/>
        <v>114.76519546156108</v>
      </c>
    </row>
    <row r="150" spans="1:14" ht="45" customHeight="1" outlineLevel="7" x14ac:dyDescent="0.3">
      <c r="A150" s="438" t="s">
        <v>15</v>
      </c>
      <c r="B150" s="439" t="s">
        <v>500</v>
      </c>
      <c r="C150" s="439" t="s">
        <v>24</v>
      </c>
      <c r="D150" s="539" t="s">
        <v>279</v>
      </c>
      <c r="E150" s="539" t="s">
        <v>16</v>
      </c>
      <c r="F150" s="540">
        <v>13671.15</v>
      </c>
      <c r="G150" s="465">
        <f>G151</f>
        <v>45000</v>
      </c>
      <c r="H150" s="370">
        <v>26450.07</v>
      </c>
      <c r="I150" s="440">
        <f>I151</f>
        <v>45000</v>
      </c>
      <c r="J150" s="465">
        <f>J151</f>
        <v>45000</v>
      </c>
      <c r="K150" s="465">
        <f>K151</f>
        <v>45000</v>
      </c>
      <c r="L150" s="564">
        <f t="shared" si="23"/>
        <v>0</v>
      </c>
      <c r="M150" s="565">
        <f t="shared" si="24"/>
        <v>100</v>
      </c>
      <c r="N150" s="565">
        <f t="shared" si="25"/>
        <v>100</v>
      </c>
    </row>
    <row r="151" spans="1:14" ht="34" outlineLevel="7" x14ac:dyDescent="0.3">
      <c r="A151" s="438" t="s">
        <v>17</v>
      </c>
      <c r="B151" s="439" t="s">
        <v>500</v>
      </c>
      <c r="C151" s="439" t="s">
        <v>24</v>
      </c>
      <c r="D151" s="539" t="s">
        <v>279</v>
      </c>
      <c r="E151" s="539" t="s">
        <v>18</v>
      </c>
      <c r="F151" s="540">
        <v>13671.15</v>
      </c>
      <c r="G151" s="465">
        <v>45000</v>
      </c>
      <c r="H151" s="370">
        <v>26450.07</v>
      </c>
      <c r="I151" s="440">
        <f>'[2]прил 12'!F146</f>
        <v>45000</v>
      </c>
      <c r="J151" s="466">
        <v>45000</v>
      </c>
      <c r="K151" s="466">
        <v>45000</v>
      </c>
      <c r="L151" s="564">
        <f t="shared" si="23"/>
        <v>0</v>
      </c>
      <c r="M151" s="565">
        <f t="shared" si="24"/>
        <v>100</v>
      </c>
      <c r="N151" s="565">
        <f t="shared" si="25"/>
        <v>100</v>
      </c>
    </row>
    <row r="152" spans="1:14" ht="57.25" customHeight="1" outlineLevel="7" x14ac:dyDescent="0.3">
      <c r="A152" s="438" t="s">
        <v>406</v>
      </c>
      <c r="B152" s="439" t="s">
        <v>500</v>
      </c>
      <c r="C152" s="439" t="s">
        <v>24</v>
      </c>
      <c r="D152" s="539" t="s">
        <v>407</v>
      </c>
      <c r="E152" s="539" t="s">
        <v>6</v>
      </c>
      <c r="F152" s="540">
        <v>1791402.17</v>
      </c>
      <c r="G152" s="465">
        <f>G153+G155</f>
        <v>1950219</v>
      </c>
      <c r="H152" s="440">
        <f>H153+H155</f>
        <v>1271500</v>
      </c>
      <c r="I152" s="440">
        <f>I153+I155</f>
        <v>2021924</v>
      </c>
      <c r="J152" s="465">
        <f>J153+J155</f>
        <v>2028917</v>
      </c>
      <c r="K152" s="465">
        <f>K153+K155</f>
        <v>2028917</v>
      </c>
      <c r="L152" s="564">
        <f t="shared" si="23"/>
        <v>0</v>
      </c>
      <c r="M152" s="565">
        <f t="shared" si="24"/>
        <v>104.03534167188404</v>
      </c>
      <c r="N152" s="565">
        <f t="shared" si="25"/>
        <v>104.03534167188401</v>
      </c>
    </row>
    <row r="153" spans="1:14" ht="84.9" outlineLevel="7" x14ac:dyDescent="0.3">
      <c r="A153" s="438" t="s">
        <v>11</v>
      </c>
      <c r="B153" s="439" t="s">
        <v>500</v>
      </c>
      <c r="C153" s="439" t="s">
        <v>24</v>
      </c>
      <c r="D153" s="539" t="s">
        <v>407</v>
      </c>
      <c r="E153" s="539" t="s">
        <v>12</v>
      </c>
      <c r="F153" s="540">
        <v>1659215.56</v>
      </c>
      <c r="G153" s="465">
        <f>G154</f>
        <v>1792619</v>
      </c>
      <c r="H153" s="370">
        <v>1243138.07</v>
      </c>
      <c r="I153" s="440">
        <f>I154</f>
        <v>1864324</v>
      </c>
      <c r="J153" s="465">
        <f>J154</f>
        <v>1871917</v>
      </c>
      <c r="K153" s="465">
        <f>K154</f>
        <v>1871917</v>
      </c>
      <c r="L153" s="564">
        <f t="shared" si="23"/>
        <v>0</v>
      </c>
      <c r="M153" s="565">
        <f t="shared" si="24"/>
        <v>104.42358359472928</v>
      </c>
      <c r="N153" s="565">
        <f t="shared" si="25"/>
        <v>104.42358359472928</v>
      </c>
    </row>
    <row r="154" spans="1:14" ht="21.25" customHeight="1" outlineLevel="7" x14ac:dyDescent="0.3">
      <c r="A154" s="438" t="s">
        <v>13</v>
      </c>
      <c r="B154" s="439" t="s">
        <v>500</v>
      </c>
      <c r="C154" s="439" t="s">
        <v>24</v>
      </c>
      <c r="D154" s="539" t="s">
        <v>407</v>
      </c>
      <c r="E154" s="539" t="s">
        <v>14</v>
      </c>
      <c r="F154" s="540">
        <v>1659215.56</v>
      </c>
      <c r="G154" s="465">
        <v>1792619</v>
      </c>
      <c r="H154" s="370">
        <v>1243138.07</v>
      </c>
      <c r="I154" s="440">
        <f>'[2]прил 12'!F149</f>
        <v>1864324</v>
      </c>
      <c r="J154" s="466">
        <v>1871917</v>
      </c>
      <c r="K154" s="466">
        <v>1871917</v>
      </c>
      <c r="L154" s="564">
        <f t="shared" si="23"/>
        <v>0</v>
      </c>
      <c r="M154" s="565">
        <f t="shared" si="24"/>
        <v>104.42358359472928</v>
      </c>
      <c r="N154" s="565">
        <f t="shared" si="25"/>
        <v>104.42358359472928</v>
      </c>
    </row>
    <row r="155" spans="1:14" ht="38.25" customHeight="1" outlineLevel="7" x14ac:dyDescent="0.3">
      <c r="A155" s="438" t="s">
        <v>15</v>
      </c>
      <c r="B155" s="439" t="s">
        <v>500</v>
      </c>
      <c r="C155" s="439" t="s">
        <v>24</v>
      </c>
      <c r="D155" s="539" t="s">
        <v>407</v>
      </c>
      <c r="E155" s="539" t="s">
        <v>16</v>
      </c>
      <c r="F155" s="540">
        <v>132186.60999999999</v>
      </c>
      <c r="G155" s="465">
        <f>G156</f>
        <v>157600</v>
      </c>
      <c r="H155" s="370">
        <v>28361.93</v>
      </c>
      <c r="I155" s="440">
        <f>I156</f>
        <v>157600</v>
      </c>
      <c r="J155" s="465">
        <f>J156</f>
        <v>157000</v>
      </c>
      <c r="K155" s="465">
        <f>K156</f>
        <v>157000</v>
      </c>
      <c r="L155" s="564">
        <f t="shared" si="23"/>
        <v>0</v>
      </c>
      <c r="M155" s="565">
        <f t="shared" si="24"/>
        <v>99.619289340101517</v>
      </c>
      <c r="N155" s="565">
        <f t="shared" si="25"/>
        <v>99.619289340101531</v>
      </c>
    </row>
    <row r="156" spans="1:14" ht="34" outlineLevel="7" x14ac:dyDescent="0.3">
      <c r="A156" s="438" t="s">
        <v>17</v>
      </c>
      <c r="B156" s="439" t="s">
        <v>500</v>
      </c>
      <c r="C156" s="439" t="s">
        <v>24</v>
      </c>
      <c r="D156" s="539" t="s">
        <v>407</v>
      </c>
      <c r="E156" s="539" t="s">
        <v>18</v>
      </c>
      <c r="F156" s="540">
        <v>132186.60999999999</v>
      </c>
      <c r="G156" s="465">
        <v>157600</v>
      </c>
      <c r="H156" s="370">
        <v>28361.93</v>
      </c>
      <c r="I156" s="440">
        <f>'[2]прил 12'!F151</f>
        <v>157600</v>
      </c>
      <c r="J156" s="466">
        <v>157000</v>
      </c>
      <c r="K156" s="466">
        <v>157000</v>
      </c>
      <c r="L156" s="564">
        <f t="shared" si="23"/>
        <v>0</v>
      </c>
      <c r="M156" s="565">
        <f t="shared" si="24"/>
        <v>99.619289340101517</v>
      </c>
      <c r="N156" s="565">
        <f t="shared" si="25"/>
        <v>99.619289340101531</v>
      </c>
    </row>
    <row r="157" spans="1:14" ht="101.25" customHeight="1" outlineLevel="7" x14ac:dyDescent="0.3">
      <c r="A157" s="393" t="s">
        <v>656</v>
      </c>
      <c r="B157" s="439" t="s">
        <v>500</v>
      </c>
      <c r="C157" s="439" t="s">
        <v>24</v>
      </c>
      <c r="D157" s="539" t="s">
        <v>295</v>
      </c>
      <c r="E157" s="539" t="s">
        <v>6</v>
      </c>
      <c r="F157" s="540">
        <v>688357.04</v>
      </c>
      <c r="G157" s="465">
        <f>G158+G160</f>
        <v>1985913.22</v>
      </c>
      <c r="H157" s="440">
        <f>H158+H160</f>
        <v>1203439.49</v>
      </c>
      <c r="I157" s="440">
        <f>I158+I160</f>
        <v>714000</v>
      </c>
      <c r="J157" s="465">
        <f>J158+J160</f>
        <v>714000</v>
      </c>
      <c r="K157" s="465">
        <f>K158+K160</f>
        <v>714000</v>
      </c>
      <c r="L157" s="564">
        <f t="shared" si="23"/>
        <v>0</v>
      </c>
      <c r="M157" s="565">
        <f t="shared" si="24"/>
        <v>35.953232639238891</v>
      </c>
      <c r="N157" s="565">
        <f t="shared" si="25"/>
        <v>35.953232639238891</v>
      </c>
    </row>
    <row r="158" spans="1:14" ht="84.9" outlineLevel="7" x14ac:dyDescent="0.3">
      <c r="A158" s="438" t="s">
        <v>11</v>
      </c>
      <c r="B158" s="439" t="s">
        <v>500</v>
      </c>
      <c r="C158" s="439" t="s">
        <v>24</v>
      </c>
      <c r="D158" s="539" t="s">
        <v>295</v>
      </c>
      <c r="E158" s="539" t="s">
        <v>12</v>
      </c>
      <c r="F158" s="540">
        <v>687395.61</v>
      </c>
      <c r="G158" s="465">
        <f>G159</f>
        <v>760000</v>
      </c>
      <c r="H158" s="370">
        <v>429870.59</v>
      </c>
      <c r="I158" s="440">
        <f>I159</f>
        <v>654000</v>
      </c>
      <c r="J158" s="465">
        <f>J159</f>
        <v>654000</v>
      </c>
      <c r="K158" s="465">
        <f>K159</f>
        <v>654000</v>
      </c>
      <c r="L158" s="564">
        <f t="shared" si="23"/>
        <v>0</v>
      </c>
      <c r="M158" s="565">
        <f t="shared" si="24"/>
        <v>86.05263157894737</v>
      </c>
      <c r="N158" s="565">
        <f t="shared" si="25"/>
        <v>86.05263157894737</v>
      </c>
    </row>
    <row r="159" spans="1:14" ht="19.55" customHeight="1" outlineLevel="7" x14ac:dyDescent="0.3">
      <c r="A159" s="438" t="s">
        <v>13</v>
      </c>
      <c r="B159" s="439" t="s">
        <v>500</v>
      </c>
      <c r="C159" s="439" t="s">
        <v>24</v>
      </c>
      <c r="D159" s="539" t="s">
        <v>295</v>
      </c>
      <c r="E159" s="539" t="s">
        <v>14</v>
      </c>
      <c r="F159" s="540">
        <v>687395.61</v>
      </c>
      <c r="G159" s="465">
        <f>644151.93+115848.07</f>
        <v>760000</v>
      </c>
      <c r="H159" s="370">
        <v>429870.59</v>
      </c>
      <c r="I159" s="440">
        <f>'[2]прил 12'!F154</f>
        <v>654000</v>
      </c>
      <c r="J159" s="466">
        <v>654000</v>
      </c>
      <c r="K159" s="466">
        <v>654000</v>
      </c>
      <c r="L159" s="564">
        <f t="shared" si="23"/>
        <v>0</v>
      </c>
      <c r="M159" s="565">
        <f t="shared" si="24"/>
        <v>86.05263157894737</v>
      </c>
      <c r="N159" s="565">
        <f t="shared" si="25"/>
        <v>86.05263157894737</v>
      </c>
    </row>
    <row r="160" spans="1:14" ht="46.55" customHeight="1" outlineLevel="3" x14ac:dyDescent="0.3">
      <c r="A160" s="438" t="s">
        <v>15</v>
      </c>
      <c r="B160" s="439" t="s">
        <v>500</v>
      </c>
      <c r="C160" s="439" t="s">
        <v>24</v>
      </c>
      <c r="D160" s="539" t="s">
        <v>295</v>
      </c>
      <c r="E160" s="539" t="s">
        <v>16</v>
      </c>
      <c r="F160" s="540">
        <v>961.43</v>
      </c>
      <c r="G160" s="465">
        <f>G161</f>
        <v>1225913.22</v>
      </c>
      <c r="H160" s="370">
        <v>773568.9</v>
      </c>
      <c r="I160" s="440">
        <f>I161</f>
        <v>60000</v>
      </c>
      <c r="J160" s="465">
        <f>J161</f>
        <v>60000</v>
      </c>
      <c r="K160" s="465">
        <f>K161</f>
        <v>60000</v>
      </c>
      <c r="L160" s="564">
        <f t="shared" si="23"/>
        <v>0</v>
      </c>
      <c r="M160" s="565">
        <f t="shared" si="24"/>
        <v>4.8943105450808337</v>
      </c>
      <c r="N160" s="565">
        <f t="shared" si="25"/>
        <v>4.8943105450808337</v>
      </c>
    </row>
    <row r="161" spans="1:14" ht="34" outlineLevel="3" x14ac:dyDescent="0.3">
      <c r="A161" s="438" t="s">
        <v>17</v>
      </c>
      <c r="B161" s="439" t="s">
        <v>500</v>
      </c>
      <c r="C161" s="439" t="s">
        <v>24</v>
      </c>
      <c r="D161" s="539" t="s">
        <v>295</v>
      </c>
      <c r="E161" s="539" t="s">
        <v>18</v>
      </c>
      <c r="F161" s="540">
        <v>961.43</v>
      </c>
      <c r="G161" s="465">
        <f>60000+353071.62+812841.6</f>
        <v>1225913.22</v>
      </c>
      <c r="H161" s="370">
        <v>773568.9</v>
      </c>
      <c r="I161" s="440">
        <f>'[2]прил 12'!F156</f>
        <v>60000</v>
      </c>
      <c r="J161" s="466">
        <v>60000</v>
      </c>
      <c r="K161" s="466">
        <v>60000</v>
      </c>
      <c r="L161" s="564">
        <f t="shared" si="23"/>
        <v>0</v>
      </c>
      <c r="M161" s="565">
        <f t="shared" si="24"/>
        <v>4.8943105450808337</v>
      </c>
      <c r="N161" s="565">
        <f t="shared" si="25"/>
        <v>4.8943105450808337</v>
      </c>
    </row>
    <row r="162" spans="1:14" ht="23.3" customHeight="1" outlineLevel="3" x14ac:dyDescent="0.3">
      <c r="A162" s="444" t="s">
        <v>581</v>
      </c>
      <c r="B162" s="445" t="s">
        <v>500</v>
      </c>
      <c r="C162" s="445" t="s">
        <v>26</v>
      </c>
      <c r="D162" s="541" t="s">
        <v>126</v>
      </c>
      <c r="E162" s="541" t="s">
        <v>6</v>
      </c>
      <c r="F162" s="540">
        <v>1465098.76</v>
      </c>
      <c r="G162" s="465">
        <f t="shared" ref="G162:K167" si="27">G163</f>
        <v>1626656</v>
      </c>
      <c r="H162" s="440">
        <f t="shared" si="27"/>
        <v>1189929.46</v>
      </c>
      <c r="I162" s="440">
        <f t="shared" si="27"/>
        <v>1700240</v>
      </c>
      <c r="J162" s="465">
        <f t="shared" si="27"/>
        <v>1951380</v>
      </c>
      <c r="K162" s="465">
        <f t="shared" si="27"/>
        <v>1951380</v>
      </c>
      <c r="L162" s="564">
        <f t="shared" si="23"/>
        <v>0</v>
      </c>
      <c r="M162" s="565">
        <f t="shared" si="24"/>
        <v>119.96267188637303</v>
      </c>
      <c r="N162" s="565">
        <f t="shared" si="25"/>
        <v>119.96267188637302</v>
      </c>
    </row>
    <row r="163" spans="1:14" ht="23.95" customHeight="1" outlineLevel="3" x14ac:dyDescent="0.3">
      <c r="A163" s="438" t="s">
        <v>582</v>
      </c>
      <c r="B163" s="439" t="s">
        <v>500</v>
      </c>
      <c r="C163" s="439" t="s">
        <v>583</v>
      </c>
      <c r="D163" s="539" t="s">
        <v>126</v>
      </c>
      <c r="E163" s="539" t="s">
        <v>6</v>
      </c>
      <c r="F163" s="540">
        <v>1465098.76</v>
      </c>
      <c r="G163" s="465">
        <f t="shared" si="27"/>
        <v>1626656</v>
      </c>
      <c r="H163" s="440">
        <f t="shared" si="27"/>
        <v>1189929.46</v>
      </c>
      <c r="I163" s="440">
        <f t="shared" si="27"/>
        <v>1700240</v>
      </c>
      <c r="J163" s="465">
        <f t="shared" si="27"/>
        <v>1951380</v>
      </c>
      <c r="K163" s="465">
        <f t="shared" si="27"/>
        <v>1951380</v>
      </c>
      <c r="L163" s="564">
        <f t="shared" si="23"/>
        <v>0</v>
      </c>
      <c r="M163" s="565">
        <f t="shared" si="24"/>
        <v>119.96267188637303</v>
      </c>
      <c r="N163" s="565">
        <f t="shared" si="25"/>
        <v>119.96267188637302</v>
      </c>
    </row>
    <row r="164" spans="1:14" ht="34" outlineLevel="3" x14ac:dyDescent="0.3">
      <c r="A164" s="438" t="s">
        <v>132</v>
      </c>
      <c r="B164" s="439" t="s">
        <v>500</v>
      </c>
      <c r="C164" s="439" t="s">
        <v>583</v>
      </c>
      <c r="D164" s="539" t="s">
        <v>127</v>
      </c>
      <c r="E164" s="539" t="s">
        <v>6</v>
      </c>
      <c r="F164" s="540">
        <v>1465098.76</v>
      </c>
      <c r="G164" s="465">
        <f>G165+G169</f>
        <v>1626656</v>
      </c>
      <c r="H164" s="440">
        <f>H165+H169</f>
        <v>1189929.46</v>
      </c>
      <c r="I164" s="440">
        <f>I165+I169</f>
        <v>1700240</v>
      </c>
      <c r="J164" s="465">
        <f>J165+J169</f>
        <v>1951380</v>
      </c>
      <c r="K164" s="465">
        <f>K165+K169</f>
        <v>1951380</v>
      </c>
      <c r="L164" s="564">
        <f t="shared" si="23"/>
        <v>0</v>
      </c>
      <c r="M164" s="565">
        <f t="shared" si="24"/>
        <v>119.96267188637303</v>
      </c>
      <c r="N164" s="565">
        <f t="shared" si="25"/>
        <v>119.96267188637302</v>
      </c>
    </row>
    <row r="165" spans="1:14" ht="19.55" customHeight="1" outlineLevel="3" x14ac:dyDescent="0.3">
      <c r="A165" s="438" t="s">
        <v>277</v>
      </c>
      <c r="B165" s="439" t="s">
        <v>500</v>
      </c>
      <c r="C165" s="439" t="s">
        <v>583</v>
      </c>
      <c r="D165" s="539" t="s">
        <v>276</v>
      </c>
      <c r="E165" s="539" t="s">
        <v>6</v>
      </c>
      <c r="F165" s="540">
        <v>1334332</v>
      </c>
      <c r="G165" s="465">
        <f t="shared" si="27"/>
        <v>1383656</v>
      </c>
      <c r="H165" s="440">
        <f t="shared" si="27"/>
        <v>968820.64</v>
      </c>
      <c r="I165" s="440">
        <f t="shared" si="27"/>
        <v>1430240</v>
      </c>
      <c r="J165" s="465">
        <f t="shared" si="27"/>
        <v>1681380</v>
      </c>
      <c r="K165" s="465">
        <f t="shared" si="27"/>
        <v>1681380</v>
      </c>
      <c r="L165" s="564">
        <f t="shared" si="23"/>
        <v>0</v>
      </c>
      <c r="M165" s="565">
        <f t="shared" si="24"/>
        <v>121.51719791624508</v>
      </c>
      <c r="N165" s="565">
        <f t="shared" si="25"/>
        <v>121.51719791624507</v>
      </c>
    </row>
    <row r="166" spans="1:14" ht="19.55" customHeight="1" outlineLevel="3" x14ac:dyDescent="0.3">
      <c r="A166" s="450" t="s">
        <v>584</v>
      </c>
      <c r="B166" s="439" t="s">
        <v>500</v>
      </c>
      <c r="C166" s="439" t="s">
        <v>583</v>
      </c>
      <c r="D166" s="539" t="s">
        <v>585</v>
      </c>
      <c r="E166" s="539" t="s">
        <v>6</v>
      </c>
      <c r="F166" s="540">
        <v>1334332</v>
      </c>
      <c r="G166" s="465">
        <f t="shared" si="27"/>
        <v>1383656</v>
      </c>
      <c r="H166" s="440">
        <f t="shared" si="27"/>
        <v>968820.64</v>
      </c>
      <c r="I166" s="440">
        <f t="shared" si="27"/>
        <v>1430240</v>
      </c>
      <c r="J166" s="465">
        <f t="shared" si="27"/>
        <v>1681380</v>
      </c>
      <c r="K166" s="465">
        <f t="shared" si="27"/>
        <v>1681380</v>
      </c>
      <c r="L166" s="564">
        <f t="shared" si="23"/>
        <v>0</v>
      </c>
      <c r="M166" s="565">
        <f t="shared" si="24"/>
        <v>121.51719791624508</v>
      </c>
      <c r="N166" s="565">
        <f t="shared" si="25"/>
        <v>121.51719791624507</v>
      </c>
    </row>
    <row r="167" spans="1:14" ht="84.9" outlineLevel="3" x14ac:dyDescent="0.3">
      <c r="A167" s="438" t="s">
        <v>11</v>
      </c>
      <c r="B167" s="439" t="s">
        <v>500</v>
      </c>
      <c r="C167" s="439" t="s">
        <v>583</v>
      </c>
      <c r="D167" s="539" t="s">
        <v>585</v>
      </c>
      <c r="E167" s="539" t="s">
        <v>12</v>
      </c>
      <c r="F167" s="540">
        <v>1334332</v>
      </c>
      <c r="G167" s="465">
        <f t="shared" si="27"/>
        <v>1383656</v>
      </c>
      <c r="H167" s="370">
        <v>968820.64</v>
      </c>
      <c r="I167" s="440">
        <f>I168</f>
        <v>1430240</v>
      </c>
      <c r="J167" s="465">
        <f>J168</f>
        <v>1681380</v>
      </c>
      <c r="K167" s="465">
        <f>K168</f>
        <v>1681380</v>
      </c>
      <c r="L167" s="564">
        <f t="shared" si="23"/>
        <v>0</v>
      </c>
      <c r="M167" s="565">
        <f t="shared" si="24"/>
        <v>121.51719791624508</v>
      </c>
      <c r="N167" s="565">
        <f t="shared" si="25"/>
        <v>121.51719791624507</v>
      </c>
    </row>
    <row r="168" spans="1:14" ht="34" outlineLevel="3" x14ac:dyDescent="0.3">
      <c r="A168" s="438" t="s">
        <v>13</v>
      </c>
      <c r="B168" s="439" t="s">
        <v>500</v>
      </c>
      <c r="C168" s="439" t="s">
        <v>583</v>
      </c>
      <c r="D168" s="539" t="s">
        <v>585</v>
      </c>
      <c r="E168" s="539" t="s">
        <v>14</v>
      </c>
      <c r="F168" s="540">
        <v>1334332</v>
      </c>
      <c r="G168" s="465">
        <v>1383656</v>
      </c>
      <c r="H168" s="370">
        <v>968820.64</v>
      </c>
      <c r="I168" s="440">
        <f>'[2]прил 12'!F163</f>
        <v>1430240</v>
      </c>
      <c r="J168" s="466">
        <v>1681380</v>
      </c>
      <c r="K168" s="466">
        <v>1681380</v>
      </c>
      <c r="L168" s="564">
        <f t="shared" si="23"/>
        <v>0</v>
      </c>
      <c r="M168" s="565">
        <f t="shared" si="24"/>
        <v>121.51719791624508</v>
      </c>
      <c r="N168" s="565">
        <f t="shared" si="25"/>
        <v>121.51719791624507</v>
      </c>
    </row>
    <row r="169" spans="1:14" ht="50.95" outlineLevel="3" x14ac:dyDescent="0.3">
      <c r="A169" s="450" t="s">
        <v>723</v>
      </c>
      <c r="B169" s="439" t="s">
        <v>500</v>
      </c>
      <c r="C169" s="439" t="s">
        <v>583</v>
      </c>
      <c r="D169" s="539" t="s">
        <v>728</v>
      </c>
      <c r="E169" s="539" t="s">
        <v>6</v>
      </c>
      <c r="F169" s="540">
        <v>130766.76</v>
      </c>
      <c r="G169" s="465">
        <f t="shared" ref="G169:K170" si="28">G170</f>
        <v>243000</v>
      </c>
      <c r="H169" s="440">
        <f t="shared" si="28"/>
        <v>221108.82</v>
      </c>
      <c r="I169" s="440">
        <f t="shared" si="28"/>
        <v>270000</v>
      </c>
      <c r="J169" s="465">
        <f t="shared" si="28"/>
        <v>270000</v>
      </c>
      <c r="K169" s="465">
        <f t="shared" si="28"/>
        <v>270000</v>
      </c>
      <c r="L169" s="564">
        <f t="shared" si="23"/>
        <v>0</v>
      </c>
      <c r="M169" s="565">
        <f t="shared" si="24"/>
        <v>111.11111111111111</v>
      </c>
      <c r="N169" s="565">
        <f t="shared" si="25"/>
        <v>111.11111111111111</v>
      </c>
    </row>
    <row r="170" spans="1:14" ht="84.9" outlineLevel="3" x14ac:dyDescent="0.3">
      <c r="A170" s="438" t="s">
        <v>11</v>
      </c>
      <c r="B170" s="439" t="s">
        <v>500</v>
      </c>
      <c r="C170" s="439" t="s">
        <v>583</v>
      </c>
      <c r="D170" s="539" t="s">
        <v>728</v>
      </c>
      <c r="E170" s="539" t="s">
        <v>12</v>
      </c>
      <c r="F170" s="540">
        <v>130766.76</v>
      </c>
      <c r="G170" s="465">
        <f t="shared" si="28"/>
        <v>243000</v>
      </c>
      <c r="H170" s="370">
        <v>221108.82</v>
      </c>
      <c r="I170" s="440">
        <f t="shared" si="28"/>
        <v>270000</v>
      </c>
      <c r="J170" s="465">
        <f t="shared" si="28"/>
        <v>270000</v>
      </c>
      <c r="K170" s="465">
        <f t="shared" si="28"/>
        <v>270000</v>
      </c>
      <c r="L170" s="564">
        <f t="shared" si="23"/>
        <v>0</v>
      </c>
      <c r="M170" s="565">
        <f t="shared" si="24"/>
        <v>111.11111111111111</v>
      </c>
      <c r="N170" s="565">
        <f t="shared" si="25"/>
        <v>111.11111111111111</v>
      </c>
    </row>
    <row r="171" spans="1:14" ht="34" outlineLevel="3" x14ac:dyDescent="0.3">
      <c r="A171" s="438" t="s">
        <v>13</v>
      </c>
      <c r="B171" s="439" t="s">
        <v>500</v>
      </c>
      <c r="C171" s="439" t="s">
        <v>583</v>
      </c>
      <c r="D171" s="539" t="s">
        <v>728</v>
      </c>
      <c r="E171" s="539" t="s">
        <v>14</v>
      </c>
      <c r="F171" s="540">
        <v>130766.76</v>
      </c>
      <c r="G171" s="465">
        <f>[2]потребность!I166</f>
        <v>243000</v>
      </c>
      <c r="H171" s="370">
        <v>221108.82</v>
      </c>
      <c r="I171" s="440">
        <f>'[2]прил 12'!F166</f>
        <v>270000</v>
      </c>
      <c r="J171" s="466">
        <v>270000</v>
      </c>
      <c r="K171" s="466">
        <v>270000</v>
      </c>
      <c r="L171" s="564">
        <f t="shared" si="23"/>
        <v>0</v>
      </c>
      <c r="M171" s="565">
        <f t="shared" si="24"/>
        <v>111.11111111111111</v>
      </c>
      <c r="N171" s="565">
        <f t="shared" si="25"/>
        <v>111.11111111111111</v>
      </c>
    </row>
    <row r="172" spans="1:14" ht="34" outlineLevel="3" x14ac:dyDescent="0.3">
      <c r="A172" s="444" t="s">
        <v>41</v>
      </c>
      <c r="B172" s="445" t="s">
        <v>500</v>
      </c>
      <c r="C172" s="445" t="s">
        <v>42</v>
      </c>
      <c r="D172" s="541" t="s">
        <v>126</v>
      </c>
      <c r="E172" s="541" t="s">
        <v>6</v>
      </c>
      <c r="F172" s="540">
        <v>11670348.939999999</v>
      </c>
      <c r="G172" s="508">
        <f>G173+G178</f>
        <v>991747.04</v>
      </c>
      <c r="H172" s="446">
        <f>H173+H178</f>
        <v>380730.4</v>
      </c>
      <c r="I172" s="446">
        <f>I173+I178</f>
        <v>400000</v>
      </c>
      <c r="J172" s="508">
        <f>J173+J178</f>
        <v>1805000</v>
      </c>
      <c r="K172" s="508">
        <f>K173+K178</f>
        <v>805000</v>
      </c>
      <c r="L172" s="564">
        <f t="shared" si="23"/>
        <v>-1000000</v>
      </c>
      <c r="M172" s="565">
        <f t="shared" si="24"/>
        <v>182.00205568549012</v>
      </c>
      <c r="N172" s="565">
        <f t="shared" si="25"/>
        <v>81.169891870814155</v>
      </c>
    </row>
    <row r="173" spans="1:14" ht="50.95" outlineLevel="3" x14ac:dyDescent="0.3">
      <c r="A173" s="438" t="s">
        <v>43</v>
      </c>
      <c r="B173" s="439" t="s">
        <v>500</v>
      </c>
      <c r="C173" s="439" t="s">
        <v>44</v>
      </c>
      <c r="D173" s="539" t="s">
        <v>126</v>
      </c>
      <c r="E173" s="539" t="s">
        <v>6</v>
      </c>
      <c r="F173" s="540">
        <v>11433943.199999999</v>
      </c>
      <c r="G173" s="465">
        <f t="shared" ref="G173:K176" si="29">G174</f>
        <v>406747.04000000004</v>
      </c>
      <c r="H173" s="440">
        <f t="shared" si="29"/>
        <v>0</v>
      </c>
      <c r="I173" s="440">
        <f t="shared" si="29"/>
        <v>200000</v>
      </c>
      <c r="J173" s="465">
        <f t="shared" si="29"/>
        <v>200000</v>
      </c>
      <c r="K173" s="465">
        <f t="shared" si="29"/>
        <v>200000</v>
      </c>
      <c r="L173" s="564">
        <f t="shared" si="23"/>
        <v>0</v>
      </c>
      <c r="M173" s="565">
        <f t="shared" si="24"/>
        <v>49.170609821770306</v>
      </c>
      <c r="N173" s="565">
        <f t="shared" si="25"/>
        <v>49.170609821770299</v>
      </c>
    </row>
    <row r="174" spans="1:14" ht="34" outlineLevel="3" x14ac:dyDescent="0.3">
      <c r="A174" s="438" t="s">
        <v>132</v>
      </c>
      <c r="B174" s="439" t="s">
        <v>500</v>
      </c>
      <c r="C174" s="439" t="s">
        <v>44</v>
      </c>
      <c r="D174" s="539" t="s">
        <v>127</v>
      </c>
      <c r="E174" s="539" t="s">
        <v>6</v>
      </c>
      <c r="F174" s="540">
        <v>11433943.199999999</v>
      </c>
      <c r="G174" s="465">
        <f t="shared" si="29"/>
        <v>406747.04000000004</v>
      </c>
      <c r="H174" s="440">
        <f t="shared" si="29"/>
        <v>0</v>
      </c>
      <c r="I174" s="440">
        <f t="shared" si="29"/>
        <v>200000</v>
      </c>
      <c r="J174" s="465">
        <f t="shared" si="29"/>
        <v>200000</v>
      </c>
      <c r="K174" s="465">
        <f t="shared" si="29"/>
        <v>200000</v>
      </c>
      <c r="L174" s="564">
        <f t="shared" si="23"/>
        <v>0</v>
      </c>
      <c r="M174" s="565">
        <f t="shared" si="24"/>
        <v>49.170609821770306</v>
      </c>
      <c r="N174" s="565">
        <f t="shared" si="25"/>
        <v>49.170609821770299</v>
      </c>
    </row>
    <row r="175" spans="1:14" s="449" customFormat="1" ht="34" outlineLevel="1" x14ac:dyDescent="0.3">
      <c r="A175" s="438" t="s">
        <v>45</v>
      </c>
      <c r="B175" s="439" t="s">
        <v>500</v>
      </c>
      <c r="C175" s="439" t="s">
        <v>44</v>
      </c>
      <c r="D175" s="539" t="s">
        <v>133</v>
      </c>
      <c r="E175" s="539" t="s">
        <v>6</v>
      </c>
      <c r="F175" s="540">
        <v>11433943.199999999</v>
      </c>
      <c r="G175" s="465">
        <f t="shared" si="29"/>
        <v>406747.04000000004</v>
      </c>
      <c r="H175" s="440">
        <f t="shared" si="29"/>
        <v>0</v>
      </c>
      <c r="I175" s="440">
        <f t="shared" si="29"/>
        <v>200000</v>
      </c>
      <c r="J175" s="465">
        <f t="shared" si="29"/>
        <v>200000</v>
      </c>
      <c r="K175" s="465">
        <f t="shared" si="29"/>
        <v>200000</v>
      </c>
      <c r="L175" s="564">
        <f t="shared" si="23"/>
        <v>0</v>
      </c>
      <c r="M175" s="565">
        <f t="shared" si="24"/>
        <v>49.170609821770306</v>
      </c>
      <c r="N175" s="565">
        <f t="shared" si="25"/>
        <v>49.170609821770299</v>
      </c>
    </row>
    <row r="176" spans="1:14" ht="34" outlineLevel="2" x14ac:dyDescent="0.3">
      <c r="A176" s="438" t="s">
        <v>15</v>
      </c>
      <c r="B176" s="439" t="s">
        <v>500</v>
      </c>
      <c r="C176" s="439" t="s">
        <v>44</v>
      </c>
      <c r="D176" s="539" t="s">
        <v>133</v>
      </c>
      <c r="E176" s="539" t="s">
        <v>16</v>
      </c>
      <c r="F176" s="540">
        <v>11433943.199999999</v>
      </c>
      <c r="G176" s="465">
        <f t="shared" si="29"/>
        <v>406747.04000000004</v>
      </c>
      <c r="H176" s="440">
        <v>0</v>
      </c>
      <c r="I176" s="440">
        <f t="shared" si="29"/>
        <v>200000</v>
      </c>
      <c r="J176" s="465">
        <f t="shared" si="29"/>
        <v>200000</v>
      </c>
      <c r="K176" s="465">
        <f t="shared" si="29"/>
        <v>200000</v>
      </c>
      <c r="L176" s="564">
        <f t="shared" si="23"/>
        <v>0</v>
      </c>
      <c r="M176" s="565">
        <f t="shared" si="24"/>
        <v>49.170609821770306</v>
      </c>
      <c r="N176" s="565">
        <f t="shared" si="25"/>
        <v>49.170609821770299</v>
      </c>
    </row>
    <row r="177" spans="1:14" ht="34" outlineLevel="4" x14ac:dyDescent="0.3">
      <c r="A177" s="438" t="s">
        <v>17</v>
      </c>
      <c r="B177" s="439" t="s">
        <v>500</v>
      </c>
      <c r="C177" s="439" t="s">
        <v>44</v>
      </c>
      <c r="D177" s="539" t="s">
        <v>133</v>
      </c>
      <c r="E177" s="539" t="s">
        <v>18</v>
      </c>
      <c r="F177" s="540">
        <v>11433943.199999999</v>
      </c>
      <c r="G177" s="465">
        <f>[2]потребность!I172</f>
        <v>406747.04000000004</v>
      </c>
      <c r="H177" s="440">
        <v>0</v>
      </c>
      <c r="I177" s="440">
        <f>'[2]прил 12'!F172</f>
        <v>200000</v>
      </c>
      <c r="J177" s="466">
        <v>200000</v>
      </c>
      <c r="K177" s="466">
        <v>200000</v>
      </c>
      <c r="L177" s="564">
        <f t="shared" si="23"/>
        <v>0</v>
      </c>
      <c r="M177" s="565">
        <f t="shared" si="24"/>
        <v>49.170609821770306</v>
      </c>
      <c r="N177" s="565">
        <f t="shared" si="25"/>
        <v>49.170609821770299</v>
      </c>
    </row>
    <row r="178" spans="1:14" outlineLevel="5" x14ac:dyDescent="0.3">
      <c r="A178" s="438" t="s">
        <v>504</v>
      </c>
      <c r="B178" s="439" t="s">
        <v>500</v>
      </c>
      <c r="C178" s="439" t="s">
        <v>505</v>
      </c>
      <c r="D178" s="539" t="s">
        <v>126</v>
      </c>
      <c r="E178" s="539" t="s">
        <v>6</v>
      </c>
      <c r="F178" s="540">
        <v>236405.74</v>
      </c>
      <c r="G178" s="465">
        <f t="shared" ref="G178:K181" si="30">G179</f>
        <v>585000</v>
      </c>
      <c r="H178" s="440">
        <f t="shared" si="30"/>
        <v>380730.4</v>
      </c>
      <c r="I178" s="440">
        <f t="shared" si="30"/>
        <v>200000</v>
      </c>
      <c r="J178" s="465">
        <f t="shared" si="30"/>
        <v>1605000</v>
      </c>
      <c r="K178" s="465">
        <f t="shared" si="30"/>
        <v>605000</v>
      </c>
      <c r="L178" s="564">
        <f t="shared" si="23"/>
        <v>-1000000</v>
      </c>
      <c r="M178" s="565">
        <f t="shared" si="24"/>
        <v>274.35897435897436</v>
      </c>
      <c r="N178" s="565">
        <f t="shared" si="25"/>
        <v>103.41880341880344</v>
      </c>
    </row>
    <row r="179" spans="1:14" ht="34" outlineLevel="6" x14ac:dyDescent="0.3">
      <c r="A179" s="438" t="s">
        <v>132</v>
      </c>
      <c r="B179" s="439" t="s">
        <v>500</v>
      </c>
      <c r="C179" s="439" t="s">
        <v>505</v>
      </c>
      <c r="D179" s="539" t="s">
        <v>127</v>
      </c>
      <c r="E179" s="539" t="s">
        <v>6</v>
      </c>
      <c r="F179" s="540">
        <v>236405.74</v>
      </c>
      <c r="G179" s="465">
        <f t="shared" si="30"/>
        <v>585000</v>
      </c>
      <c r="H179" s="440">
        <f t="shared" si="30"/>
        <v>380730.4</v>
      </c>
      <c r="I179" s="440">
        <f t="shared" si="30"/>
        <v>200000</v>
      </c>
      <c r="J179" s="465">
        <f t="shared" si="30"/>
        <v>1605000</v>
      </c>
      <c r="K179" s="465">
        <f t="shared" si="30"/>
        <v>605000</v>
      </c>
      <c r="L179" s="564">
        <f t="shared" si="23"/>
        <v>-1000000</v>
      </c>
      <c r="M179" s="565">
        <f t="shared" si="24"/>
        <v>274.35897435897436</v>
      </c>
      <c r="N179" s="565">
        <f t="shared" si="25"/>
        <v>103.41880341880344</v>
      </c>
    </row>
    <row r="180" spans="1:14" ht="36" customHeight="1" outlineLevel="7" x14ac:dyDescent="0.3">
      <c r="A180" s="438" t="s">
        <v>506</v>
      </c>
      <c r="B180" s="439" t="s">
        <v>500</v>
      </c>
      <c r="C180" s="439" t="s">
        <v>505</v>
      </c>
      <c r="D180" s="539" t="s">
        <v>685</v>
      </c>
      <c r="E180" s="539" t="s">
        <v>6</v>
      </c>
      <c r="F180" s="540">
        <v>236405.74</v>
      </c>
      <c r="G180" s="465">
        <f t="shared" si="30"/>
        <v>585000</v>
      </c>
      <c r="H180" s="440">
        <f t="shared" si="30"/>
        <v>380730.4</v>
      </c>
      <c r="I180" s="440">
        <f t="shared" si="30"/>
        <v>200000</v>
      </c>
      <c r="J180" s="465">
        <f t="shared" si="30"/>
        <v>1605000</v>
      </c>
      <c r="K180" s="465">
        <f t="shared" si="30"/>
        <v>605000</v>
      </c>
      <c r="L180" s="564">
        <f t="shared" si="23"/>
        <v>-1000000</v>
      </c>
      <c r="M180" s="565">
        <f t="shared" si="24"/>
        <v>274.35897435897436</v>
      </c>
      <c r="N180" s="565">
        <f t="shared" si="25"/>
        <v>103.41880341880344</v>
      </c>
    </row>
    <row r="181" spans="1:14" ht="20.25" customHeight="1" outlineLevel="7" x14ac:dyDescent="0.3">
      <c r="A181" s="438" t="s">
        <v>15</v>
      </c>
      <c r="B181" s="439" t="s">
        <v>500</v>
      </c>
      <c r="C181" s="439" t="s">
        <v>505</v>
      </c>
      <c r="D181" s="539" t="s">
        <v>685</v>
      </c>
      <c r="E181" s="539" t="s">
        <v>16</v>
      </c>
      <c r="F181" s="540">
        <v>236405.74</v>
      </c>
      <c r="G181" s="465">
        <f t="shared" si="30"/>
        <v>585000</v>
      </c>
      <c r="H181" s="370">
        <v>380730.4</v>
      </c>
      <c r="I181" s="440">
        <f t="shared" si="30"/>
        <v>200000</v>
      </c>
      <c r="J181" s="465">
        <f t="shared" si="30"/>
        <v>1605000</v>
      </c>
      <c r="K181" s="465">
        <f t="shared" si="30"/>
        <v>605000</v>
      </c>
      <c r="L181" s="564">
        <f t="shared" si="23"/>
        <v>-1000000</v>
      </c>
      <c r="M181" s="565">
        <f t="shared" si="24"/>
        <v>274.35897435897436</v>
      </c>
      <c r="N181" s="565">
        <f t="shared" si="25"/>
        <v>103.41880341880344</v>
      </c>
    </row>
    <row r="182" spans="1:14" ht="34" outlineLevel="7" x14ac:dyDescent="0.3">
      <c r="A182" s="438" t="s">
        <v>17</v>
      </c>
      <c r="B182" s="439" t="s">
        <v>500</v>
      </c>
      <c r="C182" s="439" t="s">
        <v>505</v>
      </c>
      <c r="D182" s="539" t="s">
        <v>685</v>
      </c>
      <c r="E182" s="539" t="s">
        <v>18</v>
      </c>
      <c r="F182" s="540">
        <v>236405.74</v>
      </c>
      <c r="G182" s="465">
        <v>585000</v>
      </c>
      <c r="H182" s="370">
        <v>380730.4</v>
      </c>
      <c r="I182" s="440">
        <f>'[2]прил 12'!F177</f>
        <v>200000</v>
      </c>
      <c r="J182" s="466">
        <v>1605000</v>
      </c>
      <c r="K182" s="466">
        <f>J182-1000000</f>
        <v>605000</v>
      </c>
      <c r="L182" s="564">
        <f t="shared" si="23"/>
        <v>-1000000</v>
      </c>
      <c r="M182" s="565">
        <f t="shared" si="24"/>
        <v>274.35897435897436</v>
      </c>
      <c r="N182" s="565">
        <f t="shared" si="25"/>
        <v>103.41880341880344</v>
      </c>
    </row>
    <row r="183" spans="1:14" ht="20.25" customHeight="1" outlineLevel="7" x14ac:dyDescent="0.3">
      <c r="A183" s="444" t="s">
        <v>119</v>
      </c>
      <c r="B183" s="445" t="s">
        <v>500</v>
      </c>
      <c r="C183" s="445" t="s">
        <v>46</v>
      </c>
      <c r="D183" s="541" t="s">
        <v>126</v>
      </c>
      <c r="E183" s="541" t="s">
        <v>6</v>
      </c>
      <c r="F183" s="540">
        <v>46732107.039999999</v>
      </c>
      <c r="G183" s="508">
        <f>G201+G190+G213+G184</f>
        <v>29220883.93</v>
      </c>
      <c r="H183" s="446">
        <f>H201+H190+H213+H184</f>
        <v>12362901.439999999</v>
      </c>
      <c r="I183" s="446">
        <f>I201+I190+I213+I184</f>
        <v>14114514.17</v>
      </c>
      <c r="J183" s="508">
        <f>J201+J190+J213+J184</f>
        <v>16168133.93</v>
      </c>
      <c r="K183" s="508">
        <f>K201+K190+K213+K184</f>
        <v>15218133.93</v>
      </c>
      <c r="L183" s="564">
        <f t="shared" si="23"/>
        <v>-950000</v>
      </c>
      <c r="M183" s="565">
        <f t="shared" si="24"/>
        <v>55.330748955888964</v>
      </c>
      <c r="N183" s="565">
        <f t="shared" si="25"/>
        <v>52.079649494709855</v>
      </c>
    </row>
    <row r="184" spans="1:14" outlineLevel="7" x14ac:dyDescent="0.3">
      <c r="A184" s="438" t="s">
        <v>121</v>
      </c>
      <c r="B184" s="439" t="s">
        <v>500</v>
      </c>
      <c r="C184" s="439" t="s">
        <v>122</v>
      </c>
      <c r="D184" s="539" t="s">
        <v>126</v>
      </c>
      <c r="E184" s="539" t="s">
        <v>6</v>
      </c>
      <c r="F184" s="539" t="s">
        <v>976</v>
      </c>
      <c r="G184" s="465">
        <f>G185</f>
        <v>1122746.8500000001</v>
      </c>
      <c r="H184" s="440">
        <f>H185</f>
        <v>217322.94</v>
      </c>
      <c r="I184" s="440">
        <f>I185</f>
        <v>324127.09000000003</v>
      </c>
      <c r="J184" s="465">
        <f>J185</f>
        <v>1122746.8500000001</v>
      </c>
      <c r="K184" s="465">
        <f>K185</f>
        <v>1122746.8500000001</v>
      </c>
      <c r="L184" s="564">
        <f t="shared" si="23"/>
        <v>0</v>
      </c>
      <c r="M184" s="565">
        <f t="shared" si="24"/>
        <v>100</v>
      </c>
      <c r="N184" s="565">
        <f t="shared" si="25"/>
        <v>100</v>
      </c>
    </row>
    <row r="185" spans="1:14" ht="34" outlineLevel="7" x14ac:dyDescent="0.3">
      <c r="A185" s="444" t="s">
        <v>132</v>
      </c>
      <c r="B185" s="439" t="s">
        <v>500</v>
      </c>
      <c r="C185" s="445" t="s">
        <v>122</v>
      </c>
      <c r="D185" s="541" t="s">
        <v>127</v>
      </c>
      <c r="E185" s="541" t="s">
        <v>6</v>
      </c>
      <c r="F185" s="541" t="s">
        <v>976</v>
      </c>
      <c r="G185" s="508">
        <f>G187</f>
        <v>1122746.8500000001</v>
      </c>
      <c r="H185" s="446">
        <f>H187</f>
        <v>217322.94</v>
      </c>
      <c r="I185" s="446">
        <f>I187</f>
        <v>324127.09000000003</v>
      </c>
      <c r="J185" s="508">
        <f>J187</f>
        <v>1122746.8500000001</v>
      </c>
      <c r="K185" s="508">
        <f>K187</f>
        <v>1122746.8500000001</v>
      </c>
      <c r="L185" s="564">
        <f t="shared" si="23"/>
        <v>0</v>
      </c>
      <c r="M185" s="565">
        <f t="shared" si="24"/>
        <v>100</v>
      </c>
      <c r="N185" s="565">
        <f t="shared" si="25"/>
        <v>100</v>
      </c>
    </row>
    <row r="186" spans="1:14" s="449" customFormat="1" outlineLevel="7" x14ac:dyDescent="0.3">
      <c r="A186" s="438" t="s">
        <v>277</v>
      </c>
      <c r="B186" s="439" t="s">
        <v>500</v>
      </c>
      <c r="C186" s="439" t="s">
        <v>122</v>
      </c>
      <c r="D186" s="539" t="s">
        <v>276</v>
      </c>
      <c r="E186" s="539" t="s">
        <v>6</v>
      </c>
      <c r="F186" s="539" t="s">
        <v>976</v>
      </c>
      <c r="G186" s="465">
        <f t="shared" ref="G186:K188" si="31">G187</f>
        <v>1122746.8500000001</v>
      </c>
      <c r="H186" s="440">
        <f t="shared" si="31"/>
        <v>217322.94</v>
      </c>
      <c r="I186" s="440">
        <f t="shared" si="31"/>
        <v>324127.09000000003</v>
      </c>
      <c r="J186" s="465">
        <f t="shared" si="31"/>
        <v>1122746.8500000001</v>
      </c>
      <c r="K186" s="465">
        <f t="shared" si="31"/>
        <v>1122746.8500000001</v>
      </c>
      <c r="L186" s="564">
        <f t="shared" si="23"/>
        <v>0</v>
      </c>
      <c r="M186" s="565">
        <f t="shared" si="24"/>
        <v>100</v>
      </c>
      <c r="N186" s="565">
        <f t="shared" si="25"/>
        <v>100</v>
      </c>
    </row>
    <row r="187" spans="1:14" ht="84.75" customHeight="1" outlineLevel="7" x14ac:dyDescent="0.3">
      <c r="A187" s="450" t="s">
        <v>383</v>
      </c>
      <c r="B187" s="439" t="s">
        <v>500</v>
      </c>
      <c r="C187" s="439" t="s">
        <v>122</v>
      </c>
      <c r="D187" s="539" t="s">
        <v>286</v>
      </c>
      <c r="E187" s="539" t="s">
        <v>6</v>
      </c>
      <c r="F187" s="539" t="s">
        <v>976</v>
      </c>
      <c r="G187" s="465">
        <f t="shared" si="31"/>
        <v>1122746.8500000001</v>
      </c>
      <c r="H187" s="440">
        <f t="shared" si="31"/>
        <v>217322.94</v>
      </c>
      <c r="I187" s="440">
        <f t="shared" si="31"/>
        <v>324127.09000000003</v>
      </c>
      <c r="J187" s="465">
        <f t="shared" si="31"/>
        <v>1122746.8500000001</v>
      </c>
      <c r="K187" s="465">
        <f t="shared" si="31"/>
        <v>1122746.8500000001</v>
      </c>
      <c r="L187" s="564">
        <f t="shared" si="23"/>
        <v>0</v>
      </c>
      <c r="M187" s="565">
        <f t="shared" si="24"/>
        <v>100</v>
      </c>
      <c r="N187" s="565">
        <f t="shared" si="25"/>
        <v>100</v>
      </c>
    </row>
    <row r="188" spans="1:14" ht="34" outlineLevel="7" x14ac:dyDescent="0.3">
      <c r="A188" s="438" t="s">
        <v>15</v>
      </c>
      <c r="B188" s="439" t="s">
        <v>500</v>
      </c>
      <c r="C188" s="439" t="s">
        <v>122</v>
      </c>
      <c r="D188" s="539" t="s">
        <v>286</v>
      </c>
      <c r="E188" s="539" t="s">
        <v>16</v>
      </c>
      <c r="F188" s="539" t="s">
        <v>976</v>
      </c>
      <c r="G188" s="465">
        <f t="shared" si="31"/>
        <v>1122746.8500000001</v>
      </c>
      <c r="H188" s="371">
        <v>217322.94</v>
      </c>
      <c r="I188" s="440">
        <f t="shared" si="31"/>
        <v>324127.09000000003</v>
      </c>
      <c r="J188" s="465">
        <f t="shared" si="31"/>
        <v>1122746.8500000001</v>
      </c>
      <c r="K188" s="465">
        <f t="shared" si="31"/>
        <v>1122746.8500000001</v>
      </c>
      <c r="L188" s="564">
        <f t="shared" si="23"/>
        <v>0</v>
      </c>
      <c r="M188" s="565">
        <f t="shared" si="24"/>
        <v>100</v>
      </c>
      <c r="N188" s="565">
        <f t="shared" si="25"/>
        <v>100</v>
      </c>
    </row>
    <row r="189" spans="1:14" ht="34" outlineLevel="7" x14ac:dyDescent="0.3">
      <c r="A189" s="438" t="s">
        <v>17</v>
      </c>
      <c r="B189" s="439" t="s">
        <v>500</v>
      </c>
      <c r="C189" s="439" t="s">
        <v>122</v>
      </c>
      <c r="D189" s="539" t="s">
        <v>286</v>
      </c>
      <c r="E189" s="539" t="s">
        <v>18</v>
      </c>
      <c r="F189" s="539" t="s">
        <v>976</v>
      </c>
      <c r="G189" s="465">
        <f>324127.09+798619.76</f>
        <v>1122746.8500000001</v>
      </c>
      <c r="H189" s="371">
        <v>217322.94</v>
      </c>
      <c r="I189" s="440">
        <f>'[2]прил 12'!F184</f>
        <v>324127.09000000003</v>
      </c>
      <c r="J189" s="466">
        <v>1122746.8500000001</v>
      </c>
      <c r="K189" s="466">
        <v>1122746.8500000001</v>
      </c>
      <c r="L189" s="564">
        <f t="shared" si="23"/>
        <v>0</v>
      </c>
      <c r="M189" s="565">
        <f t="shared" si="24"/>
        <v>100</v>
      </c>
      <c r="N189" s="565">
        <f t="shared" si="25"/>
        <v>100</v>
      </c>
    </row>
    <row r="190" spans="1:14" outlineLevel="7" x14ac:dyDescent="0.3">
      <c r="A190" s="438" t="s">
        <v>290</v>
      </c>
      <c r="B190" s="439" t="s">
        <v>500</v>
      </c>
      <c r="C190" s="439" t="s">
        <v>291</v>
      </c>
      <c r="D190" s="539" t="s">
        <v>126</v>
      </c>
      <c r="E190" s="539" t="s">
        <v>6</v>
      </c>
      <c r="F190" s="539"/>
      <c r="G190" s="465">
        <f>G191+G198</f>
        <v>103387.08</v>
      </c>
      <c r="H190" s="440">
        <f>H191+H198</f>
        <v>0</v>
      </c>
      <c r="I190" s="440">
        <f>I191+I198</f>
        <v>103387.08</v>
      </c>
      <c r="J190" s="465">
        <f>J191+J198</f>
        <v>103387.08</v>
      </c>
      <c r="K190" s="465">
        <f>K191+K198</f>
        <v>103387.08</v>
      </c>
      <c r="L190" s="564">
        <f t="shared" si="23"/>
        <v>0</v>
      </c>
      <c r="M190" s="565">
        <f t="shared" si="24"/>
        <v>100.00000000000001</v>
      </c>
      <c r="N190" s="565">
        <f t="shared" si="25"/>
        <v>100</v>
      </c>
    </row>
    <row r="191" spans="1:14" ht="34" outlineLevel="7" x14ac:dyDescent="0.3">
      <c r="A191" s="438" t="s">
        <v>132</v>
      </c>
      <c r="B191" s="439" t="s">
        <v>500</v>
      </c>
      <c r="C191" s="439" t="s">
        <v>291</v>
      </c>
      <c r="D191" s="539" t="s">
        <v>127</v>
      </c>
      <c r="E191" s="539" t="s">
        <v>6</v>
      </c>
      <c r="F191" s="539"/>
      <c r="G191" s="465">
        <f>G193</f>
        <v>3387.08</v>
      </c>
      <c r="H191" s="440">
        <f>H193</f>
        <v>0</v>
      </c>
      <c r="I191" s="440">
        <f t="shared" ref="I191:K194" si="32">I192</f>
        <v>3387.08</v>
      </c>
      <c r="J191" s="465">
        <f t="shared" si="32"/>
        <v>3387.08</v>
      </c>
      <c r="K191" s="465">
        <f t="shared" si="32"/>
        <v>3387.08</v>
      </c>
      <c r="L191" s="564">
        <f t="shared" si="23"/>
        <v>0</v>
      </c>
      <c r="M191" s="565">
        <f t="shared" si="24"/>
        <v>99.999999999999986</v>
      </c>
      <c r="N191" s="565">
        <f t="shared" si="25"/>
        <v>100</v>
      </c>
    </row>
    <row r="192" spans="1:14" ht="20.25" customHeight="1" outlineLevel="7" x14ac:dyDescent="0.3">
      <c r="A192" s="438" t="s">
        <v>277</v>
      </c>
      <c r="B192" s="439" t="s">
        <v>500</v>
      </c>
      <c r="C192" s="439" t="s">
        <v>291</v>
      </c>
      <c r="D192" s="539" t="s">
        <v>276</v>
      </c>
      <c r="E192" s="539" t="s">
        <v>6</v>
      </c>
      <c r="F192" s="539"/>
      <c r="G192" s="465">
        <f>G193</f>
        <v>3387.08</v>
      </c>
      <c r="H192" s="440">
        <f>H193</f>
        <v>0</v>
      </c>
      <c r="I192" s="440">
        <f t="shared" si="32"/>
        <v>3387.08</v>
      </c>
      <c r="J192" s="465">
        <f t="shared" si="32"/>
        <v>3387.08</v>
      </c>
      <c r="K192" s="465">
        <f t="shared" si="32"/>
        <v>3387.08</v>
      </c>
      <c r="L192" s="564">
        <f t="shared" si="23"/>
        <v>0</v>
      </c>
      <c r="M192" s="565">
        <f t="shared" si="24"/>
        <v>99.999999999999986</v>
      </c>
      <c r="N192" s="565">
        <f t="shared" si="25"/>
        <v>100</v>
      </c>
    </row>
    <row r="193" spans="1:14" ht="118.9" outlineLevel="7" x14ac:dyDescent="0.3">
      <c r="A193" s="393" t="s">
        <v>385</v>
      </c>
      <c r="B193" s="439" t="s">
        <v>500</v>
      </c>
      <c r="C193" s="439" t="s">
        <v>291</v>
      </c>
      <c r="D193" s="539" t="s">
        <v>384</v>
      </c>
      <c r="E193" s="539" t="s">
        <v>6</v>
      </c>
      <c r="F193" s="539"/>
      <c r="G193" s="465">
        <f>G194</f>
        <v>3387.08</v>
      </c>
      <c r="H193" s="440">
        <f>H194</f>
        <v>0</v>
      </c>
      <c r="I193" s="440">
        <f t="shared" si="32"/>
        <v>3387.08</v>
      </c>
      <c r="J193" s="465">
        <f t="shared" si="32"/>
        <v>3387.08</v>
      </c>
      <c r="K193" s="465">
        <f t="shared" si="32"/>
        <v>3387.08</v>
      </c>
      <c r="L193" s="564">
        <f t="shared" si="23"/>
        <v>0</v>
      </c>
      <c r="M193" s="565">
        <f t="shared" si="24"/>
        <v>99.999999999999986</v>
      </c>
      <c r="N193" s="565">
        <f t="shared" si="25"/>
        <v>100</v>
      </c>
    </row>
    <row r="194" spans="1:14" ht="34" outlineLevel="7" x14ac:dyDescent="0.3">
      <c r="A194" s="438" t="s">
        <v>15</v>
      </c>
      <c r="B194" s="439" t="s">
        <v>500</v>
      </c>
      <c r="C194" s="439" t="s">
        <v>291</v>
      </c>
      <c r="D194" s="539" t="s">
        <v>384</v>
      </c>
      <c r="E194" s="539" t="s">
        <v>16</v>
      </c>
      <c r="F194" s="539"/>
      <c r="G194" s="465">
        <f>G195</f>
        <v>3387.08</v>
      </c>
      <c r="H194" s="440">
        <v>0</v>
      </c>
      <c r="I194" s="440">
        <f t="shared" si="32"/>
        <v>3387.08</v>
      </c>
      <c r="J194" s="465">
        <f t="shared" si="32"/>
        <v>3387.08</v>
      </c>
      <c r="K194" s="465">
        <f t="shared" si="32"/>
        <v>3387.08</v>
      </c>
      <c r="L194" s="564">
        <f t="shared" si="23"/>
        <v>0</v>
      </c>
      <c r="M194" s="565">
        <f t="shared" si="24"/>
        <v>99.999999999999986</v>
      </c>
      <c r="N194" s="565">
        <f t="shared" si="25"/>
        <v>100</v>
      </c>
    </row>
    <row r="195" spans="1:14" s="449" customFormat="1" ht="34" outlineLevel="7" x14ac:dyDescent="0.3">
      <c r="A195" s="438" t="s">
        <v>17</v>
      </c>
      <c r="B195" s="439" t="s">
        <v>500</v>
      </c>
      <c r="C195" s="439" t="s">
        <v>291</v>
      </c>
      <c r="D195" s="539" t="s">
        <v>384</v>
      </c>
      <c r="E195" s="539" t="s">
        <v>18</v>
      </c>
      <c r="F195" s="539"/>
      <c r="G195" s="466">
        <v>3387.08</v>
      </c>
      <c r="H195" s="442">
        <v>0</v>
      </c>
      <c r="I195" s="442">
        <f>'[2]прил 12'!F190</f>
        <v>3387.08</v>
      </c>
      <c r="J195" s="507">
        <v>3387.08</v>
      </c>
      <c r="K195" s="507">
        <v>3387.08</v>
      </c>
      <c r="L195" s="564">
        <f t="shared" si="23"/>
        <v>0</v>
      </c>
      <c r="M195" s="565">
        <f t="shared" si="24"/>
        <v>99.999999999999986</v>
      </c>
      <c r="N195" s="565">
        <f t="shared" si="25"/>
        <v>100</v>
      </c>
    </row>
    <row r="196" spans="1:14" s="449" customFormat="1" ht="67.95" outlineLevel="7" x14ac:dyDescent="0.3">
      <c r="A196" s="451" t="s">
        <v>821</v>
      </c>
      <c r="B196" s="439" t="s">
        <v>500</v>
      </c>
      <c r="C196" s="439" t="s">
        <v>291</v>
      </c>
      <c r="D196" s="539" t="s">
        <v>320</v>
      </c>
      <c r="E196" s="539" t="s">
        <v>6</v>
      </c>
      <c r="F196" s="539"/>
      <c r="G196" s="466">
        <f t="shared" ref="G196:K199" si="33">G197</f>
        <v>100000</v>
      </c>
      <c r="H196" s="442">
        <f t="shared" si="33"/>
        <v>0</v>
      </c>
      <c r="I196" s="442">
        <f t="shared" si="33"/>
        <v>100000</v>
      </c>
      <c r="J196" s="466">
        <f t="shared" si="33"/>
        <v>100000</v>
      </c>
      <c r="K196" s="466">
        <f t="shared" si="33"/>
        <v>100000</v>
      </c>
      <c r="L196" s="564">
        <f t="shared" si="23"/>
        <v>0</v>
      </c>
      <c r="M196" s="565">
        <f t="shared" si="24"/>
        <v>100</v>
      </c>
      <c r="N196" s="565">
        <f t="shared" si="25"/>
        <v>100</v>
      </c>
    </row>
    <row r="197" spans="1:14" s="449" customFormat="1" ht="34" outlineLevel="7" x14ac:dyDescent="0.3">
      <c r="A197" s="455" t="s">
        <v>808</v>
      </c>
      <c r="B197" s="439" t="s">
        <v>500</v>
      </c>
      <c r="C197" s="439" t="s">
        <v>291</v>
      </c>
      <c r="D197" s="539" t="s">
        <v>809</v>
      </c>
      <c r="E197" s="539" t="s">
        <v>6</v>
      </c>
      <c r="F197" s="539"/>
      <c r="G197" s="466">
        <f t="shared" si="33"/>
        <v>100000</v>
      </c>
      <c r="H197" s="442">
        <f t="shared" si="33"/>
        <v>0</v>
      </c>
      <c r="I197" s="442">
        <f t="shared" si="33"/>
        <v>100000</v>
      </c>
      <c r="J197" s="466">
        <f t="shared" si="33"/>
        <v>100000</v>
      </c>
      <c r="K197" s="466">
        <f t="shared" si="33"/>
        <v>100000</v>
      </c>
      <c r="L197" s="564">
        <f t="shared" si="23"/>
        <v>0</v>
      </c>
      <c r="M197" s="565">
        <f t="shared" si="24"/>
        <v>100</v>
      </c>
      <c r="N197" s="565">
        <f t="shared" si="25"/>
        <v>100</v>
      </c>
    </row>
    <row r="198" spans="1:14" s="449" customFormat="1" ht="101.9" outlineLevel="7" x14ac:dyDescent="0.3">
      <c r="A198" s="450" t="s">
        <v>811</v>
      </c>
      <c r="B198" s="439" t="s">
        <v>500</v>
      </c>
      <c r="C198" s="439" t="s">
        <v>291</v>
      </c>
      <c r="D198" s="539" t="s">
        <v>810</v>
      </c>
      <c r="E198" s="539" t="s">
        <v>6</v>
      </c>
      <c r="F198" s="539"/>
      <c r="G198" s="466">
        <f t="shared" si="33"/>
        <v>100000</v>
      </c>
      <c r="H198" s="442">
        <f t="shared" si="33"/>
        <v>0</v>
      </c>
      <c r="I198" s="442">
        <f t="shared" si="33"/>
        <v>100000</v>
      </c>
      <c r="J198" s="466">
        <f t="shared" si="33"/>
        <v>100000</v>
      </c>
      <c r="K198" s="466">
        <f t="shared" si="33"/>
        <v>100000</v>
      </c>
      <c r="L198" s="564">
        <f t="shared" si="23"/>
        <v>0</v>
      </c>
      <c r="M198" s="565">
        <f t="shared" si="24"/>
        <v>100</v>
      </c>
      <c r="N198" s="565">
        <f t="shared" si="25"/>
        <v>100</v>
      </c>
    </row>
    <row r="199" spans="1:14" s="449" customFormat="1" ht="34" outlineLevel="7" x14ac:dyDescent="0.3">
      <c r="A199" s="455" t="s">
        <v>772</v>
      </c>
      <c r="B199" s="439" t="s">
        <v>500</v>
      </c>
      <c r="C199" s="439" t="s">
        <v>291</v>
      </c>
      <c r="D199" s="539" t="s">
        <v>810</v>
      </c>
      <c r="E199" s="539" t="s">
        <v>20</v>
      </c>
      <c r="F199" s="539"/>
      <c r="G199" s="466">
        <f t="shared" si="33"/>
        <v>100000</v>
      </c>
      <c r="H199" s="442">
        <v>0</v>
      </c>
      <c r="I199" s="442">
        <f t="shared" si="33"/>
        <v>100000</v>
      </c>
      <c r="J199" s="466">
        <f t="shared" si="33"/>
        <v>100000</v>
      </c>
      <c r="K199" s="466">
        <f t="shared" si="33"/>
        <v>100000</v>
      </c>
      <c r="L199" s="564">
        <f t="shared" si="23"/>
        <v>0</v>
      </c>
      <c r="M199" s="565">
        <f t="shared" si="24"/>
        <v>100</v>
      </c>
      <c r="N199" s="565">
        <f t="shared" si="25"/>
        <v>100</v>
      </c>
    </row>
    <row r="200" spans="1:14" s="449" customFormat="1" ht="50.95" outlineLevel="7" x14ac:dyDescent="0.3">
      <c r="A200" s="438" t="s">
        <v>47</v>
      </c>
      <c r="B200" s="439" t="s">
        <v>500</v>
      </c>
      <c r="C200" s="439" t="s">
        <v>291</v>
      </c>
      <c r="D200" s="539" t="s">
        <v>810</v>
      </c>
      <c r="E200" s="539" t="s">
        <v>48</v>
      </c>
      <c r="F200" s="539"/>
      <c r="G200" s="466">
        <v>100000</v>
      </c>
      <c r="H200" s="442">
        <v>0</v>
      </c>
      <c r="I200" s="442">
        <f>'[2]прил 12'!F195</f>
        <v>100000</v>
      </c>
      <c r="J200" s="507">
        <v>100000</v>
      </c>
      <c r="K200" s="507">
        <v>100000</v>
      </c>
      <c r="L200" s="564">
        <f t="shared" ref="L200:L263" si="34">K200-J200</f>
        <v>0</v>
      </c>
      <c r="M200" s="565">
        <f t="shared" ref="M200:M261" si="35">J200/G200%</f>
        <v>100</v>
      </c>
      <c r="N200" s="565">
        <f t="shared" ref="N200:N261" si="36">K200/G200*100</f>
        <v>100</v>
      </c>
    </row>
    <row r="201" spans="1:14" ht="27.7" customHeight="1" outlineLevel="7" x14ac:dyDescent="0.3">
      <c r="A201" s="438" t="s">
        <v>49</v>
      </c>
      <c r="B201" s="439" t="s">
        <v>500</v>
      </c>
      <c r="C201" s="439" t="s">
        <v>50</v>
      </c>
      <c r="D201" s="539" t="s">
        <v>126</v>
      </c>
      <c r="E201" s="539" t="s">
        <v>6</v>
      </c>
      <c r="F201" s="540">
        <v>45977806.32</v>
      </c>
      <c r="G201" s="465">
        <f t="shared" ref="G201:K202" si="37">G202</f>
        <v>24051150</v>
      </c>
      <c r="H201" s="440">
        <f t="shared" si="37"/>
        <v>11934897.220000001</v>
      </c>
      <c r="I201" s="440">
        <f t="shared" si="37"/>
        <v>13157000</v>
      </c>
      <c r="J201" s="465">
        <f t="shared" si="37"/>
        <v>13057000</v>
      </c>
      <c r="K201" s="465">
        <f t="shared" si="37"/>
        <v>13057000</v>
      </c>
      <c r="L201" s="564">
        <f t="shared" si="34"/>
        <v>0</v>
      </c>
      <c r="M201" s="565">
        <f t="shared" si="35"/>
        <v>54.288464376963262</v>
      </c>
      <c r="N201" s="565">
        <f t="shared" si="36"/>
        <v>54.288464376963262</v>
      </c>
    </row>
    <row r="202" spans="1:14" ht="67.95" outlineLevel="7" x14ac:dyDescent="0.3">
      <c r="A202" s="444" t="s">
        <v>850</v>
      </c>
      <c r="B202" s="445" t="s">
        <v>500</v>
      </c>
      <c r="C202" s="445" t="s">
        <v>50</v>
      </c>
      <c r="D202" s="541" t="s">
        <v>335</v>
      </c>
      <c r="E202" s="541" t="s">
        <v>6</v>
      </c>
      <c r="F202" s="542">
        <v>45977806.32</v>
      </c>
      <c r="G202" s="508">
        <f t="shared" si="37"/>
        <v>24051150</v>
      </c>
      <c r="H202" s="446">
        <f t="shared" si="37"/>
        <v>11934897.220000001</v>
      </c>
      <c r="I202" s="446">
        <f t="shared" si="37"/>
        <v>13157000</v>
      </c>
      <c r="J202" s="508">
        <f t="shared" si="37"/>
        <v>13057000</v>
      </c>
      <c r="K202" s="508">
        <f t="shared" si="37"/>
        <v>13057000</v>
      </c>
      <c r="L202" s="564">
        <f t="shared" si="34"/>
        <v>0</v>
      </c>
      <c r="M202" s="565">
        <f t="shared" si="35"/>
        <v>54.288464376963262</v>
      </c>
      <c r="N202" s="565">
        <f t="shared" si="36"/>
        <v>54.288464376963262</v>
      </c>
    </row>
    <row r="203" spans="1:14" ht="41.45" customHeight="1" outlineLevel="7" x14ac:dyDescent="0.3">
      <c r="A203" s="438" t="s">
        <v>336</v>
      </c>
      <c r="B203" s="439" t="s">
        <v>500</v>
      </c>
      <c r="C203" s="439" t="s">
        <v>50</v>
      </c>
      <c r="D203" s="539" t="s">
        <v>337</v>
      </c>
      <c r="E203" s="539" t="s">
        <v>6</v>
      </c>
      <c r="F203" s="540">
        <v>45977806.32</v>
      </c>
      <c r="G203" s="465">
        <f>G204+G210</f>
        <v>24051150</v>
      </c>
      <c r="H203" s="440">
        <f>H204+H210</f>
        <v>11934897.220000001</v>
      </c>
      <c r="I203" s="440">
        <f>I204+I210</f>
        <v>13157000</v>
      </c>
      <c r="J203" s="465">
        <f>J204+J210</f>
        <v>13057000</v>
      </c>
      <c r="K203" s="465">
        <f>K204+K210</f>
        <v>13057000</v>
      </c>
      <c r="L203" s="564">
        <f t="shared" si="34"/>
        <v>0</v>
      </c>
      <c r="M203" s="565">
        <f t="shared" si="35"/>
        <v>54.288464376963262</v>
      </c>
      <c r="N203" s="565">
        <f t="shared" si="36"/>
        <v>54.288464376963262</v>
      </c>
    </row>
    <row r="204" spans="1:14" ht="67.95" outlineLevel="7" x14ac:dyDescent="0.3">
      <c r="A204" s="397" t="s">
        <v>822</v>
      </c>
      <c r="B204" s="439" t="s">
        <v>500</v>
      </c>
      <c r="C204" s="439" t="s">
        <v>50</v>
      </c>
      <c r="D204" s="539" t="s">
        <v>339</v>
      </c>
      <c r="E204" s="539" t="s">
        <v>6</v>
      </c>
      <c r="F204" s="540">
        <v>10511682.609999999</v>
      </c>
      <c r="G204" s="465">
        <f t="shared" ref="G204:K205" si="38">G205</f>
        <v>24051150</v>
      </c>
      <c r="H204" s="440">
        <f t="shared" si="38"/>
        <v>11934897.220000001</v>
      </c>
      <c r="I204" s="440">
        <f t="shared" si="38"/>
        <v>13057000</v>
      </c>
      <c r="J204" s="465">
        <f t="shared" si="38"/>
        <v>13057000</v>
      </c>
      <c r="K204" s="465">
        <f t="shared" si="38"/>
        <v>13057000</v>
      </c>
      <c r="L204" s="564">
        <f t="shared" si="34"/>
        <v>0</v>
      </c>
      <c r="M204" s="565">
        <f t="shared" si="35"/>
        <v>54.288464376963262</v>
      </c>
      <c r="N204" s="565">
        <f t="shared" si="36"/>
        <v>54.288464376963262</v>
      </c>
    </row>
    <row r="205" spans="1:14" s="449" customFormat="1" ht="34" outlineLevel="7" x14ac:dyDescent="0.3">
      <c r="A205" s="438" t="s">
        <v>15</v>
      </c>
      <c r="B205" s="439" t="s">
        <v>500</v>
      </c>
      <c r="C205" s="439" t="s">
        <v>50</v>
      </c>
      <c r="D205" s="539" t="s">
        <v>339</v>
      </c>
      <c r="E205" s="539" t="s">
        <v>16</v>
      </c>
      <c r="F205" s="540">
        <v>10511682.609999999</v>
      </c>
      <c r="G205" s="465">
        <f t="shared" si="38"/>
        <v>24051150</v>
      </c>
      <c r="H205" s="370">
        <v>11934897.220000001</v>
      </c>
      <c r="I205" s="440">
        <f t="shared" si="38"/>
        <v>13057000</v>
      </c>
      <c r="J205" s="465">
        <f t="shared" si="38"/>
        <v>13057000</v>
      </c>
      <c r="K205" s="465">
        <f t="shared" si="38"/>
        <v>13057000</v>
      </c>
      <c r="L205" s="564">
        <f t="shared" si="34"/>
        <v>0</v>
      </c>
      <c r="M205" s="565">
        <f t="shared" si="35"/>
        <v>54.288464376963262</v>
      </c>
      <c r="N205" s="565">
        <f t="shared" si="36"/>
        <v>54.288464376963262</v>
      </c>
    </row>
    <row r="206" spans="1:14" ht="44.5" customHeight="1" outlineLevel="7" x14ac:dyDescent="0.3">
      <c r="A206" s="438" t="s">
        <v>17</v>
      </c>
      <c r="B206" s="439" t="s">
        <v>500</v>
      </c>
      <c r="C206" s="439" t="s">
        <v>50</v>
      </c>
      <c r="D206" s="539" t="s">
        <v>339</v>
      </c>
      <c r="E206" s="539" t="s">
        <v>18</v>
      </c>
      <c r="F206" s="540">
        <v>10511682.609999999</v>
      </c>
      <c r="G206" s="465">
        <f>[2]потребность!L201-1500000-10690000</f>
        <v>24051150</v>
      </c>
      <c r="H206" s="370">
        <v>11934897.220000001</v>
      </c>
      <c r="I206" s="440">
        <f>'[2]прил 12'!F201</f>
        <v>13057000</v>
      </c>
      <c r="J206" s="466">
        <v>13057000</v>
      </c>
      <c r="K206" s="466">
        <v>13057000</v>
      </c>
      <c r="L206" s="564">
        <f t="shared" si="34"/>
        <v>0</v>
      </c>
      <c r="M206" s="565">
        <f t="shared" si="35"/>
        <v>54.288464376963262</v>
      </c>
      <c r="N206" s="565">
        <f t="shared" si="36"/>
        <v>54.288464376963262</v>
      </c>
    </row>
    <row r="207" spans="1:14" ht="57.25" hidden="1" customHeight="1" outlineLevel="7" x14ac:dyDescent="0.3">
      <c r="A207" s="438" t="s">
        <v>564</v>
      </c>
      <c r="B207" s="439" t="s">
        <v>500</v>
      </c>
      <c r="C207" s="439" t="s">
        <v>50</v>
      </c>
      <c r="D207" s="539" t="s">
        <v>586</v>
      </c>
      <c r="E207" s="539" t="s">
        <v>6</v>
      </c>
      <c r="F207" s="540">
        <v>34402140</v>
      </c>
      <c r="G207" s="465">
        <f>G208</f>
        <v>0</v>
      </c>
      <c r="H207" s="440">
        <f>H208</f>
        <v>0</v>
      </c>
      <c r="I207" s="440">
        <v>0</v>
      </c>
      <c r="J207" s="465">
        <f>J208</f>
        <v>0</v>
      </c>
      <c r="K207" s="465">
        <f>K208</f>
        <v>0</v>
      </c>
      <c r="L207" s="564">
        <f t="shared" si="34"/>
        <v>0</v>
      </c>
      <c r="M207" s="565"/>
      <c r="N207" s="565"/>
    </row>
    <row r="208" spans="1:14" ht="34" hidden="1" outlineLevel="7" x14ac:dyDescent="0.3">
      <c r="A208" s="438" t="s">
        <v>15</v>
      </c>
      <c r="B208" s="439" t="s">
        <v>500</v>
      </c>
      <c r="C208" s="439" t="s">
        <v>50</v>
      </c>
      <c r="D208" s="539" t="s">
        <v>586</v>
      </c>
      <c r="E208" s="539" t="s">
        <v>16</v>
      </c>
      <c r="F208" s="540">
        <v>34402140</v>
      </c>
      <c r="G208" s="465">
        <f>G209</f>
        <v>0</v>
      </c>
      <c r="H208" s="440">
        <f>H209</f>
        <v>0</v>
      </c>
      <c r="I208" s="440">
        <v>0</v>
      </c>
      <c r="J208" s="465">
        <f>J209</f>
        <v>0</v>
      </c>
      <c r="K208" s="465">
        <f>K209</f>
        <v>0</v>
      </c>
      <c r="L208" s="564">
        <f t="shared" si="34"/>
        <v>0</v>
      </c>
      <c r="M208" s="565"/>
      <c r="N208" s="565"/>
    </row>
    <row r="209" spans="1:14" ht="21.75" hidden="1" customHeight="1" outlineLevel="7" x14ac:dyDescent="0.3">
      <c r="A209" s="438" t="s">
        <v>17</v>
      </c>
      <c r="B209" s="439" t="s">
        <v>500</v>
      </c>
      <c r="C209" s="439" t="s">
        <v>50</v>
      </c>
      <c r="D209" s="539" t="s">
        <v>586</v>
      </c>
      <c r="E209" s="539" t="s">
        <v>18</v>
      </c>
      <c r="F209" s="540">
        <v>34402140</v>
      </c>
      <c r="G209" s="465">
        <v>0</v>
      </c>
      <c r="H209" s="440">
        <v>0</v>
      </c>
      <c r="I209" s="440">
        <v>0</v>
      </c>
      <c r="J209" s="466"/>
      <c r="K209" s="466"/>
      <c r="L209" s="564">
        <f t="shared" si="34"/>
        <v>0</v>
      </c>
      <c r="M209" s="565"/>
      <c r="N209" s="565"/>
    </row>
    <row r="210" spans="1:14" ht="43.5" hidden="1" customHeight="1" outlineLevel="7" x14ac:dyDescent="0.3">
      <c r="A210" s="438" t="s">
        <v>280</v>
      </c>
      <c r="B210" s="439" t="s">
        <v>500</v>
      </c>
      <c r="C210" s="439" t="s">
        <v>50</v>
      </c>
      <c r="D210" s="539" t="s">
        <v>409</v>
      </c>
      <c r="E210" s="539" t="s">
        <v>6</v>
      </c>
      <c r="F210" s="540">
        <v>1063983.71</v>
      </c>
      <c r="G210" s="466">
        <f t="shared" ref="G210:K211" si="39">G211</f>
        <v>0</v>
      </c>
      <c r="H210" s="442">
        <f t="shared" si="39"/>
        <v>0</v>
      </c>
      <c r="I210" s="442">
        <f t="shared" si="39"/>
        <v>100000</v>
      </c>
      <c r="J210" s="466">
        <f t="shared" si="39"/>
        <v>0</v>
      </c>
      <c r="K210" s="466">
        <f t="shared" si="39"/>
        <v>0</v>
      </c>
      <c r="L210" s="564">
        <f t="shared" si="34"/>
        <v>0</v>
      </c>
      <c r="M210" s="565"/>
      <c r="N210" s="565"/>
    </row>
    <row r="211" spans="1:14" ht="34" hidden="1" outlineLevel="7" x14ac:dyDescent="0.3">
      <c r="A211" s="438" t="s">
        <v>15</v>
      </c>
      <c r="B211" s="439" t="s">
        <v>500</v>
      </c>
      <c r="C211" s="439" t="s">
        <v>50</v>
      </c>
      <c r="D211" s="539" t="s">
        <v>409</v>
      </c>
      <c r="E211" s="539" t="s">
        <v>16</v>
      </c>
      <c r="F211" s="540">
        <v>1063983.71</v>
      </c>
      <c r="G211" s="466">
        <f t="shared" si="39"/>
        <v>0</v>
      </c>
      <c r="H211" s="442">
        <f t="shared" si="39"/>
        <v>0</v>
      </c>
      <c r="I211" s="442">
        <f t="shared" si="39"/>
        <v>100000</v>
      </c>
      <c r="J211" s="466">
        <f t="shared" si="39"/>
        <v>0</v>
      </c>
      <c r="K211" s="466">
        <f t="shared" si="39"/>
        <v>0</v>
      </c>
      <c r="L211" s="564">
        <f t="shared" si="34"/>
        <v>0</v>
      </c>
      <c r="M211" s="565"/>
      <c r="N211" s="565"/>
    </row>
    <row r="212" spans="1:14" ht="34" hidden="1" outlineLevel="7" x14ac:dyDescent="0.3">
      <c r="A212" s="438" t="s">
        <v>17</v>
      </c>
      <c r="B212" s="439" t="s">
        <v>500</v>
      </c>
      <c r="C212" s="439" t="s">
        <v>50</v>
      </c>
      <c r="D212" s="539" t="s">
        <v>409</v>
      </c>
      <c r="E212" s="539" t="s">
        <v>18</v>
      </c>
      <c r="F212" s="540">
        <v>1063983.71</v>
      </c>
      <c r="G212" s="465">
        <f>[2]потребность!I207-310000</f>
        <v>0</v>
      </c>
      <c r="H212" s="440">
        <v>0</v>
      </c>
      <c r="I212" s="440">
        <f>'[2]прил 12'!F207</f>
        <v>100000</v>
      </c>
      <c r="J212" s="466">
        <v>0</v>
      </c>
      <c r="K212" s="466">
        <v>0</v>
      </c>
      <c r="L212" s="564">
        <f t="shared" si="34"/>
        <v>0</v>
      </c>
      <c r="M212" s="565"/>
      <c r="N212" s="565"/>
    </row>
    <row r="213" spans="1:14" outlineLevel="7" x14ac:dyDescent="0.3">
      <c r="A213" s="438" t="s">
        <v>52</v>
      </c>
      <c r="B213" s="439" t="s">
        <v>500</v>
      </c>
      <c r="C213" s="439" t="s">
        <v>53</v>
      </c>
      <c r="D213" s="539" t="s">
        <v>126</v>
      </c>
      <c r="E213" s="539" t="s">
        <v>6</v>
      </c>
      <c r="F213" s="540">
        <v>754300.72</v>
      </c>
      <c r="G213" s="465">
        <f>G214+G219</f>
        <v>3943600</v>
      </c>
      <c r="H213" s="440">
        <f>H214+H219</f>
        <v>210681.28</v>
      </c>
      <c r="I213" s="440">
        <f>I214+I219</f>
        <v>530000</v>
      </c>
      <c r="J213" s="465">
        <f>J214+J219</f>
        <v>1885000</v>
      </c>
      <c r="K213" s="465">
        <f>K214+K219</f>
        <v>935000</v>
      </c>
      <c r="L213" s="564">
        <f t="shared" si="34"/>
        <v>-950000</v>
      </c>
      <c r="M213" s="565">
        <f t="shared" si="35"/>
        <v>47.798965412313621</v>
      </c>
      <c r="N213" s="565">
        <f t="shared" si="36"/>
        <v>23.709301146160868</v>
      </c>
    </row>
    <row r="214" spans="1:14" ht="39.25" customHeight="1" outlineLevel="7" x14ac:dyDescent="0.3">
      <c r="A214" s="444" t="s">
        <v>849</v>
      </c>
      <c r="B214" s="445" t="s">
        <v>500</v>
      </c>
      <c r="C214" s="445" t="s">
        <v>53</v>
      </c>
      <c r="D214" s="541" t="s">
        <v>412</v>
      </c>
      <c r="E214" s="541" t="s">
        <v>6</v>
      </c>
      <c r="F214" s="541" t="s">
        <v>976</v>
      </c>
      <c r="G214" s="465">
        <f t="shared" ref="G214:K217" si="40">G215</f>
        <v>100000</v>
      </c>
      <c r="H214" s="440">
        <f t="shared" si="40"/>
        <v>0</v>
      </c>
      <c r="I214" s="440">
        <f t="shared" si="40"/>
        <v>100000</v>
      </c>
      <c r="J214" s="465">
        <f t="shared" si="40"/>
        <v>100000</v>
      </c>
      <c r="K214" s="465">
        <f t="shared" si="40"/>
        <v>100000</v>
      </c>
      <c r="L214" s="564">
        <f t="shared" si="34"/>
        <v>0</v>
      </c>
      <c r="M214" s="565">
        <f t="shared" si="35"/>
        <v>100</v>
      </c>
      <c r="N214" s="565">
        <f t="shared" si="36"/>
        <v>100</v>
      </c>
    </row>
    <row r="215" spans="1:14" ht="34" outlineLevel="7" x14ac:dyDescent="0.3">
      <c r="A215" s="438" t="s">
        <v>780</v>
      </c>
      <c r="B215" s="439" t="s">
        <v>500</v>
      </c>
      <c r="C215" s="439" t="s">
        <v>53</v>
      </c>
      <c r="D215" s="539" t="s">
        <v>414</v>
      </c>
      <c r="E215" s="539" t="s">
        <v>6</v>
      </c>
      <c r="F215" s="539" t="s">
        <v>976</v>
      </c>
      <c r="G215" s="465">
        <f t="shared" si="40"/>
        <v>100000</v>
      </c>
      <c r="H215" s="440">
        <f t="shared" si="40"/>
        <v>0</v>
      </c>
      <c r="I215" s="440">
        <f t="shared" si="40"/>
        <v>100000</v>
      </c>
      <c r="J215" s="465">
        <f t="shared" si="40"/>
        <v>100000</v>
      </c>
      <c r="K215" s="465">
        <f t="shared" si="40"/>
        <v>100000</v>
      </c>
      <c r="L215" s="564">
        <f t="shared" si="34"/>
        <v>0</v>
      </c>
      <c r="M215" s="565">
        <f t="shared" si="35"/>
        <v>100</v>
      </c>
      <c r="N215" s="565">
        <f t="shared" si="36"/>
        <v>100</v>
      </c>
    </row>
    <row r="216" spans="1:14" ht="83.25" customHeight="1" outlineLevel="7" x14ac:dyDescent="0.3">
      <c r="A216" s="438" t="s">
        <v>781</v>
      </c>
      <c r="B216" s="439" t="s">
        <v>500</v>
      </c>
      <c r="C216" s="439" t="s">
        <v>53</v>
      </c>
      <c r="D216" s="539" t="s">
        <v>782</v>
      </c>
      <c r="E216" s="539" t="s">
        <v>6</v>
      </c>
      <c r="F216" s="539" t="s">
        <v>976</v>
      </c>
      <c r="G216" s="465">
        <f t="shared" si="40"/>
        <v>100000</v>
      </c>
      <c r="H216" s="440">
        <f t="shared" si="40"/>
        <v>0</v>
      </c>
      <c r="I216" s="440">
        <f t="shared" si="40"/>
        <v>100000</v>
      </c>
      <c r="J216" s="465">
        <f t="shared" si="40"/>
        <v>100000</v>
      </c>
      <c r="K216" s="465">
        <f t="shared" si="40"/>
        <v>100000</v>
      </c>
      <c r="L216" s="564">
        <f t="shared" si="34"/>
        <v>0</v>
      </c>
      <c r="M216" s="565">
        <f t="shared" si="35"/>
        <v>100</v>
      </c>
      <c r="N216" s="565">
        <f t="shared" si="36"/>
        <v>100</v>
      </c>
    </row>
    <row r="217" spans="1:14" outlineLevel="2" x14ac:dyDescent="0.3">
      <c r="A217" s="438" t="s">
        <v>19</v>
      </c>
      <c r="B217" s="439" t="s">
        <v>500</v>
      </c>
      <c r="C217" s="439" t="s">
        <v>53</v>
      </c>
      <c r="D217" s="539" t="s">
        <v>782</v>
      </c>
      <c r="E217" s="539" t="s">
        <v>20</v>
      </c>
      <c r="F217" s="539" t="s">
        <v>976</v>
      </c>
      <c r="G217" s="465">
        <f t="shared" si="40"/>
        <v>100000</v>
      </c>
      <c r="H217" s="440">
        <v>0</v>
      </c>
      <c r="I217" s="440">
        <f t="shared" si="40"/>
        <v>100000</v>
      </c>
      <c r="J217" s="465">
        <f t="shared" si="40"/>
        <v>100000</v>
      </c>
      <c r="K217" s="465">
        <f t="shared" si="40"/>
        <v>100000</v>
      </c>
      <c r="L217" s="564">
        <f t="shared" si="34"/>
        <v>0</v>
      </c>
      <c r="M217" s="565">
        <f t="shared" si="35"/>
        <v>100</v>
      </c>
      <c r="N217" s="565">
        <f t="shared" si="36"/>
        <v>100</v>
      </c>
    </row>
    <row r="218" spans="1:14" ht="50.95" outlineLevel="2" x14ac:dyDescent="0.3">
      <c r="A218" s="438" t="s">
        <v>47</v>
      </c>
      <c r="B218" s="439" t="s">
        <v>500</v>
      </c>
      <c r="C218" s="439" t="s">
        <v>53</v>
      </c>
      <c r="D218" s="539" t="s">
        <v>782</v>
      </c>
      <c r="E218" s="539" t="s">
        <v>48</v>
      </c>
      <c r="F218" s="539" t="s">
        <v>976</v>
      </c>
      <c r="G218" s="465">
        <v>100000</v>
      </c>
      <c r="H218" s="440">
        <v>0</v>
      </c>
      <c r="I218" s="440">
        <f>'[2]прил 12'!F213</f>
        <v>100000</v>
      </c>
      <c r="J218" s="466">
        <v>100000</v>
      </c>
      <c r="K218" s="466">
        <v>100000</v>
      </c>
      <c r="L218" s="564">
        <f t="shared" si="34"/>
        <v>0</v>
      </c>
      <c r="M218" s="565">
        <f t="shared" si="35"/>
        <v>100</v>
      </c>
      <c r="N218" s="565">
        <f t="shared" si="36"/>
        <v>100</v>
      </c>
    </row>
    <row r="219" spans="1:14" ht="60.8" customHeight="1" outlineLevel="2" x14ac:dyDescent="0.3">
      <c r="A219" s="444" t="s">
        <v>848</v>
      </c>
      <c r="B219" s="445" t="s">
        <v>500</v>
      </c>
      <c r="C219" s="445" t="s">
        <v>53</v>
      </c>
      <c r="D219" s="541" t="s">
        <v>340</v>
      </c>
      <c r="E219" s="541" t="s">
        <v>6</v>
      </c>
      <c r="F219" s="542">
        <v>464300.72</v>
      </c>
      <c r="G219" s="508">
        <f>G220+G224</f>
        <v>3843600</v>
      </c>
      <c r="H219" s="446">
        <f>H220+H224</f>
        <v>210681.28</v>
      </c>
      <c r="I219" s="446">
        <f>I220+I224</f>
        <v>430000</v>
      </c>
      <c r="J219" s="508">
        <f>J220+J224</f>
        <v>1785000</v>
      </c>
      <c r="K219" s="508">
        <f>K220+K224</f>
        <v>835000</v>
      </c>
      <c r="L219" s="564">
        <f t="shared" si="34"/>
        <v>-950000</v>
      </c>
      <c r="M219" s="565">
        <f t="shared" si="35"/>
        <v>46.440836715579145</v>
      </c>
      <c r="N219" s="565">
        <f t="shared" si="36"/>
        <v>21.724425018212091</v>
      </c>
    </row>
    <row r="220" spans="1:14" ht="34" outlineLevel="2" x14ac:dyDescent="0.3">
      <c r="A220" s="438" t="s">
        <v>386</v>
      </c>
      <c r="B220" s="439" t="s">
        <v>500</v>
      </c>
      <c r="C220" s="439" t="s">
        <v>53</v>
      </c>
      <c r="D220" s="539" t="s">
        <v>341</v>
      </c>
      <c r="E220" s="539" t="s">
        <v>6</v>
      </c>
      <c r="F220" s="540">
        <v>249600</v>
      </c>
      <c r="G220" s="466">
        <f t="shared" ref="G220:K222" si="41">G221</f>
        <v>3713600</v>
      </c>
      <c r="H220" s="442">
        <f t="shared" si="41"/>
        <v>160600</v>
      </c>
      <c r="I220" s="442">
        <f t="shared" si="41"/>
        <v>300000</v>
      </c>
      <c r="J220" s="466">
        <f t="shared" si="41"/>
        <v>235000</v>
      </c>
      <c r="K220" s="466">
        <f t="shared" si="41"/>
        <v>235000</v>
      </c>
      <c r="L220" s="564">
        <f t="shared" si="34"/>
        <v>0</v>
      </c>
      <c r="M220" s="565">
        <f t="shared" si="35"/>
        <v>6.3280913399396814</v>
      </c>
      <c r="N220" s="565">
        <f t="shared" si="36"/>
        <v>6.3280913399396814</v>
      </c>
    </row>
    <row r="221" spans="1:14" ht="34" outlineLevel="2" x14ac:dyDescent="0.3">
      <c r="A221" s="438" t="s">
        <v>342</v>
      </c>
      <c r="B221" s="439" t="s">
        <v>500</v>
      </c>
      <c r="C221" s="439" t="s">
        <v>53</v>
      </c>
      <c r="D221" s="539" t="s">
        <v>343</v>
      </c>
      <c r="E221" s="539" t="s">
        <v>6</v>
      </c>
      <c r="F221" s="540">
        <v>249600</v>
      </c>
      <c r="G221" s="466">
        <f t="shared" si="41"/>
        <v>3713600</v>
      </c>
      <c r="H221" s="442">
        <f t="shared" si="41"/>
        <v>160600</v>
      </c>
      <c r="I221" s="442">
        <f t="shared" si="41"/>
        <v>300000</v>
      </c>
      <c r="J221" s="466">
        <f t="shared" si="41"/>
        <v>235000</v>
      </c>
      <c r="K221" s="466">
        <f t="shared" si="41"/>
        <v>235000</v>
      </c>
      <c r="L221" s="564">
        <f t="shared" si="34"/>
        <v>0</v>
      </c>
      <c r="M221" s="565">
        <f t="shared" si="35"/>
        <v>6.3280913399396814</v>
      </c>
      <c r="N221" s="565">
        <f t="shared" si="36"/>
        <v>6.3280913399396814</v>
      </c>
    </row>
    <row r="222" spans="1:14" s="449" customFormat="1" ht="34" outlineLevel="3" x14ac:dyDescent="0.3">
      <c r="A222" s="438" t="s">
        <v>15</v>
      </c>
      <c r="B222" s="439" t="s">
        <v>500</v>
      </c>
      <c r="C222" s="439" t="s">
        <v>53</v>
      </c>
      <c r="D222" s="539" t="s">
        <v>343</v>
      </c>
      <c r="E222" s="539" t="s">
        <v>16</v>
      </c>
      <c r="F222" s="540">
        <v>249600</v>
      </c>
      <c r="G222" s="466">
        <f t="shared" si="41"/>
        <v>3713600</v>
      </c>
      <c r="H222" s="370">
        <v>160600</v>
      </c>
      <c r="I222" s="442">
        <f t="shared" si="41"/>
        <v>300000</v>
      </c>
      <c r="J222" s="466">
        <f t="shared" si="41"/>
        <v>235000</v>
      </c>
      <c r="K222" s="466">
        <f t="shared" si="41"/>
        <v>235000</v>
      </c>
      <c r="L222" s="564">
        <f t="shared" si="34"/>
        <v>0</v>
      </c>
      <c r="M222" s="565">
        <f t="shared" si="35"/>
        <v>6.3280913399396814</v>
      </c>
      <c r="N222" s="565">
        <f t="shared" si="36"/>
        <v>6.3280913399396814</v>
      </c>
    </row>
    <row r="223" spans="1:14" ht="34" outlineLevel="3" x14ac:dyDescent="0.3">
      <c r="A223" s="438" t="s">
        <v>17</v>
      </c>
      <c r="B223" s="439" t="s">
        <v>500</v>
      </c>
      <c r="C223" s="439" t="s">
        <v>53</v>
      </c>
      <c r="D223" s="539" t="s">
        <v>343</v>
      </c>
      <c r="E223" s="539" t="s">
        <v>18</v>
      </c>
      <c r="F223" s="540">
        <v>249600</v>
      </c>
      <c r="G223" s="465">
        <f>[2]потребность!I222+3500000</f>
        <v>3713600</v>
      </c>
      <c r="H223" s="370">
        <v>160600</v>
      </c>
      <c r="I223" s="440">
        <f>'[2]прил 12'!F218</f>
        <v>300000</v>
      </c>
      <c r="J223" s="466">
        <v>235000</v>
      </c>
      <c r="K223" s="466">
        <v>235000</v>
      </c>
      <c r="L223" s="564">
        <f t="shared" si="34"/>
        <v>0</v>
      </c>
      <c r="M223" s="565">
        <f t="shared" si="35"/>
        <v>6.3280913399396814</v>
      </c>
      <c r="N223" s="565">
        <f t="shared" si="36"/>
        <v>6.3280913399396814</v>
      </c>
    </row>
    <row r="224" spans="1:14" ht="34" outlineLevel="3" x14ac:dyDescent="0.3">
      <c r="A224" s="450" t="s">
        <v>388</v>
      </c>
      <c r="B224" s="439" t="s">
        <v>500</v>
      </c>
      <c r="C224" s="439" t="s">
        <v>53</v>
      </c>
      <c r="D224" s="539" t="s">
        <v>387</v>
      </c>
      <c r="E224" s="539" t="s">
        <v>6</v>
      </c>
      <c r="F224" s="540">
        <v>214700.72</v>
      </c>
      <c r="G224" s="465">
        <f t="shared" ref="G224:K226" si="42">G225</f>
        <v>130000</v>
      </c>
      <c r="H224" s="440">
        <f t="shared" si="42"/>
        <v>50081.279999999999</v>
      </c>
      <c r="I224" s="440">
        <f t="shared" si="42"/>
        <v>130000</v>
      </c>
      <c r="J224" s="465">
        <f t="shared" si="42"/>
        <v>1550000</v>
      </c>
      <c r="K224" s="465">
        <f t="shared" si="42"/>
        <v>600000</v>
      </c>
      <c r="L224" s="564">
        <f t="shared" si="34"/>
        <v>-950000</v>
      </c>
      <c r="M224" s="565">
        <f t="shared" si="35"/>
        <v>1192.3076923076924</v>
      </c>
      <c r="N224" s="565">
        <f t="shared" si="36"/>
        <v>461.53846153846149</v>
      </c>
    </row>
    <row r="225" spans="1:14" ht="34" outlineLevel="3" x14ac:dyDescent="0.3">
      <c r="A225" s="438" t="s">
        <v>344</v>
      </c>
      <c r="B225" s="439" t="s">
        <v>500</v>
      </c>
      <c r="C225" s="439" t="s">
        <v>53</v>
      </c>
      <c r="D225" s="539" t="s">
        <v>417</v>
      </c>
      <c r="E225" s="539" t="s">
        <v>6</v>
      </c>
      <c r="F225" s="540">
        <v>214700.72</v>
      </c>
      <c r="G225" s="465">
        <f t="shared" si="42"/>
        <v>130000</v>
      </c>
      <c r="H225" s="440">
        <f t="shared" si="42"/>
        <v>50081.279999999999</v>
      </c>
      <c r="I225" s="440">
        <f t="shared" si="42"/>
        <v>130000</v>
      </c>
      <c r="J225" s="465">
        <f t="shared" si="42"/>
        <v>1550000</v>
      </c>
      <c r="K225" s="465">
        <f t="shared" si="42"/>
        <v>600000</v>
      </c>
      <c r="L225" s="564">
        <f t="shared" si="34"/>
        <v>-950000</v>
      </c>
      <c r="M225" s="565">
        <f t="shared" si="35"/>
        <v>1192.3076923076924</v>
      </c>
      <c r="N225" s="565">
        <f t="shared" si="36"/>
        <v>461.53846153846149</v>
      </c>
    </row>
    <row r="226" spans="1:14" ht="18.7" customHeight="1" outlineLevel="3" x14ac:dyDescent="0.3">
      <c r="A226" s="438" t="s">
        <v>15</v>
      </c>
      <c r="B226" s="439" t="s">
        <v>500</v>
      </c>
      <c r="C226" s="439" t="s">
        <v>53</v>
      </c>
      <c r="D226" s="539" t="s">
        <v>417</v>
      </c>
      <c r="E226" s="539" t="s">
        <v>16</v>
      </c>
      <c r="F226" s="540">
        <v>214700.72</v>
      </c>
      <c r="G226" s="465">
        <f t="shared" si="42"/>
        <v>130000</v>
      </c>
      <c r="H226" s="370">
        <v>50081.279999999999</v>
      </c>
      <c r="I226" s="440">
        <f t="shared" si="42"/>
        <v>130000</v>
      </c>
      <c r="J226" s="465">
        <f t="shared" si="42"/>
        <v>1550000</v>
      </c>
      <c r="K226" s="465">
        <f t="shared" si="42"/>
        <v>600000</v>
      </c>
      <c r="L226" s="564">
        <f t="shared" si="34"/>
        <v>-950000</v>
      </c>
      <c r="M226" s="565">
        <f t="shared" si="35"/>
        <v>1192.3076923076924</v>
      </c>
      <c r="N226" s="565">
        <f t="shared" si="36"/>
        <v>461.53846153846149</v>
      </c>
    </row>
    <row r="227" spans="1:14" ht="19.55" customHeight="1" outlineLevel="3" x14ac:dyDescent="0.3">
      <c r="A227" s="438" t="s">
        <v>17</v>
      </c>
      <c r="B227" s="439" t="s">
        <v>500</v>
      </c>
      <c r="C227" s="439" t="s">
        <v>53</v>
      </c>
      <c r="D227" s="539" t="s">
        <v>417</v>
      </c>
      <c r="E227" s="539" t="s">
        <v>18</v>
      </c>
      <c r="F227" s="540">
        <v>214700.72</v>
      </c>
      <c r="G227" s="465">
        <v>130000</v>
      </c>
      <c r="H227" s="370">
        <v>50081.279999999999</v>
      </c>
      <c r="I227" s="440">
        <f>'[2]прил 12'!F222</f>
        <v>130000</v>
      </c>
      <c r="J227" s="466">
        <v>1550000</v>
      </c>
      <c r="K227" s="466">
        <f>1550000-950000</f>
        <v>600000</v>
      </c>
      <c r="L227" s="564">
        <f t="shared" si="34"/>
        <v>-950000</v>
      </c>
      <c r="M227" s="565">
        <f t="shared" si="35"/>
        <v>1192.3076923076924</v>
      </c>
      <c r="N227" s="565">
        <f t="shared" si="36"/>
        <v>461.53846153846149</v>
      </c>
    </row>
    <row r="228" spans="1:14" outlineLevel="5" x14ac:dyDescent="0.3">
      <c r="A228" s="444" t="s">
        <v>54</v>
      </c>
      <c r="B228" s="445" t="s">
        <v>500</v>
      </c>
      <c r="C228" s="445" t="s">
        <v>55</v>
      </c>
      <c r="D228" s="541" t="s">
        <v>126</v>
      </c>
      <c r="E228" s="541" t="s">
        <v>6</v>
      </c>
      <c r="F228" s="540">
        <v>188947675.87</v>
      </c>
      <c r="G228" s="515">
        <f>G229+G240+G272+G324</f>
        <v>126974379.52000001</v>
      </c>
      <c r="H228" s="456">
        <f>H229+H240+H272+H324</f>
        <v>91233080.129999995</v>
      </c>
      <c r="I228" s="456">
        <f>I229+I240+I272+I324</f>
        <v>48705734.209999993</v>
      </c>
      <c r="J228" s="515">
        <f>J229+J240+J272+J324</f>
        <v>62901864.480000004</v>
      </c>
      <c r="K228" s="515">
        <f>K229+K240+K272+K324</f>
        <v>61478008.660000004</v>
      </c>
      <c r="L228" s="564">
        <f t="shared" si="34"/>
        <v>-1423855.8200000003</v>
      </c>
      <c r="M228" s="565">
        <f t="shared" si="35"/>
        <v>49.539020956658582</v>
      </c>
      <c r="N228" s="565">
        <f t="shared" si="36"/>
        <v>48.417648420417343</v>
      </c>
    </row>
    <row r="229" spans="1:14" outlineLevel="6" x14ac:dyDescent="0.3">
      <c r="A229" s="438" t="s">
        <v>56</v>
      </c>
      <c r="B229" s="439" t="s">
        <v>500</v>
      </c>
      <c r="C229" s="439" t="s">
        <v>57</v>
      </c>
      <c r="D229" s="539" t="s">
        <v>126</v>
      </c>
      <c r="E229" s="539" t="s">
        <v>6</v>
      </c>
      <c r="F229" s="540">
        <v>3451807.53</v>
      </c>
      <c r="G229" s="465">
        <f>G230+G236</f>
        <v>4550000</v>
      </c>
      <c r="H229" s="440">
        <f>H230+H236</f>
        <v>3303727.39</v>
      </c>
      <c r="I229" s="440">
        <f>I230+I236</f>
        <v>2500000</v>
      </c>
      <c r="J229" s="465">
        <f>J230+J236</f>
        <v>2500000</v>
      </c>
      <c r="K229" s="465">
        <f>K230+K236</f>
        <v>2500000</v>
      </c>
      <c r="L229" s="564">
        <f t="shared" si="34"/>
        <v>0</v>
      </c>
      <c r="M229" s="565">
        <f t="shared" si="35"/>
        <v>54.945054945054942</v>
      </c>
      <c r="N229" s="565">
        <f t="shared" si="36"/>
        <v>54.945054945054949</v>
      </c>
    </row>
    <row r="230" spans="1:14" ht="61.5" customHeight="1" outlineLevel="7" x14ac:dyDescent="0.3">
      <c r="A230" s="444" t="s">
        <v>847</v>
      </c>
      <c r="B230" s="445" t="s">
        <v>500</v>
      </c>
      <c r="C230" s="445" t="s">
        <v>57</v>
      </c>
      <c r="D230" s="541" t="s">
        <v>331</v>
      </c>
      <c r="E230" s="541" t="s">
        <v>6</v>
      </c>
      <c r="F230" s="542">
        <v>3451807.53</v>
      </c>
      <c r="G230" s="508">
        <f t="shared" ref="G230:K233" si="43">G231</f>
        <v>4550000</v>
      </c>
      <c r="H230" s="446">
        <f t="shared" si="43"/>
        <v>3303727.39</v>
      </c>
      <c r="I230" s="446">
        <f t="shared" si="43"/>
        <v>2500000</v>
      </c>
      <c r="J230" s="508">
        <f t="shared" si="43"/>
        <v>2500000</v>
      </c>
      <c r="K230" s="508">
        <f t="shared" si="43"/>
        <v>2500000</v>
      </c>
      <c r="L230" s="564">
        <f t="shared" si="34"/>
        <v>0</v>
      </c>
      <c r="M230" s="565">
        <f t="shared" si="35"/>
        <v>54.945054945054942</v>
      </c>
      <c r="N230" s="565">
        <f t="shared" si="36"/>
        <v>54.945054945054949</v>
      </c>
    </row>
    <row r="231" spans="1:14" s="449" customFormat="1" ht="34" outlineLevel="1" x14ac:dyDescent="0.3">
      <c r="A231" s="438" t="s">
        <v>345</v>
      </c>
      <c r="B231" s="439" t="s">
        <v>500</v>
      </c>
      <c r="C231" s="439" t="s">
        <v>57</v>
      </c>
      <c r="D231" s="539" t="s">
        <v>332</v>
      </c>
      <c r="E231" s="539" t="s">
        <v>6</v>
      </c>
      <c r="F231" s="540">
        <v>3451807.53</v>
      </c>
      <c r="G231" s="465">
        <f t="shared" si="43"/>
        <v>4550000</v>
      </c>
      <c r="H231" s="440">
        <f t="shared" si="43"/>
        <v>3303727.39</v>
      </c>
      <c r="I231" s="440">
        <f t="shared" si="43"/>
        <v>2500000</v>
      </c>
      <c r="J231" s="465">
        <f t="shared" si="43"/>
        <v>2500000</v>
      </c>
      <c r="K231" s="465">
        <f t="shared" si="43"/>
        <v>2500000</v>
      </c>
      <c r="L231" s="564">
        <f t="shared" si="34"/>
        <v>0</v>
      </c>
      <c r="M231" s="565">
        <f t="shared" si="35"/>
        <v>54.945054945054942</v>
      </c>
      <c r="N231" s="565">
        <f t="shared" si="36"/>
        <v>54.945054945054949</v>
      </c>
    </row>
    <row r="232" spans="1:14" ht="34" outlineLevel="1" x14ac:dyDescent="0.3">
      <c r="A232" s="438" t="s">
        <v>346</v>
      </c>
      <c r="B232" s="439" t="s">
        <v>500</v>
      </c>
      <c r="C232" s="439" t="s">
        <v>57</v>
      </c>
      <c r="D232" s="539" t="s">
        <v>347</v>
      </c>
      <c r="E232" s="539" t="s">
        <v>6</v>
      </c>
      <c r="F232" s="540">
        <v>3451807.53</v>
      </c>
      <c r="G232" s="465">
        <f t="shared" si="43"/>
        <v>4550000</v>
      </c>
      <c r="H232" s="440">
        <f t="shared" si="43"/>
        <v>3303727.39</v>
      </c>
      <c r="I232" s="440">
        <f t="shared" si="43"/>
        <v>2500000</v>
      </c>
      <c r="J232" s="465">
        <f t="shared" si="43"/>
        <v>2500000</v>
      </c>
      <c r="K232" s="465">
        <f t="shared" si="43"/>
        <v>2500000</v>
      </c>
      <c r="L232" s="564">
        <f t="shared" si="34"/>
        <v>0</v>
      </c>
      <c r="M232" s="565">
        <f t="shared" si="35"/>
        <v>54.945054945054942</v>
      </c>
      <c r="N232" s="565">
        <f t="shared" si="36"/>
        <v>54.945054945054949</v>
      </c>
    </row>
    <row r="233" spans="1:14" s="449" customFormat="1" ht="34" outlineLevel="1" x14ac:dyDescent="0.3">
      <c r="A233" s="438" t="s">
        <v>15</v>
      </c>
      <c r="B233" s="439" t="s">
        <v>500</v>
      </c>
      <c r="C233" s="439" t="s">
        <v>57</v>
      </c>
      <c r="D233" s="539" t="s">
        <v>347</v>
      </c>
      <c r="E233" s="539" t="s">
        <v>16</v>
      </c>
      <c r="F233" s="540">
        <v>3451807.53</v>
      </c>
      <c r="G233" s="465">
        <f t="shared" si="43"/>
        <v>4550000</v>
      </c>
      <c r="H233" s="370">
        <v>3303727.39</v>
      </c>
      <c r="I233" s="440">
        <f t="shared" si="43"/>
        <v>2500000</v>
      </c>
      <c r="J233" s="465">
        <f t="shared" si="43"/>
        <v>2500000</v>
      </c>
      <c r="K233" s="465">
        <f t="shared" si="43"/>
        <v>2500000</v>
      </c>
      <c r="L233" s="564">
        <f t="shared" si="34"/>
        <v>0</v>
      </c>
      <c r="M233" s="565">
        <f t="shared" si="35"/>
        <v>54.945054945054942</v>
      </c>
      <c r="N233" s="565">
        <f t="shared" si="36"/>
        <v>54.945054945054949</v>
      </c>
    </row>
    <row r="234" spans="1:14" ht="36.700000000000003" customHeight="1" outlineLevel="1" x14ac:dyDescent="0.3">
      <c r="A234" s="438" t="s">
        <v>17</v>
      </c>
      <c r="B234" s="439" t="s">
        <v>500</v>
      </c>
      <c r="C234" s="439" t="s">
        <v>57</v>
      </c>
      <c r="D234" s="539" t="s">
        <v>347</v>
      </c>
      <c r="E234" s="539" t="s">
        <v>18</v>
      </c>
      <c r="F234" s="540">
        <v>3451807.53</v>
      </c>
      <c r="G234" s="466">
        <f>1500000+2800000+250000</f>
        <v>4550000</v>
      </c>
      <c r="H234" s="370">
        <v>3303727.39</v>
      </c>
      <c r="I234" s="442">
        <f>'[2]прил 12'!F229</f>
        <v>2500000</v>
      </c>
      <c r="J234" s="466">
        <v>2500000</v>
      </c>
      <c r="K234" s="466">
        <f>2500000</f>
        <v>2500000</v>
      </c>
      <c r="L234" s="564">
        <f t="shared" si="34"/>
        <v>0</v>
      </c>
      <c r="M234" s="565">
        <f t="shared" si="35"/>
        <v>54.945054945054942</v>
      </c>
      <c r="N234" s="565">
        <f t="shared" si="36"/>
        <v>54.945054945054949</v>
      </c>
    </row>
    <row r="235" spans="1:14" ht="34" hidden="1" outlineLevel="5" x14ac:dyDescent="0.3">
      <c r="A235" s="438" t="s">
        <v>132</v>
      </c>
      <c r="B235" s="439" t="s">
        <v>500</v>
      </c>
      <c r="C235" s="439" t="s">
        <v>57</v>
      </c>
      <c r="D235" s="539" t="s">
        <v>127</v>
      </c>
      <c r="E235" s="539" t="s">
        <v>6</v>
      </c>
      <c r="F235" s="539"/>
      <c r="G235" s="465">
        <f>G236</f>
        <v>0</v>
      </c>
      <c r="H235" s="441"/>
      <c r="I235" s="440"/>
      <c r="J235" s="466"/>
      <c r="K235" s="466"/>
      <c r="L235" s="564">
        <f t="shared" si="34"/>
        <v>0</v>
      </c>
      <c r="M235" s="565"/>
      <c r="N235" s="565"/>
    </row>
    <row r="236" spans="1:14" hidden="1" outlineLevel="6" x14ac:dyDescent="0.3">
      <c r="A236" s="438" t="s">
        <v>277</v>
      </c>
      <c r="B236" s="439" t="s">
        <v>500</v>
      </c>
      <c r="C236" s="439" t="s">
        <v>57</v>
      </c>
      <c r="D236" s="539" t="s">
        <v>276</v>
      </c>
      <c r="E236" s="539" t="s">
        <v>6</v>
      </c>
      <c r="F236" s="539"/>
      <c r="G236" s="465">
        <f>G237</f>
        <v>0</v>
      </c>
      <c r="H236" s="441"/>
      <c r="I236" s="440"/>
      <c r="J236" s="466"/>
      <c r="K236" s="466"/>
      <c r="L236" s="564">
        <f t="shared" si="34"/>
        <v>0</v>
      </c>
      <c r="M236" s="565"/>
      <c r="N236" s="565"/>
    </row>
    <row r="237" spans="1:14" ht="18" hidden="1" customHeight="1" outlineLevel="7" x14ac:dyDescent="0.3">
      <c r="A237" s="393" t="s">
        <v>381</v>
      </c>
      <c r="B237" s="439" t="s">
        <v>500</v>
      </c>
      <c r="C237" s="439" t="s">
        <v>57</v>
      </c>
      <c r="D237" s="539" t="s">
        <v>507</v>
      </c>
      <c r="E237" s="539" t="s">
        <v>6</v>
      </c>
      <c r="F237" s="539"/>
      <c r="G237" s="465">
        <f>G238</f>
        <v>0</v>
      </c>
      <c r="H237" s="441"/>
      <c r="I237" s="440"/>
      <c r="J237" s="466"/>
      <c r="K237" s="466"/>
      <c r="L237" s="564">
        <f t="shared" si="34"/>
        <v>0</v>
      </c>
      <c r="M237" s="565"/>
      <c r="N237" s="565"/>
    </row>
    <row r="238" spans="1:14" ht="19.55" hidden="1" customHeight="1" outlineLevel="7" x14ac:dyDescent="0.3">
      <c r="A238" s="438" t="s">
        <v>15</v>
      </c>
      <c r="B238" s="439" t="s">
        <v>500</v>
      </c>
      <c r="C238" s="439" t="s">
        <v>57</v>
      </c>
      <c r="D238" s="539" t="s">
        <v>507</v>
      </c>
      <c r="E238" s="539" t="s">
        <v>16</v>
      </c>
      <c r="F238" s="539"/>
      <c r="G238" s="465">
        <f>G239</f>
        <v>0</v>
      </c>
      <c r="H238" s="441"/>
      <c r="I238" s="440"/>
      <c r="J238" s="466"/>
      <c r="K238" s="466"/>
      <c r="L238" s="564">
        <f t="shared" si="34"/>
        <v>0</v>
      </c>
      <c r="M238" s="565"/>
      <c r="N238" s="565"/>
    </row>
    <row r="239" spans="1:14" ht="19.55" hidden="1" customHeight="1" outlineLevel="7" x14ac:dyDescent="0.3">
      <c r="A239" s="438" t="s">
        <v>17</v>
      </c>
      <c r="B239" s="439" t="s">
        <v>500</v>
      </c>
      <c r="C239" s="439" t="s">
        <v>57</v>
      </c>
      <c r="D239" s="539" t="s">
        <v>507</v>
      </c>
      <c r="E239" s="539" t="s">
        <v>18</v>
      </c>
      <c r="F239" s="539"/>
      <c r="G239" s="466">
        <v>0</v>
      </c>
      <c r="H239" s="443"/>
      <c r="I239" s="442"/>
      <c r="J239" s="466"/>
      <c r="K239" s="466"/>
      <c r="L239" s="564">
        <f t="shared" si="34"/>
        <v>0</v>
      </c>
      <c r="M239" s="565"/>
      <c r="N239" s="565"/>
    </row>
    <row r="240" spans="1:14" ht="18.7" customHeight="1" outlineLevel="7" x14ac:dyDescent="0.3">
      <c r="A240" s="438" t="s">
        <v>58</v>
      </c>
      <c r="B240" s="439" t="s">
        <v>500</v>
      </c>
      <c r="C240" s="439" t="s">
        <v>59</v>
      </c>
      <c r="D240" s="539" t="s">
        <v>126</v>
      </c>
      <c r="E240" s="539" t="s">
        <v>6</v>
      </c>
      <c r="F240" s="540">
        <v>157175808.12</v>
      </c>
      <c r="G240" s="465">
        <f>G241</f>
        <v>59022607.700000003</v>
      </c>
      <c r="H240" s="440">
        <f>H241</f>
        <v>54637654.609999999</v>
      </c>
      <c r="I240" s="440">
        <f>I241</f>
        <v>15331657.939999999</v>
      </c>
      <c r="J240" s="465">
        <f>J241</f>
        <v>33060658</v>
      </c>
      <c r="K240" s="465">
        <f>K241</f>
        <v>32060658</v>
      </c>
      <c r="L240" s="564">
        <f t="shared" si="34"/>
        <v>-1000000</v>
      </c>
      <c r="M240" s="565">
        <f t="shared" si="35"/>
        <v>56.013550211201526</v>
      </c>
      <c r="N240" s="565">
        <f t="shared" si="36"/>
        <v>54.319284168123936</v>
      </c>
    </row>
    <row r="241" spans="1:14" ht="50.95" outlineLevel="7" x14ac:dyDescent="0.3">
      <c r="A241" s="444" t="s">
        <v>845</v>
      </c>
      <c r="B241" s="445" t="s">
        <v>500</v>
      </c>
      <c r="C241" s="445" t="s">
        <v>59</v>
      </c>
      <c r="D241" s="541" t="s">
        <v>134</v>
      </c>
      <c r="E241" s="541" t="s">
        <v>6</v>
      </c>
      <c r="F241" s="540">
        <v>157175808.12</v>
      </c>
      <c r="G241" s="508">
        <f>G242+G269</f>
        <v>59022607.700000003</v>
      </c>
      <c r="H241" s="446">
        <f>H242+H269</f>
        <v>54637654.609999999</v>
      </c>
      <c r="I241" s="446">
        <f>I242+I269</f>
        <v>15331657.939999999</v>
      </c>
      <c r="J241" s="508">
        <f>J242+J269</f>
        <v>33060658</v>
      </c>
      <c r="K241" s="508">
        <f>K242+K269</f>
        <v>32060658</v>
      </c>
      <c r="L241" s="564">
        <f t="shared" si="34"/>
        <v>-1000000</v>
      </c>
      <c r="M241" s="565">
        <f t="shared" si="35"/>
        <v>56.013550211201526</v>
      </c>
      <c r="N241" s="565">
        <f t="shared" si="36"/>
        <v>54.319284168123936</v>
      </c>
    </row>
    <row r="242" spans="1:14" ht="50.95" outlineLevel="7" x14ac:dyDescent="0.3">
      <c r="A242" s="438" t="s">
        <v>846</v>
      </c>
      <c r="B242" s="439" t="s">
        <v>500</v>
      </c>
      <c r="C242" s="439" t="s">
        <v>59</v>
      </c>
      <c r="D242" s="539" t="s">
        <v>350</v>
      </c>
      <c r="E242" s="539" t="s">
        <v>6</v>
      </c>
      <c r="F242" s="540">
        <v>39215522.909999996</v>
      </c>
      <c r="G242" s="465">
        <f>G243+G250+G253+G259+G256</f>
        <v>37683628</v>
      </c>
      <c r="H242" s="440">
        <f>H243+H250+H253+H259+H256</f>
        <v>33298674.91</v>
      </c>
      <c r="I242" s="440">
        <f>I243+I250+I253+I259+I256</f>
        <v>15331657.939999999</v>
      </c>
      <c r="J242" s="465">
        <f>J243+J250+J253+J259+J256</f>
        <v>33060658</v>
      </c>
      <c r="K242" s="465">
        <f>K243+K250+K253+K259+K256</f>
        <v>32060658</v>
      </c>
      <c r="L242" s="564">
        <f t="shared" si="34"/>
        <v>-1000000</v>
      </c>
      <c r="M242" s="565">
        <f t="shared" si="35"/>
        <v>87.732152541151279</v>
      </c>
      <c r="N242" s="565">
        <f t="shared" si="36"/>
        <v>85.078480235501743</v>
      </c>
    </row>
    <row r="243" spans="1:14" ht="84.9" outlineLevel="1" x14ac:dyDescent="0.3">
      <c r="A243" s="438" t="s">
        <v>60</v>
      </c>
      <c r="B243" s="439" t="s">
        <v>500</v>
      </c>
      <c r="C243" s="439" t="s">
        <v>59</v>
      </c>
      <c r="D243" s="539" t="s">
        <v>351</v>
      </c>
      <c r="E243" s="539" t="s">
        <v>6</v>
      </c>
      <c r="F243" s="540">
        <v>18467321.710000001</v>
      </c>
      <c r="G243" s="465">
        <f>G244+G246+G248</f>
        <v>17205628</v>
      </c>
      <c r="H243" s="440">
        <f>H244+H246+H248</f>
        <v>11589414.24</v>
      </c>
      <c r="I243" s="440">
        <f>I244+I246+I248</f>
        <v>7110000</v>
      </c>
      <c r="J243" s="465">
        <f>J244+J246+J248</f>
        <v>12500000</v>
      </c>
      <c r="K243" s="465">
        <f>K244+K246+K248</f>
        <v>11500000</v>
      </c>
      <c r="L243" s="564">
        <f t="shared" si="34"/>
        <v>-1000000</v>
      </c>
      <c r="M243" s="565">
        <f t="shared" si="35"/>
        <v>72.650646637251484</v>
      </c>
      <c r="N243" s="565">
        <f t="shared" si="36"/>
        <v>66.838594906271368</v>
      </c>
    </row>
    <row r="244" spans="1:14" s="449" customFormat="1" ht="34" outlineLevel="1" x14ac:dyDescent="0.3">
      <c r="A244" s="438" t="s">
        <v>15</v>
      </c>
      <c r="B244" s="439" t="s">
        <v>500</v>
      </c>
      <c r="C244" s="439" t="s">
        <v>59</v>
      </c>
      <c r="D244" s="539" t="s">
        <v>351</v>
      </c>
      <c r="E244" s="539" t="s">
        <v>16</v>
      </c>
      <c r="F244" s="540">
        <v>5173445.33</v>
      </c>
      <c r="G244" s="465">
        <f>G245</f>
        <v>6127679.0999999996</v>
      </c>
      <c r="H244" s="370">
        <v>749716.98</v>
      </c>
      <c r="I244" s="440">
        <f>I245</f>
        <v>2110000</v>
      </c>
      <c r="J244" s="465">
        <f>J245</f>
        <v>2500000</v>
      </c>
      <c r="K244" s="465">
        <f>K245</f>
        <v>1500000</v>
      </c>
      <c r="L244" s="564">
        <f t="shared" si="34"/>
        <v>-1000000</v>
      </c>
      <c r="M244" s="565">
        <f t="shared" si="35"/>
        <v>40.798481108451</v>
      </c>
      <c r="N244" s="565">
        <f t="shared" si="36"/>
        <v>24.479088665070599</v>
      </c>
    </row>
    <row r="245" spans="1:14" ht="38.9" customHeight="1" outlineLevel="1" x14ac:dyDescent="0.3">
      <c r="A245" s="438" t="s">
        <v>17</v>
      </c>
      <c r="B245" s="439" t="s">
        <v>500</v>
      </c>
      <c r="C245" s="439" t="s">
        <v>59</v>
      </c>
      <c r="D245" s="539" t="s">
        <v>351</v>
      </c>
      <c r="E245" s="539" t="s">
        <v>18</v>
      </c>
      <c r="F245" s="540">
        <v>5173445.33</v>
      </c>
      <c r="G245" s="466">
        <f>[2]потребность!L244-482320.9+1700000</f>
        <v>6127679.0999999996</v>
      </c>
      <c r="H245" s="370">
        <v>749716.98</v>
      </c>
      <c r="I245" s="442">
        <f>'[2]прил 12'!F240</f>
        <v>2110000</v>
      </c>
      <c r="J245" s="466">
        <v>2500000</v>
      </c>
      <c r="K245" s="466">
        <f>2500000-1000000</f>
        <v>1500000</v>
      </c>
      <c r="L245" s="564">
        <f t="shared" si="34"/>
        <v>-1000000</v>
      </c>
      <c r="M245" s="565">
        <f t="shared" si="35"/>
        <v>40.798481108451</v>
      </c>
      <c r="N245" s="565">
        <f t="shared" si="36"/>
        <v>24.479088665070599</v>
      </c>
    </row>
    <row r="246" spans="1:14" ht="40.75" customHeight="1" outlineLevel="1" x14ac:dyDescent="0.3">
      <c r="A246" s="438" t="s">
        <v>264</v>
      </c>
      <c r="B246" s="439" t="s">
        <v>500</v>
      </c>
      <c r="C246" s="439" t="s">
        <v>59</v>
      </c>
      <c r="D246" s="539" t="s">
        <v>351</v>
      </c>
      <c r="E246" s="539" t="s">
        <v>265</v>
      </c>
      <c r="F246" s="540">
        <v>1362876.38</v>
      </c>
      <c r="G246" s="466">
        <f>G247</f>
        <v>1077948.8999999999</v>
      </c>
      <c r="H246" s="370">
        <v>839697.26</v>
      </c>
      <c r="I246" s="442">
        <f>I247</f>
        <v>0</v>
      </c>
      <c r="J246" s="466">
        <f>J247</f>
        <v>0</v>
      </c>
      <c r="K246" s="466">
        <f>K247</f>
        <v>0</v>
      </c>
      <c r="L246" s="564">
        <f t="shared" si="34"/>
        <v>0</v>
      </c>
      <c r="M246" s="565">
        <f t="shared" si="35"/>
        <v>0</v>
      </c>
      <c r="N246" s="565">
        <f t="shared" si="36"/>
        <v>0</v>
      </c>
    </row>
    <row r="247" spans="1:14" ht="41.3" customHeight="1" outlineLevel="1" x14ac:dyDescent="0.3">
      <c r="A247" s="438" t="s">
        <v>266</v>
      </c>
      <c r="B247" s="439" t="s">
        <v>500</v>
      </c>
      <c r="C247" s="439" t="s">
        <v>59</v>
      </c>
      <c r="D247" s="539" t="s">
        <v>351</v>
      </c>
      <c r="E247" s="539" t="s">
        <v>267</v>
      </c>
      <c r="F247" s="540">
        <v>1362876.38</v>
      </c>
      <c r="G247" s="466">
        <f>22900478.19-22304850.19+482320.9</f>
        <v>1077948.8999999999</v>
      </c>
      <c r="H247" s="370">
        <v>839697.26</v>
      </c>
      <c r="I247" s="442">
        <f>'[2]прил 12'!F242</f>
        <v>0</v>
      </c>
      <c r="J247" s="466">
        <f>'[2]прил 12'!G242</f>
        <v>0</v>
      </c>
      <c r="K247" s="466">
        <f>'[2]прил 12'!H242</f>
        <v>0</v>
      </c>
      <c r="L247" s="564">
        <f t="shared" si="34"/>
        <v>0</v>
      </c>
      <c r="M247" s="565">
        <f t="shared" si="35"/>
        <v>0</v>
      </c>
      <c r="N247" s="565">
        <f t="shared" si="36"/>
        <v>0</v>
      </c>
    </row>
    <row r="248" spans="1:14" ht="62.15" customHeight="1" outlineLevel="1" x14ac:dyDescent="0.3">
      <c r="A248" s="438" t="s">
        <v>19</v>
      </c>
      <c r="B248" s="439" t="s">
        <v>500</v>
      </c>
      <c r="C248" s="439" t="s">
        <v>59</v>
      </c>
      <c r="D248" s="539" t="s">
        <v>351</v>
      </c>
      <c r="E248" s="539" t="s">
        <v>20</v>
      </c>
      <c r="F248" s="540">
        <v>11931000</v>
      </c>
      <c r="G248" s="466">
        <f>G249</f>
        <v>10000000</v>
      </c>
      <c r="H248" s="370">
        <v>10000000</v>
      </c>
      <c r="I248" s="442">
        <f>I249</f>
        <v>5000000</v>
      </c>
      <c r="J248" s="466">
        <f>J249</f>
        <v>10000000</v>
      </c>
      <c r="K248" s="466">
        <f>K249</f>
        <v>10000000</v>
      </c>
      <c r="L248" s="564">
        <f t="shared" si="34"/>
        <v>0</v>
      </c>
      <c r="M248" s="565">
        <f t="shared" si="35"/>
        <v>100</v>
      </c>
      <c r="N248" s="565">
        <f t="shared" si="36"/>
        <v>100</v>
      </c>
    </row>
    <row r="249" spans="1:14" ht="69.45" customHeight="1" outlineLevel="1" x14ac:dyDescent="0.3">
      <c r="A249" s="438" t="s">
        <v>47</v>
      </c>
      <c r="B249" s="439" t="s">
        <v>500</v>
      </c>
      <c r="C249" s="439" t="s">
        <v>59</v>
      </c>
      <c r="D249" s="539" t="s">
        <v>351</v>
      </c>
      <c r="E249" s="539" t="s">
        <v>48</v>
      </c>
      <c r="F249" s="540">
        <v>11931000</v>
      </c>
      <c r="G249" s="466">
        <f>[2]потребность!L248</f>
        <v>10000000</v>
      </c>
      <c r="H249" s="370">
        <v>10000000</v>
      </c>
      <c r="I249" s="442">
        <f>'[2]прил 12'!F244</f>
        <v>5000000</v>
      </c>
      <c r="J249" s="466">
        <v>10000000</v>
      </c>
      <c r="K249" s="466">
        <v>10000000</v>
      </c>
      <c r="L249" s="564">
        <f t="shared" si="34"/>
        <v>0</v>
      </c>
      <c r="M249" s="565">
        <f t="shared" si="35"/>
        <v>100</v>
      </c>
      <c r="N249" s="565">
        <f t="shared" si="36"/>
        <v>100</v>
      </c>
    </row>
    <row r="250" spans="1:14" ht="21.25" customHeight="1" outlineLevel="1" x14ac:dyDescent="0.3">
      <c r="A250" s="438" t="s">
        <v>250</v>
      </c>
      <c r="B250" s="439" t="s">
        <v>500</v>
      </c>
      <c r="C250" s="439" t="s">
        <v>59</v>
      </c>
      <c r="D250" s="539" t="s">
        <v>352</v>
      </c>
      <c r="E250" s="539" t="s">
        <v>6</v>
      </c>
      <c r="F250" s="540">
        <v>1100000</v>
      </c>
      <c r="G250" s="466">
        <f t="shared" ref="G250:K251" si="44">G251</f>
        <v>4000000</v>
      </c>
      <c r="H250" s="442">
        <f t="shared" si="44"/>
        <v>2609040.7400000002</v>
      </c>
      <c r="I250" s="442">
        <f t="shared" si="44"/>
        <v>5000000</v>
      </c>
      <c r="J250" s="466">
        <f t="shared" si="44"/>
        <v>4400000</v>
      </c>
      <c r="K250" s="466">
        <f t="shared" si="44"/>
        <v>4400000</v>
      </c>
      <c r="L250" s="564">
        <f t="shared" si="34"/>
        <v>0</v>
      </c>
      <c r="M250" s="565">
        <f t="shared" si="35"/>
        <v>110</v>
      </c>
      <c r="N250" s="565">
        <f t="shared" si="36"/>
        <v>110.00000000000001</v>
      </c>
    </row>
    <row r="251" spans="1:14" ht="21.25" customHeight="1" outlineLevel="1" x14ac:dyDescent="0.3">
      <c r="A251" s="438" t="s">
        <v>19</v>
      </c>
      <c r="B251" s="439" t="s">
        <v>500</v>
      </c>
      <c r="C251" s="439" t="s">
        <v>59</v>
      </c>
      <c r="D251" s="539" t="s">
        <v>352</v>
      </c>
      <c r="E251" s="539" t="s">
        <v>20</v>
      </c>
      <c r="F251" s="540">
        <v>1100000</v>
      </c>
      <c r="G251" s="466">
        <f t="shared" si="44"/>
        <v>4000000</v>
      </c>
      <c r="H251" s="370">
        <v>2609040.7400000002</v>
      </c>
      <c r="I251" s="442">
        <f t="shared" si="44"/>
        <v>5000000</v>
      </c>
      <c r="J251" s="466">
        <f t="shared" si="44"/>
        <v>4400000</v>
      </c>
      <c r="K251" s="466">
        <f t="shared" si="44"/>
        <v>4400000</v>
      </c>
      <c r="L251" s="564">
        <f t="shared" si="34"/>
        <v>0</v>
      </c>
      <c r="M251" s="565">
        <f t="shared" si="35"/>
        <v>110</v>
      </c>
      <c r="N251" s="565">
        <f t="shared" si="36"/>
        <v>110.00000000000001</v>
      </c>
    </row>
    <row r="252" spans="1:14" ht="55.55" customHeight="1" outlineLevel="1" x14ac:dyDescent="0.3">
      <c r="A252" s="438" t="s">
        <v>47</v>
      </c>
      <c r="B252" s="439" t="s">
        <v>500</v>
      </c>
      <c r="C252" s="439" t="s">
        <v>59</v>
      </c>
      <c r="D252" s="539" t="s">
        <v>352</v>
      </c>
      <c r="E252" s="539" t="s">
        <v>48</v>
      </c>
      <c r="F252" s="540">
        <v>1100000</v>
      </c>
      <c r="G252" s="465">
        <f>[2]потребность!L251</f>
        <v>4000000</v>
      </c>
      <c r="H252" s="370">
        <v>2609040.7400000002</v>
      </c>
      <c r="I252" s="440">
        <f>'[2]прил 12'!F247</f>
        <v>5000000</v>
      </c>
      <c r="J252" s="466">
        <v>4400000</v>
      </c>
      <c r="K252" s="466">
        <v>4400000</v>
      </c>
      <c r="L252" s="564">
        <f t="shared" si="34"/>
        <v>0</v>
      </c>
      <c r="M252" s="565">
        <f t="shared" si="35"/>
        <v>110</v>
      </c>
      <c r="N252" s="565">
        <f t="shared" si="36"/>
        <v>110.00000000000001</v>
      </c>
    </row>
    <row r="253" spans="1:14" ht="36.700000000000003" customHeight="1" outlineLevel="1" x14ac:dyDescent="0.3">
      <c r="A253" s="438" t="s">
        <v>262</v>
      </c>
      <c r="B253" s="439" t="s">
        <v>500</v>
      </c>
      <c r="C253" s="439" t="s">
        <v>59</v>
      </c>
      <c r="D253" s="539" t="s">
        <v>353</v>
      </c>
      <c r="E253" s="539" t="s">
        <v>6</v>
      </c>
      <c r="F253" s="540">
        <v>13650000</v>
      </c>
      <c r="G253" s="466">
        <f t="shared" ref="G253:K254" si="45">G254</f>
        <v>15778000</v>
      </c>
      <c r="H253" s="442">
        <f t="shared" si="45"/>
        <v>19100219.93</v>
      </c>
      <c r="I253" s="442">
        <f t="shared" si="45"/>
        <v>2500000</v>
      </c>
      <c r="J253" s="466">
        <f t="shared" si="45"/>
        <v>15439000</v>
      </c>
      <c r="K253" s="466">
        <f t="shared" si="45"/>
        <v>15439000</v>
      </c>
      <c r="L253" s="564">
        <f t="shared" si="34"/>
        <v>0</v>
      </c>
      <c r="M253" s="565">
        <f t="shared" si="35"/>
        <v>97.851438712130815</v>
      </c>
      <c r="N253" s="565">
        <f t="shared" si="36"/>
        <v>97.851438712130815</v>
      </c>
    </row>
    <row r="254" spans="1:14" outlineLevel="1" x14ac:dyDescent="0.3">
      <c r="A254" s="438" t="s">
        <v>19</v>
      </c>
      <c r="B254" s="439" t="s">
        <v>500</v>
      </c>
      <c r="C254" s="439" t="s">
        <v>59</v>
      </c>
      <c r="D254" s="539" t="s">
        <v>353</v>
      </c>
      <c r="E254" s="539" t="s">
        <v>20</v>
      </c>
      <c r="F254" s="540">
        <v>13650000</v>
      </c>
      <c r="G254" s="466">
        <f t="shared" si="45"/>
        <v>15778000</v>
      </c>
      <c r="H254" s="370">
        <v>19100219.93</v>
      </c>
      <c r="I254" s="442">
        <f t="shared" si="45"/>
        <v>2500000</v>
      </c>
      <c r="J254" s="466">
        <f t="shared" si="45"/>
        <v>15439000</v>
      </c>
      <c r="K254" s="466">
        <f t="shared" si="45"/>
        <v>15439000</v>
      </c>
      <c r="L254" s="564">
        <f t="shared" si="34"/>
        <v>0</v>
      </c>
      <c r="M254" s="565">
        <f t="shared" si="35"/>
        <v>97.851438712130815</v>
      </c>
      <c r="N254" s="565">
        <f t="shared" si="36"/>
        <v>97.851438712130815</v>
      </c>
    </row>
    <row r="255" spans="1:14" ht="50.95" outlineLevel="1" x14ac:dyDescent="0.3">
      <c r="A255" s="438" t="s">
        <v>47</v>
      </c>
      <c r="B255" s="439" t="s">
        <v>500</v>
      </c>
      <c r="C255" s="439" t="s">
        <v>59</v>
      </c>
      <c r="D255" s="539" t="s">
        <v>353</v>
      </c>
      <c r="E255" s="539" t="s">
        <v>48</v>
      </c>
      <c r="F255" s="540">
        <v>13650000</v>
      </c>
      <c r="G255" s="465">
        <f>[2]потребность!L254+5000000</f>
        <v>15778000</v>
      </c>
      <c r="H255" s="370">
        <v>19100219.93</v>
      </c>
      <c r="I255" s="440">
        <f>'[2]прил 12'!F250</f>
        <v>2500000</v>
      </c>
      <c r="J255" s="466">
        <v>15439000</v>
      </c>
      <c r="K255" s="466">
        <v>15439000</v>
      </c>
      <c r="L255" s="564">
        <f t="shared" si="34"/>
        <v>0</v>
      </c>
      <c r="M255" s="565">
        <f t="shared" si="35"/>
        <v>97.851438712130815</v>
      </c>
      <c r="N255" s="565">
        <f t="shared" si="36"/>
        <v>97.851438712130815</v>
      </c>
    </row>
    <row r="256" spans="1:14" ht="50.95" outlineLevel="1" x14ac:dyDescent="0.3">
      <c r="A256" s="438" t="s">
        <v>299</v>
      </c>
      <c r="B256" s="439" t="s">
        <v>500</v>
      </c>
      <c r="C256" s="439" t="s">
        <v>59</v>
      </c>
      <c r="D256" s="539" t="s">
        <v>390</v>
      </c>
      <c r="E256" s="539" t="s">
        <v>6</v>
      </c>
      <c r="F256" s="539"/>
      <c r="G256" s="465">
        <f t="shared" ref="G256:K257" si="46">G257</f>
        <v>500000</v>
      </c>
      <c r="H256" s="440">
        <f t="shared" si="46"/>
        <v>0</v>
      </c>
      <c r="I256" s="440">
        <f t="shared" si="46"/>
        <v>521657.94</v>
      </c>
      <c r="J256" s="465">
        <f t="shared" si="46"/>
        <v>521658</v>
      </c>
      <c r="K256" s="465">
        <f t="shared" si="46"/>
        <v>521658</v>
      </c>
      <c r="L256" s="564">
        <f t="shared" si="34"/>
        <v>0</v>
      </c>
      <c r="M256" s="565">
        <f t="shared" si="35"/>
        <v>104.33159999999999</v>
      </c>
      <c r="N256" s="565">
        <f t="shared" si="36"/>
        <v>104.33159999999999</v>
      </c>
    </row>
    <row r="257" spans="1:14" ht="34" outlineLevel="1" x14ac:dyDescent="0.3">
      <c r="A257" s="438" t="s">
        <v>15</v>
      </c>
      <c r="B257" s="439" t="s">
        <v>500</v>
      </c>
      <c r="C257" s="439" t="s">
        <v>59</v>
      </c>
      <c r="D257" s="539" t="s">
        <v>390</v>
      </c>
      <c r="E257" s="539" t="s">
        <v>16</v>
      </c>
      <c r="F257" s="539"/>
      <c r="G257" s="465">
        <f t="shared" si="46"/>
        <v>500000</v>
      </c>
      <c r="H257" s="440">
        <v>0</v>
      </c>
      <c r="I257" s="440">
        <f t="shared" si="46"/>
        <v>521657.94</v>
      </c>
      <c r="J257" s="465">
        <f t="shared" si="46"/>
        <v>521658</v>
      </c>
      <c r="K257" s="465">
        <f t="shared" si="46"/>
        <v>521658</v>
      </c>
      <c r="L257" s="564">
        <f t="shared" si="34"/>
        <v>0</v>
      </c>
      <c r="M257" s="565">
        <f t="shared" si="35"/>
        <v>104.33159999999999</v>
      </c>
      <c r="N257" s="565">
        <f t="shared" si="36"/>
        <v>104.33159999999999</v>
      </c>
    </row>
    <row r="258" spans="1:14" ht="49.75" customHeight="1" outlineLevel="1" x14ac:dyDescent="0.3">
      <c r="A258" s="438" t="s">
        <v>17</v>
      </c>
      <c r="B258" s="439" t="s">
        <v>500</v>
      </c>
      <c r="C258" s="439" t="s">
        <v>59</v>
      </c>
      <c r="D258" s="539" t="s">
        <v>390</v>
      </c>
      <c r="E258" s="539" t="s">
        <v>18</v>
      </c>
      <c r="F258" s="539"/>
      <c r="G258" s="465">
        <v>500000</v>
      </c>
      <c r="H258" s="440">
        <v>0</v>
      </c>
      <c r="I258" s="440">
        <f>'[2]прил 12'!F253</f>
        <v>521657.94</v>
      </c>
      <c r="J258" s="466">
        <v>521658</v>
      </c>
      <c r="K258" s="466">
        <v>521658</v>
      </c>
      <c r="L258" s="564">
        <f t="shared" si="34"/>
        <v>0</v>
      </c>
      <c r="M258" s="565">
        <f t="shared" si="35"/>
        <v>104.33159999999999</v>
      </c>
      <c r="N258" s="565">
        <f t="shared" si="36"/>
        <v>104.33159999999999</v>
      </c>
    </row>
    <row r="259" spans="1:14" ht="56.25" customHeight="1" outlineLevel="1" x14ac:dyDescent="0.3">
      <c r="A259" s="438" t="s">
        <v>263</v>
      </c>
      <c r="B259" s="439" t="s">
        <v>500</v>
      </c>
      <c r="C259" s="439" t="s">
        <v>59</v>
      </c>
      <c r="D259" s="539" t="s">
        <v>391</v>
      </c>
      <c r="E259" s="539" t="s">
        <v>6</v>
      </c>
      <c r="F259" s="539"/>
      <c r="G259" s="465">
        <f t="shared" ref="G259:K260" si="47">G260</f>
        <v>200000</v>
      </c>
      <c r="H259" s="440">
        <f t="shared" si="47"/>
        <v>0</v>
      </c>
      <c r="I259" s="440">
        <f t="shared" si="47"/>
        <v>200000</v>
      </c>
      <c r="J259" s="465">
        <f t="shared" si="47"/>
        <v>200000</v>
      </c>
      <c r="K259" s="465">
        <f t="shared" si="47"/>
        <v>200000</v>
      </c>
      <c r="L259" s="564">
        <f t="shared" si="34"/>
        <v>0</v>
      </c>
      <c r="M259" s="565">
        <f t="shared" si="35"/>
        <v>100</v>
      </c>
      <c r="N259" s="565">
        <f t="shared" si="36"/>
        <v>100</v>
      </c>
    </row>
    <row r="260" spans="1:14" ht="37.549999999999997" customHeight="1" outlineLevel="1" x14ac:dyDescent="0.3">
      <c r="A260" s="438" t="s">
        <v>15</v>
      </c>
      <c r="B260" s="439" t="s">
        <v>500</v>
      </c>
      <c r="C260" s="439" t="s">
        <v>59</v>
      </c>
      <c r="D260" s="539" t="s">
        <v>391</v>
      </c>
      <c r="E260" s="539" t="s">
        <v>16</v>
      </c>
      <c r="F260" s="539"/>
      <c r="G260" s="465">
        <f t="shared" si="47"/>
        <v>200000</v>
      </c>
      <c r="H260" s="440">
        <v>0</v>
      </c>
      <c r="I260" s="440">
        <f t="shared" si="47"/>
        <v>200000</v>
      </c>
      <c r="J260" s="465">
        <f t="shared" si="47"/>
        <v>200000</v>
      </c>
      <c r="K260" s="465">
        <f t="shared" si="47"/>
        <v>200000</v>
      </c>
      <c r="L260" s="564">
        <f t="shared" si="34"/>
        <v>0</v>
      </c>
      <c r="M260" s="565">
        <f t="shared" si="35"/>
        <v>100</v>
      </c>
      <c r="N260" s="565">
        <f t="shared" si="36"/>
        <v>100</v>
      </c>
    </row>
    <row r="261" spans="1:14" ht="37.549999999999997" customHeight="1" outlineLevel="1" x14ac:dyDescent="0.3">
      <c r="A261" s="438" t="s">
        <v>17</v>
      </c>
      <c r="B261" s="439" t="s">
        <v>500</v>
      </c>
      <c r="C261" s="439" t="s">
        <v>59</v>
      </c>
      <c r="D261" s="539" t="s">
        <v>391</v>
      </c>
      <c r="E261" s="539" t="s">
        <v>18</v>
      </c>
      <c r="F261" s="539"/>
      <c r="G261" s="465">
        <v>200000</v>
      </c>
      <c r="H261" s="440">
        <v>0</v>
      </c>
      <c r="I261" s="440">
        <f>'[2]прил 12'!F256</f>
        <v>200000</v>
      </c>
      <c r="J261" s="466">
        <v>200000</v>
      </c>
      <c r="K261" s="466">
        <v>200000</v>
      </c>
      <c r="L261" s="564">
        <f t="shared" si="34"/>
        <v>0</v>
      </c>
      <c r="M261" s="565">
        <f t="shared" si="35"/>
        <v>100</v>
      </c>
      <c r="N261" s="565">
        <f t="shared" si="36"/>
        <v>100</v>
      </c>
    </row>
    <row r="262" spans="1:14" ht="55.7" hidden="1" customHeight="1" outlineLevel="1" x14ac:dyDescent="0.3">
      <c r="A262" s="438" t="s">
        <v>709</v>
      </c>
      <c r="B262" s="439" t="s">
        <v>500</v>
      </c>
      <c r="C262" s="439" t="s">
        <v>59</v>
      </c>
      <c r="D262" s="539" t="s">
        <v>708</v>
      </c>
      <c r="E262" s="539" t="s">
        <v>6</v>
      </c>
      <c r="F262" s="540">
        <v>5938219.1900000004</v>
      </c>
      <c r="G262" s="465">
        <f>G263</f>
        <v>0</v>
      </c>
      <c r="H262" s="440">
        <f>H263</f>
        <v>0</v>
      </c>
      <c r="I262" s="440">
        <v>0</v>
      </c>
      <c r="J262" s="466"/>
      <c r="K262" s="466"/>
      <c r="L262" s="564">
        <f t="shared" si="34"/>
        <v>0</v>
      </c>
      <c r="M262" s="565"/>
      <c r="N262" s="565"/>
    </row>
    <row r="263" spans="1:14" ht="37.549999999999997" hidden="1" customHeight="1" outlineLevel="1" x14ac:dyDescent="0.3">
      <c r="A263" s="438" t="s">
        <v>15</v>
      </c>
      <c r="B263" s="439" t="s">
        <v>500</v>
      </c>
      <c r="C263" s="439" t="s">
        <v>59</v>
      </c>
      <c r="D263" s="539" t="s">
        <v>708</v>
      </c>
      <c r="E263" s="539" t="s">
        <v>16</v>
      </c>
      <c r="F263" s="540">
        <v>5938219.1900000004</v>
      </c>
      <c r="G263" s="465">
        <f>G264</f>
        <v>0</v>
      </c>
      <c r="H263" s="440">
        <f>H264</f>
        <v>0</v>
      </c>
      <c r="I263" s="440">
        <v>0</v>
      </c>
      <c r="J263" s="466"/>
      <c r="K263" s="466"/>
      <c r="L263" s="564">
        <f t="shared" si="34"/>
        <v>0</v>
      </c>
      <c r="M263" s="565"/>
      <c r="N263" s="565"/>
    </row>
    <row r="264" spans="1:14" ht="37.549999999999997" hidden="1" customHeight="1" outlineLevel="1" x14ac:dyDescent="0.3">
      <c r="A264" s="438" t="s">
        <v>17</v>
      </c>
      <c r="B264" s="439" t="s">
        <v>500</v>
      </c>
      <c r="C264" s="439" t="s">
        <v>59</v>
      </c>
      <c r="D264" s="539" t="s">
        <v>708</v>
      </c>
      <c r="E264" s="539" t="s">
        <v>18</v>
      </c>
      <c r="F264" s="540">
        <v>5938219.1900000004</v>
      </c>
      <c r="G264" s="465"/>
      <c r="H264" s="440"/>
      <c r="I264" s="440">
        <v>0</v>
      </c>
      <c r="J264" s="466"/>
      <c r="K264" s="466"/>
      <c r="L264" s="564">
        <f t="shared" ref="L264:L327" si="48">K264-J264</f>
        <v>0</v>
      </c>
      <c r="M264" s="565"/>
      <c r="N264" s="565"/>
    </row>
    <row r="265" spans="1:14" ht="34" hidden="1" outlineLevel="1" x14ac:dyDescent="0.3">
      <c r="A265" s="438" t="s">
        <v>682</v>
      </c>
      <c r="B265" s="439" t="s">
        <v>500</v>
      </c>
      <c r="C265" s="439" t="s">
        <v>59</v>
      </c>
      <c r="D265" s="539" t="s">
        <v>681</v>
      </c>
      <c r="E265" s="539" t="s">
        <v>6</v>
      </c>
      <c r="F265" s="540">
        <v>59982.01</v>
      </c>
      <c r="G265" s="465">
        <f>G266</f>
        <v>0</v>
      </c>
      <c r="H265" s="440">
        <f>H266</f>
        <v>0</v>
      </c>
      <c r="I265" s="440">
        <v>0</v>
      </c>
      <c r="J265" s="466"/>
      <c r="K265" s="466"/>
      <c r="L265" s="564">
        <f t="shared" si="48"/>
        <v>0</v>
      </c>
      <c r="M265" s="565"/>
      <c r="N265" s="565"/>
    </row>
    <row r="266" spans="1:14" ht="34" hidden="1" outlineLevel="1" x14ac:dyDescent="0.3">
      <c r="A266" s="438" t="s">
        <v>15</v>
      </c>
      <c r="B266" s="439" t="s">
        <v>500</v>
      </c>
      <c r="C266" s="439" t="s">
        <v>59</v>
      </c>
      <c r="D266" s="539" t="s">
        <v>681</v>
      </c>
      <c r="E266" s="539" t="s">
        <v>16</v>
      </c>
      <c r="F266" s="540">
        <v>59982.01</v>
      </c>
      <c r="G266" s="465">
        <f>G267</f>
        <v>0</v>
      </c>
      <c r="H266" s="440">
        <f>H267</f>
        <v>0</v>
      </c>
      <c r="I266" s="440">
        <v>0</v>
      </c>
      <c r="J266" s="466"/>
      <c r="K266" s="466"/>
      <c r="L266" s="564">
        <f t="shared" si="48"/>
        <v>0</v>
      </c>
      <c r="M266" s="565"/>
      <c r="N266" s="565"/>
    </row>
    <row r="267" spans="1:14" ht="34" hidden="1" outlineLevel="1" x14ac:dyDescent="0.3">
      <c r="A267" s="438" t="s">
        <v>17</v>
      </c>
      <c r="B267" s="439" t="s">
        <v>500</v>
      </c>
      <c r="C267" s="439" t="s">
        <v>59</v>
      </c>
      <c r="D267" s="539" t="s">
        <v>681</v>
      </c>
      <c r="E267" s="539" t="s">
        <v>18</v>
      </c>
      <c r="F267" s="540">
        <v>59982.01</v>
      </c>
      <c r="G267" s="465">
        <v>0</v>
      </c>
      <c r="H267" s="440">
        <v>0</v>
      </c>
      <c r="I267" s="440">
        <v>0</v>
      </c>
      <c r="J267" s="466"/>
      <c r="K267" s="466"/>
      <c r="L267" s="564">
        <f t="shared" si="48"/>
        <v>0</v>
      </c>
      <c r="M267" s="565"/>
      <c r="N267" s="565"/>
    </row>
    <row r="268" spans="1:14" ht="27.7" customHeight="1" outlineLevel="1" x14ac:dyDescent="0.3">
      <c r="A268" s="450" t="s">
        <v>455</v>
      </c>
      <c r="B268" s="439" t="s">
        <v>500</v>
      </c>
      <c r="C268" s="439" t="s">
        <v>59</v>
      </c>
      <c r="D268" s="539" t="s">
        <v>700</v>
      </c>
      <c r="E268" s="539" t="s">
        <v>6</v>
      </c>
      <c r="F268" s="542">
        <v>117960285.20999999</v>
      </c>
      <c r="G268" s="465">
        <f>G269</f>
        <v>21338979.699999999</v>
      </c>
      <c r="H268" s="440">
        <f>H269</f>
        <v>21338979.699999999</v>
      </c>
      <c r="I268" s="440">
        <v>0</v>
      </c>
      <c r="J268" s="465">
        <f t="shared" ref="J268:K270" si="49">J269</f>
        <v>0</v>
      </c>
      <c r="K268" s="465">
        <f t="shared" si="49"/>
        <v>0</v>
      </c>
      <c r="L268" s="564">
        <f t="shared" si="48"/>
        <v>0</v>
      </c>
      <c r="M268" s="565">
        <f t="shared" ref="M268:M331" si="50">J268/G268%</f>
        <v>0</v>
      </c>
      <c r="N268" s="565">
        <f t="shared" ref="N268:N327" si="51">K268/G268*100</f>
        <v>0</v>
      </c>
    </row>
    <row r="269" spans="1:14" ht="41.95" customHeight="1" outlineLevel="1" x14ac:dyDescent="0.3">
      <c r="A269" s="438" t="s">
        <v>460</v>
      </c>
      <c r="B269" s="439" t="s">
        <v>500</v>
      </c>
      <c r="C269" s="439" t="s">
        <v>59</v>
      </c>
      <c r="D269" s="539" t="s">
        <v>701</v>
      </c>
      <c r="E269" s="539" t="s">
        <v>6</v>
      </c>
      <c r="F269" s="540">
        <v>117960285.20999999</v>
      </c>
      <c r="G269" s="465">
        <f>G270</f>
        <v>21338979.699999999</v>
      </c>
      <c r="H269" s="440">
        <f>H270</f>
        <v>21338979.699999999</v>
      </c>
      <c r="I269" s="440">
        <v>0</v>
      </c>
      <c r="J269" s="465">
        <f t="shared" si="49"/>
        <v>0</v>
      </c>
      <c r="K269" s="465">
        <f t="shared" si="49"/>
        <v>0</v>
      </c>
      <c r="L269" s="564">
        <f t="shared" si="48"/>
        <v>0</v>
      </c>
      <c r="M269" s="565">
        <f t="shared" si="50"/>
        <v>0</v>
      </c>
      <c r="N269" s="565">
        <f t="shared" si="51"/>
        <v>0</v>
      </c>
    </row>
    <row r="270" spans="1:14" ht="40.75" customHeight="1" outlineLevel="1" x14ac:dyDescent="0.3">
      <c r="A270" s="438" t="s">
        <v>264</v>
      </c>
      <c r="B270" s="439" t="s">
        <v>500</v>
      </c>
      <c r="C270" s="439" t="s">
        <v>59</v>
      </c>
      <c r="D270" s="539" t="s">
        <v>701</v>
      </c>
      <c r="E270" s="539" t="s">
        <v>265</v>
      </c>
      <c r="F270" s="540">
        <v>117960285.20999999</v>
      </c>
      <c r="G270" s="465">
        <f>G271</f>
        <v>21338979.699999999</v>
      </c>
      <c r="H270" s="370">
        <v>21338979.699999999</v>
      </c>
      <c r="I270" s="440">
        <v>0</v>
      </c>
      <c r="J270" s="465">
        <f t="shared" si="49"/>
        <v>0</v>
      </c>
      <c r="K270" s="465">
        <f t="shared" si="49"/>
        <v>0</v>
      </c>
      <c r="L270" s="564">
        <f t="shared" si="48"/>
        <v>0</v>
      </c>
      <c r="M270" s="565">
        <f t="shared" si="50"/>
        <v>0</v>
      </c>
      <c r="N270" s="565">
        <f t="shared" si="51"/>
        <v>0</v>
      </c>
    </row>
    <row r="271" spans="1:14" ht="23.95" customHeight="1" outlineLevel="1" x14ac:dyDescent="0.3">
      <c r="A271" s="438" t="s">
        <v>266</v>
      </c>
      <c r="B271" s="439" t="s">
        <v>500</v>
      </c>
      <c r="C271" s="439" t="s">
        <v>59</v>
      </c>
      <c r="D271" s="539" t="s">
        <v>701</v>
      </c>
      <c r="E271" s="539" t="s">
        <v>267</v>
      </c>
      <c r="F271" s="540">
        <v>117960285.20999999</v>
      </c>
      <c r="G271" s="465">
        <v>21338979.699999999</v>
      </c>
      <c r="H271" s="370">
        <v>21338979.699999999</v>
      </c>
      <c r="I271" s="440">
        <v>0</v>
      </c>
      <c r="J271" s="466"/>
      <c r="K271" s="466"/>
      <c r="L271" s="564">
        <f t="shared" si="48"/>
        <v>0</v>
      </c>
      <c r="M271" s="565">
        <f t="shared" si="50"/>
        <v>0</v>
      </c>
      <c r="N271" s="565">
        <f t="shared" si="51"/>
        <v>0</v>
      </c>
    </row>
    <row r="272" spans="1:14" ht="27.7" customHeight="1" outlineLevel="1" x14ac:dyDescent="0.3">
      <c r="A272" s="438" t="s">
        <v>61</v>
      </c>
      <c r="B272" s="439" t="s">
        <v>500</v>
      </c>
      <c r="C272" s="439" t="s">
        <v>62</v>
      </c>
      <c r="D272" s="539" t="s">
        <v>126</v>
      </c>
      <c r="E272" s="539" t="s">
        <v>6</v>
      </c>
      <c r="F272" s="540">
        <v>25901503.52</v>
      </c>
      <c r="G272" s="465">
        <f>G273+G287+G304</f>
        <v>55940903.060000002</v>
      </c>
      <c r="H272" s="440">
        <f>H273+H287+H304</f>
        <v>27271577.329999998</v>
      </c>
      <c r="I272" s="440">
        <f>I273+I287+I304</f>
        <v>30574076.27</v>
      </c>
      <c r="J272" s="465">
        <f>J273+J287+J304</f>
        <v>24281386.560000002</v>
      </c>
      <c r="K272" s="465">
        <f>K273+K287+K304</f>
        <v>23857530.740000002</v>
      </c>
      <c r="L272" s="564">
        <f t="shared" si="48"/>
        <v>-423855.8200000003</v>
      </c>
      <c r="M272" s="565">
        <f t="shared" si="50"/>
        <v>43.405424710353252</v>
      </c>
      <c r="N272" s="565">
        <f t="shared" si="51"/>
        <v>42.647739730642812</v>
      </c>
    </row>
    <row r="273" spans="1:14" ht="50.95" outlineLevel="1" x14ac:dyDescent="0.3">
      <c r="A273" s="444" t="s">
        <v>845</v>
      </c>
      <c r="B273" s="439" t="s">
        <v>500</v>
      </c>
      <c r="C273" s="445" t="s">
        <v>62</v>
      </c>
      <c r="D273" s="541" t="s">
        <v>134</v>
      </c>
      <c r="E273" s="541" t="s">
        <v>6</v>
      </c>
      <c r="F273" s="542">
        <v>299455.2</v>
      </c>
      <c r="G273" s="465">
        <f>G274</f>
        <v>2992316</v>
      </c>
      <c r="H273" s="440">
        <f>H274</f>
        <v>2292013.5</v>
      </c>
      <c r="I273" s="440">
        <f>I274</f>
        <v>1661631</v>
      </c>
      <c r="J273" s="465">
        <f>J274</f>
        <v>1691631</v>
      </c>
      <c r="K273" s="465">
        <f>K274</f>
        <v>1691631</v>
      </c>
      <c r="L273" s="564">
        <f t="shared" si="48"/>
        <v>0</v>
      </c>
      <c r="M273" s="565">
        <f t="shared" si="50"/>
        <v>56.532498573011672</v>
      </c>
      <c r="N273" s="565">
        <f t="shared" si="51"/>
        <v>56.532498573011672</v>
      </c>
    </row>
    <row r="274" spans="1:14" ht="23.3" customHeight="1" outlineLevel="1" x14ac:dyDescent="0.3">
      <c r="A274" s="438" t="s">
        <v>354</v>
      </c>
      <c r="B274" s="439" t="s">
        <v>500</v>
      </c>
      <c r="C274" s="439" t="s">
        <v>62</v>
      </c>
      <c r="D274" s="539" t="s">
        <v>232</v>
      </c>
      <c r="E274" s="539" t="s">
        <v>6</v>
      </c>
      <c r="F274" s="540">
        <v>299455.2</v>
      </c>
      <c r="G274" s="465">
        <f>G275+G281+G278+G284</f>
        <v>2992316</v>
      </c>
      <c r="H274" s="440">
        <f>H275+H281+H278+H284</f>
        <v>2292013.5</v>
      </c>
      <c r="I274" s="440">
        <f>I275+I281+I278+I284</f>
        <v>1661631</v>
      </c>
      <c r="J274" s="465">
        <f>J275+J281+J278+J284</f>
        <v>1691631</v>
      </c>
      <c r="K274" s="465">
        <f>K275+K281+K278+K284</f>
        <v>1691631</v>
      </c>
      <c r="L274" s="564">
        <f t="shared" si="48"/>
        <v>0</v>
      </c>
      <c r="M274" s="565">
        <f t="shared" si="50"/>
        <v>56.532498573011672</v>
      </c>
      <c r="N274" s="565">
        <f t="shared" si="51"/>
        <v>56.532498573011672</v>
      </c>
    </row>
    <row r="275" spans="1:14" ht="27.7" customHeight="1" outlineLevel="1" x14ac:dyDescent="0.3">
      <c r="A275" s="438" t="s">
        <v>360</v>
      </c>
      <c r="B275" s="439" t="s">
        <v>500</v>
      </c>
      <c r="C275" s="439" t="s">
        <v>62</v>
      </c>
      <c r="D275" s="539" t="s">
        <v>461</v>
      </c>
      <c r="E275" s="539" t="s">
        <v>6</v>
      </c>
      <c r="F275" s="540">
        <v>0</v>
      </c>
      <c r="G275" s="465">
        <f t="shared" ref="G275:K276" si="52">G276</f>
        <v>2492316</v>
      </c>
      <c r="H275" s="440">
        <f t="shared" si="52"/>
        <v>2079400</v>
      </c>
      <c r="I275" s="440">
        <f t="shared" si="52"/>
        <v>400000</v>
      </c>
      <c r="J275" s="465">
        <f t="shared" si="52"/>
        <v>400000</v>
      </c>
      <c r="K275" s="465">
        <f t="shared" si="52"/>
        <v>400000</v>
      </c>
      <c r="L275" s="564">
        <f t="shared" si="48"/>
        <v>0</v>
      </c>
      <c r="M275" s="565">
        <f t="shared" si="50"/>
        <v>16.049329218285322</v>
      </c>
      <c r="N275" s="565">
        <f t="shared" si="51"/>
        <v>16.049329218285322</v>
      </c>
    </row>
    <row r="276" spans="1:14" s="449" customFormat="1" ht="34" outlineLevel="1" x14ac:dyDescent="0.3">
      <c r="A276" s="397" t="s">
        <v>15</v>
      </c>
      <c r="B276" s="439" t="s">
        <v>500</v>
      </c>
      <c r="C276" s="439" t="s">
        <v>62</v>
      </c>
      <c r="D276" s="539" t="s">
        <v>461</v>
      </c>
      <c r="E276" s="539" t="s">
        <v>16</v>
      </c>
      <c r="F276" s="540">
        <v>0</v>
      </c>
      <c r="G276" s="465">
        <f t="shared" si="52"/>
        <v>2492316</v>
      </c>
      <c r="H276" s="373">
        <v>2079400</v>
      </c>
      <c r="I276" s="440">
        <f t="shared" si="52"/>
        <v>400000</v>
      </c>
      <c r="J276" s="465">
        <f t="shared" si="52"/>
        <v>400000</v>
      </c>
      <c r="K276" s="465">
        <f t="shared" si="52"/>
        <v>400000</v>
      </c>
      <c r="L276" s="564">
        <f t="shared" si="48"/>
        <v>0</v>
      </c>
      <c r="M276" s="565">
        <f t="shared" si="50"/>
        <v>16.049329218285322</v>
      </c>
      <c r="N276" s="565">
        <f t="shared" si="51"/>
        <v>16.049329218285322</v>
      </c>
    </row>
    <row r="277" spans="1:14" ht="34" outlineLevel="1" x14ac:dyDescent="0.3">
      <c r="A277" s="397" t="s">
        <v>17</v>
      </c>
      <c r="B277" s="439" t="s">
        <v>500</v>
      </c>
      <c r="C277" s="439" t="s">
        <v>62</v>
      </c>
      <c r="D277" s="539" t="s">
        <v>461</v>
      </c>
      <c r="E277" s="539" t="s">
        <v>18</v>
      </c>
      <c r="F277" s="540">
        <v>0</v>
      </c>
      <c r="G277" s="465">
        <f>200000+2292316</f>
        <v>2492316</v>
      </c>
      <c r="H277" s="373">
        <v>2079400</v>
      </c>
      <c r="I277" s="440">
        <f>'[2]прил 12'!F272</f>
        <v>400000</v>
      </c>
      <c r="J277" s="466">
        <v>400000</v>
      </c>
      <c r="K277" s="466">
        <v>400000</v>
      </c>
      <c r="L277" s="564">
        <f t="shared" si="48"/>
        <v>0</v>
      </c>
      <c r="M277" s="565">
        <f t="shared" si="50"/>
        <v>16.049329218285322</v>
      </c>
      <c r="N277" s="565">
        <f t="shared" si="51"/>
        <v>16.049329218285322</v>
      </c>
    </row>
    <row r="278" spans="1:14" ht="49.75" customHeight="1" outlineLevel="1" x14ac:dyDescent="0.3">
      <c r="A278" s="397" t="s">
        <v>767</v>
      </c>
      <c r="B278" s="439" t="s">
        <v>500</v>
      </c>
      <c r="C278" s="439" t="s">
        <v>62</v>
      </c>
      <c r="D278" s="539" t="s">
        <v>947</v>
      </c>
      <c r="E278" s="539" t="s">
        <v>6</v>
      </c>
      <c r="F278" s="539" t="s">
        <v>976</v>
      </c>
      <c r="G278" s="465">
        <f t="shared" ref="G278:I279" si="53">G279</f>
        <v>0</v>
      </c>
      <c r="H278" s="440">
        <f t="shared" si="53"/>
        <v>0</v>
      </c>
      <c r="I278" s="440">
        <f t="shared" si="53"/>
        <v>761631</v>
      </c>
      <c r="J278" s="466">
        <f>J279</f>
        <v>791631</v>
      </c>
      <c r="K278" s="466">
        <f>K279</f>
        <v>791631</v>
      </c>
      <c r="L278" s="564">
        <f t="shared" si="48"/>
        <v>0</v>
      </c>
      <c r="M278" s="565"/>
      <c r="N278" s="565"/>
    </row>
    <row r="279" spans="1:14" ht="34" outlineLevel="1" x14ac:dyDescent="0.3">
      <c r="A279" s="397" t="s">
        <v>15</v>
      </c>
      <c r="B279" s="439" t="s">
        <v>500</v>
      </c>
      <c r="C279" s="439" t="s">
        <v>62</v>
      </c>
      <c r="D279" s="539" t="s">
        <v>947</v>
      </c>
      <c r="E279" s="539" t="s">
        <v>16</v>
      </c>
      <c r="F279" s="539" t="s">
        <v>976</v>
      </c>
      <c r="G279" s="465">
        <f t="shared" si="53"/>
        <v>0</v>
      </c>
      <c r="H279" s="440">
        <f t="shared" si="53"/>
        <v>0</v>
      </c>
      <c r="I279" s="440">
        <f t="shared" si="53"/>
        <v>761631</v>
      </c>
      <c r="J279" s="466">
        <f>J280</f>
        <v>791631</v>
      </c>
      <c r="K279" s="466">
        <f>K280</f>
        <v>791631</v>
      </c>
      <c r="L279" s="564">
        <f t="shared" si="48"/>
        <v>0</v>
      </c>
      <c r="M279" s="565"/>
      <c r="N279" s="565"/>
    </row>
    <row r="280" spans="1:14" ht="18.7" customHeight="1" outlineLevel="1" x14ac:dyDescent="0.3">
      <c r="A280" s="397" t="s">
        <v>17</v>
      </c>
      <c r="B280" s="439" t="s">
        <v>500</v>
      </c>
      <c r="C280" s="439" t="s">
        <v>62</v>
      </c>
      <c r="D280" s="539" t="s">
        <v>947</v>
      </c>
      <c r="E280" s="539" t="s">
        <v>18</v>
      </c>
      <c r="F280" s="539" t="s">
        <v>976</v>
      </c>
      <c r="G280" s="465">
        <v>0</v>
      </c>
      <c r="H280" s="440">
        <v>0</v>
      </c>
      <c r="I280" s="440">
        <f>'[2]прил 12'!F278</f>
        <v>761631</v>
      </c>
      <c r="J280" s="466">
        <v>791631</v>
      </c>
      <c r="K280" s="466">
        <v>791631</v>
      </c>
      <c r="L280" s="564">
        <f t="shared" si="48"/>
        <v>0</v>
      </c>
      <c r="M280" s="565"/>
      <c r="N280" s="565"/>
    </row>
    <row r="281" spans="1:14" ht="34" outlineLevel="1" x14ac:dyDescent="0.3">
      <c r="A281" s="438" t="s">
        <v>63</v>
      </c>
      <c r="B281" s="439" t="s">
        <v>500</v>
      </c>
      <c r="C281" s="439" t="s">
        <v>62</v>
      </c>
      <c r="D281" s="539" t="s">
        <v>355</v>
      </c>
      <c r="E281" s="539" t="s">
        <v>6</v>
      </c>
      <c r="F281" s="540">
        <v>299455.2</v>
      </c>
      <c r="G281" s="465">
        <f>G282</f>
        <v>500000</v>
      </c>
      <c r="H281" s="440">
        <f>H282</f>
        <v>212613.5</v>
      </c>
      <c r="I281" s="440">
        <f>I282</f>
        <v>500000</v>
      </c>
      <c r="J281" s="466">
        <f>J282</f>
        <v>500000</v>
      </c>
      <c r="K281" s="466">
        <f>K282</f>
        <v>500000</v>
      </c>
      <c r="L281" s="564">
        <f t="shared" si="48"/>
        <v>0</v>
      </c>
      <c r="M281" s="565">
        <f t="shared" si="50"/>
        <v>100</v>
      </c>
      <c r="N281" s="565">
        <f t="shared" si="51"/>
        <v>100</v>
      </c>
    </row>
    <row r="282" spans="1:14" ht="34" outlineLevel="1" x14ac:dyDescent="0.3">
      <c r="A282" s="438" t="s">
        <v>15</v>
      </c>
      <c r="B282" s="439" t="s">
        <v>500</v>
      </c>
      <c r="C282" s="439" t="s">
        <v>62</v>
      </c>
      <c r="D282" s="539" t="s">
        <v>355</v>
      </c>
      <c r="E282" s="539" t="s">
        <v>16</v>
      </c>
      <c r="F282" s="540">
        <v>299455.2</v>
      </c>
      <c r="G282" s="465">
        <f>G283</f>
        <v>500000</v>
      </c>
      <c r="H282" s="370">
        <v>212613.5</v>
      </c>
      <c r="I282" s="440">
        <f>I283</f>
        <v>500000</v>
      </c>
      <c r="J282" s="466">
        <f>J283</f>
        <v>500000</v>
      </c>
      <c r="K282" s="466">
        <f>K283</f>
        <v>500000</v>
      </c>
      <c r="L282" s="564">
        <f t="shared" si="48"/>
        <v>0</v>
      </c>
      <c r="M282" s="565">
        <f t="shared" si="50"/>
        <v>100</v>
      </c>
      <c r="N282" s="565">
        <f t="shared" si="51"/>
        <v>100</v>
      </c>
    </row>
    <row r="283" spans="1:14" ht="22.75" customHeight="1" outlineLevel="1" x14ac:dyDescent="0.3">
      <c r="A283" s="438" t="s">
        <v>17</v>
      </c>
      <c r="B283" s="439" t="s">
        <v>500</v>
      </c>
      <c r="C283" s="439" t="s">
        <v>62</v>
      </c>
      <c r="D283" s="539" t="s">
        <v>355</v>
      </c>
      <c r="E283" s="539" t="s">
        <v>18</v>
      </c>
      <c r="F283" s="540">
        <v>299455.2</v>
      </c>
      <c r="G283" s="466">
        <v>500000</v>
      </c>
      <c r="H283" s="370">
        <v>212613.5</v>
      </c>
      <c r="I283" s="442">
        <f>'[2]прил 12'!F281</f>
        <v>500000</v>
      </c>
      <c r="J283" s="466">
        <v>500000</v>
      </c>
      <c r="K283" s="466">
        <v>500000</v>
      </c>
      <c r="L283" s="564">
        <f t="shared" si="48"/>
        <v>0</v>
      </c>
      <c r="M283" s="565">
        <f t="shared" si="50"/>
        <v>100</v>
      </c>
      <c r="N283" s="565">
        <f t="shared" si="51"/>
        <v>100</v>
      </c>
    </row>
    <row r="284" spans="1:14" ht="40.1" hidden="1" customHeight="1" outlineLevel="1" x14ac:dyDescent="0.3">
      <c r="A284" s="438" t="s">
        <v>948</v>
      </c>
      <c r="B284" s="439" t="s">
        <v>500</v>
      </c>
      <c r="C284" s="439" t="s">
        <v>62</v>
      </c>
      <c r="D284" s="539" t="s">
        <v>949</v>
      </c>
      <c r="E284" s="539" t="s">
        <v>6</v>
      </c>
      <c r="F284" s="539" t="s">
        <v>976</v>
      </c>
      <c r="G284" s="466">
        <f>G285</f>
        <v>0</v>
      </c>
      <c r="H284" s="442">
        <f>H285</f>
        <v>0</v>
      </c>
      <c r="I284" s="442">
        <v>0</v>
      </c>
      <c r="J284" s="466"/>
      <c r="K284" s="466"/>
      <c r="L284" s="564">
        <f t="shared" si="48"/>
        <v>0</v>
      </c>
      <c r="M284" s="565"/>
      <c r="N284" s="565"/>
    </row>
    <row r="285" spans="1:14" ht="22.75" hidden="1" customHeight="1" outlineLevel="1" x14ac:dyDescent="0.3">
      <c r="A285" s="438" t="s">
        <v>15</v>
      </c>
      <c r="B285" s="439" t="s">
        <v>500</v>
      </c>
      <c r="C285" s="439" t="s">
        <v>62</v>
      </c>
      <c r="D285" s="539" t="s">
        <v>949</v>
      </c>
      <c r="E285" s="539" t="s">
        <v>16</v>
      </c>
      <c r="F285" s="539" t="s">
        <v>976</v>
      </c>
      <c r="G285" s="466">
        <f>G286</f>
        <v>0</v>
      </c>
      <c r="H285" s="442">
        <f>H286</f>
        <v>0</v>
      </c>
      <c r="I285" s="442">
        <v>0</v>
      </c>
      <c r="J285" s="466"/>
      <c r="K285" s="466"/>
      <c r="L285" s="564">
        <f t="shared" si="48"/>
        <v>0</v>
      </c>
      <c r="M285" s="565"/>
      <c r="N285" s="565"/>
    </row>
    <row r="286" spans="1:14" ht="22.75" hidden="1" customHeight="1" outlineLevel="1" x14ac:dyDescent="0.3">
      <c r="A286" s="438" t="s">
        <v>17</v>
      </c>
      <c r="B286" s="439" t="s">
        <v>500</v>
      </c>
      <c r="C286" s="439" t="s">
        <v>62</v>
      </c>
      <c r="D286" s="539" t="s">
        <v>949</v>
      </c>
      <c r="E286" s="539" t="s">
        <v>18</v>
      </c>
      <c r="F286" s="539" t="s">
        <v>976</v>
      </c>
      <c r="G286" s="466">
        <v>0</v>
      </c>
      <c r="H286" s="442">
        <v>0</v>
      </c>
      <c r="I286" s="442">
        <v>0</v>
      </c>
      <c r="J286" s="466"/>
      <c r="K286" s="466"/>
      <c r="L286" s="564">
        <f t="shared" si="48"/>
        <v>0</v>
      </c>
      <c r="M286" s="565"/>
      <c r="N286" s="565"/>
    </row>
    <row r="287" spans="1:14" s="449" customFormat="1" ht="50.95" outlineLevel="1" x14ac:dyDescent="0.3">
      <c r="A287" s="444" t="s">
        <v>508</v>
      </c>
      <c r="B287" s="445" t="s">
        <v>500</v>
      </c>
      <c r="C287" s="445" t="s">
        <v>62</v>
      </c>
      <c r="D287" s="541" t="s">
        <v>509</v>
      </c>
      <c r="E287" s="541" t="s">
        <v>6</v>
      </c>
      <c r="F287" s="542">
        <v>9726045.7400000002</v>
      </c>
      <c r="G287" s="465">
        <f>G288</f>
        <v>37602759.850000001</v>
      </c>
      <c r="H287" s="440">
        <f>H288</f>
        <v>12620574.139999997</v>
      </c>
      <c r="I287" s="440">
        <f>I288</f>
        <v>8938369</v>
      </c>
      <c r="J287" s="465">
        <f>J288</f>
        <v>9414506.0600000005</v>
      </c>
      <c r="K287" s="465">
        <f>K288</f>
        <v>9214506.0600000005</v>
      </c>
      <c r="L287" s="564">
        <f t="shared" si="48"/>
        <v>-200000</v>
      </c>
      <c r="M287" s="565">
        <f t="shared" si="50"/>
        <v>25.036742243269146</v>
      </c>
      <c r="N287" s="565">
        <f t="shared" si="51"/>
        <v>24.504866389481251</v>
      </c>
    </row>
    <row r="288" spans="1:14" ht="34" outlineLevel="1" x14ac:dyDescent="0.3">
      <c r="A288" s="438" t="s">
        <v>510</v>
      </c>
      <c r="B288" s="439" t="s">
        <v>500</v>
      </c>
      <c r="C288" s="439" t="s">
        <v>62</v>
      </c>
      <c r="D288" s="539" t="s">
        <v>511</v>
      </c>
      <c r="E288" s="539" t="s">
        <v>6</v>
      </c>
      <c r="F288" s="540">
        <v>9726045.7400000002</v>
      </c>
      <c r="G288" s="465">
        <f>G289+G292+G295+G301+G298</f>
        <v>37602759.850000001</v>
      </c>
      <c r="H288" s="440">
        <f>H289+H292+H295+H301+H298</f>
        <v>12620574.139999997</v>
      </c>
      <c r="I288" s="440">
        <f>I289+I292+I295+I301+I298</f>
        <v>8938369</v>
      </c>
      <c r="J288" s="465">
        <f>J289+J292+J295+J301+J298</f>
        <v>9414506.0600000005</v>
      </c>
      <c r="K288" s="465">
        <f>K289+K292+K295+K301+K298</f>
        <v>9214506.0600000005</v>
      </c>
      <c r="L288" s="564">
        <f t="shared" si="48"/>
        <v>-200000</v>
      </c>
      <c r="M288" s="565">
        <f t="shared" si="50"/>
        <v>25.036742243269146</v>
      </c>
      <c r="N288" s="565">
        <f t="shared" si="51"/>
        <v>24.504866389481251</v>
      </c>
    </row>
    <row r="289" spans="1:14" ht="56.25" customHeight="1" outlineLevel="1" x14ac:dyDescent="0.3">
      <c r="A289" s="438" t="s">
        <v>512</v>
      </c>
      <c r="B289" s="439" t="s">
        <v>500</v>
      </c>
      <c r="C289" s="439" t="s">
        <v>62</v>
      </c>
      <c r="D289" s="539" t="s">
        <v>513</v>
      </c>
      <c r="E289" s="539" t="s">
        <v>6</v>
      </c>
      <c r="F289" s="540">
        <v>1296863.18</v>
      </c>
      <c r="G289" s="465">
        <f t="shared" ref="G289:K290" si="54">G290</f>
        <v>2660000</v>
      </c>
      <c r="H289" s="440">
        <f t="shared" si="54"/>
        <v>1833684.4</v>
      </c>
      <c r="I289" s="440">
        <f t="shared" si="54"/>
        <v>2738369</v>
      </c>
      <c r="J289" s="465">
        <f t="shared" si="54"/>
        <v>2170900</v>
      </c>
      <c r="K289" s="465">
        <f t="shared" si="54"/>
        <v>2170900</v>
      </c>
      <c r="L289" s="564">
        <f t="shared" si="48"/>
        <v>0</v>
      </c>
      <c r="M289" s="565">
        <f t="shared" si="50"/>
        <v>81.612781954887211</v>
      </c>
      <c r="N289" s="565">
        <f t="shared" si="51"/>
        <v>81.612781954887211</v>
      </c>
    </row>
    <row r="290" spans="1:14" ht="34" outlineLevel="1" x14ac:dyDescent="0.3">
      <c r="A290" s="438" t="s">
        <v>15</v>
      </c>
      <c r="B290" s="439" t="s">
        <v>500</v>
      </c>
      <c r="C290" s="439" t="s">
        <v>62</v>
      </c>
      <c r="D290" s="539" t="s">
        <v>513</v>
      </c>
      <c r="E290" s="539" t="s">
        <v>16</v>
      </c>
      <c r="F290" s="540">
        <v>1296863.18</v>
      </c>
      <c r="G290" s="465">
        <f t="shared" si="54"/>
        <v>2660000</v>
      </c>
      <c r="H290" s="370">
        <v>1833684.4</v>
      </c>
      <c r="I290" s="440">
        <f t="shared" si="54"/>
        <v>2738369</v>
      </c>
      <c r="J290" s="465">
        <f t="shared" si="54"/>
        <v>2170900</v>
      </c>
      <c r="K290" s="465">
        <f t="shared" si="54"/>
        <v>2170900</v>
      </c>
      <c r="L290" s="564">
        <f t="shared" si="48"/>
        <v>0</v>
      </c>
      <c r="M290" s="565">
        <f t="shared" si="50"/>
        <v>81.612781954887211</v>
      </c>
      <c r="N290" s="565">
        <f t="shared" si="51"/>
        <v>81.612781954887211</v>
      </c>
    </row>
    <row r="291" spans="1:14" ht="34" outlineLevel="1" x14ac:dyDescent="0.3">
      <c r="A291" s="438" t="s">
        <v>17</v>
      </c>
      <c r="B291" s="439" t="s">
        <v>500</v>
      </c>
      <c r="C291" s="439" t="s">
        <v>62</v>
      </c>
      <c r="D291" s="539" t="s">
        <v>513</v>
      </c>
      <c r="E291" s="539" t="s">
        <v>18</v>
      </c>
      <c r="F291" s="540">
        <v>1296863.18</v>
      </c>
      <c r="G291" s="466">
        <f>[2]потребность!L287+160000+1000000</f>
        <v>2660000</v>
      </c>
      <c r="H291" s="370">
        <v>1833684.4</v>
      </c>
      <c r="I291" s="442">
        <f>'[2]прил 12'!F286</f>
        <v>2738369</v>
      </c>
      <c r="J291" s="466">
        <v>2170900</v>
      </c>
      <c r="K291" s="466">
        <v>2170900</v>
      </c>
      <c r="L291" s="564">
        <f t="shared" si="48"/>
        <v>0</v>
      </c>
      <c r="M291" s="565">
        <f t="shared" si="50"/>
        <v>81.612781954887211</v>
      </c>
      <c r="N291" s="565">
        <f t="shared" si="51"/>
        <v>81.612781954887211</v>
      </c>
    </row>
    <row r="292" spans="1:14" ht="38.25" customHeight="1" outlineLevel="1" x14ac:dyDescent="0.3">
      <c r="A292" s="438" t="s">
        <v>514</v>
      </c>
      <c r="B292" s="439" t="s">
        <v>500</v>
      </c>
      <c r="C292" s="439" t="s">
        <v>62</v>
      </c>
      <c r="D292" s="539" t="s">
        <v>515</v>
      </c>
      <c r="E292" s="539" t="s">
        <v>6</v>
      </c>
      <c r="F292" s="540">
        <v>3750776.94</v>
      </c>
      <c r="G292" s="465">
        <f t="shared" ref="G292:K293" si="55">G293</f>
        <v>5151000</v>
      </c>
      <c r="H292" s="440">
        <f t="shared" si="55"/>
        <v>4821119.8099999996</v>
      </c>
      <c r="I292" s="440">
        <f t="shared" si="55"/>
        <v>3700000</v>
      </c>
      <c r="J292" s="465">
        <f t="shared" si="55"/>
        <v>3348000</v>
      </c>
      <c r="K292" s="465">
        <f t="shared" si="55"/>
        <v>3348000</v>
      </c>
      <c r="L292" s="564">
        <f t="shared" si="48"/>
        <v>0</v>
      </c>
      <c r="M292" s="565">
        <f t="shared" si="50"/>
        <v>64.99708794408852</v>
      </c>
      <c r="N292" s="565">
        <f t="shared" si="51"/>
        <v>64.997087944088534</v>
      </c>
    </row>
    <row r="293" spans="1:14" ht="34" outlineLevel="1" x14ac:dyDescent="0.3">
      <c r="A293" s="438" t="s">
        <v>15</v>
      </c>
      <c r="B293" s="439" t="s">
        <v>500</v>
      </c>
      <c r="C293" s="439" t="s">
        <v>62</v>
      </c>
      <c r="D293" s="539" t="s">
        <v>515</v>
      </c>
      <c r="E293" s="539" t="s">
        <v>16</v>
      </c>
      <c r="F293" s="540">
        <v>3750776.94</v>
      </c>
      <c r="G293" s="465">
        <f t="shared" si="55"/>
        <v>5151000</v>
      </c>
      <c r="H293" s="370">
        <v>4821119.8099999996</v>
      </c>
      <c r="I293" s="440">
        <f t="shared" si="55"/>
        <v>3700000</v>
      </c>
      <c r="J293" s="465">
        <f t="shared" si="55"/>
        <v>3348000</v>
      </c>
      <c r="K293" s="465">
        <f t="shared" si="55"/>
        <v>3348000</v>
      </c>
      <c r="L293" s="564">
        <f t="shared" si="48"/>
        <v>0</v>
      </c>
      <c r="M293" s="565">
        <f t="shared" si="50"/>
        <v>64.99708794408852</v>
      </c>
      <c r="N293" s="565">
        <f t="shared" si="51"/>
        <v>64.997087944088534</v>
      </c>
    </row>
    <row r="294" spans="1:14" ht="34" outlineLevel="1" x14ac:dyDescent="0.3">
      <c r="A294" s="438" t="s">
        <v>17</v>
      </c>
      <c r="B294" s="439" t="s">
        <v>500</v>
      </c>
      <c r="C294" s="439" t="s">
        <v>62</v>
      </c>
      <c r="D294" s="539" t="s">
        <v>515</v>
      </c>
      <c r="E294" s="539" t="s">
        <v>18</v>
      </c>
      <c r="F294" s="540">
        <v>3750776.94</v>
      </c>
      <c r="G294" s="466">
        <f>3621000+1530000</f>
        <v>5151000</v>
      </c>
      <c r="H294" s="370">
        <v>4821119.8099999996</v>
      </c>
      <c r="I294" s="442">
        <f>'[2]прил 12'!F289</f>
        <v>3700000</v>
      </c>
      <c r="J294" s="466">
        <v>3348000</v>
      </c>
      <c r="K294" s="466">
        <f>3348000</f>
        <v>3348000</v>
      </c>
      <c r="L294" s="564">
        <f t="shared" si="48"/>
        <v>0</v>
      </c>
      <c r="M294" s="565">
        <f t="shared" si="50"/>
        <v>64.99708794408852</v>
      </c>
      <c r="N294" s="565">
        <f t="shared" si="51"/>
        <v>64.997087944088534</v>
      </c>
    </row>
    <row r="295" spans="1:14" ht="34" outlineLevel="1" x14ac:dyDescent="0.3">
      <c r="A295" s="438" t="s">
        <v>516</v>
      </c>
      <c r="B295" s="439" t="s">
        <v>500</v>
      </c>
      <c r="C295" s="439" t="s">
        <v>62</v>
      </c>
      <c r="D295" s="539" t="s">
        <v>517</v>
      </c>
      <c r="E295" s="539" t="s">
        <v>6</v>
      </c>
      <c r="F295" s="540">
        <v>4678405.62</v>
      </c>
      <c r="G295" s="465">
        <f t="shared" ref="G295:K296" si="56">G296</f>
        <v>24862435</v>
      </c>
      <c r="H295" s="440">
        <f t="shared" si="56"/>
        <v>1843383.7</v>
      </c>
      <c r="I295" s="440">
        <f t="shared" si="56"/>
        <v>2500000</v>
      </c>
      <c r="J295" s="465">
        <f t="shared" si="56"/>
        <v>3835000</v>
      </c>
      <c r="K295" s="465">
        <f t="shared" si="56"/>
        <v>3635000</v>
      </c>
      <c r="L295" s="564">
        <f t="shared" si="48"/>
        <v>-200000</v>
      </c>
      <c r="M295" s="565">
        <f t="shared" si="50"/>
        <v>15.424876927782817</v>
      </c>
      <c r="N295" s="565">
        <f t="shared" si="51"/>
        <v>14.620450490871068</v>
      </c>
    </row>
    <row r="296" spans="1:14" ht="34" outlineLevel="1" x14ac:dyDescent="0.3">
      <c r="A296" s="438" t="s">
        <v>15</v>
      </c>
      <c r="B296" s="439" t="s">
        <v>500</v>
      </c>
      <c r="C296" s="439" t="s">
        <v>62</v>
      </c>
      <c r="D296" s="539" t="s">
        <v>517</v>
      </c>
      <c r="E296" s="539" t="s">
        <v>16</v>
      </c>
      <c r="F296" s="540">
        <v>4678405.62</v>
      </c>
      <c r="G296" s="465">
        <f t="shared" si="56"/>
        <v>24862435</v>
      </c>
      <c r="H296" s="370">
        <v>1843383.7</v>
      </c>
      <c r="I296" s="440">
        <f t="shared" si="56"/>
        <v>2500000</v>
      </c>
      <c r="J296" s="465">
        <f t="shared" si="56"/>
        <v>3835000</v>
      </c>
      <c r="K296" s="465">
        <f t="shared" si="56"/>
        <v>3635000</v>
      </c>
      <c r="L296" s="564">
        <f t="shared" si="48"/>
        <v>-200000</v>
      </c>
      <c r="M296" s="565">
        <f t="shared" si="50"/>
        <v>15.424876927782817</v>
      </c>
      <c r="N296" s="565">
        <f t="shared" si="51"/>
        <v>14.620450490871068</v>
      </c>
    </row>
    <row r="297" spans="1:14" ht="34" outlineLevel="1" x14ac:dyDescent="0.3">
      <c r="A297" s="438" t="s">
        <v>17</v>
      </c>
      <c r="B297" s="439" t="s">
        <v>500</v>
      </c>
      <c r="C297" s="439" t="s">
        <v>62</v>
      </c>
      <c r="D297" s="539" t="s">
        <v>517</v>
      </c>
      <c r="E297" s="539" t="s">
        <v>18</v>
      </c>
      <c r="F297" s="540">
        <v>4678405.62</v>
      </c>
      <c r="G297" s="466">
        <f>[2]потребность!L293-3000000+22186435</f>
        <v>24862435</v>
      </c>
      <c r="H297" s="370">
        <v>1843383.7</v>
      </c>
      <c r="I297" s="442">
        <f>'[2]прил 12'!F292</f>
        <v>2500000</v>
      </c>
      <c r="J297" s="466">
        <v>3835000</v>
      </c>
      <c r="K297" s="466">
        <f>3835000-200000</f>
        <v>3635000</v>
      </c>
      <c r="L297" s="564">
        <f t="shared" si="48"/>
        <v>-200000</v>
      </c>
      <c r="M297" s="565">
        <f t="shared" si="50"/>
        <v>15.424876927782817</v>
      </c>
      <c r="N297" s="565">
        <f t="shared" si="51"/>
        <v>14.620450490871068</v>
      </c>
    </row>
    <row r="298" spans="1:14" ht="34" outlineLevel="1" x14ac:dyDescent="0.3">
      <c r="A298" s="438" t="s">
        <v>706</v>
      </c>
      <c r="B298" s="439" t="s">
        <v>500</v>
      </c>
      <c r="C298" s="439" t="s">
        <v>62</v>
      </c>
      <c r="D298" s="539" t="s">
        <v>916</v>
      </c>
      <c r="E298" s="539" t="s">
        <v>6</v>
      </c>
      <c r="F298" s="539"/>
      <c r="G298" s="466">
        <f>G299</f>
        <v>4868718.79</v>
      </c>
      <c r="H298" s="442">
        <f>H299</f>
        <v>4081162.36</v>
      </c>
      <c r="I298" s="442">
        <v>0</v>
      </c>
      <c r="J298" s="466">
        <v>0</v>
      </c>
      <c r="K298" s="466">
        <v>0</v>
      </c>
      <c r="L298" s="564">
        <f t="shared" si="48"/>
        <v>0</v>
      </c>
      <c r="M298" s="565">
        <f t="shared" si="50"/>
        <v>0</v>
      </c>
      <c r="N298" s="565">
        <f t="shared" si="51"/>
        <v>0</v>
      </c>
    </row>
    <row r="299" spans="1:14" ht="34" outlineLevel="1" x14ac:dyDescent="0.3">
      <c r="A299" s="438" t="s">
        <v>15</v>
      </c>
      <c r="B299" s="439" t="s">
        <v>500</v>
      </c>
      <c r="C299" s="439" t="s">
        <v>62</v>
      </c>
      <c r="D299" s="539" t="s">
        <v>916</v>
      </c>
      <c r="E299" s="539" t="s">
        <v>16</v>
      </c>
      <c r="F299" s="539"/>
      <c r="G299" s="466">
        <f>G300</f>
        <v>4868718.79</v>
      </c>
      <c r="H299" s="373">
        <v>4081162.36</v>
      </c>
      <c r="I299" s="442">
        <v>0</v>
      </c>
      <c r="J299" s="466">
        <v>0</v>
      </c>
      <c r="K299" s="466">
        <v>0</v>
      </c>
      <c r="L299" s="564">
        <f t="shared" si="48"/>
        <v>0</v>
      </c>
      <c r="M299" s="565">
        <f t="shared" si="50"/>
        <v>0</v>
      </c>
      <c r="N299" s="565">
        <f t="shared" si="51"/>
        <v>0</v>
      </c>
    </row>
    <row r="300" spans="1:14" ht="34" outlineLevel="1" x14ac:dyDescent="0.3">
      <c r="A300" s="438" t="s">
        <v>17</v>
      </c>
      <c r="B300" s="439" t="s">
        <v>500</v>
      </c>
      <c r="C300" s="439" t="s">
        <v>62</v>
      </c>
      <c r="D300" s="539" t="s">
        <v>916</v>
      </c>
      <c r="E300" s="539" t="s">
        <v>18</v>
      </c>
      <c r="F300" s="539"/>
      <c r="G300" s="466">
        <f>6000000-1131281.21</f>
        <v>4868718.79</v>
      </c>
      <c r="H300" s="373">
        <v>4081162.36</v>
      </c>
      <c r="I300" s="442">
        <v>0</v>
      </c>
      <c r="J300" s="466"/>
      <c r="K300" s="466"/>
      <c r="L300" s="564">
        <f t="shared" si="48"/>
        <v>0</v>
      </c>
      <c r="M300" s="565">
        <f t="shared" si="50"/>
        <v>0</v>
      </c>
      <c r="N300" s="565">
        <f t="shared" si="51"/>
        <v>0</v>
      </c>
    </row>
    <row r="301" spans="1:14" ht="34" outlineLevel="1" x14ac:dyDescent="0.3">
      <c r="A301" s="438" t="s">
        <v>682</v>
      </c>
      <c r="B301" s="439" t="s">
        <v>500</v>
      </c>
      <c r="C301" s="439" t="s">
        <v>62</v>
      </c>
      <c r="D301" s="539" t="s">
        <v>874</v>
      </c>
      <c r="E301" s="539" t="s">
        <v>6</v>
      </c>
      <c r="F301" s="539"/>
      <c r="G301" s="465">
        <f>G302</f>
        <v>60606.06</v>
      </c>
      <c r="H301" s="440">
        <f>H302</f>
        <v>41223.870000000003</v>
      </c>
      <c r="I301" s="440">
        <v>0</v>
      </c>
      <c r="J301" s="465">
        <f>J302</f>
        <v>60606.06</v>
      </c>
      <c r="K301" s="465">
        <f>K302</f>
        <v>60606.06</v>
      </c>
      <c r="L301" s="564">
        <f t="shared" si="48"/>
        <v>0</v>
      </c>
      <c r="M301" s="565">
        <f t="shared" si="50"/>
        <v>99.999999999999986</v>
      </c>
      <c r="N301" s="565">
        <f t="shared" si="51"/>
        <v>100</v>
      </c>
    </row>
    <row r="302" spans="1:14" ht="34" outlineLevel="1" x14ac:dyDescent="0.3">
      <c r="A302" s="438" t="s">
        <v>15</v>
      </c>
      <c r="B302" s="439" t="s">
        <v>500</v>
      </c>
      <c r="C302" s="439" t="s">
        <v>62</v>
      </c>
      <c r="D302" s="539" t="s">
        <v>874</v>
      </c>
      <c r="E302" s="539" t="s">
        <v>16</v>
      </c>
      <c r="F302" s="539"/>
      <c r="G302" s="465">
        <f>G303</f>
        <v>60606.06</v>
      </c>
      <c r="H302" s="373">
        <v>41223.870000000003</v>
      </c>
      <c r="I302" s="440">
        <v>0</v>
      </c>
      <c r="J302" s="465">
        <f>J303</f>
        <v>60606.06</v>
      </c>
      <c r="K302" s="465">
        <f>K303</f>
        <v>60606.06</v>
      </c>
      <c r="L302" s="564">
        <f t="shared" si="48"/>
        <v>0</v>
      </c>
      <c r="M302" s="565">
        <f t="shared" si="50"/>
        <v>99.999999999999986</v>
      </c>
      <c r="N302" s="565">
        <f t="shared" si="51"/>
        <v>100</v>
      </c>
    </row>
    <row r="303" spans="1:14" ht="34" outlineLevel="1" x14ac:dyDescent="0.3">
      <c r="A303" s="438" t="s">
        <v>17</v>
      </c>
      <c r="B303" s="439" t="s">
        <v>500</v>
      </c>
      <c r="C303" s="439" t="s">
        <v>62</v>
      </c>
      <c r="D303" s="539" t="s">
        <v>874</v>
      </c>
      <c r="E303" s="539" t="s">
        <v>18</v>
      </c>
      <c r="F303" s="539"/>
      <c r="G303" s="466">
        <f>62000-1393.94</f>
        <v>60606.06</v>
      </c>
      <c r="H303" s="373">
        <v>41223.870000000003</v>
      </c>
      <c r="I303" s="442">
        <v>0</v>
      </c>
      <c r="J303" s="466">
        <v>60606.06</v>
      </c>
      <c r="K303" s="466">
        <v>60606.06</v>
      </c>
      <c r="L303" s="564">
        <f t="shared" si="48"/>
        <v>0</v>
      </c>
      <c r="M303" s="565">
        <f t="shared" si="50"/>
        <v>99.999999999999986</v>
      </c>
      <c r="N303" s="565">
        <f t="shared" si="51"/>
        <v>100</v>
      </c>
    </row>
    <row r="304" spans="1:14" s="449" customFormat="1" ht="67.95" outlineLevel="1" x14ac:dyDescent="0.3">
      <c r="A304" s="444" t="s">
        <v>518</v>
      </c>
      <c r="B304" s="445" t="s">
        <v>500</v>
      </c>
      <c r="C304" s="445" t="s">
        <v>62</v>
      </c>
      <c r="D304" s="541" t="s">
        <v>519</v>
      </c>
      <c r="E304" s="541" t="s">
        <v>6</v>
      </c>
      <c r="F304" s="542">
        <v>15876002.58</v>
      </c>
      <c r="G304" s="465">
        <f>G305+G313</f>
        <v>15345827.210000001</v>
      </c>
      <c r="H304" s="440">
        <f>H305+H313</f>
        <v>12358989.689999999</v>
      </c>
      <c r="I304" s="440">
        <f>I305+I313</f>
        <v>19974076.27</v>
      </c>
      <c r="J304" s="465">
        <f>J305+J313</f>
        <v>13175249.5</v>
      </c>
      <c r="K304" s="465">
        <f>K305+K313</f>
        <v>12951393.68</v>
      </c>
      <c r="L304" s="564">
        <f t="shared" si="48"/>
        <v>-223855.8200000003</v>
      </c>
      <c r="M304" s="565">
        <f t="shared" si="50"/>
        <v>85.85558353879054</v>
      </c>
      <c r="N304" s="565">
        <f t="shared" si="51"/>
        <v>84.396842886125526</v>
      </c>
    </row>
    <row r="305" spans="1:14" s="449" customFormat="1" ht="50.95" outlineLevel="1" x14ac:dyDescent="0.3">
      <c r="A305" s="444" t="s">
        <v>550</v>
      </c>
      <c r="B305" s="445" t="s">
        <v>500</v>
      </c>
      <c r="C305" s="445" t="s">
        <v>62</v>
      </c>
      <c r="D305" s="541" t="s">
        <v>551</v>
      </c>
      <c r="E305" s="541" t="s">
        <v>6</v>
      </c>
      <c r="F305" s="540">
        <v>8247922.1500000004</v>
      </c>
      <c r="G305" s="465">
        <f>G306+G310</f>
        <v>6967934.4000000004</v>
      </c>
      <c r="H305" s="440">
        <f>H306+H310</f>
        <v>3981096.88</v>
      </c>
      <c r="I305" s="440">
        <f>I306+I310</f>
        <v>6616389.0700000003</v>
      </c>
      <c r="J305" s="465">
        <f>J306+J310</f>
        <v>6968867.6299999999</v>
      </c>
      <c r="K305" s="465">
        <f>K306+K310</f>
        <v>6968867.6299999999</v>
      </c>
      <c r="L305" s="564">
        <f t="shared" si="48"/>
        <v>0</v>
      </c>
      <c r="M305" s="565">
        <f t="shared" si="50"/>
        <v>100.01339320875351</v>
      </c>
      <c r="N305" s="565">
        <f t="shared" si="51"/>
        <v>100.01339320875351</v>
      </c>
    </row>
    <row r="306" spans="1:14" ht="34" outlineLevel="1" x14ac:dyDescent="0.3">
      <c r="A306" s="438" t="s">
        <v>549</v>
      </c>
      <c r="B306" s="439" t="s">
        <v>500</v>
      </c>
      <c r="C306" s="439" t="s">
        <v>62</v>
      </c>
      <c r="D306" s="539" t="s">
        <v>552</v>
      </c>
      <c r="E306" s="539" t="s">
        <v>6</v>
      </c>
      <c r="F306" s="540">
        <v>8247922.1500000004</v>
      </c>
      <c r="G306" s="465">
        <f t="shared" ref="G306:K308" si="57">G307</f>
        <v>6616389.0600000005</v>
      </c>
      <c r="H306" s="440">
        <f t="shared" si="57"/>
        <v>3981096.88</v>
      </c>
      <c r="I306" s="440">
        <f t="shared" si="57"/>
        <v>6616389.0700000003</v>
      </c>
      <c r="J306" s="465">
        <f t="shared" si="57"/>
        <v>6968867.6299999999</v>
      </c>
      <c r="K306" s="465">
        <f t="shared" si="57"/>
        <v>6968867.6299999999</v>
      </c>
      <c r="L306" s="564">
        <f t="shared" si="48"/>
        <v>0</v>
      </c>
      <c r="M306" s="565">
        <f t="shared" si="50"/>
        <v>105.32735555306054</v>
      </c>
      <c r="N306" s="565">
        <f t="shared" si="51"/>
        <v>105.32735555306051</v>
      </c>
    </row>
    <row r="307" spans="1:14" ht="34" outlineLevel="1" x14ac:dyDescent="0.3">
      <c r="A307" s="438" t="s">
        <v>548</v>
      </c>
      <c r="B307" s="439" t="s">
        <v>500</v>
      </c>
      <c r="C307" s="439" t="s">
        <v>62</v>
      </c>
      <c r="D307" s="539" t="s">
        <v>553</v>
      </c>
      <c r="E307" s="539" t="s">
        <v>6</v>
      </c>
      <c r="F307" s="540">
        <v>6850012.1100000003</v>
      </c>
      <c r="G307" s="465">
        <f t="shared" si="57"/>
        <v>6616389.0600000005</v>
      </c>
      <c r="H307" s="440">
        <f t="shared" si="57"/>
        <v>3981096.88</v>
      </c>
      <c r="I307" s="440">
        <f t="shared" si="57"/>
        <v>6616389.0700000003</v>
      </c>
      <c r="J307" s="465">
        <f t="shared" si="57"/>
        <v>6968867.6299999999</v>
      </c>
      <c r="K307" s="465">
        <f t="shared" si="57"/>
        <v>6968867.6299999999</v>
      </c>
      <c r="L307" s="564">
        <f t="shared" si="48"/>
        <v>0</v>
      </c>
      <c r="M307" s="565">
        <f t="shared" si="50"/>
        <v>105.32735555306054</v>
      </c>
      <c r="N307" s="565">
        <f t="shared" si="51"/>
        <v>105.32735555306051</v>
      </c>
    </row>
    <row r="308" spans="1:14" ht="34" outlineLevel="1" x14ac:dyDescent="0.3">
      <c r="A308" s="438" t="s">
        <v>15</v>
      </c>
      <c r="B308" s="439" t="s">
        <v>500</v>
      </c>
      <c r="C308" s="439" t="s">
        <v>62</v>
      </c>
      <c r="D308" s="539" t="s">
        <v>553</v>
      </c>
      <c r="E308" s="539" t="s">
        <v>16</v>
      </c>
      <c r="F308" s="540">
        <v>6850012.1100000003</v>
      </c>
      <c r="G308" s="465">
        <f t="shared" si="57"/>
        <v>6616389.0600000005</v>
      </c>
      <c r="H308" s="370">
        <v>3981096.88</v>
      </c>
      <c r="I308" s="440">
        <f t="shared" si="57"/>
        <v>6616389.0700000003</v>
      </c>
      <c r="J308" s="465">
        <f t="shared" si="57"/>
        <v>6968867.6299999999</v>
      </c>
      <c r="K308" s="465">
        <f t="shared" si="57"/>
        <v>6968867.6299999999</v>
      </c>
      <c r="L308" s="564">
        <f t="shared" si="48"/>
        <v>0</v>
      </c>
      <c r="M308" s="565">
        <f t="shared" si="50"/>
        <v>105.32735555306054</v>
      </c>
      <c r="N308" s="565">
        <f t="shared" si="51"/>
        <v>105.32735555306051</v>
      </c>
    </row>
    <row r="309" spans="1:14" ht="34" outlineLevel="1" x14ac:dyDescent="0.3">
      <c r="A309" s="438" t="s">
        <v>17</v>
      </c>
      <c r="B309" s="439" t="s">
        <v>500</v>
      </c>
      <c r="C309" s="439" t="s">
        <v>62</v>
      </c>
      <c r="D309" s="539" t="s">
        <v>553</v>
      </c>
      <c r="E309" s="539" t="s">
        <v>18</v>
      </c>
      <c r="F309" s="540">
        <v>6850012.1100000003</v>
      </c>
      <c r="G309" s="465">
        <f>6583307.11+33081.96-0.01</f>
        <v>6616389.0600000005</v>
      </c>
      <c r="H309" s="370">
        <v>3981096.88</v>
      </c>
      <c r="I309" s="440">
        <f>'[2]прил 12'!F298</f>
        <v>6616389.0700000003</v>
      </c>
      <c r="J309" s="466">
        <f>33081.95+6935785.68</f>
        <v>6968867.6299999999</v>
      </c>
      <c r="K309" s="466">
        <f>33081.95+6935785.68</f>
        <v>6968867.6299999999</v>
      </c>
      <c r="L309" s="564">
        <f t="shared" si="48"/>
        <v>0</v>
      </c>
      <c r="M309" s="565">
        <f t="shared" si="50"/>
        <v>105.32735555306054</v>
      </c>
      <c r="N309" s="565">
        <f t="shared" si="51"/>
        <v>105.32735555306051</v>
      </c>
    </row>
    <row r="310" spans="1:14" ht="50.95" outlineLevel="1" x14ac:dyDescent="0.3">
      <c r="A310" s="397" t="s">
        <v>680</v>
      </c>
      <c r="B310" s="439" t="s">
        <v>500</v>
      </c>
      <c r="C310" s="439" t="s">
        <v>62</v>
      </c>
      <c r="D310" s="539" t="s">
        <v>724</v>
      </c>
      <c r="E310" s="539" t="s">
        <v>6</v>
      </c>
      <c r="F310" s="540">
        <v>1397910.04</v>
      </c>
      <c r="G310" s="465">
        <f>G311</f>
        <v>351545.34</v>
      </c>
      <c r="H310" s="440">
        <f>H311</f>
        <v>0</v>
      </c>
      <c r="I310" s="440">
        <v>0</v>
      </c>
      <c r="J310" s="465">
        <v>0</v>
      </c>
      <c r="K310" s="465">
        <v>0</v>
      </c>
      <c r="L310" s="564">
        <f t="shared" si="48"/>
        <v>0</v>
      </c>
      <c r="M310" s="565">
        <f t="shared" si="50"/>
        <v>0</v>
      </c>
      <c r="N310" s="565">
        <f t="shared" si="51"/>
        <v>0</v>
      </c>
    </row>
    <row r="311" spans="1:14" ht="34" outlineLevel="1" x14ac:dyDescent="0.3">
      <c r="A311" s="438" t="s">
        <v>15</v>
      </c>
      <c r="B311" s="439" t="s">
        <v>500</v>
      </c>
      <c r="C311" s="439" t="s">
        <v>62</v>
      </c>
      <c r="D311" s="539" t="s">
        <v>724</v>
      </c>
      <c r="E311" s="539" t="s">
        <v>16</v>
      </c>
      <c r="F311" s="540">
        <v>1397910.04</v>
      </c>
      <c r="G311" s="465">
        <f>G312</f>
        <v>351545.34</v>
      </c>
      <c r="H311" s="442">
        <v>0</v>
      </c>
      <c r="I311" s="440">
        <v>0</v>
      </c>
      <c r="J311" s="465">
        <v>0</v>
      </c>
      <c r="K311" s="465">
        <v>0</v>
      </c>
      <c r="L311" s="564">
        <f t="shared" si="48"/>
        <v>0</v>
      </c>
      <c r="M311" s="565">
        <f t="shared" si="50"/>
        <v>0</v>
      </c>
      <c r="N311" s="565">
        <f t="shared" si="51"/>
        <v>0</v>
      </c>
    </row>
    <row r="312" spans="1:14" ht="34" outlineLevel="1" x14ac:dyDescent="0.3">
      <c r="A312" s="438" t="s">
        <v>17</v>
      </c>
      <c r="B312" s="439" t="s">
        <v>500</v>
      </c>
      <c r="C312" s="439" t="s">
        <v>62</v>
      </c>
      <c r="D312" s="539" t="s">
        <v>724</v>
      </c>
      <c r="E312" s="539" t="s">
        <v>18</v>
      </c>
      <c r="F312" s="540">
        <v>1397910.04</v>
      </c>
      <c r="G312" s="465">
        <f>215859.46+109286.29+26399.58+0.01</f>
        <v>351545.34</v>
      </c>
      <c r="H312" s="442">
        <v>0</v>
      </c>
      <c r="I312" s="440">
        <v>0</v>
      </c>
      <c r="J312" s="466">
        <v>0</v>
      </c>
      <c r="K312" s="466">
        <v>0</v>
      </c>
      <c r="L312" s="564">
        <f t="shared" si="48"/>
        <v>0</v>
      </c>
      <c r="M312" s="565">
        <f t="shared" si="50"/>
        <v>0</v>
      </c>
      <c r="N312" s="565">
        <f t="shared" si="51"/>
        <v>0</v>
      </c>
    </row>
    <row r="313" spans="1:14" s="449" customFormat="1" ht="50.95" outlineLevel="1" x14ac:dyDescent="0.3">
      <c r="A313" s="458" t="s">
        <v>554</v>
      </c>
      <c r="B313" s="439" t="s">
        <v>500</v>
      </c>
      <c r="C313" s="439" t="s">
        <v>62</v>
      </c>
      <c r="D313" s="541" t="s">
        <v>556</v>
      </c>
      <c r="E313" s="541" t="s">
        <v>6</v>
      </c>
      <c r="F313" s="541"/>
      <c r="G313" s="465">
        <f t="shared" ref="G313:K319" si="58">G314</f>
        <v>8377892.8099999996</v>
      </c>
      <c r="H313" s="440">
        <f t="shared" si="58"/>
        <v>8377892.8099999996</v>
      </c>
      <c r="I313" s="440">
        <f t="shared" si="58"/>
        <v>13357687.199999999</v>
      </c>
      <c r="J313" s="465">
        <f t="shared" si="58"/>
        <v>6206381.8700000001</v>
      </c>
      <c r="K313" s="465">
        <f t="shared" si="58"/>
        <v>5982526.0499999998</v>
      </c>
      <c r="L313" s="564">
        <f t="shared" si="48"/>
        <v>-223855.8200000003</v>
      </c>
      <c r="M313" s="565">
        <f t="shared" si="50"/>
        <v>74.080464034965388</v>
      </c>
      <c r="N313" s="565">
        <f t="shared" si="51"/>
        <v>71.408481651366458</v>
      </c>
    </row>
    <row r="314" spans="1:14" s="449" customFormat="1" ht="34" outlineLevel="1" x14ac:dyDescent="0.3">
      <c r="A314" s="458" t="s">
        <v>555</v>
      </c>
      <c r="B314" s="439" t="s">
        <v>500</v>
      </c>
      <c r="C314" s="439" t="s">
        <v>62</v>
      </c>
      <c r="D314" s="541" t="s">
        <v>557</v>
      </c>
      <c r="E314" s="541" t="s">
        <v>6</v>
      </c>
      <c r="F314" s="540">
        <v>7628080.4299999997</v>
      </c>
      <c r="G314" s="508">
        <f>G315+G318+G321</f>
        <v>8377892.8099999996</v>
      </c>
      <c r="H314" s="446">
        <f>H315+H318+H321</f>
        <v>8377892.8099999996</v>
      </c>
      <c r="I314" s="446">
        <f>I315+I318+I321</f>
        <v>13357687.199999999</v>
      </c>
      <c r="J314" s="508">
        <f>J315+J318+J321</f>
        <v>6206381.8700000001</v>
      </c>
      <c r="K314" s="508">
        <f>K315+K318+K321</f>
        <v>5982526.0499999998</v>
      </c>
      <c r="L314" s="564">
        <f t="shared" si="48"/>
        <v>-223855.8200000003</v>
      </c>
      <c r="M314" s="565">
        <f t="shared" si="50"/>
        <v>74.080464034965388</v>
      </c>
      <c r="N314" s="565">
        <f t="shared" si="51"/>
        <v>71.408481651366458</v>
      </c>
    </row>
    <row r="315" spans="1:14" s="449" customFormat="1" ht="57.25" customHeight="1" outlineLevel="1" x14ac:dyDescent="0.3">
      <c r="A315" s="397" t="s">
        <v>565</v>
      </c>
      <c r="B315" s="439" t="s">
        <v>500</v>
      </c>
      <c r="C315" s="439" t="s">
        <v>62</v>
      </c>
      <c r="D315" s="539" t="s">
        <v>587</v>
      </c>
      <c r="E315" s="539" t="s">
        <v>6</v>
      </c>
      <c r="F315" s="540">
        <v>6501429.3700000001</v>
      </c>
      <c r="G315" s="465">
        <f t="shared" ref="G315:K316" si="59">G316</f>
        <v>6855579.5599999996</v>
      </c>
      <c r="H315" s="440">
        <f t="shared" si="59"/>
        <v>6855579.5599999996</v>
      </c>
      <c r="I315" s="440">
        <f t="shared" si="59"/>
        <v>12956956.59</v>
      </c>
      <c r="J315" s="465">
        <f t="shared" si="59"/>
        <v>5803050.2599999998</v>
      </c>
      <c r="K315" s="465">
        <f t="shared" si="59"/>
        <v>5803050.2599999998</v>
      </c>
      <c r="L315" s="564">
        <f t="shared" si="48"/>
        <v>0</v>
      </c>
      <c r="M315" s="565">
        <f t="shared" si="50"/>
        <v>84.647114211303816</v>
      </c>
      <c r="N315" s="565">
        <f t="shared" si="51"/>
        <v>84.647114211303816</v>
      </c>
    </row>
    <row r="316" spans="1:14" s="449" customFormat="1" ht="34" outlineLevel="1" x14ac:dyDescent="0.3">
      <c r="A316" s="438" t="s">
        <v>15</v>
      </c>
      <c r="B316" s="439" t="s">
        <v>500</v>
      </c>
      <c r="C316" s="439" t="s">
        <v>62</v>
      </c>
      <c r="D316" s="539" t="s">
        <v>587</v>
      </c>
      <c r="E316" s="539" t="s">
        <v>16</v>
      </c>
      <c r="F316" s="540">
        <v>6501429.3700000001</v>
      </c>
      <c r="G316" s="465">
        <f t="shared" si="59"/>
        <v>6855579.5599999996</v>
      </c>
      <c r="H316" s="370">
        <v>6855579.5599999996</v>
      </c>
      <c r="I316" s="440">
        <f t="shared" si="59"/>
        <v>12956956.59</v>
      </c>
      <c r="J316" s="465">
        <f t="shared" si="59"/>
        <v>5803050.2599999998</v>
      </c>
      <c r="K316" s="465">
        <f t="shared" si="59"/>
        <v>5803050.2599999998</v>
      </c>
      <c r="L316" s="564">
        <f t="shared" si="48"/>
        <v>0</v>
      </c>
      <c r="M316" s="565">
        <f t="shared" si="50"/>
        <v>84.647114211303816</v>
      </c>
      <c r="N316" s="565">
        <f t="shared" si="51"/>
        <v>84.647114211303816</v>
      </c>
    </row>
    <row r="317" spans="1:14" s="449" customFormat="1" ht="34" outlineLevel="1" x14ac:dyDescent="0.3">
      <c r="A317" s="438" t="s">
        <v>17</v>
      </c>
      <c r="B317" s="439" t="s">
        <v>500</v>
      </c>
      <c r="C317" s="439" t="s">
        <v>62</v>
      </c>
      <c r="D317" s="539" t="s">
        <v>587</v>
      </c>
      <c r="E317" s="539" t="s">
        <v>18</v>
      </c>
      <c r="F317" s="540">
        <v>6501429.3700000001</v>
      </c>
      <c r="G317" s="465">
        <v>6855579.5599999996</v>
      </c>
      <c r="H317" s="370">
        <v>6855579.5599999996</v>
      </c>
      <c r="I317" s="440">
        <f>'[2]прил 12'!F306</f>
        <v>12956956.59</v>
      </c>
      <c r="J317" s="507">
        <v>5803050.2599999998</v>
      </c>
      <c r="K317" s="507">
        <v>5803050.2599999998</v>
      </c>
      <c r="L317" s="564">
        <f t="shared" si="48"/>
        <v>0</v>
      </c>
      <c r="M317" s="565">
        <f t="shared" si="50"/>
        <v>84.647114211303816</v>
      </c>
      <c r="N317" s="565">
        <f t="shared" si="51"/>
        <v>84.647114211303816</v>
      </c>
    </row>
    <row r="318" spans="1:14" ht="40.75" customHeight="1" outlineLevel="1" x14ac:dyDescent="0.3">
      <c r="A318" s="397" t="s">
        <v>559</v>
      </c>
      <c r="B318" s="439" t="s">
        <v>500</v>
      </c>
      <c r="C318" s="439" t="s">
        <v>62</v>
      </c>
      <c r="D318" s="539" t="s">
        <v>558</v>
      </c>
      <c r="E318" s="539" t="s">
        <v>6</v>
      </c>
      <c r="F318" s="540">
        <v>201075.14</v>
      </c>
      <c r="G318" s="465">
        <f t="shared" si="58"/>
        <v>212028.24</v>
      </c>
      <c r="H318" s="440">
        <f t="shared" si="58"/>
        <v>212028.24</v>
      </c>
      <c r="I318" s="440">
        <f t="shared" si="58"/>
        <v>400730.61</v>
      </c>
      <c r="J318" s="465">
        <f t="shared" si="58"/>
        <v>403331.61</v>
      </c>
      <c r="K318" s="465">
        <f t="shared" si="58"/>
        <v>179475.78999999998</v>
      </c>
      <c r="L318" s="564">
        <f t="shared" si="48"/>
        <v>-223855.82</v>
      </c>
      <c r="M318" s="565">
        <f t="shared" si="50"/>
        <v>190.2254199723584</v>
      </c>
      <c r="N318" s="565">
        <f t="shared" si="51"/>
        <v>84.647115874753283</v>
      </c>
    </row>
    <row r="319" spans="1:14" ht="34" outlineLevel="1" x14ac:dyDescent="0.3">
      <c r="A319" s="438" t="s">
        <v>15</v>
      </c>
      <c r="B319" s="439" t="s">
        <v>500</v>
      </c>
      <c r="C319" s="439" t="s">
        <v>62</v>
      </c>
      <c r="D319" s="539" t="s">
        <v>558</v>
      </c>
      <c r="E319" s="539" t="s">
        <v>16</v>
      </c>
      <c r="F319" s="540">
        <v>201075.14</v>
      </c>
      <c r="G319" s="465">
        <f t="shared" si="58"/>
        <v>212028.24</v>
      </c>
      <c r="H319" s="370">
        <v>212028.24</v>
      </c>
      <c r="I319" s="440">
        <f t="shared" si="58"/>
        <v>400730.61</v>
      </c>
      <c r="J319" s="465">
        <f t="shared" si="58"/>
        <v>403331.61</v>
      </c>
      <c r="K319" s="465">
        <f t="shared" si="58"/>
        <v>179475.78999999998</v>
      </c>
      <c r="L319" s="564">
        <f t="shared" si="48"/>
        <v>-223855.82</v>
      </c>
      <c r="M319" s="565">
        <f t="shared" si="50"/>
        <v>190.2254199723584</v>
      </c>
      <c r="N319" s="565">
        <f t="shared" si="51"/>
        <v>84.647115874753283</v>
      </c>
    </row>
    <row r="320" spans="1:14" ht="34" outlineLevel="1" x14ac:dyDescent="0.3">
      <c r="A320" s="438" t="s">
        <v>17</v>
      </c>
      <c r="B320" s="439" t="s">
        <v>500</v>
      </c>
      <c r="C320" s="439" t="s">
        <v>62</v>
      </c>
      <c r="D320" s="539" t="s">
        <v>558</v>
      </c>
      <c r="E320" s="539" t="s">
        <v>18</v>
      </c>
      <c r="F320" s="540">
        <v>201075.14</v>
      </c>
      <c r="G320" s="466">
        <f>403331.62-191303.38</f>
        <v>212028.24</v>
      </c>
      <c r="H320" s="370">
        <v>212028.24</v>
      </c>
      <c r="I320" s="442">
        <f>'[2]прил 12'!F309</f>
        <v>400730.61</v>
      </c>
      <c r="J320" s="466">
        <v>403331.61</v>
      </c>
      <c r="K320" s="466">
        <f>403331.61-223855.82</f>
        <v>179475.78999999998</v>
      </c>
      <c r="L320" s="564">
        <f t="shared" si="48"/>
        <v>-223855.82</v>
      </c>
      <c r="M320" s="565">
        <f t="shared" si="50"/>
        <v>190.2254199723584</v>
      </c>
      <c r="N320" s="565">
        <f t="shared" si="51"/>
        <v>84.647115874753283</v>
      </c>
    </row>
    <row r="321" spans="1:14" ht="50.95" outlineLevel="1" x14ac:dyDescent="0.3">
      <c r="A321" s="438" t="s">
        <v>680</v>
      </c>
      <c r="B321" s="439" t="s">
        <v>500</v>
      </c>
      <c r="C321" s="439" t="s">
        <v>62</v>
      </c>
      <c r="D321" s="539" t="s">
        <v>679</v>
      </c>
      <c r="E321" s="539" t="s">
        <v>6</v>
      </c>
      <c r="F321" s="540">
        <v>925575.92</v>
      </c>
      <c r="G321" s="465">
        <f>G322</f>
        <v>1310285.0099999998</v>
      </c>
      <c r="H321" s="440">
        <f>H322</f>
        <v>1310285.01</v>
      </c>
      <c r="I321" s="440">
        <v>0</v>
      </c>
      <c r="J321" s="465">
        <v>0</v>
      </c>
      <c r="K321" s="465">
        <v>0</v>
      </c>
      <c r="L321" s="564">
        <f t="shared" si="48"/>
        <v>0</v>
      </c>
      <c r="M321" s="565">
        <f t="shared" si="50"/>
        <v>0</v>
      </c>
      <c r="N321" s="565">
        <f t="shared" si="51"/>
        <v>0</v>
      </c>
    </row>
    <row r="322" spans="1:14" ht="34" outlineLevel="1" x14ac:dyDescent="0.3">
      <c r="A322" s="438" t="s">
        <v>15</v>
      </c>
      <c r="B322" s="439" t="s">
        <v>500</v>
      </c>
      <c r="C322" s="439" t="s">
        <v>62</v>
      </c>
      <c r="D322" s="539" t="s">
        <v>679</v>
      </c>
      <c r="E322" s="539" t="s">
        <v>16</v>
      </c>
      <c r="F322" s="540">
        <v>925575.92</v>
      </c>
      <c r="G322" s="465">
        <f>G323</f>
        <v>1310285.0099999998</v>
      </c>
      <c r="H322" s="370">
        <v>1310285.01</v>
      </c>
      <c r="I322" s="440">
        <v>0</v>
      </c>
      <c r="J322" s="465">
        <v>0</v>
      </c>
      <c r="K322" s="465">
        <v>0</v>
      </c>
      <c r="L322" s="564">
        <f t="shared" si="48"/>
        <v>0</v>
      </c>
      <c r="M322" s="565">
        <f t="shared" si="50"/>
        <v>0</v>
      </c>
      <c r="N322" s="565">
        <f t="shared" si="51"/>
        <v>0</v>
      </c>
    </row>
    <row r="323" spans="1:14" ht="38.25" customHeight="1" outlineLevel="1" x14ac:dyDescent="0.3">
      <c r="A323" s="438" t="s">
        <v>17</v>
      </c>
      <c r="B323" s="439" t="s">
        <v>500</v>
      </c>
      <c r="C323" s="439" t="s">
        <v>62</v>
      </c>
      <c r="D323" s="539" t="s">
        <v>679</v>
      </c>
      <c r="E323" s="539" t="s">
        <v>18</v>
      </c>
      <c r="F323" s="540">
        <v>925575.92</v>
      </c>
      <c r="G323" s="466">
        <f>[2]потребность!L313-7169178.83</f>
        <v>1310285.0099999998</v>
      </c>
      <c r="H323" s="370">
        <v>1310285.01</v>
      </c>
      <c r="I323" s="442">
        <v>0</v>
      </c>
      <c r="J323" s="466">
        <v>0</v>
      </c>
      <c r="K323" s="466">
        <v>0</v>
      </c>
      <c r="L323" s="564">
        <f t="shared" si="48"/>
        <v>0</v>
      </c>
      <c r="M323" s="565">
        <f t="shared" si="50"/>
        <v>0</v>
      </c>
      <c r="N323" s="565">
        <f t="shared" si="51"/>
        <v>0</v>
      </c>
    </row>
    <row r="324" spans="1:14" ht="34" outlineLevel="1" x14ac:dyDescent="0.3">
      <c r="A324" s="438" t="s">
        <v>292</v>
      </c>
      <c r="B324" s="439" t="s">
        <v>500</v>
      </c>
      <c r="C324" s="439" t="s">
        <v>293</v>
      </c>
      <c r="D324" s="539" t="s">
        <v>126</v>
      </c>
      <c r="E324" s="539" t="s">
        <v>6</v>
      </c>
      <c r="F324" s="540">
        <v>2418556.7000000002</v>
      </c>
      <c r="G324" s="466">
        <f t="shared" ref="G324:K325" si="60">G325</f>
        <v>7460868.7599999998</v>
      </c>
      <c r="H324" s="442">
        <f t="shared" si="60"/>
        <v>6020120.7999999998</v>
      </c>
      <c r="I324" s="442">
        <f t="shared" si="60"/>
        <v>300000</v>
      </c>
      <c r="J324" s="466">
        <f t="shared" si="60"/>
        <v>3059819.92</v>
      </c>
      <c r="K324" s="466">
        <f t="shared" si="60"/>
        <v>3059819.92</v>
      </c>
      <c r="L324" s="564">
        <f t="shared" si="48"/>
        <v>0</v>
      </c>
      <c r="M324" s="565">
        <f t="shared" si="50"/>
        <v>41.011576780503503</v>
      </c>
      <c r="N324" s="565">
        <f t="shared" si="51"/>
        <v>41.011576780503503</v>
      </c>
    </row>
    <row r="325" spans="1:14" ht="50.95" outlineLevel="1" x14ac:dyDescent="0.3">
      <c r="A325" s="444" t="s">
        <v>843</v>
      </c>
      <c r="B325" s="445" t="s">
        <v>500</v>
      </c>
      <c r="C325" s="445" t="s">
        <v>293</v>
      </c>
      <c r="D325" s="541" t="s">
        <v>134</v>
      </c>
      <c r="E325" s="541" t="s">
        <v>6</v>
      </c>
      <c r="F325" s="542">
        <v>2418556.7000000002</v>
      </c>
      <c r="G325" s="507">
        <f t="shared" si="60"/>
        <v>7460868.7599999998</v>
      </c>
      <c r="H325" s="448">
        <f t="shared" si="60"/>
        <v>6020120.7999999998</v>
      </c>
      <c r="I325" s="448">
        <f t="shared" si="60"/>
        <v>300000</v>
      </c>
      <c r="J325" s="507">
        <f t="shared" si="60"/>
        <v>3059819.92</v>
      </c>
      <c r="K325" s="507">
        <f t="shared" si="60"/>
        <v>3059819.92</v>
      </c>
      <c r="L325" s="564">
        <f t="shared" si="48"/>
        <v>0</v>
      </c>
      <c r="M325" s="565">
        <f t="shared" si="50"/>
        <v>41.011576780503503</v>
      </c>
      <c r="N325" s="565">
        <f t="shared" si="51"/>
        <v>41.011576780503503</v>
      </c>
    </row>
    <row r="326" spans="1:14" ht="50.95" outlineLevel="1" x14ac:dyDescent="0.3">
      <c r="A326" s="438" t="s">
        <v>844</v>
      </c>
      <c r="B326" s="439" t="s">
        <v>500</v>
      </c>
      <c r="C326" s="439" t="s">
        <v>293</v>
      </c>
      <c r="D326" s="539" t="s">
        <v>350</v>
      </c>
      <c r="E326" s="539" t="s">
        <v>6</v>
      </c>
      <c r="F326" s="540">
        <v>2418556.7000000002</v>
      </c>
      <c r="G326" s="466">
        <f>G327+G330</f>
        <v>7460868.7599999998</v>
      </c>
      <c r="H326" s="442">
        <f>H327+H330</f>
        <v>6020120.7999999998</v>
      </c>
      <c r="I326" s="442">
        <f>I327+I330</f>
        <v>300000</v>
      </c>
      <c r="J326" s="466">
        <f>J330+J327</f>
        <v>3059819.92</v>
      </c>
      <c r="K326" s="466">
        <f>K330+K327</f>
        <v>3059819.92</v>
      </c>
      <c r="L326" s="564">
        <f t="shared" si="48"/>
        <v>0</v>
      </c>
      <c r="M326" s="565">
        <f t="shared" si="50"/>
        <v>41.011576780503503</v>
      </c>
      <c r="N326" s="565">
        <f t="shared" si="51"/>
        <v>41.011576780503503</v>
      </c>
    </row>
    <row r="327" spans="1:14" ht="37.549999999999997" customHeight="1" outlineLevel="1" x14ac:dyDescent="0.3">
      <c r="A327" s="393" t="s">
        <v>563</v>
      </c>
      <c r="B327" s="439" t="s">
        <v>500</v>
      </c>
      <c r="C327" s="439" t="s">
        <v>293</v>
      </c>
      <c r="D327" s="539" t="s">
        <v>588</v>
      </c>
      <c r="E327" s="539" t="s">
        <v>6</v>
      </c>
      <c r="F327" s="540">
        <v>2346000</v>
      </c>
      <c r="G327" s="466">
        <f>G328</f>
        <v>7160868.7599999998</v>
      </c>
      <c r="H327" s="442">
        <f>H328</f>
        <v>5839517.1600000001</v>
      </c>
      <c r="I327" s="442">
        <v>0</v>
      </c>
      <c r="J327" s="466">
        <f>J328</f>
        <v>2759819.92</v>
      </c>
      <c r="K327" s="466">
        <f>K328</f>
        <v>2759819.92</v>
      </c>
      <c r="L327" s="564">
        <f t="shared" si="48"/>
        <v>0</v>
      </c>
      <c r="M327" s="565">
        <f t="shared" si="50"/>
        <v>38.540294655532826</v>
      </c>
      <c r="N327" s="565">
        <f t="shared" si="51"/>
        <v>38.540294655532833</v>
      </c>
    </row>
    <row r="328" spans="1:14" outlineLevel="1" x14ac:dyDescent="0.3">
      <c r="A328" s="438" t="s">
        <v>19</v>
      </c>
      <c r="B328" s="439" t="s">
        <v>500</v>
      </c>
      <c r="C328" s="439" t="s">
        <v>293</v>
      </c>
      <c r="D328" s="539" t="s">
        <v>588</v>
      </c>
      <c r="E328" s="539" t="s">
        <v>20</v>
      </c>
      <c r="F328" s="540">
        <v>2346000</v>
      </c>
      <c r="G328" s="466">
        <f>G329</f>
        <v>7160868.7599999998</v>
      </c>
      <c r="H328" s="370">
        <v>5839517.1600000001</v>
      </c>
      <c r="I328" s="442">
        <v>0</v>
      </c>
      <c r="J328" s="466">
        <f>J329</f>
        <v>2759819.92</v>
      </c>
      <c r="K328" s="466">
        <f>K329</f>
        <v>2759819.92</v>
      </c>
      <c r="L328" s="564">
        <f t="shared" ref="L328:L391" si="61">K328-J328</f>
        <v>0</v>
      </c>
      <c r="M328" s="565">
        <f t="shared" si="50"/>
        <v>38.540294655532826</v>
      </c>
      <c r="N328" s="565">
        <f t="shared" ref="N328:N391" si="62">K328/G328*100</f>
        <v>38.540294655532833</v>
      </c>
    </row>
    <row r="329" spans="1:14" ht="50.95" outlineLevel="1" x14ac:dyDescent="0.3">
      <c r="A329" s="438" t="s">
        <v>47</v>
      </c>
      <c r="B329" s="439" t="s">
        <v>500</v>
      </c>
      <c r="C329" s="439" t="s">
        <v>293</v>
      </c>
      <c r="D329" s="539" t="s">
        <v>588</v>
      </c>
      <c r="E329" s="539" t="s">
        <v>48</v>
      </c>
      <c r="F329" s="540">
        <v>2346000</v>
      </c>
      <c r="G329" s="466">
        <v>7160868.7599999998</v>
      </c>
      <c r="H329" s="370">
        <v>5839517.1600000001</v>
      </c>
      <c r="I329" s="442">
        <v>0</v>
      </c>
      <c r="J329" s="466">
        <v>2759819.92</v>
      </c>
      <c r="K329" s="466">
        <v>2759819.92</v>
      </c>
      <c r="L329" s="564">
        <f t="shared" si="61"/>
        <v>0</v>
      </c>
      <c r="M329" s="565">
        <f t="shared" si="50"/>
        <v>38.540294655532826</v>
      </c>
      <c r="N329" s="565">
        <f t="shared" si="62"/>
        <v>38.540294655532833</v>
      </c>
    </row>
    <row r="330" spans="1:14" s="449" customFormat="1" ht="39.4" customHeight="1" outlineLevel="1" x14ac:dyDescent="0.3">
      <c r="A330" s="438" t="s">
        <v>306</v>
      </c>
      <c r="B330" s="439" t="s">
        <v>500</v>
      </c>
      <c r="C330" s="439" t="s">
        <v>293</v>
      </c>
      <c r="D330" s="539" t="s">
        <v>357</v>
      </c>
      <c r="E330" s="539" t="s">
        <v>6</v>
      </c>
      <c r="F330" s="540">
        <v>72556.7</v>
      </c>
      <c r="G330" s="466">
        <f t="shared" ref="G330:K331" si="63">G331</f>
        <v>300000</v>
      </c>
      <c r="H330" s="442">
        <f t="shared" si="63"/>
        <v>180603.64</v>
      </c>
      <c r="I330" s="442">
        <f t="shared" si="63"/>
        <v>300000</v>
      </c>
      <c r="J330" s="466">
        <f t="shared" si="63"/>
        <v>300000</v>
      </c>
      <c r="K330" s="466">
        <f t="shared" si="63"/>
        <v>300000</v>
      </c>
      <c r="L330" s="564">
        <f t="shared" si="61"/>
        <v>0</v>
      </c>
      <c r="M330" s="565">
        <f t="shared" si="50"/>
        <v>100</v>
      </c>
      <c r="N330" s="565">
        <f t="shared" si="62"/>
        <v>100</v>
      </c>
    </row>
    <row r="331" spans="1:14" outlineLevel="2" x14ac:dyDescent="0.3">
      <c r="A331" s="438" t="s">
        <v>19</v>
      </c>
      <c r="B331" s="439" t="s">
        <v>500</v>
      </c>
      <c r="C331" s="439" t="s">
        <v>293</v>
      </c>
      <c r="D331" s="539" t="s">
        <v>357</v>
      </c>
      <c r="E331" s="539" t="s">
        <v>20</v>
      </c>
      <c r="F331" s="540">
        <v>72556.7</v>
      </c>
      <c r="G331" s="466">
        <f t="shared" si="63"/>
        <v>300000</v>
      </c>
      <c r="H331" s="370">
        <v>180603.64</v>
      </c>
      <c r="I331" s="442">
        <f t="shared" si="63"/>
        <v>300000</v>
      </c>
      <c r="J331" s="466">
        <f t="shared" si="63"/>
        <v>300000</v>
      </c>
      <c r="K331" s="466">
        <f t="shared" si="63"/>
        <v>300000</v>
      </c>
      <c r="L331" s="564">
        <f t="shared" si="61"/>
        <v>0</v>
      </c>
      <c r="M331" s="565">
        <f t="shared" si="50"/>
        <v>100</v>
      </c>
      <c r="N331" s="565">
        <f t="shared" si="62"/>
        <v>100</v>
      </c>
    </row>
    <row r="332" spans="1:14" s="449" customFormat="1" ht="59.3" customHeight="1" outlineLevel="3" x14ac:dyDescent="0.3">
      <c r="A332" s="438" t="s">
        <v>47</v>
      </c>
      <c r="B332" s="439" t="s">
        <v>500</v>
      </c>
      <c r="C332" s="439" t="s">
        <v>293</v>
      </c>
      <c r="D332" s="539" t="s">
        <v>357</v>
      </c>
      <c r="E332" s="539" t="s">
        <v>48</v>
      </c>
      <c r="F332" s="540">
        <v>72556.7</v>
      </c>
      <c r="G332" s="466">
        <v>300000</v>
      </c>
      <c r="H332" s="370">
        <v>180603.64</v>
      </c>
      <c r="I332" s="442">
        <v>300000</v>
      </c>
      <c r="J332" s="507">
        <v>300000</v>
      </c>
      <c r="K332" s="507">
        <v>300000</v>
      </c>
      <c r="L332" s="564">
        <f t="shared" si="61"/>
        <v>0</v>
      </c>
      <c r="M332" s="565">
        <f t="shared" ref="M332:M395" si="64">J332/G332%</f>
        <v>100</v>
      </c>
      <c r="N332" s="565">
        <f t="shared" si="62"/>
        <v>100</v>
      </c>
    </row>
    <row r="333" spans="1:14" ht="27" customHeight="1" outlineLevel="3" x14ac:dyDescent="0.3">
      <c r="A333" s="444" t="s">
        <v>64</v>
      </c>
      <c r="B333" s="439" t="s">
        <v>500</v>
      </c>
      <c r="C333" s="445" t="s">
        <v>65</v>
      </c>
      <c r="D333" s="541" t="s">
        <v>126</v>
      </c>
      <c r="E333" s="541" t="s">
        <v>6</v>
      </c>
      <c r="F333" s="540">
        <v>514749.4</v>
      </c>
      <c r="G333" s="508">
        <f>G334</f>
        <v>555000</v>
      </c>
      <c r="H333" s="446">
        <f>H334</f>
        <v>53200</v>
      </c>
      <c r="I333" s="446">
        <f>I334</f>
        <v>515000</v>
      </c>
      <c r="J333" s="508">
        <f>J334</f>
        <v>515000</v>
      </c>
      <c r="K333" s="508">
        <f>K334</f>
        <v>515000</v>
      </c>
      <c r="L333" s="564">
        <f t="shared" si="61"/>
        <v>0</v>
      </c>
      <c r="M333" s="565">
        <f t="shared" si="64"/>
        <v>92.792792792792795</v>
      </c>
      <c r="N333" s="565">
        <f t="shared" si="62"/>
        <v>92.792792792792795</v>
      </c>
    </row>
    <row r="334" spans="1:14" ht="23.3" customHeight="1" outlineLevel="3" x14ac:dyDescent="0.3">
      <c r="A334" s="438" t="s">
        <v>66</v>
      </c>
      <c r="B334" s="439" t="s">
        <v>500</v>
      </c>
      <c r="C334" s="439" t="s">
        <v>67</v>
      </c>
      <c r="D334" s="539" t="s">
        <v>126</v>
      </c>
      <c r="E334" s="539" t="s">
        <v>6</v>
      </c>
      <c r="F334" s="540">
        <v>514749.4</v>
      </c>
      <c r="G334" s="465">
        <f>G335+G344</f>
        <v>555000</v>
      </c>
      <c r="H334" s="440">
        <f>H335+H344</f>
        <v>53200</v>
      </c>
      <c r="I334" s="440">
        <f>I335+I344</f>
        <v>515000</v>
      </c>
      <c r="J334" s="465">
        <f>J335+J344</f>
        <v>515000</v>
      </c>
      <c r="K334" s="465">
        <f>K335+K344</f>
        <v>515000</v>
      </c>
      <c r="L334" s="564">
        <f t="shared" si="61"/>
        <v>0</v>
      </c>
      <c r="M334" s="565">
        <f t="shared" si="64"/>
        <v>92.792792792792795</v>
      </c>
      <c r="N334" s="565">
        <f t="shared" si="62"/>
        <v>92.792792792792795</v>
      </c>
    </row>
    <row r="335" spans="1:14" ht="43.5" customHeight="1" outlineLevel="3" x14ac:dyDescent="0.3">
      <c r="A335" s="444" t="s">
        <v>841</v>
      </c>
      <c r="B335" s="445" t="s">
        <v>500</v>
      </c>
      <c r="C335" s="445" t="s">
        <v>67</v>
      </c>
      <c r="D335" s="541" t="s">
        <v>135</v>
      </c>
      <c r="E335" s="541" t="s">
        <v>6</v>
      </c>
      <c r="F335" s="542">
        <v>469935.4</v>
      </c>
      <c r="G335" s="508">
        <f>G336+G340</f>
        <v>470000</v>
      </c>
      <c r="H335" s="446">
        <f>H336+H340</f>
        <v>8200</v>
      </c>
      <c r="I335" s="446">
        <f>I336+I340</f>
        <v>470000</v>
      </c>
      <c r="J335" s="508">
        <f>J336+J340</f>
        <v>470000</v>
      </c>
      <c r="K335" s="508">
        <f>K336+K340</f>
        <v>470000</v>
      </c>
      <c r="L335" s="564">
        <f t="shared" si="61"/>
        <v>0</v>
      </c>
      <c r="M335" s="565">
        <f t="shared" si="64"/>
        <v>100</v>
      </c>
      <c r="N335" s="565">
        <f t="shared" si="62"/>
        <v>100</v>
      </c>
    </row>
    <row r="336" spans="1:14" ht="62.5" customHeight="1" outlineLevel="3" x14ac:dyDescent="0.3">
      <c r="A336" s="438" t="s">
        <v>842</v>
      </c>
      <c r="B336" s="439" t="s">
        <v>500</v>
      </c>
      <c r="C336" s="439" t="s">
        <v>67</v>
      </c>
      <c r="D336" s="539" t="s">
        <v>392</v>
      </c>
      <c r="E336" s="539" t="s">
        <v>6</v>
      </c>
      <c r="F336" s="540">
        <v>439940.4</v>
      </c>
      <c r="G336" s="465">
        <f t="shared" ref="G336:K338" si="65">G337</f>
        <v>440000</v>
      </c>
      <c r="H336" s="440">
        <f t="shared" si="65"/>
        <v>0</v>
      </c>
      <c r="I336" s="440">
        <f t="shared" si="65"/>
        <v>440000</v>
      </c>
      <c r="J336" s="465">
        <f t="shared" si="65"/>
        <v>440000</v>
      </c>
      <c r="K336" s="465">
        <f t="shared" si="65"/>
        <v>440000</v>
      </c>
      <c r="L336" s="564">
        <f t="shared" si="61"/>
        <v>0</v>
      </c>
      <c r="M336" s="565">
        <f t="shared" si="64"/>
        <v>100</v>
      </c>
      <c r="N336" s="565">
        <f t="shared" si="62"/>
        <v>100</v>
      </c>
    </row>
    <row r="337" spans="1:14" ht="30.25" customHeight="1" outlineLevel="7" x14ac:dyDescent="0.3">
      <c r="A337" s="438" t="s">
        <v>244</v>
      </c>
      <c r="B337" s="439" t="s">
        <v>500</v>
      </c>
      <c r="C337" s="439" t="s">
        <v>67</v>
      </c>
      <c r="D337" s="539" t="s">
        <v>361</v>
      </c>
      <c r="E337" s="539" t="s">
        <v>6</v>
      </c>
      <c r="F337" s="540">
        <v>439940.4</v>
      </c>
      <c r="G337" s="465">
        <f t="shared" si="65"/>
        <v>440000</v>
      </c>
      <c r="H337" s="440">
        <f t="shared" si="65"/>
        <v>0</v>
      </c>
      <c r="I337" s="440">
        <f t="shared" si="65"/>
        <v>440000</v>
      </c>
      <c r="J337" s="465">
        <f t="shared" si="65"/>
        <v>440000</v>
      </c>
      <c r="K337" s="465">
        <f t="shared" si="65"/>
        <v>440000</v>
      </c>
      <c r="L337" s="564">
        <f t="shared" si="61"/>
        <v>0</v>
      </c>
      <c r="M337" s="565">
        <f t="shared" si="64"/>
        <v>100</v>
      </c>
      <c r="N337" s="565">
        <f t="shared" si="62"/>
        <v>100</v>
      </c>
    </row>
    <row r="338" spans="1:14" ht="25.5" customHeight="1" outlineLevel="5" x14ac:dyDescent="0.3">
      <c r="A338" s="438" t="s">
        <v>15</v>
      </c>
      <c r="B338" s="439" t="s">
        <v>500</v>
      </c>
      <c r="C338" s="439" t="s">
        <v>67</v>
      </c>
      <c r="D338" s="539" t="s">
        <v>361</v>
      </c>
      <c r="E338" s="539" t="s">
        <v>16</v>
      </c>
      <c r="F338" s="540">
        <v>439940.4</v>
      </c>
      <c r="G338" s="465">
        <f t="shared" si="65"/>
        <v>440000</v>
      </c>
      <c r="H338" s="440">
        <v>0</v>
      </c>
      <c r="I338" s="440">
        <f t="shared" si="65"/>
        <v>440000</v>
      </c>
      <c r="J338" s="465">
        <f t="shared" si="65"/>
        <v>440000</v>
      </c>
      <c r="K338" s="465">
        <f t="shared" si="65"/>
        <v>440000</v>
      </c>
      <c r="L338" s="564">
        <f t="shared" si="61"/>
        <v>0</v>
      </c>
      <c r="M338" s="565">
        <f t="shared" si="64"/>
        <v>100</v>
      </c>
      <c r="N338" s="565">
        <f t="shared" si="62"/>
        <v>100</v>
      </c>
    </row>
    <row r="339" spans="1:14" ht="34" outlineLevel="6" x14ac:dyDescent="0.3">
      <c r="A339" s="438" t="s">
        <v>17</v>
      </c>
      <c r="B339" s="439" t="s">
        <v>500</v>
      </c>
      <c r="C339" s="439" t="s">
        <v>67</v>
      </c>
      <c r="D339" s="539" t="s">
        <v>361</v>
      </c>
      <c r="E339" s="539" t="s">
        <v>18</v>
      </c>
      <c r="F339" s="540">
        <v>439940.4</v>
      </c>
      <c r="G339" s="465">
        <v>440000</v>
      </c>
      <c r="H339" s="440">
        <v>0</v>
      </c>
      <c r="I339" s="440">
        <f>'[2]прил 12'!F331</f>
        <v>440000</v>
      </c>
      <c r="J339" s="466">
        <v>440000</v>
      </c>
      <c r="K339" s="466">
        <v>440000</v>
      </c>
      <c r="L339" s="564">
        <f t="shared" si="61"/>
        <v>0</v>
      </c>
      <c r="M339" s="565">
        <f t="shared" si="64"/>
        <v>100</v>
      </c>
      <c r="N339" s="565">
        <f t="shared" si="62"/>
        <v>100</v>
      </c>
    </row>
    <row r="340" spans="1:14" ht="44.5" customHeight="1" outlineLevel="7" x14ac:dyDescent="0.3">
      <c r="A340" s="438" t="s">
        <v>362</v>
      </c>
      <c r="B340" s="439" t="s">
        <v>500</v>
      </c>
      <c r="C340" s="439" t="s">
        <v>67</v>
      </c>
      <c r="D340" s="539" t="s">
        <v>246</v>
      </c>
      <c r="E340" s="539" t="s">
        <v>6</v>
      </c>
      <c r="F340" s="540">
        <v>29995</v>
      </c>
      <c r="G340" s="466">
        <f t="shared" ref="G340:K342" si="66">G341</f>
        <v>30000</v>
      </c>
      <c r="H340" s="442">
        <f t="shared" si="66"/>
        <v>8200</v>
      </c>
      <c r="I340" s="442">
        <f t="shared" si="66"/>
        <v>30000</v>
      </c>
      <c r="J340" s="466">
        <f t="shared" si="66"/>
        <v>30000</v>
      </c>
      <c r="K340" s="466">
        <f t="shared" si="66"/>
        <v>30000</v>
      </c>
      <c r="L340" s="564">
        <f t="shared" si="61"/>
        <v>0</v>
      </c>
      <c r="M340" s="565">
        <f t="shared" si="64"/>
        <v>100</v>
      </c>
      <c r="N340" s="565">
        <f t="shared" si="62"/>
        <v>100</v>
      </c>
    </row>
    <row r="341" spans="1:14" s="449" customFormat="1" ht="27" customHeight="1" outlineLevel="3" x14ac:dyDescent="0.3">
      <c r="A341" s="438" t="s">
        <v>68</v>
      </c>
      <c r="B341" s="439" t="s">
        <v>500</v>
      </c>
      <c r="C341" s="439" t="s">
        <v>67</v>
      </c>
      <c r="D341" s="539" t="s">
        <v>245</v>
      </c>
      <c r="E341" s="539" t="s">
        <v>6</v>
      </c>
      <c r="F341" s="540">
        <v>29995</v>
      </c>
      <c r="G341" s="465">
        <f t="shared" si="66"/>
        <v>30000</v>
      </c>
      <c r="H341" s="440">
        <f t="shared" si="66"/>
        <v>8200</v>
      </c>
      <c r="I341" s="440">
        <f t="shared" si="66"/>
        <v>30000</v>
      </c>
      <c r="J341" s="465">
        <f t="shared" si="66"/>
        <v>30000</v>
      </c>
      <c r="K341" s="465">
        <f t="shared" si="66"/>
        <v>30000</v>
      </c>
      <c r="L341" s="564">
        <f t="shared" si="61"/>
        <v>0</v>
      </c>
      <c r="M341" s="565">
        <f t="shared" si="64"/>
        <v>100</v>
      </c>
      <c r="N341" s="565">
        <f t="shared" si="62"/>
        <v>100</v>
      </c>
    </row>
    <row r="342" spans="1:14" ht="34" outlineLevel="5" x14ac:dyDescent="0.3">
      <c r="A342" s="438" t="s">
        <v>15</v>
      </c>
      <c r="B342" s="439" t="s">
        <v>500</v>
      </c>
      <c r="C342" s="439" t="s">
        <v>67</v>
      </c>
      <c r="D342" s="539" t="s">
        <v>245</v>
      </c>
      <c r="E342" s="539" t="s">
        <v>16</v>
      </c>
      <c r="F342" s="540">
        <v>29995</v>
      </c>
      <c r="G342" s="465">
        <f t="shared" si="66"/>
        <v>30000</v>
      </c>
      <c r="H342" s="370">
        <v>8200</v>
      </c>
      <c r="I342" s="440">
        <f t="shared" si="66"/>
        <v>30000</v>
      </c>
      <c r="J342" s="465">
        <f t="shared" si="66"/>
        <v>30000</v>
      </c>
      <c r="K342" s="465">
        <f t="shared" si="66"/>
        <v>30000</v>
      </c>
      <c r="L342" s="564">
        <f t="shared" si="61"/>
        <v>0</v>
      </c>
      <c r="M342" s="565">
        <f t="shared" si="64"/>
        <v>100</v>
      </c>
      <c r="N342" s="565">
        <f t="shared" si="62"/>
        <v>100</v>
      </c>
    </row>
    <row r="343" spans="1:14" ht="34" outlineLevel="5" x14ac:dyDescent="0.3">
      <c r="A343" s="438" t="s">
        <v>17</v>
      </c>
      <c r="B343" s="439" t="s">
        <v>500</v>
      </c>
      <c r="C343" s="439" t="s">
        <v>67</v>
      </c>
      <c r="D343" s="539" t="s">
        <v>245</v>
      </c>
      <c r="E343" s="539" t="s">
        <v>18</v>
      </c>
      <c r="F343" s="540">
        <v>29995</v>
      </c>
      <c r="G343" s="465">
        <v>30000</v>
      </c>
      <c r="H343" s="370">
        <v>8200</v>
      </c>
      <c r="I343" s="440">
        <f>'[2]прил 12'!F335</f>
        <v>30000</v>
      </c>
      <c r="J343" s="466">
        <v>30000</v>
      </c>
      <c r="K343" s="466">
        <v>30000</v>
      </c>
      <c r="L343" s="564">
        <f t="shared" si="61"/>
        <v>0</v>
      </c>
      <c r="M343" s="565">
        <f t="shared" si="64"/>
        <v>100</v>
      </c>
      <c r="N343" s="565">
        <f t="shared" si="62"/>
        <v>100</v>
      </c>
    </row>
    <row r="344" spans="1:14" ht="67.95" outlineLevel="6" x14ac:dyDescent="0.3">
      <c r="A344" s="444" t="s">
        <v>840</v>
      </c>
      <c r="B344" s="445" t="s">
        <v>500</v>
      </c>
      <c r="C344" s="445" t="s">
        <v>67</v>
      </c>
      <c r="D344" s="541" t="s">
        <v>363</v>
      </c>
      <c r="E344" s="541" t="s">
        <v>6</v>
      </c>
      <c r="F344" s="542">
        <v>44814</v>
      </c>
      <c r="G344" s="508">
        <f>G345</f>
        <v>85000</v>
      </c>
      <c r="H344" s="446">
        <f>H345</f>
        <v>45000</v>
      </c>
      <c r="I344" s="446">
        <f>I345</f>
        <v>45000</v>
      </c>
      <c r="J344" s="508">
        <f>J345</f>
        <v>45000</v>
      </c>
      <c r="K344" s="508">
        <f>K345</f>
        <v>45000</v>
      </c>
      <c r="L344" s="564">
        <f t="shared" si="61"/>
        <v>0</v>
      </c>
      <c r="M344" s="565">
        <f t="shared" si="64"/>
        <v>52.941176470588232</v>
      </c>
      <c r="N344" s="565">
        <f t="shared" si="62"/>
        <v>52.941176470588239</v>
      </c>
    </row>
    <row r="345" spans="1:14" ht="41.3" customHeight="1" outlineLevel="7" x14ac:dyDescent="0.3">
      <c r="A345" s="438" t="s">
        <v>364</v>
      </c>
      <c r="B345" s="439" t="s">
        <v>500</v>
      </c>
      <c r="C345" s="439" t="s">
        <v>67</v>
      </c>
      <c r="D345" s="539" t="s">
        <v>365</v>
      </c>
      <c r="E345" s="539" t="s">
        <v>6</v>
      </c>
      <c r="F345" s="540">
        <v>44814</v>
      </c>
      <c r="G345" s="465">
        <f>G347</f>
        <v>85000</v>
      </c>
      <c r="H345" s="440">
        <f>H347</f>
        <v>45000</v>
      </c>
      <c r="I345" s="440">
        <f t="shared" ref="I345:K347" si="67">I346</f>
        <v>45000</v>
      </c>
      <c r="J345" s="465">
        <f t="shared" si="67"/>
        <v>45000</v>
      </c>
      <c r="K345" s="465">
        <f t="shared" si="67"/>
        <v>45000</v>
      </c>
      <c r="L345" s="564">
        <f t="shared" si="61"/>
        <v>0</v>
      </c>
      <c r="M345" s="565">
        <f t="shared" si="64"/>
        <v>52.941176470588232</v>
      </c>
      <c r="N345" s="565">
        <f t="shared" si="62"/>
        <v>52.941176470588239</v>
      </c>
    </row>
    <row r="346" spans="1:14" s="449" customFormat="1" outlineLevel="1" x14ac:dyDescent="0.3">
      <c r="A346" s="438" t="s">
        <v>366</v>
      </c>
      <c r="B346" s="439" t="s">
        <v>500</v>
      </c>
      <c r="C346" s="439" t="s">
        <v>67</v>
      </c>
      <c r="D346" s="539" t="s">
        <v>367</v>
      </c>
      <c r="E346" s="539" t="s">
        <v>6</v>
      </c>
      <c r="F346" s="540">
        <v>44814</v>
      </c>
      <c r="G346" s="465">
        <f>G347</f>
        <v>85000</v>
      </c>
      <c r="H346" s="440">
        <f>H347</f>
        <v>45000</v>
      </c>
      <c r="I346" s="440">
        <f t="shared" si="67"/>
        <v>45000</v>
      </c>
      <c r="J346" s="465">
        <f t="shared" si="67"/>
        <v>45000</v>
      </c>
      <c r="K346" s="465">
        <f t="shared" si="67"/>
        <v>45000</v>
      </c>
      <c r="L346" s="564">
        <f t="shared" si="61"/>
        <v>0</v>
      </c>
      <c r="M346" s="565">
        <f t="shared" si="64"/>
        <v>52.941176470588232</v>
      </c>
      <c r="N346" s="565">
        <f t="shared" si="62"/>
        <v>52.941176470588239</v>
      </c>
    </row>
    <row r="347" spans="1:14" ht="34" outlineLevel="2" x14ac:dyDescent="0.3">
      <c r="A347" s="438" t="s">
        <v>15</v>
      </c>
      <c r="B347" s="439" t="s">
        <v>500</v>
      </c>
      <c r="C347" s="439" t="s">
        <v>67</v>
      </c>
      <c r="D347" s="539" t="s">
        <v>367</v>
      </c>
      <c r="E347" s="539" t="s">
        <v>16</v>
      </c>
      <c r="F347" s="540">
        <v>44814</v>
      </c>
      <c r="G347" s="465">
        <f>G348</f>
        <v>85000</v>
      </c>
      <c r="H347" s="371">
        <v>45000</v>
      </c>
      <c r="I347" s="440">
        <f t="shared" si="67"/>
        <v>45000</v>
      </c>
      <c r="J347" s="465">
        <f t="shared" si="67"/>
        <v>45000</v>
      </c>
      <c r="K347" s="465">
        <f t="shared" si="67"/>
        <v>45000</v>
      </c>
      <c r="L347" s="564">
        <f t="shared" si="61"/>
        <v>0</v>
      </c>
      <c r="M347" s="565">
        <f t="shared" si="64"/>
        <v>52.941176470588232</v>
      </c>
      <c r="N347" s="565">
        <f t="shared" si="62"/>
        <v>52.941176470588239</v>
      </c>
    </row>
    <row r="348" spans="1:14" s="449" customFormat="1" ht="34" outlineLevel="3" x14ac:dyDescent="0.3">
      <c r="A348" s="438" t="s">
        <v>17</v>
      </c>
      <c r="B348" s="439" t="s">
        <v>500</v>
      </c>
      <c r="C348" s="439" t="s">
        <v>67</v>
      </c>
      <c r="D348" s="539" t="s">
        <v>367</v>
      </c>
      <c r="E348" s="539" t="s">
        <v>18</v>
      </c>
      <c r="F348" s="540">
        <v>44814</v>
      </c>
      <c r="G348" s="466">
        <f>45000+40000</f>
        <v>85000</v>
      </c>
      <c r="H348" s="371">
        <v>45000</v>
      </c>
      <c r="I348" s="442">
        <f>'[2]прил 12'!F340</f>
        <v>45000</v>
      </c>
      <c r="J348" s="507">
        <v>45000</v>
      </c>
      <c r="K348" s="507">
        <v>45000</v>
      </c>
      <c r="L348" s="564">
        <f t="shared" si="61"/>
        <v>0</v>
      </c>
      <c r="M348" s="565">
        <f t="shared" si="64"/>
        <v>52.941176470588232</v>
      </c>
      <c r="N348" s="565">
        <f t="shared" si="62"/>
        <v>52.941176470588239</v>
      </c>
    </row>
    <row r="349" spans="1:14" outlineLevel="3" x14ac:dyDescent="0.3">
      <c r="A349" s="444" t="s">
        <v>69</v>
      </c>
      <c r="B349" s="445" t="s">
        <v>500</v>
      </c>
      <c r="C349" s="445" t="s">
        <v>70</v>
      </c>
      <c r="D349" s="541" t="s">
        <v>126</v>
      </c>
      <c r="E349" s="541" t="s">
        <v>6</v>
      </c>
      <c r="F349" s="540">
        <v>16476920</v>
      </c>
      <c r="G349" s="508">
        <f t="shared" ref="G349:K354" si="68">G350</f>
        <v>19091462.579999998</v>
      </c>
      <c r="H349" s="446">
        <f t="shared" si="68"/>
        <v>14464275.869999999</v>
      </c>
      <c r="I349" s="446">
        <f t="shared" si="68"/>
        <v>23510454.439999998</v>
      </c>
      <c r="J349" s="508">
        <f t="shared" si="68"/>
        <v>25296418.239999998</v>
      </c>
      <c r="K349" s="508">
        <f t="shared" si="68"/>
        <v>24429915.369999997</v>
      </c>
      <c r="L349" s="564">
        <f t="shared" si="61"/>
        <v>-866502.87000000104</v>
      </c>
      <c r="M349" s="565">
        <f t="shared" si="64"/>
        <v>132.50120641097578</v>
      </c>
      <c r="N349" s="565">
        <f t="shared" si="62"/>
        <v>127.96251344091627</v>
      </c>
    </row>
    <row r="350" spans="1:14" outlineLevel="5" x14ac:dyDescent="0.3">
      <c r="A350" s="438" t="s">
        <v>257</v>
      </c>
      <c r="B350" s="439" t="s">
        <v>500</v>
      </c>
      <c r="C350" s="439" t="s">
        <v>256</v>
      </c>
      <c r="D350" s="539" t="s">
        <v>126</v>
      </c>
      <c r="E350" s="539" t="s">
        <v>6</v>
      </c>
      <c r="F350" s="540">
        <v>16476920</v>
      </c>
      <c r="G350" s="465">
        <f t="shared" si="68"/>
        <v>19091462.579999998</v>
      </c>
      <c r="H350" s="440">
        <f t="shared" si="68"/>
        <v>14464275.869999999</v>
      </c>
      <c r="I350" s="440">
        <f t="shared" si="68"/>
        <v>23510454.439999998</v>
      </c>
      <c r="J350" s="465">
        <f t="shared" si="68"/>
        <v>25296418.239999998</v>
      </c>
      <c r="K350" s="465">
        <f t="shared" si="68"/>
        <v>24429915.369999997</v>
      </c>
      <c r="L350" s="564">
        <f t="shared" si="61"/>
        <v>-866502.87000000104</v>
      </c>
      <c r="M350" s="565">
        <f t="shared" si="64"/>
        <v>132.50120641097578</v>
      </c>
      <c r="N350" s="565">
        <f t="shared" si="62"/>
        <v>127.96251344091627</v>
      </c>
    </row>
    <row r="351" spans="1:14" ht="50.95" outlineLevel="6" x14ac:dyDescent="0.3">
      <c r="A351" s="444" t="s">
        <v>839</v>
      </c>
      <c r="B351" s="445" t="s">
        <v>500</v>
      </c>
      <c r="C351" s="445" t="s">
        <v>256</v>
      </c>
      <c r="D351" s="541" t="s">
        <v>136</v>
      </c>
      <c r="E351" s="541" t="s">
        <v>6</v>
      </c>
      <c r="F351" s="542">
        <v>16476920</v>
      </c>
      <c r="G351" s="508">
        <f>G352+G359</f>
        <v>19091462.579999998</v>
      </c>
      <c r="H351" s="446">
        <f>H352+H359</f>
        <v>14464275.869999999</v>
      </c>
      <c r="I351" s="446">
        <f>I352+I359+I366</f>
        <v>23510454.439999998</v>
      </c>
      <c r="J351" s="508">
        <f>J352+J359+J366</f>
        <v>25296418.239999998</v>
      </c>
      <c r="K351" s="508">
        <f>K352+K359+K366</f>
        <v>24429915.369999997</v>
      </c>
      <c r="L351" s="564">
        <f t="shared" si="61"/>
        <v>-866502.87000000104</v>
      </c>
      <c r="M351" s="565">
        <f t="shared" si="64"/>
        <v>132.50120641097578</v>
      </c>
      <c r="N351" s="565">
        <f t="shared" si="62"/>
        <v>127.96251344091627</v>
      </c>
    </row>
    <row r="352" spans="1:14" ht="34" outlineLevel="7" x14ac:dyDescent="0.3">
      <c r="A352" s="438" t="s">
        <v>368</v>
      </c>
      <c r="B352" s="439" t="s">
        <v>500</v>
      </c>
      <c r="C352" s="439" t="s">
        <v>256</v>
      </c>
      <c r="D352" s="539" t="s">
        <v>228</v>
      </c>
      <c r="E352" s="539" t="s">
        <v>6</v>
      </c>
      <c r="F352" s="540">
        <v>16476920</v>
      </c>
      <c r="G352" s="465">
        <f>G353+G356+G363</f>
        <v>19091462.579999998</v>
      </c>
      <c r="H352" s="440">
        <f>H353+H356+H363</f>
        <v>14464275.869999999</v>
      </c>
      <c r="I352" s="440">
        <f>I353+I356+I363</f>
        <v>19052341.359999999</v>
      </c>
      <c r="J352" s="465">
        <f>J353+J356+J363</f>
        <v>20792637.34</v>
      </c>
      <c r="K352" s="465">
        <f>K353+K356+K363</f>
        <v>19926134.469999999</v>
      </c>
      <c r="L352" s="564">
        <f t="shared" si="61"/>
        <v>-866502.87000000104</v>
      </c>
      <c r="M352" s="565">
        <f t="shared" si="64"/>
        <v>108.91065706920817</v>
      </c>
      <c r="N352" s="565">
        <f t="shared" si="62"/>
        <v>104.37196409914866</v>
      </c>
    </row>
    <row r="353" spans="1:14" ht="50.95" outlineLevel="7" x14ac:dyDescent="0.3">
      <c r="A353" s="438" t="s">
        <v>73</v>
      </c>
      <c r="B353" s="439" t="s">
        <v>500</v>
      </c>
      <c r="C353" s="439" t="s">
        <v>256</v>
      </c>
      <c r="D353" s="539" t="s">
        <v>137</v>
      </c>
      <c r="E353" s="539" t="s">
        <v>6</v>
      </c>
      <c r="F353" s="540">
        <v>16476920</v>
      </c>
      <c r="G353" s="465">
        <f t="shared" si="68"/>
        <v>18193102.579999998</v>
      </c>
      <c r="H353" s="440">
        <f t="shared" si="68"/>
        <v>13952527.77</v>
      </c>
      <c r="I353" s="440">
        <f t="shared" si="68"/>
        <v>18953228.359999999</v>
      </c>
      <c r="J353" s="465">
        <f t="shared" si="68"/>
        <v>20693524.34</v>
      </c>
      <c r="K353" s="465">
        <f t="shared" si="68"/>
        <v>19827021.469999999</v>
      </c>
      <c r="L353" s="564">
        <f t="shared" si="61"/>
        <v>-866502.87000000104</v>
      </c>
      <c r="M353" s="565">
        <f t="shared" si="64"/>
        <v>113.74378970824229</v>
      </c>
      <c r="N353" s="565">
        <f t="shared" si="62"/>
        <v>108.980979922557</v>
      </c>
    </row>
    <row r="354" spans="1:14" ht="34" outlineLevel="7" x14ac:dyDescent="0.3">
      <c r="A354" s="438" t="s">
        <v>37</v>
      </c>
      <c r="B354" s="439" t="s">
        <v>500</v>
      </c>
      <c r="C354" s="439" t="s">
        <v>256</v>
      </c>
      <c r="D354" s="539" t="s">
        <v>137</v>
      </c>
      <c r="E354" s="539" t="s">
        <v>38</v>
      </c>
      <c r="F354" s="540">
        <v>16476920</v>
      </c>
      <c r="G354" s="465">
        <f t="shared" si="68"/>
        <v>18193102.579999998</v>
      </c>
      <c r="H354" s="370">
        <v>13952527.77</v>
      </c>
      <c r="I354" s="440">
        <f t="shared" si="68"/>
        <v>18953228.359999999</v>
      </c>
      <c r="J354" s="465">
        <f t="shared" si="68"/>
        <v>20693524.34</v>
      </c>
      <c r="K354" s="465">
        <f t="shared" si="68"/>
        <v>19827021.469999999</v>
      </c>
      <c r="L354" s="564">
        <f t="shared" si="61"/>
        <v>-866502.87000000104</v>
      </c>
      <c r="M354" s="565">
        <f t="shared" si="64"/>
        <v>113.74378970824229</v>
      </c>
      <c r="N354" s="565">
        <f t="shared" si="62"/>
        <v>108.980979922557</v>
      </c>
    </row>
    <row r="355" spans="1:14" outlineLevel="7" x14ac:dyDescent="0.3">
      <c r="A355" s="438" t="s">
        <v>74</v>
      </c>
      <c r="B355" s="439" t="s">
        <v>500</v>
      </c>
      <c r="C355" s="439" t="s">
        <v>256</v>
      </c>
      <c r="D355" s="539" t="s">
        <v>137</v>
      </c>
      <c r="E355" s="539" t="s">
        <v>75</v>
      </c>
      <c r="F355" s="540">
        <v>16476920</v>
      </c>
      <c r="G355" s="465">
        <f>[2]потребность!I348</f>
        <v>18193102.579999998</v>
      </c>
      <c r="H355" s="370">
        <v>13952527.77</v>
      </c>
      <c r="I355" s="440">
        <f>'[2]прил 12'!F347</f>
        <v>18953228.359999999</v>
      </c>
      <c r="J355" s="466">
        <v>20693524.34</v>
      </c>
      <c r="K355" s="466">
        <f>20693524.34-310402.87-556100</f>
        <v>19827021.469999999</v>
      </c>
      <c r="L355" s="564">
        <f t="shared" si="61"/>
        <v>-866502.87000000104</v>
      </c>
      <c r="M355" s="565">
        <f t="shared" si="64"/>
        <v>113.74378970824229</v>
      </c>
      <c r="N355" s="565">
        <f t="shared" si="62"/>
        <v>108.980979922557</v>
      </c>
    </row>
    <row r="356" spans="1:14" ht="77.95" customHeight="1" outlineLevel="7" x14ac:dyDescent="0.3">
      <c r="A356" s="438" t="s">
        <v>710</v>
      </c>
      <c r="B356" s="439" t="s">
        <v>500</v>
      </c>
      <c r="C356" s="439" t="s">
        <v>256</v>
      </c>
      <c r="D356" s="539" t="s">
        <v>711</v>
      </c>
      <c r="E356" s="539" t="s">
        <v>6</v>
      </c>
      <c r="F356" s="539" t="s">
        <v>976</v>
      </c>
      <c r="G356" s="465">
        <f t="shared" ref="G356:K357" si="69">G357</f>
        <v>98360</v>
      </c>
      <c r="H356" s="440">
        <f t="shared" si="69"/>
        <v>0</v>
      </c>
      <c r="I356" s="440">
        <f t="shared" si="69"/>
        <v>99113</v>
      </c>
      <c r="J356" s="465">
        <f t="shared" si="69"/>
        <v>99113</v>
      </c>
      <c r="K356" s="465">
        <f t="shared" si="69"/>
        <v>99113</v>
      </c>
      <c r="L356" s="564">
        <f t="shared" si="61"/>
        <v>0</v>
      </c>
      <c r="M356" s="565">
        <f t="shared" si="64"/>
        <v>100.76555510370069</v>
      </c>
      <c r="N356" s="565">
        <f t="shared" si="62"/>
        <v>100.76555510370069</v>
      </c>
    </row>
    <row r="357" spans="1:14" s="449" customFormat="1" ht="34" outlineLevel="1" x14ac:dyDescent="0.3">
      <c r="A357" s="438" t="s">
        <v>37</v>
      </c>
      <c r="B357" s="439" t="s">
        <v>500</v>
      </c>
      <c r="C357" s="439" t="s">
        <v>256</v>
      </c>
      <c r="D357" s="539" t="s">
        <v>711</v>
      </c>
      <c r="E357" s="539" t="s">
        <v>38</v>
      </c>
      <c r="F357" s="539" t="s">
        <v>976</v>
      </c>
      <c r="G357" s="465">
        <f t="shared" si="69"/>
        <v>98360</v>
      </c>
      <c r="H357" s="440">
        <v>0</v>
      </c>
      <c r="I357" s="440">
        <f t="shared" si="69"/>
        <v>99113</v>
      </c>
      <c r="J357" s="465">
        <f t="shared" si="69"/>
        <v>99113</v>
      </c>
      <c r="K357" s="465">
        <f t="shared" si="69"/>
        <v>99113</v>
      </c>
      <c r="L357" s="564">
        <f t="shared" si="61"/>
        <v>0</v>
      </c>
      <c r="M357" s="565">
        <f t="shared" si="64"/>
        <v>100.76555510370069</v>
      </c>
      <c r="N357" s="565">
        <f t="shared" si="62"/>
        <v>100.76555510370069</v>
      </c>
    </row>
    <row r="358" spans="1:14" ht="16.5" customHeight="1" outlineLevel="2" x14ac:dyDescent="0.3">
      <c r="A358" s="438" t="s">
        <v>74</v>
      </c>
      <c r="B358" s="439" t="s">
        <v>500</v>
      </c>
      <c r="C358" s="439" t="s">
        <v>256</v>
      </c>
      <c r="D358" s="539" t="s">
        <v>711</v>
      </c>
      <c r="E358" s="539" t="s">
        <v>75</v>
      </c>
      <c r="F358" s="539" t="s">
        <v>976</v>
      </c>
      <c r="G358" s="465">
        <v>98360</v>
      </c>
      <c r="H358" s="440">
        <v>0</v>
      </c>
      <c r="I358" s="440">
        <v>99113</v>
      </c>
      <c r="J358" s="466">
        <v>99113</v>
      </c>
      <c r="K358" s="466">
        <v>99113</v>
      </c>
      <c r="L358" s="564">
        <f t="shared" si="61"/>
        <v>0</v>
      </c>
      <c r="M358" s="565">
        <f t="shared" si="64"/>
        <v>100.76555510370069</v>
      </c>
      <c r="N358" s="565">
        <f t="shared" si="62"/>
        <v>100.76555510370069</v>
      </c>
    </row>
    <row r="359" spans="1:14" s="449" customFormat="1" ht="31.75" customHeight="1" outlineLevel="3" x14ac:dyDescent="0.3">
      <c r="A359" s="458" t="s">
        <v>597</v>
      </c>
      <c r="B359" s="445" t="s">
        <v>500</v>
      </c>
      <c r="C359" s="445" t="s">
        <v>256</v>
      </c>
      <c r="D359" s="539" t="s">
        <v>1008</v>
      </c>
      <c r="E359" s="541" t="s">
        <v>6</v>
      </c>
      <c r="F359" s="541"/>
      <c r="G359" s="465">
        <f>G360</f>
        <v>0</v>
      </c>
      <c r="H359" s="440">
        <v>0</v>
      </c>
      <c r="I359" s="440">
        <v>0</v>
      </c>
      <c r="J359" s="507"/>
      <c r="K359" s="507"/>
      <c r="L359" s="564">
        <f t="shared" si="61"/>
        <v>0</v>
      </c>
      <c r="M359" s="565"/>
      <c r="N359" s="565"/>
    </row>
    <row r="360" spans="1:14" ht="93.75" customHeight="1" outlineLevel="3" x14ac:dyDescent="0.3">
      <c r="A360" s="438" t="s">
        <v>1009</v>
      </c>
      <c r="B360" s="439" t="s">
        <v>500</v>
      </c>
      <c r="C360" s="439" t="s">
        <v>256</v>
      </c>
      <c r="D360" s="539" t="s">
        <v>1008</v>
      </c>
      <c r="E360" s="539" t="s">
        <v>6</v>
      </c>
      <c r="F360" s="539"/>
      <c r="G360" s="465">
        <f>G361</f>
        <v>0</v>
      </c>
      <c r="H360" s="440">
        <v>0</v>
      </c>
      <c r="I360" s="440">
        <v>0</v>
      </c>
      <c r="J360" s="466"/>
      <c r="K360" s="466"/>
      <c r="L360" s="564">
        <f t="shared" si="61"/>
        <v>0</v>
      </c>
      <c r="M360" s="565"/>
      <c r="N360" s="565"/>
    </row>
    <row r="361" spans="1:14" ht="34" outlineLevel="7" x14ac:dyDescent="0.3">
      <c r="A361" s="438" t="s">
        <v>37</v>
      </c>
      <c r="B361" s="439" t="s">
        <v>500</v>
      </c>
      <c r="C361" s="439" t="s">
        <v>256</v>
      </c>
      <c r="D361" s="539" t="s">
        <v>1008</v>
      </c>
      <c r="E361" s="539" t="s">
        <v>38</v>
      </c>
      <c r="F361" s="539"/>
      <c r="G361" s="465">
        <f>G362</f>
        <v>0</v>
      </c>
      <c r="H361" s="440">
        <v>0</v>
      </c>
      <c r="I361" s="440">
        <v>0</v>
      </c>
      <c r="J361" s="466"/>
      <c r="K361" s="466"/>
      <c r="L361" s="564">
        <f t="shared" si="61"/>
        <v>0</v>
      </c>
      <c r="M361" s="565"/>
      <c r="N361" s="565"/>
    </row>
    <row r="362" spans="1:14" outlineLevel="7" x14ac:dyDescent="0.3">
      <c r="A362" s="438" t="s">
        <v>74</v>
      </c>
      <c r="B362" s="439" t="s">
        <v>500</v>
      </c>
      <c r="C362" s="439" t="s">
        <v>256</v>
      </c>
      <c r="D362" s="539" t="s">
        <v>521</v>
      </c>
      <c r="E362" s="539" t="s">
        <v>75</v>
      </c>
      <c r="F362" s="539" t="s">
        <v>976</v>
      </c>
      <c r="G362" s="465">
        <v>0</v>
      </c>
      <c r="H362" s="440">
        <v>0</v>
      </c>
      <c r="I362" s="440">
        <v>0</v>
      </c>
      <c r="J362" s="466"/>
      <c r="K362" s="466"/>
      <c r="L362" s="564">
        <f t="shared" si="61"/>
        <v>0</v>
      </c>
      <c r="M362" s="565"/>
      <c r="N362" s="565"/>
    </row>
    <row r="363" spans="1:14" ht="50.95" outlineLevel="7" x14ac:dyDescent="0.3">
      <c r="A363" s="462" t="s">
        <v>937</v>
      </c>
      <c r="B363" s="439" t="s">
        <v>500</v>
      </c>
      <c r="C363" s="439" t="s">
        <v>256</v>
      </c>
      <c r="D363" s="533">
        <v>292270100</v>
      </c>
      <c r="E363" s="539" t="s">
        <v>6</v>
      </c>
      <c r="F363" s="539" t="s">
        <v>976</v>
      </c>
      <c r="G363" s="465">
        <f>G364</f>
        <v>800000</v>
      </c>
      <c r="H363" s="440">
        <f>H364</f>
        <v>511748.1</v>
      </c>
      <c r="I363" s="440">
        <v>0</v>
      </c>
      <c r="J363" s="465">
        <v>0</v>
      </c>
      <c r="K363" s="465">
        <v>0</v>
      </c>
      <c r="L363" s="564">
        <f t="shared" si="61"/>
        <v>0</v>
      </c>
      <c r="M363" s="565">
        <f t="shared" si="64"/>
        <v>0</v>
      </c>
      <c r="N363" s="565">
        <f t="shared" si="62"/>
        <v>0</v>
      </c>
    </row>
    <row r="364" spans="1:14" ht="34" outlineLevel="7" x14ac:dyDescent="0.3">
      <c r="A364" s="438" t="s">
        <v>37</v>
      </c>
      <c r="B364" s="439" t="s">
        <v>500</v>
      </c>
      <c r="C364" s="439" t="s">
        <v>256</v>
      </c>
      <c r="D364" s="533">
        <v>292270100</v>
      </c>
      <c r="E364" s="539" t="s">
        <v>38</v>
      </c>
      <c r="F364" s="539" t="s">
        <v>976</v>
      </c>
      <c r="G364" s="465">
        <f>G365</f>
        <v>800000</v>
      </c>
      <c r="H364" s="370">
        <v>511748.1</v>
      </c>
      <c r="I364" s="440">
        <v>0</v>
      </c>
      <c r="J364" s="465">
        <v>0</v>
      </c>
      <c r="K364" s="465">
        <v>0</v>
      </c>
      <c r="L364" s="564">
        <f t="shared" si="61"/>
        <v>0</v>
      </c>
      <c r="M364" s="565">
        <f t="shared" si="64"/>
        <v>0</v>
      </c>
      <c r="N364" s="565">
        <f t="shared" si="62"/>
        <v>0</v>
      </c>
    </row>
    <row r="365" spans="1:14" outlineLevel="7" x14ac:dyDescent="0.3">
      <c r="A365" s="438" t="s">
        <v>74</v>
      </c>
      <c r="B365" s="439" t="s">
        <v>500</v>
      </c>
      <c r="C365" s="439" t="s">
        <v>256</v>
      </c>
      <c r="D365" s="533">
        <v>292270100</v>
      </c>
      <c r="E365" s="539" t="s">
        <v>75</v>
      </c>
      <c r="F365" s="539" t="s">
        <v>976</v>
      </c>
      <c r="G365" s="465">
        <f>500000+300000</f>
        <v>800000</v>
      </c>
      <c r="H365" s="370">
        <v>511748.1</v>
      </c>
      <c r="I365" s="440">
        <v>0</v>
      </c>
      <c r="J365" s="465">
        <v>0</v>
      </c>
      <c r="K365" s="465">
        <v>0</v>
      </c>
      <c r="L365" s="564">
        <f t="shared" si="61"/>
        <v>0</v>
      </c>
      <c r="M365" s="565">
        <f t="shared" si="64"/>
        <v>0</v>
      </c>
      <c r="N365" s="565">
        <f t="shared" si="62"/>
        <v>0</v>
      </c>
    </row>
    <row r="366" spans="1:14" outlineLevel="7" x14ac:dyDescent="0.3">
      <c r="A366" s="458" t="s">
        <v>597</v>
      </c>
      <c r="B366" s="445" t="s">
        <v>500</v>
      </c>
      <c r="C366" s="445" t="s">
        <v>256</v>
      </c>
      <c r="D366" s="541" t="s">
        <v>598</v>
      </c>
      <c r="E366" s="547" t="s">
        <v>6</v>
      </c>
      <c r="F366" s="547" t="s">
        <v>976</v>
      </c>
      <c r="G366" s="466">
        <v>0</v>
      </c>
      <c r="H366" s="442">
        <v>0</v>
      </c>
      <c r="I366" s="440">
        <f t="shared" ref="I366:K368" si="70">I367</f>
        <v>4458113.08</v>
      </c>
      <c r="J366" s="465">
        <f t="shared" si="70"/>
        <v>4503780.8999999994</v>
      </c>
      <c r="K366" s="465">
        <f t="shared" si="70"/>
        <v>4503780.8999999994</v>
      </c>
      <c r="L366" s="564">
        <f t="shared" si="61"/>
        <v>0</v>
      </c>
      <c r="M366" s="565"/>
      <c r="N366" s="565"/>
    </row>
    <row r="367" spans="1:14" ht="84.9" outlineLevel="7" x14ac:dyDescent="0.3">
      <c r="A367" s="438" t="s">
        <v>575</v>
      </c>
      <c r="B367" s="439" t="s">
        <v>500</v>
      </c>
      <c r="C367" s="439" t="s">
        <v>256</v>
      </c>
      <c r="D367" s="539" t="s">
        <v>599</v>
      </c>
      <c r="E367" s="548" t="s">
        <v>6</v>
      </c>
      <c r="F367" s="548" t="s">
        <v>976</v>
      </c>
      <c r="G367" s="466">
        <v>0</v>
      </c>
      <c r="H367" s="442">
        <v>0</v>
      </c>
      <c r="I367" s="440">
        <f t="shared" si="70"/>
        <v>4458113.08</v>
      </c>
      <c r="J367" s="465">
        <f t="shared" si="70"/>
        <v>4503780.8999999994</v>
      </c>
      <c r="K367" s="465">
        <f t="shared" si="70"/>
        <v>4503780.8999999994</v>
      </c>
      <c r="L367" s="564">
        <f t="shared" si="61"/>
        <v>0</v>
      </c>
      <c r="M367" s="565"/>
      <c r="N367" s="565"/>
    </row>
    <row r="368" spans="1:14" ht="34" outlineLevel="7" x14ac:dyDescent="0.3">
      <c r="A368" s="438" t="s">
        <v>37</v>
      </c>
      <c r="B368" s="439" t="s">
        <v>500</v>
      </c>
      <c r="C368" s="439" t="s">
        <v>256</v>
      </c>
      <c r="D368" s="539" t="s">
        <v>599</v>
      </c>
      <c r="E368" s="548" t="s">
        <v>38</v>
      </c>
      <c r="F368" s="548" t="s">
        <v>976</v>
      </c>
      <c r="G368" s="466">
        <v>0</v>
      </c>
      <c r="H368" s="442">
        <v>0</v>
      </c>
      <c r="I368" s="440">
        <f t="shared" si="70"/>
        <v>4458113.08</v>
      </c>
      <c r="J368" s="465">
        <f t="shared" si="70"/>
        <v>4503780.8999999994</v>
      </c>
      <c r="K368" s="465">
        <f t="shared" si="70"/>
        <v>4503780.8999999994</v>
      </c>
      <c r="L368" s="564">
        <f t="shared" si="61"/>
        <v>0</v>
      </c>
      <c r="M368" s="565"/>
      <c r="N368" s="565"/>
    </row>
    <row r="369" spans="1:14" outlineLevel="7" x14ac:dyDescent="0.3">
      <c r="A369" s="438" t="s">
        <v>74</v>
      </c>
      <c r="B369" s="439" t="s">
        <v>500</v>
      </c>
      <c r="C369" s="439" t="s">
        <v>256</v>
      </c>
      <c r="D369" s="539" t="s">
        <v>599</v>
      </c>
      <c r="E369" s="548" t="s">
        <v>75</v>
      </c>
      <c r="F369" s="548" t="s">
        <v>976</v>
      </c>
      <c r="G369" s="466">
        <v>0</v>
      </c>
      <c r="H369" s="442">
        <v>0</v>
      </c>
      <c r="I369" s="440">
        <f>4368667.47+89445.61</f>
        <v>4458113.08</v>
      </c>
      <c r="J369" s="466">
        <f>4368667.47+135113.43</f>
        <v>4503780.8999999994</v>
      </c>
      <c r="K369" s="466">
        <f>4368667.47+135113.43</f>
        <v>4503780.8999999994</v>
      </c>
      <c r="L369" s="564">
        <f t="shared" si="61"/>
        <v>0</v>
      </c>
      <c r="M369" s="565"/>
      <c r="N369" s="565"/>
    </row>
    <row r="370" spans="1:14" outlineLevel="7" x14ac:dyDescent="0.3">
      <c r="A370" s="444" t="s">
        <v>79</v>
      </c>
      <c r="B370" s="445" t="s">
        <v>500</v>
      </c>
      <c r="C370" s="445" t="s">
        <v>80</v>
      </c>
      <c r="D370" s="541" t="s">
        <v>126</v>
      </c>
      <c r="E370" s="541" t="s">
        <v>6</v>
      </c>
      <c r="F370" s="540">
        <v>33822841.700000003</v>
      </c>
      <c r="G370" s="508">
        <f>G371+G401</f>
        <v>41452318.13000001</v>
      </c>
      <c r="H370" s="446">
        <f>H371+H401</f>
        <v>27370092.920000002</v>
      </c>
      <c r="I370" s="446">
        <f>I371+I401</f>
        <v>39865848.490000002</v>
      </c>
      <c r="J370" s="508">
        <f>J371+J401</f>
        <v>43751559.600000001</v>
      </c>
      <c r="K370" s="508">
        <f>K371+K401</f>
        <v>43194170.600000001</v>
      </c>
      <c r="L370" s="564">
        <f t="shared" si="61"/>
        <v>-557389</v>
      </c>
      <c r="M370" s="565">
        <f t="shared" si="64"/>
        <v>105.54671384791861</v>
      </c>
      <c r="N370" s="565">
        <f t="shared" si="62"/>
        <v>104.20206287266566</v>
      </c>
    </row>
    <row r="371" spans="1:14" outlineLevel="7" x14ac:dyDescent="0.3">
      <c r="A371" s="438" t="s">
        <v>81</v>
      </c>
      <c r="B371" s="439" t="s">
        <v>500</v>
      </c>
      <c r="C371" s="439" t="s">
        <v>82</v>
      </c>
      <c r="D371" s="539" t="s">
        <v>126</v>
      </c>
      <c r="E371" s="539" t="s">
        <v>6</v>
      </c>
      <c r="F371" s="540">
        <v>33822841.700000003</v>
      </c>
      <c r="G371" s="465">
        <f>G372</f>
        <v>39083239.790000007</v>
      </c>
      <c r="H371" s="440">
        <f>H372</f>
        <v>25298078.920000002</v>
      </c>
      <c r="I371" s="440">
        <f>I372</f>
        <v>36253940.93</v>
      </c>
      <c r="J371" s="465">
        <f>J372</f>
        <v>38078949.649999999</v>
      </c>
      <c r="K371" s="465">
        <f>K372</f>
        <v>37521560.649999999</v>
      </c>
      <c r="L371" s="564">
        <f t="shared" si="61"/>
        <v>-557389</v>
      </c>
      <c r="M371" s="565">
        <f t="shared" si="64"/>
        <v>97.430381551283347</v>
      </c>
      <c r="N371" s="565">
        <f t="shared" si="62"/>
        <v>96.004222913987832</v>
      </c>
    </row>
    <row r="372" spans="1:14" ht="50.95" outlineLevel="7" x14ac:dyDescent="0.3">
      <c r="A372" s="444" t="s">
        <v>839</v>
      </c>
      <c r="B372" s="445" t="s">
        <v>500</v>
      </c>
      <c r="C372" s="445" t="s">
        <v>82</v>
      </c>
      <c r="D372" s="541" t="s">
        <v>136</v>
      </c>
      <c r="E372" s="541" t="s">
        <v>6</v>
      </c>
      <c r="F372" s="542">
        <v>33822841.700000003</v>
      </c>
      <c r="G372" s="508">
        <f>G373+G393+G383</f>
        <v>39083239.790000007</v>
      </c>
      <c r="H372" s="446">
        <f>H373+H393+H383</f>
        <v>25298078.920000002</v>
      </c>
      <c r="I372" s="446">
        <f>I373+I393+I383</f>
        <v>36253940.93</v>
      </c>
      <c r="J372" s="508">
        <f>J373+J393+J383</f>
        <v>38078949.649999999</v>
      </c>
      <c r="K372" s="508">
        <f>K373+K393+K383</f>
        <v>37521560.649999999</v>
      </c>
      <c r="L372" s="564">
        <f t="shared" si="61"/>
        <v>-557389</v>
      </c>
      <c r="M372" s="565">
        <f t="shared" si="64"/>
        <v>97.430381551283347</v>
      </c>
      <c r="N372" s="565">
        <f t="shared" si="62"/>
        <v>96.004222913987832</v>
      </c>
    </row>
    <row r="373" spans="1:14" ht="34" outlineLevel="7" x14ac:dyDescent="0.3">
      <c r="A373" s="438" t="s">
        <v>370</v>
      </c>
      <c r="B373" s="439" t="s">
        <v>500</v>
      </c>
      <c r="C373" s="439" t="s">
        <v>82</v>
      </c>
      <c r="D373" s="539" t="s">
        <v>227</v>
      </c>
      <c r="E373" s="539" t="s">
        <v>6</v>
      </c>
      <c r="F373" s="540">
        <v>8468322.4199999999</v>
      </c>
      <c r="G373" s="465">
        <f>G387+G374</f>
        <v>10660454.050000001</v>
      </c>
      <c r="H373" s="440">
        <f>H387+H374</f>
        <v>7987098.5700000003</v>
      </c>
      <c r="I373" s="440">
        <f>I377+I387+I374+I380</f>
        <v>9978834.7300000004</v>
      </c>
      <c r="J373" s="465">
        <f>J377+J387+J374+J380</f>
        <v>10667747.949999999</v>
      </c>
      <c r="K373" s="465">
        <f>K377+K387+K374+K380</f>
        <v>10510329.949999999</v>
      </c>
      <c r="L373" s="564">
        <f t="shared" si="61"/>
        <v>-157418</v>
      </c>
      <c r="M373" s="565">
        <f t="shared" si="64"/>
        <v>100.06842016264775</v>
      </c>
      <c r="N373" s="565">
        <f t="shared" si="62"/>
        <v>98.591766361020987</v>
      </c>
    </row>
    <row r="374" spans="1:14" ht="50.95" outlineLevel="7" x14ac:dyDescent="0.3">
      <c r="A374" s="397" t="s">
        <v>84</v>
      </c>
      <c r="B374" s="439" t="s">
        <v>500</v>
      </c>
      <c r="C374" s="439" t="s">
        <v>82</v>
      </c>
      <c r="D374" s="539" t="s">
        <v>141</v>
      </c>
      <c r="E374" s="539" t="s">
        <v>6</v>
      </c>
      <c r="F374" s="540">
        <v>8234876.1399999997</v>
      </c>
      <c r="G374" s="465">
        <f t="shared" ref="G374:K375" si="71">G375</f>
        <v>9380236.4600000009</v>
      </c>
      <c r="H374" s="440">
        <f t="shared" si="71"/>
        <v>6706880.9800000004</v>
      </c>
      <c r="I374" s="440">
        <f t="shared" si="71"/>
        <v>9805789.5800000001</v>
      </c>
      <c r="J374" s="465">
        <f t="shared" si="71"/>
        <v>10494546.92</v>
      </c>
      <c r="K374" s="465">
        <f t="shared" si="71"/>
        <v>10337128.92</v>
      </c>
      <c r="L374" s="564">
        <f t="shared" si="61"/>
        <v>-157418</v>
      </c>
      <c r="M374" s="565">
        <f t="shared" si="64"/>
        <v>111.87934296487872</v>
      </c>
      <c r="N374" s="565">
        <f t="shared" si="62"/>
        <v>110.20115499305867</v>
      </c>
    </row>
    <row r="375" spans="1:14" ht="34" outlineLevel="7" x14ac:dyDescent="0.3">
      <c r="A375" s="438" t="s">
        <v>37</v>
      </c>
      <c r="B375" s="439" t="s">
        <v>500</v>
      </c>
      <c r="C375" s="439" t="s">
        <v>82</v>
      </c>
      <c r="D375" s="539" t="s">
        <v>141</v>
      </c>
      <c r="E375" s="539" t="s">
        <v>38</v>
      </c>
      <c r="F375" s="540">
        <v>8234876.1399999997</v>
      </c>
      <c r="G375" s="465">
        <f t="shared" si="71"/>
        <v>9380236.4600000009</v>
      </c>
      <c r="H375" s="370">
        <v>6706880.9800000004</v>
      </c>
      <c r="I375" s="440">
        <f t="shared" si="71"/>
        <v>9805789.5800000001</v>
      </c>
      <c r="J375" s="465">
        <f t="shared" si="71"/>
        <v>10494546.92</v>
      </c>
      <c r="K375" s="465">
        <f t="shared" si="71"/>
        <v>10337128.92</v>
      </c>
      <c r="L375" s="564">
        <f t="shared" si="61"/>
        <v>-157418</v>
      </c>
      <c r="M375" s="565">
        <f t="shared" si="64"/>
        <v>111.87934296487872</v>
      </c>
      <c r="N375" s="565">
        <f t="shared" si="62"/>
        <v>110.20115499305867</v>
      </c>
    </row>
    <row r="376" spans="1:14" outlineLevel="7" x14ac:dyDescent="0.3">
      <c r="A376" s="438" t="s">
        <v>74</v>
      </c>
      <c r="B376" s="439" t="s">
        <v>500</v>
      </c>
      <c r="C376" s="439" t="s">
        <v>82</v>
      </c>
      <c r="D376" s="539" t="s">
        <v>141</v>
      </c>
      <c r="E376" s="539" t="s">
        <v>75</v>
      </c>
      <c r="F376" s="540">
        <v>8234876.1399999997</v>
      </c>
      <c r="G376" s="466">
        <f>[2]потребность!I362+85565.85-34359.85</f>
        <v>9380236.4600000009</v>
      </c>
      <c r="H376" s="370">
        <v>6706880.9800000004</v>
      </c>
      <c r="I376" s="442">
        <f>'[2]прил 12'!F361</f>
        <v>9805789.5800000001</v>
      </c>
      <c r="J376" s="466">
        <v>10494546.92</v>
      </c>
      <c r="K376" s="466">
        <f>10494546.92-157418</f>
        <v>10337128.92</v>
      </c>
      <c r="L376" s="564">
        <f t="shared" si="61"/>
        <v>-157418</v>
      </c>
      <c r="M376" s="565">
        <f t="shared" si="64"/>
        <v>111.87934296487872</v>
      </c>
      <c r="N376" s="565">
        <f t="shared" si="62"/>
        <v>110.20115499305867</v>
      </c>
    </row>
    <row r="377" spans="1:14" ht="84.9" outlineLevel="7" x14ac:dyDescent="0.3">
      <c r="A377" s="393" t="s">
        <v>393</v>
      </c>
      <c r="B377" s="439" t="s">
        <v>500</v>
      </c>
      <c r="C377" s="439" t="s">
        <v>82</v>
      </c>
      <c r="D377" s="539" t="s">
        <v>294</v>
      </c>
      <c r="E377" s="548" t="s">
        <v>6</v>
      </c>
      <c r="F377" s="540">
        <v>226442.89</v>
      </c>
      <c r="G377" s="549">
        <v>0</v>
      </c>
      <c r="H377" s="463">
        <v>0</v>
      </c>
      <c r="I377" s="440">
        <f t="shared" ref="I377:K378" si="72">I378</f>
        <v>168005</v>
      </c>
      <c r="J377" s="465">
        <f t="shared" si="72"/>
        <v>168005</v>
      </c>
      <c r="K377" s="465">
        <f t="shared" si="72"/>
        <v>168005</v>
      </c>
      <c r="L377" s="564">
        <f t="shared" si="61"/>
        <v>0</v>
      </c>
      <c r="M377" s="565"/>
      <c r="N377" s="565"/>
    </row>
    <row r="378" spans="1:14" ht="34" outlineLevel="7" x14ac:dyDescent="0.3">
      <c r="A378" s="438" t="s">
        <v>37</v>
      </c>
      <c r="B378" s="439" t="s">
        <v>500</v>
      </c>
      <c r="C378" s="439" t="s">
        <v>82</v>
      </c>
      <c r="D378" s="539" t="s">
        <v>294</v>
      </c>
      <c r="E378" s="548" t="s">
        <v>38</v>
      </c>
      <c r="F378" s="540">
        <v>226442.89</v>
      </c>
      <c r="G378" s="549">
        <v>0</v>
      </c>
      <c r="H378" s="463">
        <v>0</v>
      </c>
      <c r="I378" s="440">
        <f t="shared" si="72"/>
        <v>168005</v>
      </c>
      <c r="J378" s="465">
        <f t="shared" si="72"/>
        <v>168005</v>
      </c>
      <c r="K378" s="465">
        <f t="shared" si="72"/>
        <v>168005</v>
      </c>
      <c r="L378" s="564">
        <f t="shared" si="61"/>
        <v>0</v>
      </c>
      <c r="M378" s="565"/>
      <c r="N378" s="565"/>
    </row>
    <row r="379" spans="1:14" outlineLevel="7" x14ac:dyDescent="0.3">
      <c r="A379" s="438" t="s">
        <v>74</v>
      </c>
      <c r="B379" s="439" t="s">
        <v>500</v>
      </c>
      <c r="C379" s="439" t="s">
        <v>82</v>
      </c>
      <c r="D379" s="539" t="s">
        <v>294</v>
      </c>
      <c r="E379" s="548" t="s">
        <v>75</v>
      </c>
      <c r="F379" s="540">
        <v>226442.89</v>
      </c>
      <c r="G379" s="549">
        <v>0</v>
      </c>
      <c r="H379" s="463">
        <v>0</v>
      </c>
      <c r="I379" s="442">
        <v>168005</v>
      </c>
      <c r="J379" s="466">
        <v>168005</v>
      </c>
      <c r="K379" s="466">
        <v>168005</v>
      </c>
      <c r="L379" s="564">
        <f t="shared" si="61"/>
        <v>0</v>
      </c>
      <c r="M379" s="565"/>
      <c r="N379" s="565"/>
    </row>
    <row r="380" spans="1:14" ht="67.95" outlineLevel="7" x14ac:dyDescent="0.3">
      <c r="A380" s="438" t="s">
        <v>307</v>
      </c>
      <c r="B380" s="439" t="s">
        <v>500</v>
      </c>
      <c r="C380" s="439" t="s">
        <v>82</v>
      </c>
      <c r="D380" s="539" t="s">
        <v>308</v>
      </c>
      <c r="E380" s="548" t="s">
        <v>6</v>
      </c>
      <c r="F380" s="540">
        <v>7003.39</v>
      </c>
      <c r="G380" s="466">
        <v>0</v>
      </c>
      <c r="H380" s="442">
        <v>0</v>
      </c>
      <c r="I380" s="440">
        <f t="shared" ref="I380:K381" si="73">I381</f>
        <v>5040.1499999999996</v>
      </c>
      <c r="J380" s="465">
        <f t="shared" si="73"/>
        <v>5196.03</v>
      </c>
      <c r="K380" s="465">
        <f t="shared" si="73"/>
        <v>5196.03</v>
      </c>
      <c r="L380" s="564">
        <f t="shared" si="61"/>
        <v>0</v>
      </c>
      <c r="M380" s="565"/>
      <c r="N380" s="565"/>
    </row>
    <row r="381" spans="1:14" ht="34" outlineLevel="7" x14ac:dyDescent="0.3">
      <c r="A381" s="438" t="s">
        <v>37</v>
      </c>
      <c r="B381" s="439" t="s">
        <v>500</v>
      </c>
      <c r="C381" s="439" t="s">
        <v>82</v>
      </c>
      <c r="D381" s="539" t="s">
        <v>308</v>
      </c>
      <c r="E381" s="548" t="s">
        <v>38</v>
      </c>
      <c r="F381" s="540">
        <v>7003.39</v>
      </c>
      <c r="G381" s="466">
        <v>0</v>
      </c>
      <c r="H381" s="442">
        <v>0</v>
      </c>
      <c r="I381" s="440">
        <f t="shared" si="73"/>
        <v>5040.1499999999996</v>
      </c>
      <c r="J381" s="465">
        <f t="shared" si="73"/>
        <v>5196.03</v>
      </c>
      <c r="K381" s="465">
        <f t="shared" si="73"/>
        <v>5196.03</v>
      </c>
      <c r="L381" s="564">
        <f t="shared" si="61"/>
        <v>0</v>
      </c>
      <c r="M381" s="565"/>
      <c r="N381" s="565"/>
    </row>
    <row r="382" spans="1:14" outlineLevel="7" x14ac:dyDescent="0.3">
      <c r="A382" s="438" t="s">
        <v>74</v>
      </c>
      <c r="B382" s="439" t="s">
        <v>500</v>
      </c>
      <c r="C382" s="439" t="s">
        <v>82</v>
      </c>
      <c r="D382" s="539" t="s">
        <v>308</v>
      </c>
      <c r="E382" s="548" t="s">
        <v>75</v>
      </c>
      <c r="F382" s="540">
        <v>7003.39</v>
      </c>
      <c r="G382" s="466">
        <v>0</v>
      </c>
      <c r="H382" s="442">
        <v>0</v>
      </c>
      <c r="I382" s="442">
        <v>5040.1499999999996</v>
      </c>
      <c r="J382" s="466">
        <v>5196.03</v>
      </c>
      <c r="K382" s="466">
        <v>5196.03</v>
      </c>
      <c r="L382" s="564">
        <f t="shared" si="61"/>
        <v>0</v>
      </c>
      <c r="M382" s="565"/>
      <c r="N382" s="565"/>
    </row>
    <row r="383" spans="1:14" ht="34" outlineLevel="7" x14ac:dyDescent="0.3">
      <c r="A383" s="438" t="s">
        <v>678</v>
      </c>
      <c r="B383" s="439" t="s">
        <v>500</v>
      </c>
      <c r="C383" s="439" t="s">
        <v>82</v>
      </c>
      <c r="D383" s="539" t="s">
        <v>677</v>
      </c>
      <c r="E383" s="539" t="s">
        <v>6</v>
      </c>
      <c r="F383" s="540">
        <v>23473533.550000001</v>
      </c>
      <c r="G383" s="465">
        <f>G384+G390</f>
        <v>26656285.740000002</v>
      </c>
      <c r="H383" s="440">
        <f>H384+H390</f>
        <v>16802005.420000002</v>
      </c>
      <c r="I383" s="440">
        <f>I384+I390</f>
        <v>25737149.199999999</v>
      </c>
      <c r="J383" s="465">
        <f>J384+J390</f>
        <v>26664701.699999999</v>
      </c>
      <c r="K383" s="465">
        <f>K384+K390</f>
        <v>26264730.699999999</v>
      </c>
      <c r="L383" s="564">
        <f t="shared" si="61"/>
        <v>-399971</v>
      </c>
      <c r="M383" s="565">
        <f t="shared" si="64"/>
        <v>100.03157214055283</v>
      </c>
      <c r="N383" s="565">
        <f t="shared" si="62"/>
        <v>98.531096778376579</v>
      </c>
    </row>
    <row r="384" spans="1:14" ht="36.700000000000003" customHeight="1" outlineLevel="3" x14ac:dyDescent="0.3">
      <c r="A384" s="397" t="s">
        <v>84</v>
      </c>
      <c r="B384" s="439" t="s">
        <v>500</v>
      </c>
      <c r="C384" s="439" t="s">
        <v>82</v>
      </c>
      <c r="D384" s="539" t="s">
        <v>676</v>
      </c>
      <c r="E384" s="539" t="s">
        <v>6</v>
      </c>
      <c r="F384" s="540">
        <v>23473533.550000001</v>
      </c>
      <c r="G384" s="465">
        <f t="shared" ref="G384:K385" si="74">G385</f>
        <v>24239342.940000001</v>
      </c>
      <c r="H384" s="440">
        <f t="shared" si="74"/>
        <v>16802005.420000002</v>
      </c>
      <c r="I384" s="440">
        <f t="shared" si="74"/>
        <v>25737149.199999999</v>
      </c>
      <c r="J384" s="465">
        <f t="shared" si="74"/>
        <v>26664701.699999999</v>
      </c>
      <c r="K384" s="465">
        <f t="shared" si="74"/>
        <v>26264730.699999999</v>
      </c>
      <c r="L384" s="564">
        <f t="shared" si="61"/>
        <v>-399971</v>
      </c>
      <c r="M384" s="565">
        <f t="shared" si="64"/>
        <v>110.00587666919654</v>
      </c>
      <c r="N384" s="565">
        <f t="shared" si="62"/>
        <v>108.35578656159728</v>
      </c>
    </row>
    <row r="385" spans="1:14" ht="34" outlineLevel="3" x14ac:dyDescent="0.3">
      <c r="A385" s="438" t="s">
        <v>37</v>
      </c>
      <c r="B385" s="439" t="s">
        <v>500</v>
      </c>
      <c r="C385" s="439" t="s">
        <v>82</v>
      </c>
      <c r="D385" s="539" t="s">
        <v>676</v>
      </c>
      <c r="E385" s="539" t="s">
        <v>38</v>
      </c>
      <c r="F385" s="540">
        <v>23473533.550000001</v>
      </c>
      <c r="G385" s="465">
        <f t="shared" si="74"/>
        <v>24239342.940000001</v>
      </c>
      <c r="H385" s="370">
        <v>16802005.420000002</v>
      </c>
      <c r="I385" s="440">
        <f t="shared" si="74"/>
        <v>25737149.199999999</v>
      </c>
      <c r="J385" s="465">
        <f t="shared" si="74"/>
        <v>26664701.699999999</v>
      </c>
      <c r="K385" s="465">
        <f t="shared" si="74"/>
        <v>26264730.699999999</v>
      </c>
      <c r="L385" s="564">
        <f t="shared" si="61"/>
        <v>-399971</v>
      </c>
      <c r="M385" s="565">
        <f t="shared" si="64"/>
        <v>110.00587666919654</v>
      </c>
      <c r="N385" s="565">
        <f t="shared" si="62"/>
        <v>108.35578656159728</v>
      </c>
    </row>
    <row r="386" spans="1:14" ht="21.25" customHeight="1" outlineLevel="3" x14ac:dyDescent="0.3">
      <c r="A386" s="438" t="s">
        <v>74</v>
      </c>
      <c r="B386" s="439" t="s">
        <v>500</v>
      </c>
      <c r="C386" s="439" t="s">
        <v>82</v>
      </c>
      <c r="D386" s="539" t="s">
        <v>676</v>
      </c>
      <c r="E386" s="539" t="s">
        <v>75</v>
      </c>
      <c r="F386" s="540">
        <v>23473533.550000001</v>
      </c>
      <c r="G386" s="466">
        <f>[2]потребность!L366</f>
        <v>24239342.940000001</v>
      </c>
      <c r="H386" s="370">
        <v>16802005.420000002</v>
      </c>
      <c r="I386" s="442">
        <f>'[2]прил 12'!F365</f>
        <v>25737149.199999999</v>
      </c>
      <c r="J386" s="466">
        <v>26664701.699999999</v>
      </c>
      <c r="K386" s="466">
        <f>26664701.7-399971</f>
        <v>26264730.699999999</v>
      </c>
      <c r="L386" s="564">
        <f t="shared" si="61"/>
        <v>-399971</v>
      </c>
      <c r="M386" s="565">
        <f t="shared" si="64"/>
        <v>110.00587666919654</v>
      </c>
      <c r="N386" s="565">
        <f t="shared" si="62"/>
        <v>108.35578656159728</v>
      </c>
    </row>
    <row r="387" spans="1:14" ht="84.9" outlineLevel="7" x14ac:dyDescent="0.3">
      <c r="A387" s="393" t="s">
        <v>936</v>
      </c>
      <c r="B387" s="439" t="s">
        <v>500</v>
      </c>
      <c r="C387" s="439" t="s">
        <v>82</v>
      </c>
      <c r="D387" s="539" t="s">
        <v>935</v>
      </c>
      <c r="E387" s="539" t="s">
        <v>6</v>
      </c>
      <c r="F387" s="539" t="s">
        <v>976</v>
      </c>
      <c r="G387" s="465">
        <f>G388</f>
        <v>1280217.5899999999</v>
      </c>
      <c r="H387" s="440">
        <f>H388</f>
        <v>1280217.5900000001</v>
      </c>
      <c r="I387" s="440">
        <v>0</v>
      </c>
      <c r="J387" s="465">
        <f>J388</f>
        <v>0</v>
      </c>
      <c r="K387" s="465">
        <f>K388</f>
        <v>0</v>
      </c>
      <c r="L387" s="564">
        <f t="shared" si="61"/>
        <v>0</v>
      </c>
      <c r="M387" s="565">
        <f t="shared" si="64"/>
        <v>0</v>
      </c>
      <c r="N387" s="565">
        <f t="shared" si="62"/>
        <v>0</v>
      </c>
    </row>
    <row r="388" spans="1:14" ht="34" outlineLevel="7" x14ac:dyDescent="0.3">
      <c r="A388" s="438" t="s">
        <v>37</v>
      </c>
      <c r="B388" s="439" t="s">
        <v>500</v>
      </c>
      <c r="C388" s="439" t="s">
        <v>82</v>
      </c>
      <c r="D388" s="539" t="s">
        <v>935</v>
      </c>
      <c r="E388" s="539" t="s">
        <v>38</v>
      </c>
      <c r="F388" s="539" t="s">
        <v>976</v>
      </c>
      <c r="G388" s="465">
        <f>G389</f>
        <v>1280217.5899999999</v>
      </c>
      <c r="H388" s="370">
        <v>1280217.5900000001</v>
      </c>
      <c r="I388" s="440">
        <v>0</v>
      </c>
      <c r="J388" s="465">
        <f>J389</f>
        <v>0</v>
      </c>
      <c r="K388" s="465">
        <f>K389</f>
        <v>0</v>
      </c>
      <c r="L388" s="564">
        <f t="shared" si="61"/>
        <v>0</v>
      </c>
      <c r="M388" s="565">
        <f t="shared" si="64"/>
        <v>0</v>
      </c>
      <c r="N388" s="565">
        <f t="shared" si="62"/>
        <v>0</v>
      </c>
    </row>
    <row r="389" spans="1:14" outlineLevel="7" x14ac:dyDescent="0.3">
      <c r="A389" s="438" t="s">
        <v>74</v>
      </c>
      <c r="B389" s="439" t="s">
        <v>500</v>
      </c>
      <c r="C389" s="439" t="s">
        <v>82</v>
      </c>
      <c r="D389" s="539" t="s">
        <v>935</v>
      </c>
      <c r="E389" s="539" t="s">
        <v>75</v>
      </c>
      <c r="F389" s="539" t="s">
        <v>976</v>
      </c>
      <c r="G389" s="466">
        <f>1273913.69+39400-33096.1</f>
        <v>1280217.5899999999</v>
      </c>
      <c r="H389" s="370">
        <v>1280217.5900000001</v>
      </c>
      <c r="I389" s="442">
        <v>0</v>
      </c>
      <c r="J389" s="466"/>
      <c r="K389" s="466"/>
      <c r="L389" s="564">
        <f t="shared" si="61"/>
        <v>0</v>
      </c>
      <c r="M389" s="565">
        <f t="shared" si="64"/>
        <v>0</v>
      </c>
      <c r="N389" s="565">
        <f t="shared" si="62"/>
        <v>0</v>
      </c>
    </row>
    <row r="390" spans="1:14" ht="44.15" customHeight="1" outlineLevel="7" x14ac:dyDescent="0.3">
      <c r="A390" s="438" t="s">
        <v>917</v>
      </c>
      <c r="B390" s="439" t="s">
        <v>500</v>
      </c>
      <c r="C390" s="439" t="s">
        <v>82</v>
      </c>
      <c r="D390" s="539" t="s">
        <v>918</v>
      </c>
      <c r="E390" s="539" t="s">
        <v>6</v>
      </c>
      <c r="F390" s="539" t="s">
        <v>976</v>
      </c>
      <c r="G390" s="466">
        <f>G391</f>
        <v>2416942.7999999998</v>
      </c>
      <c r="H390" s="442">
        <f>H391</f>
        <v>0</v>
      </c>
      <c r="I390" s="442">
        <v>0</v>
      </c>
      <c r="J390" s="466">
        <f>J391</f>
        <v>0</v>
      </c>
      <c r="K390" s="466">
        <f>K391</f>
        <v>0</v>
      </c>
      <c r="L390" s="564">
        <f t="shared" si="61"/>
        <v>0</v>
      </c>
      <c r="M390" s="565">
        <f t="shared" si="64"/>
        <v>0</v>
      </c>
      <c r="N390" s="565">
        <f t="shared" si="62"/>
        <v>0</v>
      </c>
    </row>
    <row r="391" spans="1:14" ht="34" outlineLevel="7" x14ac:dyDescent="0.3">
      <c r="A391" s="438" t="s">
        <v>37</v>
      </c>
      <c r="B391" s="439" t="s">
        <v>500</v>
      </c>
      <c r="C391" s="439" t="s">
        <v>82</v>
      </c>
      <c r="D391" s="539" t="s">
        <v>918</v>
      </c>
      <c r="E391" s="539" t="s">
        <v>38</v>
      </c>
      <c r="F391" s="539" t="s">
        <v>976</v>
      </c>
      <c r="G391" s="466">
        <f>G392</f>
        <v>2416942.7999999998</v>
      </c>
      <c r="H391" s="442">
        <v>0</v>
      </c>
      <c r="I391" s="442">
        <v>0</v>
      </c>
      <c r="J391" s="466">
        <f>J392</f>
        <v>0</v>
      </c>
      <c r="K391" s="466">
        <f>K392</f>
        <v>0</v>
      </c>
      <c r="L391" s="564">
        <f t="shared" si="61"/>
        <v>0</v>
      </c>
      <c r="M391" s="565">
        <f t="shared" si="64"/>
        <v>0</v>
      </c>
      <c r="N391" s="565">
        <f t="shared" si="62"/>
        <v>0</v>
      </c>
    </row>
    <row r="392" spans="1:14" outlineLevel="7" x14ac:dyDescent="0.3">
      <c r="A392" s="438" t="s">
        <v>74</v>
      </c>
      <c r="B392" s="439" t="s">
        <v>500</v>
      </c>
      <c r="C392" s="439" t="s">
        <v>82</v>
      </c>
      <c r="D392" s="539" t="s">
        <v>918</v>
      </c>
      <c r="E392" s="539" t="s">
        <v>75</v>
      </c>
      <c r="F392" s="539" t="s">
        <v>976</v>
      </c>
      <c r="G392" s="466">
        <f>2155894.2-2155894.2+900000+1516942.8</f>
        <v>2416942.7999999998</v>
      </c>
      <c r="H392" s="442">
        <v>0</v>
      </c>
      <c r="I392" s="442">
        <v>0</v>
      </c>
      <c r="J392" s="466">
        <v>0</v>
      </c>
      <c r="K392" s="466">
        <v>0</v>
      </c>
      <c r="L392" s="564">
        <f t="shared" ref="L392:L455" si="75">K392-J392</f>
        <v>0</v>
      </c>
      <c r="M392" s="565">
        <f t="shared" si="64"/>
        <v>0</v>
      </c>
      <c r="N392" s="565">
        <f t="shared" ref="N392:N455" si="76">K392/G392*100</f>
        <v>0</v>
      </c>
    </row>
    <row r="393" spans="1:14" ht="27" customHeight="1" outlineLevel="7" x14ac:dyDescent="0.3">
      <c r="A393" s="438" t="s">
        <v>211</v>
      </c>
      <c r="B393" s="439" t="s">
        <v>500</v>
      </c>
      <c r="C393" s="439" t="s">
        <v>82</v>
      </c>
      <c r="D393" s="539" t="s">
        <v>229</v>
      </c>
      <c r="E393" s="539" t="s">
        <v>6</v>
      </c>
      <c r="F393" s="540">
        <v>1880985.73</v>
      </c>
      <c r="G393" s="466">
        <f>G394+G398</f>
        <v>1766500</v>
      </c>
      <c r="H393" s="442">
        <f>H394+H398</f>
        <v>508974.93</v>
      </c>
      <c r="I393" s="442">
        <f>I394+I398</f>
        <v>537957</v>
      </c>
      <c r="J393" s="466">
        <f>J394+J398</f>
        <v>746500</v>
      </c>
      <c r="K393" s="466">
        <f>K394+K398</f>
        <v>746500</v>
      </c>
      <c r="L393" s="564">
        <f t="shared" si="75"/>
        <v>0</v>
      </c>
      <c r="M393" s="565">
        <f t="shared" si="64"/>
        <v>42.25870365128786</v>
      </c>
      <c r="N393" s="565">
        <f t="shared" si="76"/>
        <v>42.25870365128786</v>
      </c>
    </row>
    <row r="394" spans="1:14" ht="32.6" customHeight="1" outlineLevel="7" x14ac:dyDescent="0.3">
      <c r="A394" s="438" t="s">
        <v>83</v>
      </c>
      <c r="B394" s="439" t="s">
        <v>500</v>
      </c>
      <c r="C394" s="439" t="s">
        <v>82</v>
      </c>
      <c r="D394" s="539" t="s">
        <v>140</v>
      </c>
      <c r="E394" s="539" t="s">
        <v>6</v>
      </c>
      <c r="F394" s="540">
        <v>1880985.73</v>
      </c>
      <c r="G394" s="465">
        <f>G395</f>
        <v>746500</v>
      </c>
      <c r="H394" s="440">
        <f>H395</f>
        <v>508974.93</v>
      </c>
      <c r="I394" s="440">
        <f>I395</f>
        <v>537957</v>
      </c>
      <c r="J394" s="465">
        <f>J395</f>
        <v>746500</v>
      </c>
      <c r="K394" s="465">
        <f>K395</f>
        <v>746500</v>
      </c>
      <c r="L394" s="564">
        <f t="shared" si="75"/>
        <v>0</v>
      </c>
      <c r="M394" s="565">
        <f t="shared" si="64"/>
        <v>100</v>
      </c>
      <c r="N394" s="565">
        <f t="shared" si="76"/>
        <v>100</v>
      </c>
    </row>
    <row r="395" spans="1:14" s="449" customFormat="1" ht="34" outlineLevel="1" x14ac:dyDescent="0.3">
      <c r="A395" s="438" t="s">
        <v>37</v>
      </c>
      <c r="B395" s="439" t="s">
        <v>500</v>
      </c>
      <c r="C395" s="439" t="s">
        <v>82</v>
      </c>
      <c r="D395" s="539" t="s">
        <v>140</v>
      </c>
      <c r="E395" s="539" t="s">
        <v>38</v>
      </c>
      <c r="F395" s="540">
        <v>1880985.73</v>
      </c>
      <c r="G395" s="465">
        <f>G396+G397</f>
        <v>746500</v>
      </c>
      <c r="H395" s="370">
        <v>508974.93</v>
      </c>
      <c r="I395" s="440">
        <f>I396+I397</f>
        <v>537957</v>
      </c>
      <c r="J395" s="465">
        <f>J396+J397</f>
        <v>746500</v>
      </c>
      <c r="K395" s="465">
        <f>K396+K397</f>
        <v>746500</v>
      </c>
      <c r="L395" s="564">
        <f t="shared" si="75"/>
        <v>0</v>
      </c>
      <c r="M395" s="565">
        <f t="shared" si="64"/>
        <v>100</v>
      </c>
      <c r="N395" s="565">
        <f t="shared" si="76"/>
        <v>100</v>
      </c>
    </row>
    <row r="396" spans="1:14" outlineLevel="2" x14ac:dyDescent="0.3">
      <c r="A396" s="438" t="s">
        <v>74</v>
      </c>
      <c r="B396" s="439" t="s">
        <v>500</v>
      </c>
      <c r="C396" s="439" t="s">
        <v>82</v>
      </c>
      <c r="D396" s="539" t="s">
        <v>140</v>
      </c>
      <c r="E396" s="539" t="s">
        <v>75</v>
      </c>
      <c r="F396" s="540">
        <v>1766985.73</v>
      </c>
      <c r="G396" s="465">
        <f>632500</f>
        <v>632500</v>
      </c>
      <c r="H396" s="370">
        <v>410474.93</v>
      </c>
      <c r="I396" s="440">
        <v>423957</v>
      </c>
      <c r="J396" s="466">
        <v>632500</v>
      </c>
      <c r="K396" s="466">
        <v>632500</v>
      </c>
      <c r="L396" s="564">
        <f t="shared" si="75"/>
        <v>0</v>
      </c>
      <c r="M396" s="565">
        <f t="shared" ref="M396:M459" si="77">J396/G396%</f>
        <v>100</v>
      </c>
      <c r="N396" s="565">
        <f t="shared" si="76"/>
        <v>100</v>
      </c>
    </row>
    <row r="397" spans="1:14" ht="50.95" outlineLevel="4" x14ac:dyDescent="0.3">
      <c r="A397" s="438" t="s">
        <v>371</v>
      </c>
      <c r="B397" s="439" t="s">
        <v>500</v>
      </c>
      <c r="C397" s="439" t="s">
        <v>82</v>
      </c>
      <c r="D397" s="539" t="s">
        <v>140</v>
      </c>
      <c r="E397" s="539" t="s">
        <v>252</v>
      </c>
      <c r="F397" s="540">
        <v>114000</v>
      </c>
      <c r="G397" s="465">
        <v>114000</v>
      </c>
      <c r="H397" s="370">
        <v>98500</v>
      </c>
      <c r="I397" s="440">
        <v>114000</v>
      </c>
      <c r="J397" s="466">
        <v>114000</v>
      </c>
      <c r="K397" s="466">
        <v>114000</v>
      </c>
      <c r="L397" s="564">
        <f t="shared" si="75"/>
        <v>0</v>
      </c>
      <c r="M397" s="565">
        <f t="shared" si="77"/>
        <v>100</v>
      </c>
      <c r="N397" s="565">
        <f t="shared" si="76"/>
        <v>100</v>
      </c>
    </row>
    <row r="398" spans="1:14" ht="34" outlineLevel="4" x14ac:dyDescent="0.3">
      <c r="A398" s="438" t="s">
        <v>955</v>
      </c>
      <c r="B398" s="439" t="s">
        <v>500</v>
      </c>
      <c r="C398" s="439" t="s">
        <v>82</v>
      </c>
      <c r="D398" s="539" t="s">
        <v>956</v>
      </c>
      <c r="E398" s="539" t="s">
        <v>6</v>
      </c>
      <c r="F398" s="539" t="s">
        <v>976</v>
      </c>
      <c r="G398" s="465">
        <f>G399</f>
        <v>1020000</v>
      </c>
      <c r="H398" s="440">
        <f>H399</f>
        <v>0</v>
      </c>
      <c r="I398" s="440">
        <v>0</v>
      </c>
      <c r="J398" s="465">
        <f>J399</f>
        <v>0</v>
      </c>
      <c r="K398" s="465">
        <f>K399</f>
        <v>0</v>
      </c>
      <c r="L398" s="564">
        <f t="shared" si="75"/>
        <v>0</v>
      </c>
      <c r="M398" s="565">
        <f t="shared" si="77"/>
        <v>0</v>
      </c>
      <c r="N398" s="565">
        <f t="shared" si="76"/>
        <v>0</v>
      </c>
    </row>
    <row r="399" spans="1:14" ht="34" outlineLevel="4" x14ac:dyDescent="0.3">
      <c r="A399" s="438" t="s">
        <v>37</v>
      </c>
      <c r="B399" s="439" t="s">
        <v>500</v>
      </c>
      <c r="C399" s="439" t="s">
        <v>82</v>
      </c>
      <c r="D399" s="539" t="s">
        <v>956</v>
      </c>
      <c r="E399" s="539" t="s">
        <v>38</v>
      </c>
      <c r="F399" s="539" t="s">
        <v>976</v>
      </c>
      <c r="G399" s="465">
        <f>G400</f>
        <v>1020000</v>
      </c>
      <c r="H399" s="440">
        <v>0</v>
      </c>
      <c r="I399" s="440">
        <v>0</v>
      </c>
      <c r="J399" s="465">
        <f>J400</f>
        <v>0</v>
      </c>
      <c r="K399" s="465">
        <f>K400</f>
        <v>0</v>
      </c>
      <c r="L399" s="564">
        <f t="shared" si="75"/>
        <v>0</v>
      </c>
      <c r="M399" s="565">
        <f t="shared" si="77"/>
        <v>0</v>
      </c>
      <c r="N399" s="565">
        <f t="shared" si="76"/>
        <v>0</v>
      </c>
    </row>
    <row r="400" spans="1:14" outlineLevel="4" x14ac:dyDescent="0.3">
      <c r="A400" s="438" t="s">
        <v>74</v>
      </c>
      <c r="B400" s="439" t="s">
        <v>500</v>
      </c>
      <c r="C400" s="439" t="s">
        <v>82</v>
      </c>
      <c r="D400" s="539" t="s">
        <v>956</v>
      </c>
      <c r="E400" s="539" t="s">
        <v>75</v>
      </c>
      <c r="F400" s="539" t="s">
        <v>976</v>
      </c>
      <c r="G400" s="465">
        <f>1000000+20000</f>
        <v>1020000</v>
      </c>
      <c r="H400" s="440">
        <v>0</v>
      </c>
      <c r="I400" s="440">
        <v>0</v>
      </c>
      <c r="J400" s="466">
        <v>0</v>
      </c>
      <c r="K400" s="466">
        <v>0</v>
      </c>
      <c r="L400" s="564">
        <f t="shared" si="75"/>
        <v>0</v>
      </c>
      <c r="M400" s="565">
        <f t="shared" si="77"/>
        <v>0</v>
      </c>
      <c r="N400" s="565">
        <f t="shared" si="76"/>
        <v>0</v>
      </c>
    </row>
    <row r="401" spans="1:14" outlineLevel="5" x14ac:dyDescent="0.3">
      <c r="A401" s="438" t="s">
        <v>522</v>
      </c>
      <c r="B401" s="439" t="s">
        <v>500</v>
      </c>
      <c r="C401" s="439" t="s">
        <v>523</v>
      </c>
      <c r="D401" s="539" t="s">
        <v>126</v>
      </c>
      <c r="E401" s="539" t="s">
        <v>6</v>
      </c>
      <c r="F401" s="539"/>
      <c r="G401" s="465">
        <f>G402+G413</f>
        <v>2369078.34</v>
      </c>
      <c r="H401" s="440">
        <f>H402+H413</f>
        <v>2072014</v>
      </c>
      <c r="I401" s="440">
        <f>I402+I413</f>
        <v>3611907.56</v>
      </c>
      <c r="J401" s="465">
        <f>J402+J413</f>
        <v>5672609.9500000002</v>
      </c>
      <c r="K401" s="465">
        <f>K402+K413</f>
        <v>5672609.9500000002</v>
      </c>
      <c r="L401" s="564">
        <f t="shared" si="75"/>
        <v>0</v>
      </c>
      <c r="M401" s="565">
        <f t="shared" si="77"/>
        <v>239.44374714092402</v>
      </c>
      <c r="N401" s="565">
        <f t="shared" si="76"/>
        <v>239.44374714092405</v>
      </c>
    </row>
    <row r="402" spans="1:14" ht="48.25" customHeight="1" outlineLevel="6" x14ac:dyDescent="0.3">
      <c r="A402" s="444" t="s">
        <v>839</v>
      </c>
      <c r="B402" s="439" t="s">
        <v>500</v>
      </c>
      <c r="C402" s="439" t="s">
        <v>523</v>
      </c>
      <c r="D402" s="539" t="s">
        <v>136</v>
      </c>
      <c r="E402" s="539" t="s">
        <v>6</v>
      </c>
      <c r="F402" s="539" t="s">
        <v>976</v>
      </c>
      <c r="G402" s="465">
        <f>G403</f>
        <v>202147.39</v>
      </c>
      <c r="H402" s="440">
        <f>H403</f>
        <v>0</v>
      </c>
      <c r="I402" s="440">
        <v>208543</v>
      </c>
      <c r="J402" s="465">
        <f>J403</f>
        <v>3405960.55</v>
      </c>
      <c r="K402" s="465">
        <f>K403</f>
        <v>3405960.55</v>
      </c>
      <c r="L402" s="564">
        <f t="shared" si="75"/>
        <v>0</v>
      </c>
      <c r="M402" s="565">
        <f t="shared" si="77"/>
        <v>1684.889698551141</v>
      </c>
      <c r="N402" s="565">
        <f t="shared" si="76"/>
        <v>1684.8896985511412</v>
      </c>
    </row>
    <row r="403" spans="1:14" ht="23.3" customHeight="1" outlineLevel="7" x14ac:dyDescent="0.3">
      <c r="A403" s="438" t="s">
        <v>211</v>
      </c>
      <c r="B403" s="439" t="s">
        <v>500</v>
      </c>
      <c r="C403" s="439" t="s">
        <v>523</v>
      </c>
      <c r="D403" s="539" t="s">
        <v>229</v>
      </c>
      <c r="E403" s="539" t="s">
        <v>6</v>
      </c>
      <c r="F403" s="539" t="s">
        <v>976</v>
      </c>
      <c r="G403" s="465">
        <f>G404+G407</f>
        <v>202147.39</v>
      </c>
      <c r="H403" s="440">
        <f>H404+H407</f>
        <v>0</v>
      </c>
      <c r="I403" s="440">
        <v>208543</v>
      </c>
      <c r="J403" s="465">
        <f>J404+J407+J410</f>
        <v>3405960.55</v>
      </c>
      <c r="K403" s="465">
        <f>K404+K407+K410</f>
        <v>3405960.55</v>
      </c>
      <c r="L403" s="564">
        <f t="shared" si="75"/>
        <v>0</v>
      </c>
      <c r="M403" s="565">
        <f t="shared" si="77"/>
        <v>1684.889698551141</v>
      </c>
      <c r="N403" s="565">
        <f t="shared" si="76"/>
        <v>1684.8896985511412</v>
      </c>
    </row>
    <row r="404" spans="1:14" ht="50.95" outlineLevel="7" x14ac:dyDescent="0.3">
      <c r="A404" s="438" t="s">
        <v>524</v>
      </c>
      <c r="B404" s="439" t="s">
        <v>500</v>
      </c>
      <c r="C404" s="439" t="s">
        <v>523</v>
      </c>
      <c r="D404" s="539" t="s">
        <v>525</v>
      </c>
      <c r="E404" s="539" t="s">
        <v>6</v>
      </c>
      <c r="F404" s="539" t="s">
        <v>976</v>
      </c>
      <c r="G404" s="465">
        <f>G405</f>
        <v>202147.39</v>
      </c>
      <c r="H404" s="440">
        <f>H405</f>
        <v>0</v>
      </c>
      <c r="I404" s="440">
        <v>208543</v>
      </c>
      <c r="J404" s="465">
        <f>J405</f>
        <v>0</v>
      </c>
      <c r="K404" s="465">
        <f>K405</f>
        <v>0</v>
      </c>
      <c r="L404" s="564">
        <f t="shared" si="75"/>
        <v>0</v>
      </c>
      <c r="M404" s="565">
        <f t="shared" si="77"/>
        <v>0</v>
      </c>
      <c r="N404" s="565">
        <f t="shared" si="76"/>
        <v>0</v>
      </c>
    </row>
    <row r="405" spans="1:14" s="449" customFormat="1" ht="34" outlineLevel="7" x14ac:dyDescent="0.3">
      <c r="A405" s="438" t="s">
        <v>37</v>
      </c>
      <c r="B405" s="439" t="s">
        <v>500</v>
      </c>
      <c r="C405" s="439" t="s">
        <v>523</v>
      </c>
      <c r="D405" s="539" t="s">
        <v>525</v>
      </c>
      <c r="E405" s="539" t="s">
        <v>38</v>
      </c>
      <c r="F405" s="539" t="s">
        <v>976</v>
      </c>
      <c r="G405" s="465">
        <f>G406</f>
        <v>202147.39</v>
      </c>
      <c r="H405" s="440">
        <f>H406</f>
        <v>0</v>
      </c>
      <c r="I405" s="440">
        <v>208543</v>
      </c>
      <c r="J405" s="465">
        <f>J406</f>
        <v>0</v>
      </c>
      <c r="K405" s="465">
        <f>K406</f>
        <v>0</v>
      </c>
      <c r="L405" s="564">
        <f t="shared" si="75"/>
        <v>0</v>
      </c>
      <c r="M405" s="565">
        <f t="shared" si="77"/>
        <v>0</v>
      </c>
      <c r="N405" s="565">
        <f t="shared" si="76"/>
        <v>0</v>
      </c>
    </row>
    <row r="406" spans="1:14" ht="24.8" customHeight="1" outlineLevel="7" x14ac:dyDescent="0.3">
      <c r="A406" s="438" t="s">
        <v>74</v>
      </c>
      <c r="B406" s="439" t="s">
        <v>500</v>
      </c>
      <c r="C406" s="439" t="s">
        <v>523</v>
      </c>
      <c r="D406" s="539" t="s">
        <v>525</v>
      </c>
      <c r="E406" s="539" t="s">
        <v>75</v>
      </c>
      <c r="F406" s="539" t="s">
        <v>976</v>
      </c>
      <c r="G406" s="465">
        <v>202147.39</v>
      </c>
      <c r="H406" s="440">
        <v>0</v>
      </c>
      <c r="I406" s="440">
        <v>208543</v>
      </c>
      <c r="J406" s="466">
        <v>0</v>
      </c>
      <c r="K406" s="466">
        <v>0</v>
      </c>
      <c r="L406" s="564">
        <f t="shared" si="75"/>
        <v>0</v>
      </c>
      <c r="M406" s="565">
        <f t="shared" si="77"/>
        <v>0</v>
      </c>
      <c r="N406" s="565">
        <f t="shared" si="76"/>
        <v>0</v>
      </c>
    </row>
    <row r="407" spans="1:14" ht="27.2" customHeight="1" outlineLevel="7" x14ac:dyDescent="0.3">
      <c r="A407" s="566" t="s">
        <v>986</v>
      </c>
      <c r="B407" s="439" t="s">
        <v>500</v>
      </c>
      <c r="C407" s="439" t="s">
        <v>523</v>
      </c>
      <c r="D407" s="539" t="s">
        <v>1014</v>
      </c>
      <c r="E407" s="539" t="s">
        <v>6</v>
      </c>
      <c r="F407" s="539" t="s">
        <v>976</v>
      </c>
      <c r="G407" s="465">
        <f>G408</f>
        <v>0</v>
      </c>
      <c r="H407" s="441"/>
      <c r="I407" s="440">
        <v>0</v>
      </c>
      <c r="J407" s="465">
        <f>J408</f>
        <v>3303781.73</v>
      </c>
      <c r="K407" s="465">
        <f>K408</f>
        <v>3303781.73</v>
      </c>
      <c r="L407" s="564">
        <f t="shared" si="75"/>
        <v>0</v>
      </c>
      <c r="M407" s="565"/>
      <c r="N407" s="565"/>
    </row>
    <row r="408" spans="1:14" ht="24.8" customHeight="1" outlineLevel="7" x14ac:dyDescent="0.3">
      <c r="A408" s="438" t="s">
        <v>37</v>
      </c>
      <c r="B408" s="439" t="s">
        <v>500</v>
      </c>
      <c r="C408" s="439" t="s">
        <v>523</v>
      </c>
      <c r="D408" s="539" t="s">
        <v>1014</v>
      </c>
      <c r="E408" s="539" t="s">
        <v>38</v>
      </c>
      <c r="F408" s="539" t="s">
        <v>976</v>
      </c>
      <c r="G408" s="465">
        <f>G409</f>
        <v>0</v>
      </c>
      <c r="H408" s="441"/>
      <c r="I408" s="440">
        <v>0</v>
      </c>
      <c r="J408" s="465">
        <f>J409</f>
        <v>3303781.73</v>
      </c>
      <c r="K408" s="465">
        <f>K409</f>
        <v>3303781.73</v>
      </c>
      <c r="L408" s="564">
        <f t="shared" si="75"/>
        <v>0</v>
      </c>
      <c r="M408" s="565"/>
      <c r="N408" s="565"/>
    </row>
    <row r="409" spans="1:14" ht="23.3" customHeight="1" outlineLevel="7" x14ac:dyDescent="0.3">
      <c r="A409" s="438" t="s">
        <v>74</v>
      </c>
      <c r="B409" s="439" t="s">
        <v>500</v>
      </c>
      <c r="C409" s="439" t="s">
        <v>523</v>
      </c>
      <c r="D409" s="539" t="s">
        <v>1014</v>
      </c>
      <c r="E409" s="539" t="s">
        <v>75</v>
      </c>
      <c r="F409" s="539" t="s">
        <v>976</v>
      </c>
      <c r="G409" s="465">
        <v>0</v>
      </c>
      <c r="H409" s="441"/>
      <c r="I409" s="440">
        <v>0</v>
      </c>
      <c r="J409" s="465">
        <v>3303781.73</v>
      </c>
      <c r="K409" s="465">
        <v>3303781.73</v>
      </c>
      <c r="L409" s="564">
        <f t="shared" si="75"/>
        <v>0</v>
      </c>
      <c r="M409" s="565"/>
      <c r="N409" s="565"/>
    </row>
    <row r="410" spans="1:14" ht="44.15" customHeight="1" outlineLevel="7" x14ac:dyDescent="0.3">
      <c r="A410" s="438" t="s">
        <v>1015</v>
      </c>
      <c r="B410" s="439" t="s">
        <v>500</v>
      </c>
      <c r="C410" s="439" t="s">
        <v>523</v>
      </c>
      <c r="D410" s="539" t="s">
        <v>1016</v>
      </c>
      <c r="E410" s="539" t="s">
        <v>6</v>
      </c>
      <c r="F410" s="539"/>
      <c r="G410" s="465">
        <v>0</v>
      </c>
      <c r="H410" s="441"/>
      <c r="I410" s="440"/>
      <c r="J410" s="465">
        <f>J411</f>
        <v>102178.82</v>
      </c>
      <c r="K410" s="465">
        <f>K411</f>
        <v>102178.82</v>
      </c>
      <c r="L410" s="564">
        <f t="shared" si="75"/>
        <v>0</v>
      </c>
      <c r="M410" s="565"/>
      <c r="N410" s="565"/>
    </row>
    <row r="411" spans="1:14" ht="23.3" customHeight="1" outlineLevel="7" x14ac:dyDescent="0.3">
      <c r="A411" s="438" t="s">
        <v>37</v>
      </c>
      <c r="B411" s="439" t="s">
        <v>500</v>
      </c>
      <c r="C411" s="439" t="s">
        <v>523</v>
      </c>
      <c r="D411" s="539" t="s">
        <v>1016</v>
      </c>
      <c r="E411" s="539" t="s">
        <v>38</v>
      </c>
      <c r="F411" s="539"/>
      <c r="G411" s="465">
        <v>0</v>
      </c>
      <c r="H411" s="441"/>
      <c r="I411" s="440"/>
      <c r="J411" s="465">
        <f>J412</f>
        <v>102178.82</v>
      </c>
      <c r="K411" s="465">
        <f>K412</f>
        <v>102178.82</v>
      </c>
      <c r="L411" s="564">
        <f t="shared" si="75"/>
        <v>0</v>
      </c>
      <c r="M411" s="565"/>
      <c r="N411" s="565"/>
    </row>
    <row r="412" spans="1:14" ht="23.3" customHeight="1" outlineLevel="7" x14ac:dyDescent="0.3">
      <c r="A412" s="438" t="s">
        <v>74</v>
      </c>
      <c r="B412" s="439" t="s">
        <v>500</v>
      </c>
      <c r="C412" s="439" t="s">
        <v>523</v>
      </c>
      <c r="D412" s="539" t="s">
        <v>1016</v>
      </c>
      <c r="E412" s="539" t="s">
        <v>75</v>
      </c>
      <c r="F412" s="539"/>
      <c r="G412" s="465">
        <v>0</v>
      </c>
      <c r="H412" s="441"/>
      <c r="I412" s="440"/>
      <c r="J412" s="465">
        <v>102178.82</v>
      </c>
      <c r="K412" s="465">
        <v>102178.82</v>
      </c>
      <c r="L412" s="564">
        <f t="shared" si="75"/>
        <v>0</v>
      </c>
      <c r="M412" s="565"/>
      <c r="N412" s="565"/>
    </row>
    <row r="413" spans="1:14" ht="42.45" customHeight="1" outlineLevel="7" x14ac:dyDescent="0.3">
      <c r="A413" s="444" t="s">
        <v>847</v>
      </c>
      <c r="B413" s="445" t="s">
        <v>500</v>
      </c>
      <c r="C413" s="439" t="s">
        <v>523</v>
      </c>
      <c r="D413" s="539" t="s">
        <v>331</v>
      </c>
      <c r="E413" s="541" t="s">
        <v>6</v>
      </c>
      <c r="F413" s="541" t="s">
        <v>976</v>
      </c>
      <c r="G413" s="465">
        <f t="shared" ref="G413:K416" si="78">G414</f>
        <v>2166930.9499999997</v>
      </c>
      <c r="H413" s="440">
        <f t="shared" si="78"/>
        <v>2072014</v>
      </c>
      <c r="I413" s="440">
        <f t="shared" si="78"/>
        <v>3403364.56</v>
      </c>
      <c r="J413" s="465">
        <f>J414</f>
        <v>2266649.4000000004</v>
      </c>
      <c r="K413" s="465">
        <f>K414</f>
        <v>2266649.4000000004</v>
      </c>
      <c r="L413" s="564">
        <f t="shared" si="75"/>
        <v>0</v>
      </c>
      <c r="M413" s="565">
        <f t="shared" si="77"/>
        <v>104.60182868309674</v>
      </c>
      <c r="N413" s="565">
        <f t="shared" si="76"/>
        <v>104.60182868309673</v>
      </c>
    </row>
    <row r="414" spans="1:14" ht="40.75" customHeight="1" outlineLevel="7" x14ac:dyDescent="0.3">
      <c r="A414" s="438" t="s">
        <v>345</v>
      </c>
      <c r="B414" s="439" t="s">
        <v>500</v>
      </c>
      <c r="C414" s="439" t="s">
        <v>523</v>
      </c>
      <c r="D414" s="539" t="s">
        <v>332</v>
      </c>
      <c r="E414" s="539" t="s">
        <v>6</v>
      </c>
      <c r="F414" s="539" t="s">
        <v>976</v>
      </c>
      <c r="G414" s="465">
        <f t="shared" si="78"/>
        <v>2166930.9499999997</v>
      </c>
      <c r="H414" s="440">
        <f t="shared" si="78"/>
        <v>2072014</v>
      </c>
      <c r="I414" s="440">
        <f t="shared" si="78"/>
        <v>3403364.56</v>
      </c>
      <c r="J414" s="465">
        <f>J415+J418</f>
        <v>2266649.4000000004</v>
      </c>
      <c r="K414" s="465">
        <f>K415+K418</f>
        <v>2266649.4000000004</v>
      </c>
      <c r="L414" s="564">
        <f t="shared" si="75"/>
        <v>0</v>
      </c>
      <c r="M414" s="565">
        <f t="shared" si="77"/>
        <v>104.60182868309674</v>
      </c>
      <c r="N414" s="565">
        <f t="shared" si="76"/>
        <v>104.60182868309673</v>
      </c>
    </row>
    <row r="415" spans="1:14" ht="75.400000000000006" customHeight="1" outlineLevel="7" x14ac:dyDescent="0.3">
      <c r="A415" s="438" t="s">
        <v>872</v>
      </c>
      <c r="B415" s="439" t="s">
        <v>500</v>
      </c>
      <c r="C415" s="439" t="s">
        <v>523</v>
      </c>
      <c r="D415" s="539" t="s">
        <v>908</v>
      </c>
      <c r="E415" s="539" t="s">
        <v>6</v>
      </c>
      <c r="F415" s="539" t="s">
        <v>976</v>
      </c>
      <c r="G415" s="465">
        <f t="shared" si="78"/>
        <v>2166930.9499999997</v>
      </c>
      <c r="H415" s="440">
        <f t="shared" si="78"/>
        <v>2072014</v>
      </c>
      <c r="I415" s="440">
        <f t="shared" si="78"/>
        <v>3403364.56</v>
      </c>
      <c r="J415" s="465">
        <f t="shared" si="78"/>
        <v>1174110.1200000001</v>
      </c>
      <c r="K415" s="465">
        <f t="shared" si="78"/>
        <v>1174110.1200000001</v>
      </c>
      <c r="L415" s="564">
        <f t="shared" si="75"/>
        <v>0</v>
      </c>
      <c r="M415" s="565">
        <f t="shared" si="77"/>
        <v>54.183088759704148</v>
      </c>
      <c r="N415" s="565">
        <f t="shared" si="76"/>
        <v>54.183088759704148</v>
      </c>
    </row>
    <row r="416" spans="1:14" ht="23.3" customHeight="1" outlineLevel="7" x14ac:dyDescent="0.3">
      <c r="A416" s="438" t="s">
        <v>15</v>
      </c>
      <c r="B416" s="439" t="s">
        <v>500</v>
      </c>
      <c r="C416" s="439" t="s">
        <v>523</v>
      </c>
      <c r="D416" s="539" t="s">
        <v>908</v>
      </c>
      <c r="E416" s="539" t="s">
        <v>16</v>
      </c>
      <c r="F416" s="539" t="s">
        <v>976</v>
      </c>
      <c r="G416" s="465">
        <f t="shared" si="78"/>
        <v>2166930.9499999997</v>
      </c>
      <c r="H416" s="370">
        <v>2072014</v>
      </c>
      <c r="I416" s="440">
        <f t="shared" si="78"/>
        <v>3403364.56</v>
      </c>
      <c r="J416" s="465">
        <f t="shared" si="78"/>
        <v>1174110.1200000001</v>
      </c>
      <c r="K416" s="465">
        <f t="shared" si="78"/>
        <v>1174110.1200000001</v>
      </c>
      <c r="L416" s="564">
        <f t="shared" si="75"/>
        <v>0</v>
      </c>
      <c r="M416" s="565">
        <f t="shared" si="77"/>
        <v>54.183088759704148</v>
      </c>
      <c r="N416" s="565">
        <f t="shared" si="76"/>
        <v>54.183088759704148</v>
      </c>
    </row>
    <row r="417" spans="1:14" ht="23.3" customHeight="1" outlineLevel="7" x14ac:dyDescent="0.3">
      <c r="A417" s="438" t="s">
        <v>17</v>
      </c>
      <c r="B417" s="439" t="s">
        <v>500</v>
      </c>
      <c r="C417" s="439" t="s">
        <v>523</v>
      </c>
      <c r="D417" s="539" t="s">
        <v>908</v>
      </c>
      <c r="E417" s="539" t="s">
        <v>18</v>
      </c>
      <c r="F417" s="539" t="s">
        <v>976</v>
      </c>
      <c r="G417" s="465">
        <f>2430452.42+72913.58+2255.05-338690.1</f>
        <v>2166930.9499999997</v>
      </c>
      <c r="H417" s="370">
        <v>2072014</v>
      </c>
      <c r="I417" s="440">
        <f>3301263.62+102100.94</f>
        <v>3403364.56</v>
      </c>
      <c r="J417" s="466">
        <f>102100.94+1104785.36-32776.18</f>
        <v>1174110.1200000001</v>
      </c>
      <c r="K417" s="466">
        <f>102100.94+1104785.36-32776.18</f>
        <v>1174110.1200000001</v>
      </c>
      <c r="L417" s="564">
        <f t="shared" si="75"/>
        <v>0</v>
      </c>
      <c r="M417" s="565">
        <f t="shared" si="77"/>
        <v>54.183088759704148</v>
      </c>
      <c r="N417" s="565">
        <f t="shared" si="76"/>
        <v>54.183088759704148</v>
      </c>
    </row>
    <row r="418" spans="1:14" ht="92.4" customHeight="1" outlineLevel="7" x14ac:dyDescent="0.3">
      <c r="A418" s="438" t="s">
        <v>1021</v>
      </c>
      <c r="B418" s="439" t="s">
        <v>500</v>
      </c>
      <c r="C418" s="439" t="s">
        <v>523</v>
      </c>
      <c r="D418" s="539" t="s">
        <v>1020</v>
      </c>
      <c r="E418" s="539" t="s">
        <v>6</v>
      </c>
      <c r="F418" s="539"/>
      <c r="G418" s="465">
        <v>0</v>
      </c>
      <c r="H418" s="370"/>
      <c r="I418" s="440"/>
      <c r="J418" s="466">
        <f>J419</f>
        <v>1092539.28</v>
      </c>
      <c r="K418" s="466">
        <f>K419</f>
        <v>1092539.28</v>
      </c>
      <c r="L418" s="564">
        <f t="shared" si="75"/>
        <v>0</v>
      </c>
      <c r="M418" s="565"/>
      <c r="N418" s="565"/>
    </row>
    <row r="419" spans="1:14" ht="23.3" customHeight="1" outlineLevel="7" x14ac:dyDescent="0.3">
      <c r="A419" s="438" t="s">
        <v>15</v>
      </c>
      <c r="B419" s="439" t="s">
        <v>500</v>
      </c>
      <c r="C419" s="439" t="s">
        <v>523</v>
      </c>
      <c r="D419" s="539" t="s">
        <v>1020</v>
      </c>
      <c r="E419" s="539" t="s">
        <v>16</v>
      </c>
      <c r="F419" s="539"/>
      <c r="G419" s="465">
        <v>0</v>
      </c>
      <c r="H419" s="370"/>
      <c r="I419" s="440"/>
      <c r="J419" s="466">
        <f>J420</f>
        <v>1092539.28</v>
      </c>
      <c r="K419" s="466">
        <f>K420</f>
        <v>1092539.28</v>
      </c>
      <c r="L419" s="564">
        <f t="shared" si="75"/>
        <v>0</v>
      </c>
      <c r="M419" s="565"/>
      <c r="N419" s="565"/>
    </row>
    <row r="420" spans="1:14" ht="23.3" customHeight="1" outlineLevel="7" x14ac:dyDescent="0.3">
      <c r="A420" s="438" t="s">
        <v>17</v>
      </c>
      <c r="B420" s="439" t="s">
        <v>500</v>
      </c>
      <c r="C420" s="439" t="s">
        <v>523</v>
      </c>
      <c r="D420" s="539" t="s">
        <v>1020</v>
      </c>
      <c r="E420" s="539" t="s">
        <v>18</v>
      </c>
      <c r="F420" s="539"/>
      <c r="G420" s="465">
        <v>0</v>
      </c>
      <c r="H420" s="370"/>
      <c r="I420" s="440"/>
      <c r="J420" s="466">
        <f>1059763.1+32776.18</f>
        <v>1092539.28</v>
      </c>
      <c r="K420" s="466">
        <f>1059763.1+32776.18</f>
        <v>1092539.28</v>
      </c>
      <c r="L420" s="564">
        <f t="shared" si="75"/>
        <v>0</v>
      </c>
      <c r="M420" s="565"/>
      <c r="N420" s="565"/>
    </row>
    <row r="421" spans="1:14" outlineLevel="7" x14ac:dyDescent="0.3">
      <c r="A421" s="444" t="s">
        <v>85</v>
      </c>
      <c r="B421" s="445" t="s">
        <v>500</v>
      </c>
      <c r="C421" s="445" t="s">
        <v>86</v>
      </c>
      <c r="D421" s="541" t="s">
        <v>126</v>
      </c>
      <c r="E421" s="541" t="s">
        <v>6</v>
      </c>
      <c r="F421" s="550">
        <v>37352716.880000003</v>
      </c>
      <c r="G421" s="508">
        <f>G422+G427+G442</f>
        <v>54369845.619999997</v>
      </c>
      <c r="H421" s="446">
        <f>H422+H427+H442</f>
        <v>25467567.349999998</v>
      </c>
      <c r="I421" s="446">
        <f>I422+I427+I442</f>
        <v>65496624.950000003</v>
      </c>
      <c r="J421" s="508">
        <f>J422+J427+J442</f>
        <v>90525266.789999992</v>
      </c>
      <c r="K421" s="508">
        <f>K422+K427+K442</f>
        <v>90525266.789999992</v>
      </c>
      <c r="L421" s="564">
        <f t="shared" si="75"/>
        <v>0</v>
      </c>
      <c r="M421" s="565">
        <f t="shared" si="77"/>
        <v>166.49903224426333</v>
      </c>
      <c r="N421" s="565">
        <f t="shared" si="76"/>
        <v>166.49903224426333</v>
      </c>
    </row>
    <row r="422" spans="1:14" outlineLevel="7" x14ac:dyDescent="0.3">
      <c r="A422" s="438" t="s">
        <v>87</v>
      </c>
      <c r="B422" s="439" t="s">
        <v>500</v>
      </c>
      <c r="C422" s="439" t="s">
        <v>88</v>
      </c>
      <c r="D422" s="539" t="s">
        <v>126</v>
      </c>
      <c r="E422" s="539" t="s">
        <v>6</v>
      </c>
      <c r="F422" s="540">
        <v>5273116.22</v>
      </c>
      <c r="G422" s="465">
        <f t="shared" ref="G422:K425" si="79">G423</f>
        <v>5386176</v>
      </c>
      <c r="H422" s="440">
        <f t="shared" si="79"/>
        <v>4028416.23</v>
      </c>
      <c r="I422" s="440">
        <f t="shared" si="79"/>
        <v>5386176</v>
      </c>
      <c r="J422" s="465">
        <f t="shared" si="79"/>
        <v>5533145.6699999999</v>
      </c>
      <c r="K422" s="465">
        <f t="shared" si="79"/>
        <v>5533145.6699999999</v>
      </c>
      <c r="L422" s="564">
        <f t="shared" si="75"/>
        <v>0</v>
      </c>
      <c r="M422" s="565">
        <f t="shared" si="77"/>
        <v>102.72864588903147</v>
      </c>
      <c r="N422" s="565">
        <f t="shared" si="76"/>
        <v>102.72864588903148</v>
      </c>
    </row>
    <row r="423" spans="1:14" ht="34" outlineLevel="7" x14ac:dyDescent="0.3">
      <c r="A423" s="444" t="s">
        <v>132</v>
      </c>
      <c r="B423" s="445" t="s">
        <v>500</v>
      </c>
      <c r="C423" s="445" t="s">
        <v>88</v>
      </c>
      <c r="D423" s="541" t="s">
        <v>127</v>
      </c>
      <c r="E423" s="541" t="s">
        <v>6</v>
      </c>
      <c r="F423" s="540">
        <v>5273116.22</v>
      </c>
      <c r="G423" s="508">
        <f t="shared" si="79"/>
        <v>5386176</v>
      </c>
      <c r="H423" s="446">
        <f t="shared" si="79"/>
        <v>4028416.23</v>
      </c>
      <c r="I423" s="446">
        <f t="shared" si="79"/>
        <v>5386176</v>
      </c>
      <c r="J423" s="508">
        <f t="shared" si="79"/>
        <v>5533145.6699999999</v>
      </c>
      <c r="K423" s="508">
        <f t="shared" si="79"/>
        <v>5533145.6699999999</v>
      </c>
      <c r="L423" s="564">
        <f t="shared" si="75"/>
        <v>0</v>
      </c>
      <c r="M423" s="565">
        <f t="shared" si="77"/>
        <v>102.72864588903147</v>
      </c>
      <c r="N423" s="565">
        <f t="shared" si="76"/>
        <v>102.72864588903148</v>
      </c>
    </row>
    <row r="424" spans="1:14" s="449" customFormat="1" ht="26.5" customHeight="1" outlineLevel="7" x14ac:dyDescent="0.3">
      <c r="A424" s="438" t="s">
        <v>89</v>
      </c>
      <c r="B424" s="439" t="s">
        <v>500</v>
      </c>
      <c r="C424" s="439" t="s">
        <v>88</v>
      </c>
      <c r="D424" s="539" t="s">
        <v>142</v>
      </c>
      <c r="E424" s="539" t="s">
        <v>6</v>
      </c>
      <c r="F424" s="540">
        <v>5273116.22</v>
      </c>
      <c r="G424" s="465">
        <f t="shared" si="79"/>
        <v>5386176</v>
      </c>
      <c r="H424" s="440">
        <f t="shared" si="79"/>
        <v>4028416.23</v>
      </c>
      <c r="I424" s="440">
        <f t="shared" si="79"/>
        <v>5386176</v>
      </c>
      <c r="J424" s="465">
        <f t="shared" si="79"/>
        <v>5533145.6699999999</v>
      </c>
      <c r="K424" s="465">
        <f t="shared" si="79"/>
        <v>5533145.6699999999</v>
      </c>
      <c r="L424" s="564">
        <f t="shared" si="75"/>
        <v>0</v>
      </c>
      <c r="M424" s="565">
        <f t="shared" si="77"/>
        <v>102.72864588903147</v>
      </c>
      <c r="N424" s="565">
        <f t="shared" si="76"/>
        <v>102.72864588903148</v>
      </c>
    </row>
    <row r="425" spans="1:14" ht="25.5" customHeight="1" outlineLevel="7" x14ac:dyDescent="0.3">
      <c r="A425" s="438" t="s">
        <v>90</v>
      </c>
      <c r="B425" s="439" t="s">
        <v>500</v>
      </c>
      <c r="C425" s="439" t="s">
        <v>88</v>
      </c>
      <c r="D425" s="539" t="s">
        <v>142</v>
      </c>
      <c r="E425" s="539" t="s">
        <v>91</v>
      </c>
      <c r="F425" s="540">
        <v>5273116.22</v>
      </c>
      <c r="G425" s="465">
        <f t="shared" si="79"/>
        <v>5386176</v>
      </c>
      <c r="H425" s="373">
        <v>4028416.23</v>
      </c>
      <c r="I425" s="440">
        <f t="shared" si="79"/>
        <v>5386176</v>
      </c>
      <c r="J425" s="465">
        <f t="shared" si="79"/>
        <v>5533145.6699999999</v>
      </c>
      <c r="K425" s="465">
        <f t="shared" si="79"/>
        <v>5533145.6699999999</v>
      </c>
      <c r="L425" s="564">
        <f t="shared" si="75"/>
        <v>0</v>
      </c>
      <c r="M425" s="565">
        <f t="shared" si="77"/>
        <v>102.72864588903147</v>
      </c>
      <c r="N425" s="565">
        <f t="shared" si="76"/>
        <v>102.72864588903148</v>
      </c>
    </row>
    <row r="426" spans="1:14" ht="34" outlineLevel="7" x14ac:dyDescent="0.3">
      <c r="A426" s="438" t="s">
        <v>92</v>
      </c>
      <c r="B426" s="439" t="s">
        <v>500</v>
      </c>
      <c r="C426" s="439" t="s">
        <v>88</v>
      </c>
      <c r="D426" s="539" t="s">
        <v>142</v>
      </c>
      <c r="E426" s="539" t="s">
        <v>93</v>
      </c>
      <c r="F426" s="540">
        <v>5273116.22</v>
      </c>
      <c r="G426" s="466">
        <v>5386176</v>
      </c>
      <c r="H426" s="373">
        <v>4028416.23</v>
      </c>
      <c r="I426" s="442">
        <v>5386176</v>
      </c>
      <c r="J426" s="466">
        <v>5533145.6699999999</v>
      </c>
      <c r="K426" s="466">
        <v>5533145.6699999999</v>
      </c>
      <c r="L426" s="564">
        <f t="shared" si="75"/>
        <v>0</v>
      </c>
      <c r="M426" s="565">
        <f t="shared" si="77"/>
        <v>102.72864588903147</v>
      </c>
      <c r="N426" s="565">
        <f t="shared" si="76"/>
        <v>102.72864588903148</v>
      </c>
    </row>
    <row r="427" spans="1:14" outlineLevel="7" x14ac:dyDescent="0.3">
      <c r="A427" s="438" t="s">
        <v>94</v>
      </c>
      <c r="B427" s="439" t="s">
        <v>500</v>
      </c>
      <c r="C427" s="439" t="s">
        <v>95</v>
      </c>
      <c r="D427" s="539" t="s">
        <v>126</v>
      </c>
      <c r="E427" s="539" t="s">
        <v>6</v>
      </c>
      <c r="F427" s="540">
        <v>679404.39</v>
      </c>
      <c r="G427" s="465">
        <f>G428+G438+G433</f>
        <v>1526800</v>
      </c>
      <c r="H427" s="440">
        <f>H428+H438+H433</f>
        <v>1351800</v>
      </c>
      <c r="I427" s="440">
        <f>I428+I438+I433</f>
        <v>985609.95</v>
      </c>
      <c r="J427" s="465">
        <f>J428+J438+J433</f>
        <v>984438.26</v>
      </c>
      <c r="K427" s="465">
        <f>K428+K438+K433</f>
        <v>984438.26</v>
      </c>
      <c r="L427" s="564">
        <f t="shared" si="75"/>
        <v>0</v>
      </c>
      <c r="M427" s="565">
        <f t="shared" si="77"/>
        <v>64.477224259889965</v>
      </c>
      <c r="N427" s="565">
        <f t="shared" si="76"/>
        <v>64.477224259889965</v>
      </c>
    </row>
    <row r="428" spans="1:14" ht="50.95" outlineLevel="7" x14ac:dyDescent="0.3">
      <c r="A428" s="444" t="s">
        <v>933</v>
      </c>
      <c r="B428" s="439" t="s">
        <v>500</v>
      </c>
      <c r="C428" s="445" t="s">
        <v>95</v>
      </c>
      <c r="D428" s="541" t="s">
        <v>129</v>
      </c>
      <c r="E428" s="541" t="s">
        <v>6</v>
      </c>
      <c r="F428" s="542">
        <v>60804.39</v>
      </c>
      <c r="G428" s="508">
        <f t="shared" ref="G428:K431" si="80">G429</f>
        <v>150000</v>
      </c>
      <c r="H428" s="446">
        <f t="shared" si="80"/>
        <v>0</v>
      </c>
      <c r="I428" s="446">
        <f t="shared" si="80"/>
        <v>150000</v>
      </c>
      <c r="J428" s="508">
        <f t="shared" si="80"/>
        <v>150000</v>
      </c>
      <c r="K428" s="508">
        <f t="shared" si="80"/>
        <v>150000</v>
      </c>
      <c r="L428" s="564">
        <f t="shared" si="75"/>
        <v>0</v>
      </c>
      <c r="M428" s="565">
        <f t="shared" si="77"/>
        <v>100</v>
      </c>
      <c r="N428" s="565">
        <f t="shared" si="76"/>
        <v>100</v>
      </c>
    </row>
    <row r="429" spans="1:14" ht="34" outlineLevel="7" x14ac:dyDescent="0.3">
      <c r="A429" s="438" t="s">
        <v>372</v>
      </c>
      <c r="B429" s="439" t="s">
        <v>500</v>
      </c>
      <c r="C429" s="439" t="s">
        <v>95</v>
      </c>
      <c r="D429" s="539" t="s">
        <v>441</v>
      </c>
      <c r="E429" s="539" t="s">
        <v>6</v>
      </c>
      <c r="F429" s="540">
        <v>60804.39</v>
      </c>
      <c r="G429" s="465">
        <f t="shared" si="80"/>
        <v>150000</v>
      </c>
      <c r="H429" s="440">
        <f t="shared" si="80"/>
        <v>0</v>
      </c>
      <c r="I429" s="440">
        <f t="shared" si="80"/>
        <v>150000</v>
      </c>
      <c r="J429" s="465">
        <f t="shared" si="80"/>
        <v>150000</v>
      </c>
      <c r="K429" s="465">
        <f t="shared" si="80"/>
        <v>150000</v>
      </c>
      <c r="L429" s="564">
        <f t="shared" si="75"/>
        <v>0</v>
      </c>
      <c r="M429" s="565">
        <f t="shared" si="77"/>
        <v>100</v>
      </c>
      <c r="N429" s="565">
        <f t="shared" si="76"/>
        <v>100</v>
      </c>
    </row>
    <row r="430" spans="1:14" ht="34" outlineLevel="7" x14ac:dyDescent="0.3">
      <c r="A430" s="438" t="s">
        <v>99</v>
      </c>
      <c r="B430" s="439" t="s">
        <v>500</v>
      </c>
      <c r="C430" s="439" t="s">
        <v>95</v>
      </c>
      <c r="D430" s="539" t="s">
        <v>416</v>
      </c>
      <c r="E430" s="539" t="s">
        <v>6</v>
      </c>
      <c r="F430" s="540">
        <v>60804.39</v>
      </c>
      <c r="G430" s="465">
        <f t="shared" si="80"/>
        <v>150000</v>
      </c>
      <c r="H430" s="440">
        <f t="shared" si="80"/>
        <v>0</v>
      </c>
      <c r="I430" s="440">
        <f t="shared" si="80"/>
        <v>150000</v>
      </c>
      <c r="J430" s="465">
        <f t="shared" si="80"/>
        <v>150000</v>
      </c>
      <c r="K430" s="465">
        <f t="shared" si="80"/>
        <v>150000</v>
      </c>
      <c r="L430" s="564">
        <f t="shared" si="75"/>
        <v>0</v>
      </c>
      <c r="M430" s="565">
        <f t="shared" si="77"/>
        <v>100</v>
      </c>
      <c r="N430" s="565">
        <f t="shared" si="76"/>
        <v>100</v>
      </c>
    </row>
    <row r="431" spans="1:14" outlineLevel="7" x14ac:dyDescent="0.3">
      <c r="A431" s="438" t="s">
        <v>90</v>
      </c>
      <c r="B431" s="439" t="s">
        <v>500</v>
      </c>
      <c r="C431" s="439" t="s">
        <v>95</v>
      </c>
      <c r="D431" s="539" t="s">
        <v>416</v>
      </c>
      <c r="E431" s="539" t="s">
        <v>91</v>
      </c>
      <c r="F431" s="540">
        <v>60804.39</v>
      </c>
      <c r="G431" s="465">
        <f t="shared" si="80"/>
        <v>150000</v>
      </c>
      <c r="H431" s="465">
        <v>0</v>
      </c>
      <c r="I431" s="440">
        <f t="shared" si="80"/>
        <v>150000</v>
      </c>
      <c r="J431" s="465">
        <f t="shared" si="80"/>
        <v>150000</v>
      </c>
      <c r="K431" s="465">
        <f t="shared" si="80"/>
        <v>150000</v>
      </c>
      <c r="L431" s="564">
        <f t="shared" si="75"/>
        <v>0</v>
      </c>
      <c r="M431" s="565">
        <f t="shared" si="77"/>
        <v>100</v>
      </c>
      <c r="N431" s="565">
        <f t="shared" si="76"/>
        <v>100</v>
      </c>
    </row>
    <row r="432" spans="1:14" ht="34" outlineLevel="7" x14ac:dyDescent="0.3">
      <c r="A432" s="438" t="s">
        <v>97</v>
      </c>
      <c r="B432" s="439" t="s">
        <v>500</v>
      </c>
      <c r="C432" s="439" t="s">
        <v>95</v>
      </c>
      <c r="D432" s="539" t="s">
        <v>416</v>
      </c>
      <c r="E432" s="539" t="s">
        <v>98</v>
      </c>
      <c r="F432" s="540">
        <v>60804.39</v>
      </c>
      <c r="G432" s="466">
        <v>150000</v>
      </c>
      <c r="H432" s="466">
        <v>0</v>
      </c>
      <c r="I432" s="442">
        <v>150000</v>
      </c>
      <c r="J432" s="466">
        <v>150000</v>
      </c>
      <c r="K432" s="466">
        <v>150000</v>
      </c>
      <c r="L432" s="564">
        <f t="shared" si="75"/>
        <v>0</v>
      </c>
      <c r="M432" s="565">
        <f t="shared" si="77"/>
        <v>100</v>
      </c>
      <c r="N432" s="565">
        <f t="shared" si="76"/>
        <v>100</v>
      </c>
    </row>
    <row r="433" spans="1:14" ht="50.95" outlineLevel="1" x14ac:dyDescent="0.3">
      <c r="A433" s="444" t="s">
        <v>838</v>
      </c>
      <c r="B433" s="439" t="s">
        <v>500</v>
      </c>
      <c r="C433" s="445" t="s">
        <v>95</v>
      </c>
      <c r="D433" s="541" t="s">
        <v>374</v>
      </c>
      <c r="E433" s="541" t="s">
        <v>6</v>
      </c>
      <c r="F433" s="542">
        <v>558600</v>
      </c>
      <c r="G433" s="507">
        <f t="shared" ref="G433:K436" si="81">G434</f>
        <v>1276800</v>
      </c>
      <c r="H433" s="448">
        <f t="shared" si="81"/>
        <v>1276800</v>
      </c>
      <c r="I433" s="448">
        <f t="shared" si="81"/>
        <v>735609.95</v>
      </c>
      <c r="J433" s="507">
        <f t="shared" si="81"/>
        <v>734438.26</v>
      </c>
      <c r="K433" s="507">
        <f t="shared" si="81"/>
        <v>734438.26</v>
      </c>
      <c r="L433" s="564">
        <f t="shared" si="75"/>
        <v>0</v>
      </c>
      <c r="M433" s="565">
        <f t="shared" si="77"/>
        <v>57.521793546365913</v>
      </c>
      <c r="N433" s="565">
        <f t="shared" si="76"/>
        <v>57.52179354636592</v>
      </c>
    </row>
    <row r="434" spans="1:14" ht="44.5" customHeight="1" outlineLevel="1" x14ac:dyDescent="0.3">
      <c r="A434" s="438" t="s">
        <v>394</v>
      </c>
      <c r="B434" s="439" t="s">
        <v>500</v>
      </c>
      <c r="C434" s="439" t="s">
        <v>95</v>
      </c>
      <c r="D434" s="539" t="s">
        <v>375</v>
      </c>
      <c r="E434" s="539" t="s">
        <v>6</v>
      </c>
      <c r="F434" s="540">
        <v>558600</v>
      </c>
      <c r="G434" s="466">
        <f t="shared" si="81"/>
        <v>1276800</v>
      </c>
      <c r="H434" s="442">
        <f t="shared" si="81"/>
        <v>1276800</v>
      </c>
      <c r="I434" s="442">
        <f t="shared" si="81"/>
        <v>735609.95</v>
      </c>
      <c r="J434" s="466">
        <f t="shared" si="81"/>
        <v>734438.26</v>
      </c>
      <c r="K434" s="466">
        <f t="shared" si="81"/>
        <v>734438.26</v>
      </c>
      <c r="L434" s="564">
        <f t="shared" si="75"/>
        <v>0</v>
      </c>
      <c r="M434" s="565">
        <f t="shared" si="77"/>
        <v>57.521793546365913</v>
      </c>
      <c r="N434" s="565">
        <f t="shared" si="76"/>
        <v>57.52179354636592</v>
      </c>
    </row>
    <row r="435" spans="1:14" ht="34" outlineLevel="1" x14ac:dyDescent="0.3">
      <c r="A435" s="438" t="s">
        <v>96</v>
      </c>
      <c r="B435" s="439" t="s">
        <v>500</v>
      </c>
      <c r="C435" s="439" t="s">
        <v>95</v>
      </c>
      <c r="D435" s="539" t="s">
        <v>376</v>
      </c>
      <c r="E435" s="539" t="s">
        <v>6</v>
      </c>
      <c r="F435" s="540">
        <v>558600</v>
      </c>
      <c r="G435" s="465">
        <f t="shared" si="81"/>
        <v>1276800</v>
      </c>
      <c r="H435" s="440">
        <f t="shared" si="81"/>
        <v>1276800</v>
      </c>
      <c r="I435" s="440">
        <f t="shared" si="81"/>
        <v>735609.95</v>
      </c>
      <c r="J435" s="465">
        <f t="shared" si="81"/>
        <v>734438.26</v>
      </c>
      <c r="K435" s="465">
        <f t="shared" si="81"/>
        <v>734438.26</v>
      </c>
      <c r="L435" s="564">
        <f t="shared" si="75"/>
        <v>0</v>
      </c>
      <c r="M435" s="565">
        <f t="shared" si="77"/>
        <v>57.521793546365913</v>
      </c>
      <c r="N435" s="565">
        <f t="shared" si="76"/>
        <v>57.52179354636592</v>
      </c>
    </row>
    <row r="436" spans="1:14" outlineLevel="1" x14ac:dyDescent="0.3">
      <c r="A436" s="438" t="s">
        <v>90</v>
      </c>
      <c r="B436" s="439" t="s">
        <v>500</v>
      </c>
      <c r="C436" s="439" t="s">
        <v>95</v>
      </c>
      <c r="D436" s="539" t="s">
        <v>376</v>
      </c>
      <c r="E436" s="539" t="s">
        <v>91</v>
      </c>
      <c r="F436" s="540">
        <v>558600</v>
      </c>
      <c r="G436" s="466">
        <f t="shared" si="81"/>
        <v>1276800</v>
      </c>
      <c r="H436" s="370">
        <v>1276800</v>
      </c>
      <c r="I436" s="442">
        <f t="shared" si="81"/>
        <v>735609.95</v>
      </c>
      <c r="J436" s="466">
        <f t="shared" si="81"/>
        <v>734438.26</v>
      </c>
      <c r="K436" s="466">
        <f t="shared" si="81"/>
        <v>734438.26</v>
      </c>
      <c r="L436" s="564">
        <f t="shared" si="75"/>
        <v>0</v>
      </c>
      <c r="M436" s="565">
        <f t="shared" si="77"/>
        <v>57.521793546365913</v>
      </c>
      <c r="N436" s="565">
        <f t="shared" si="76"/>
        <v>57.52179354636592</v>
      </c>
    </row>
    <row r="437" spans="1:14" ht="34" outlineLevel="1" x14ac:dyDescent="0.3">
      <c r="A437" s="438" t="s">
        <v>97</v>
      </c>
      <c r="B437" s="439" t="s">
        <v>500</v>
      </c>
      <c r="C437" s="439" t="s">
        <v>95</v>
      </c>
      <c r="D437" s="539" t="s">
        <v>376</v>
      </c>
      <c r="E437" s="539" t="s">
        <v>98</v>
      </c>
      <c r="F437" s="540">
        <v>558600</v>
      </c>
      <c r="G437" s="465">
        <f>742359.04+534440.96</f>
        <v>1276800</v>
      </c>
      <c r="H437" s="370">
        <v>1276800</v>
      </c>
      <c r="I437" s="440">
        <v>735609.95</v>
      </c>
      <c r="J437" s="466">
        <f>173500+560938.26</f>
        <v>734438.26</v>
      </c>
      <c r="K437" s="466">
        <f>173500+560938.26</f>
        <v>734438.26</v>
      </c>
      <c r="L437" s="564">
        <f t="shared" si="75"/>
        <v>0</v>
      </c>
      <c r="M437" s="565">
        <f t="shared" si="77"/>
        <v>57.521793546365913</v>
      </c>
      <c r="N437" s="565">
        <f t="shared" si="76"/>
        <v>57.52179354636592</v>
      </c>
    </row>
    <row r="438" spans="1:14" ht="34" outlineLevel="1" x14ac:dyDescent="0.3">
      <c r="A438" s="444" t="s">
        <v>132</v>
      </c>
      <c r="B438" s="445" t="s">
        <v>500</v>
      </c>
      <c r="C438" s="445" t="s">
        <v>95</v>
      </c>
      <c r="D438" s="541" t="s">
        <v>127</v>
      </c>
      <c r="E438" s="541" t="s">
        <v>6</v>
      </c>
      <c r="F438" s="540">
        <v>60000</v>
      </c>
      <c r="G438" s="507">
        <f t="shared" ref="G438:K440" si="82">G439</f>
        <v>100000</v>
      </c>
      <c r="H438" s="448">
        <f t="shared" si="82"/>
        <v>75000</v>
      </c>
      <c r="I438" s="448">
        <f t="shared" si="82"/>
        <v>100000</v>
      </c>
      <c r="J438" s="507">
        <f t="shared" si="82"/>
        <v>100000</v>
      </c>
      <c r="K438" s="507">
        <f t="shared" si="82"/>
        <v>100000</v>
      </c>
      <c r="L438" s="564">
        <f t="shared" si="75"/>
        <v>0</v>
      </c>
      <c r="M438" s="565">
        <f t="shared" si="77"/>
        <v>100</v>
      </c>
      <c r="N438" s="565">
        <f t="shared" si="76"/>
        <v>100</v>
      </c>
    </row>
    <row r="439" spans="1:14" ht="34" outlineLevel="1" x14ac:dyDescent="0.3">
      <c r="A439" s="438" t="s">
        <v>526</v>
      </c>
      <c r="B439" s="439" t="s">
        <v>500</v>
      </c>
      <c r="C439" s="439" t="s">
        <v>95</v>
      </c>
      <c r="D439" s="539" t="s">
        <v>539</v>
      </c>
      <c r="E439" s="539" t="s">
        <v>6</v>
      </c>
      <c r="F439" s="540">
        <v>60000</v>
      </c>
      <c r="G439" s="466">
        <f t="shared" si="82"/>
        <v>100000</v>
      </c>
      <c r="H439" s="442">
        <f t="shared" si="82"/>
        <v>75000</v>
      </c>
      <c r="I439" s="442">
        <f t="shared" si="82"/>
        <v>100000</v>
      </c>
      <c r="J439" s="466">
        <f t="shared" si="82"/>
        <v>100000</v>
      </c>
      <c r="K439" s="466">
        <f t="shared" si="82"/>
        <v>100000</v>
      </c>
      <c r="L439" s="564">
        <f t="shared" si="75"/>
        <v>0</v>
      </c>
      <c r="M439" s="565">
        <f t="shared" si="77"/>
        <v>100</v>
      </c>
      <c r="N439" s="565">
        <f t="shared" si="76"/>
        <v>100</v>
      </c>
    </row>
    <row r="440" spans="1:14" outlineLevel="1" x14ac:dyDescent="0.3">
      <c r="A440" s="438" t="s">
        <v>90</v>
      </c>
      <c r="B440" s="439" t="s">
        <v>500</v>
      </c>
      <c r="C440" s="439" t="s">
        <v>95</v>
      </c>
      <c r="D440" s="539" t="s">
        <v>539</v>
      </c>
      <c r="E440" s="539" t="s">
        <v>91</v>
      </c>
      <c r="F440" s="540">
        <v>60000</v>
      </c>
      <c r="G440" s="466">
        <f t="shared" si="82"/>
        <v>100000</v>
      </c>
      <c r="H440" s="370">
        <v>75000</v>
      </c>
      <c r="I440" s="442">
        <f t="shared" si="82"/>
        <v>100000</v>
      </c>
      <c r="J440" s="466">
        <f t="shared" si="82"/>
        <v>100000</v>
      </c>
      <c r="K440" s="466">
        <f t="shared" si="82"/>
        <v>100000</v>
      </c>
      <c r="L440" s="564">
        <f t="shared" si="75"/>
        <v>0</v>
      </c>
      <c r="M440" s="565">
        <f t="shared" si="77"/>
        <v>100</v>
      </c>
      <c r="N440" s="565">
        <f t="shared" si="76"/>
        <v>100</v>
      </c>
    </row>
    <row r="441" spans="1:14" ht="20.25" customHeight="1" outlineLevel="1" x14ac:dyDescent="0.3">
      <c r="A441" s="438" t="s">
        <v>309</v>
      </c>
      <c r="B441" s="439" t="s">
        <v>500</v>
      </c>
      <c r="C441" s="439" t="s">
        <v>95</v>
      </c>
      <c r="D441" s="539" t="s">
        <v>539</v>
      </c>
      <c r="E441" s="539" t="s">
        <v>310</v>
      </c>
      <c r="F441" s="540">
        <v>60000</v>
      </c>
      <c r="G441" s="465">
        <f>[2]потребность!I407</f>
        <v>100000</v>
      </c>
      <c r="H441" s="370">
        <v>75000</v>
      </c>
      <c r="I441" s="440">
        <v>100000</v>
      </c>
      <c r="J441" s="465">
        <v>100000</v>
      </c>
      <c r="K441" s="465">
        <v>100000</v>
      </c>
      <c r="L441" s="564">
        <f t="shared" si="75"/>
        <v>0</v>
      </c>
      <c r="M441" s="565">
        <f t="shared" si="77"/>
        <v>100</v>
      </c>
      <c r="N441" s="565">
        <f t="shared" si="76"/>
        <v>100</v>
      </c>
    </row>
    <row r="442" spans="1:14" outlineLevel="1" x14ac:dyDescent="0.3">
      <c r="A442" s="438" t="s">
        <v>123</v>
      </c>
      <c r="B442" s="439" t="s">
        <v>500</v>
      </c>
      <c r="C442" s="439" t="s">
        <v>124</v>
      </c>
      <c r="D442" s="539" t="s">
        <v>126</v>
      </c>
      <c r="E442" s="539" t="s">
        <v>6</v>
      </c>
      <c r="F442" s="540">
        <v>31400196.27</v>
      </c>
      <c r="G442" s="466">
        <f t="shared" ref="G442:K443" si="83">G443</f>
        <v>47456869.619999997</v>
      </c>
      <c r="H442" s="442">
        <f t="shared" si="83"/>
        <v>20087351.119999997</v>
      </c>
      <c r="I442" s="442">
        <f t="shared" si="83"/>
        <v>59124839</v>
      </c>
      <c r="J442" s="466">
        <f t="shared" si="83"/>
        <v>84007682.859999999</v>
      </c>
      <c r="K442" s="466">
        <f t="shared" si="83"/>
        <v>84007682.859999999</v>
      </c>
      <c r="L442" s="564">
        <f t="shared" si="75"/>
        <v>0</v>
      </c>
      <c r="M442" s="565">
        <f t="shared" si="77"/>
        <v>177.0190143864782</v>
      </c>
      <c r="N442" s="565">
        <f t="shared" si="76"/>
        <v>177.0190143864782</v>
      </c>
    </row>
    <row r="443" spans="1:14" ht="34" outlineLevel="1" x14ac:dyDescent="0.3">
      <c r="A443" s="444" t="s">
        <v>132</v>
      </c>
      <c r="B443" s="445" t="s">
        <v>500</v>
      </c>
      <c r="C443" s="445" t="s">
        <v>124</v>
      </c>
      <c r="D443" s="541" t="s">
        <v>127</v>
      </c>
      <c r="E443" s="541" t="s">
        <v>6</v>
      </c>
      <c r="F443" s="540">
        <v>31400196.27</v>
      </c>
      <c r="G443" s="507">
        <f t="shared" si="83"/>
        <v>47456869.619999997</v>
      </c>
      <c r="H443" s="448">
        <f t="shared" si="83"/>
        <v>20087351.119999997</v>
      </c>
      <c r="I443" s="448">
        <f t="shared" si="83"/>
        <v>59124839</v>
      </c>
      <c r="J443" s="507">
        <f t="shared" si="83"/>
        <v>84007682.859999999</v>
      </c>
      <c r="K443" s="507">
        <f t="shared" si="83"/>
        <v>84007682.859999999</v>
      </c>
      <c r="L443" s="564">
        <f t="shared" si="75"/>
        <v>0</v>
      </c>
      <c r="M443" s="565">
        <f t="shared" si="77"/>
        <v>177.0190143864782</v>
      </c>
      <c r="N443" s="565">
        <f t="shared" si="76"/>
        <v>177.0190143864782</v>
      </c>
    </row>
    <row r="444" spans="1:14" outlineLevel="1" x14ac:dyDescent="0.3">
      <c r="A444" s="438" t="s">
        <v>277</v>
      </c>
      <c r="B444" s="439" t="s">
        <v>500</v>
      </c>
      <c r="C444" s="439" t="s">
        <v>124</v>
      </c>
      <c r="D444" s="539" t="s">
        <v>276</v>
      </c>
      <c r="E444" s="539" t="s">
        <v>6</v>
      </c>
      <c r="F444" s="540">
        <v>31400196.27</v>
      </c>
      <c r="G444" s="466">
        <f>G454+G445+G451</f>
        <v>47456869.619999997</v>
      </c>
      <c r="H444" s="442">
        <f>H454+H445+H451</f>
        <v>20087351.119999997</v>
      </c>
      <c r="I444" s="442">
        <f>I454+I445+I451</f>
        <v>59124839</v>
      </c>
      <c r="J444" s="466">
        <f>J454+J445+J451</f>
        <v>84007682.859999999</v>
      </c>
      <c r="K444" s="466">
        <f>K454+K445+K451</f>
        <v>84007682.859999999</v>
      </c>
      <c r="L444" s="564">
        <f t="shared" si="75"/>
        <v>0</v>
      </c>
      <c r="M444" s="565">
        <f t="shared" si="77"/>
        <v>177.0190143864782</v>
      </c>
      <c r="N444" s="565">
        <f t="shared" si="76"/>
        <v>177.0190143864782</v>
      </c>
    </row>
    <row r="445" spans="1:14" s="449" customFormat="1" ht="101.9" outlineLevel="1" x14ac:dyDescent="0.3">
      <c r="A445" s="393" t="s">
        <v>431</v>
      </c>
      <c r="B445" s="439" t="s">
        <v>500</v>
      </c>
      <c r="C445" s="439" t="s">
        <v>124</v>
      </c>
      <c r="D445" s="539" t="s">
        <v>432</v>
      </c>
      <c r="E445" s="539" t="s">
        <v>6</v>
      </c>
      <c r="F445" s="540">
        <v>456463.12</v>
      </c>
      <c r="G445" s="465">
        <f>G446+G448</f>
        <v>22326590.18</v>
      </c>
      <c r="H445" s="440">
        <f>H446+H448</f>
        <v>10072207.699999999</v>
      </c>
      <c r="I445" s="440">
        <f>I446+I448</f>
        <v>22604954.34</v>
      </c>
      <c r="J445" s="465">
        <f>J446+J448</f>
        <v>36028492.670000002</v>
      </c>
      <c r="K445" s="465">
        <f>K446+K448</f>
        <v>36028492.670000002</v>
      </c>
      <c r="L445" s="564">
        <f t="shared" si="75"/>
        <v>0</v>
      </c>
      <c r="M445" s="565">
        <f t="shared" si="77"/>
        <v>161.37033187572936</v>
      </c>
      <c r="N445" s="565">
        <f t="shared" si="76"/>
        <v>161.37033187572936</v>
      </c>
    </row>
    <row r="446" spans="1:14" ht="34" outlineLevel="1" x14ac:dyDescent="0.3">
      <c r="A446" s="438" t="s">
        <v>15</v>
      </c>
      <c r="B446" s="439" t="s">
        <v>500</v>
      </c>
      <c r="C446" s="439" t="s">
        <v>124</v>
      </c>
      <c r="D446" s="539" t="s">
        <v>432</v>
      </c>
      <c r="E446" s="539" t="s">
        <v>16</v>
      </c>
      <c r="F446" s="540">
        <v>456463.12</v>
      </c>
      <c r="G446" s="465">
        <f>G447</f>
        <v>130000</v>
      </c>
      <c r="H446" s="370">
        <v>74643.25</v>
      </c>
      <c r="I446" s="440">
        <f>I447</f>
        <v>130000</v>
      </c>
      <c r="J446" s="465">
        <f>J447</f>
        <v>130000</v>
      </c>
      <c r="K446" s="465">
        <f>K447</f>
        <v>130000</v>
      </c>
      <c r="L446" s="564">
        <f t="shared" si="75"/>
        <v>0</v>
      </c>
      <c r="M446" s="565">
        <f t="shared" si="77"/>
        <v>100</v>
      </c>
      <c r="N446" s="565">
        <f t="shared" si="76"/>
        <v>100</v>
      </c>
    </row>
    <row r="447" spans="1:14" s="449" customFormat="1" ht="37.549999999999997" customHeight="1" outlineLevel="1" x14ac:dyDescent="0.3">
      <c r="A447" s="438" t="s">
        <v>17</v>
      </c>
      <c r="B447" s="439" t="s">
        <v>500</v>
      </c>
      <c r="C447" s="439" t="s">
        <v>124</v>
      </c>
      <c r="D447" s="539" t="s">
        <v>432</v>
      </c>
      <c r="E447" s="539" t="s">
        <v>18</v>
      </c>
      <c r="F447" s="540">
        <v>456463.12</v>
      </c>
      <c r="G447" s="465">
        <v>130000</v>
      </c>
      <c r="H447" s="370">
        <v>74643.25</v>
      </c>
      <c r="I447" s="440">
        <v>130000</v>
      </c>
      <c r="J447" s="507">
        <v>130000</v>
      </c>
      <c r="K447" s="507">
        <v>130000</v>
      </c>
      <c r="L447" s="564">
        <f t="shared" si="75"/>
        <v>0</v>
      </c>
      <c r="M447" s="565">
        <f t="shared" si="77"/>
        <v>100</v>
      </c>
      <c r="N447" s="565">
        <f t="shared" si="76"/>
        <v>100</v>
      </c>
    </row>
    <row r="448" spans="1:14" outlineLevel="1" x14ac:dyDescent="0.3">
      <c r="A448" s="438" t="s">
        <v>90</v>
      </c>
      <c r="B448" s="439" t="s">
        <v>500</v>
      </c>
      <c r="C448" s="439" t="s">
        <v>124</v>
      </c>
      <c r="D448" s="539" t="s">
        <v>432</v>
      </c>
      <c r="E448" s="539" t="s">
        <v>91</v>
      </c>
      <c r="F448" s="540">
        <v>13734787.529999999</v>
      </c>
      <c r="G448" s="465">
        <f>G449+G450</f>
        <v>22196590.18</v>
      </c>
      <c r="H448" s="370">
        <v>9997564.4499999993</v>
      </c>
      <c r="I448" s="440">
        <f>I449+I450</f>
        <v>22474954.34</v>
      </c>
      <c r="J448" s="465">
        <f>J449+J450</f>
        <v>35898492.670000002</v>
      </c>
      <c r="K448" s="465">
        <f>K449+K450</f>
        <v>35898492.670000002</v>
      </c>
      <c r="L448" s="564">
        <f t="shared" si="75"/>
        <v>0</v>
      </c>
      <c r="M448" s="565">
        <f t="shared" si="77"/>
        <v>161.72976290000594</v>
      </c>
      <c r="N448" s="565">
        <f t="shared" si="76"/>
        <v>161.72976290000594</v>
      </c>
    </row>
    <row r="449" spans="1:14" ht="39.4" customHeight="1" outlineLevel="1" x14ac:dyDescent="0.3">
      <c r="A449" s="438" t="s">
        <v>92</v>
      </c>
      <c r="B449" s="439" t="s">
        <v>500</v>
      </c>
      <c r="C449" s="439" t="s">
        <v>124</v>
      </c>
      <c r="D449" s="539" t="s">
        <v>432</v>
      </c>
      <c r="E449" s="539" t="s">
        <v>93</v>
      </c>
      <c r="F449" s="540">
        <v>105651.19</v>
      </c>
      <c r="G449" s="465">
        <f>19797344.4+399245.78</f>
        <v>20196590.18</v>
      </c>
      <c r="H449" s="370">
        <v>8539128.2200000007</v>
      </c>
      <c r="I449" s="440">
        <v>20474954.34</v>
      </c>
      <c r="J449" s="466">
        <v>33898492.670000002</v>
      </c>
      <c r="K449" s="466">
        <v>33898492.670000002</v>
      </c>
      <c r="L449" s="564">
        <f t="shared" si="75"/>
        <v>0</v>
      </c>
      <c r="M449" s="565">
        <f t="shared" si="77"/>
        <v>167.84265248679716</v>
      </c>
      <c r="N449" s="565">
        <f t="shared" si="76"/>
        <v>167.84265248679716</v>
      </c>
    </row>
    <row r="450" spans="1:14" ht="47.25" customHeight="1" outlineLevel="1" x14ac:dyDescent="0.3">
      <c r="A450" s="438" t="s">
        <v>97</v>
      </c>
      <c r="B450" s="439" t="s">
        <v>500</v>
      </c>
      <c r="C450" s="439" t="s">
        <v>124</v>
      </c>
      <c r="D450" s="539" t="s">
        <v>432</v>
      </c>
      <c r="E450" s="539" t="s">
        <v>98</v>
      </c>
      <c r="F450" s="540">
        <v>105651.19</v>
      </c>
      <c r="G450" s="465">
        <v>2000000</v>
      </c>
      <c r="H450" s="370">
        <v>1458436.23</v>
      </c>
      <c r="I450" s="440">
        <v>2000000</v>
      </c>
      <c r="J450" s="466">
        <v>2000000</v>
      </c>
      <c r="K450" s="466">
        <v>2000000</v>
      </c>
      <c r="L450" s="564">
        <f t="shared" si="75"/>
        <v>0</v>
      </c>
      <c r="M450" s="565">
        <f t="shared" si="77"/>
        <v>100</v>
      </c>
      <c r="N450" s="565">
        <f t="shared" si="76"/>
        <v>100</v>
      </c>
    </row>
    <row r="451" spans="1:14" ht="84.25" customHeight="1" outlineLevel="1" x14ac:dyDescent="0.3">
      <c r="A451" s="393" t="s">
        <v>760</v>
      </c>
      <c r="B451" s="439" t="s">
        <v>500</v>
      </c>
      <c r="C451" s="439" t="s">
        <v>124</v>
      </c>
      <c r="D451" s="539" t="s">
        <v>792</v>
      </c>
      <c r="E451" s="539" t="s">
        <v>6</v>
      </c>
      <c r="F451" s="540">
        <v>13629136.34</v>
      </c>
      <c r="G451" s="465">
        <f t="shared" ref="G451:K452" si="84">G452</f>
        <v>16214571.039999999</v>
      </c>
      <c r="H451" s="440">
        <f t="shared" si="84"/>
        <v>10015143.42</v>
      </c>
      <c r="I451" s="440">
        <f t="shared" si="84"/>
        <v>16214571.039999999</v>
      </c>
      <c r="J451" s="465">
        <f t="shared" si="84"/>
        <v>21307950</v>
      </c>
      <c r="K451" s="465">
        <f t="shared" si="84"/>
        <v>21307950</v>
      </c>
      <c r="L451" s="564">
        <f t="shared" si="75"/>
        <v>0</v>
      </c>
      <c r="M451" s="565">
        <f t="shared" si="77"/>
        <v>131.41235711654079</v>
      </c>
      <c r="N451" s="565">
        <f t="shared" si="76"/>
        <v>131.41235711654079</v>
      </c>
    </row>
    <row r="452" spans="1:14" ht="42.8" customHeight="1" outlineLevel="1" x14ac:dyDescent="0.3">
      <c r="A452" s="438" t="s">
        <v>264</v>
      </c>
      <c r="B452" s="439" t="s">
        <v>500</v>
      </c>
      <c r="C452" s="439" t="s">
        <v>124</v>
      </c>
      <c r="D452" s="539" t="s">
        <v>792</v>
      </c>
      <c r="E452" s="539" t="s">
        <v>265</v>
      </c>
      <c r="F452" s="540">
        <v>11719309.77</v>
      </c>
      <c r="G452" s="465">
        <f t="shared" si="84"/>
        <v>16214571.039999999</v>
      </c>
      <c r="H452" s="370">
        <v>10015143.42</v>
      </c>
      <c r="I452" s="440">
        <f t="shared" si="84"/>
        <v>16214571.039999999</v>
      </c>
      <c r="J452" s="465">
        <f t="shared" si="84"/>
        <v>21307950</v>
      </c>
      <c r="K452" s="465">
        <f t="shared" si="84"/>
        <v>21307950</v>
      </c>
      <c r="L452" s="564">
        <f t="shared" si="75"/>
        <v>0</v>
      </c>
      <c r="M452" s="565">
        <f t="shared" si="77"/>
        <v>131.41235711654079</v>
      </c>
      <c r="N452" s="565">
        <f t="shared" si="76"/>
        <v>131.41235711654079</v>
      </c>
    </row>
    <row r="453" spans="1:14" ht="28.55" customHeight="1" outlineLevel="1" x14ac:dyDescent="0.3">
      <c r="A453" s="438" t="s">
        <v>266</v>
      </c>
      <c r="B453" s="439" t="s">
        <v>500</v>
      </c>
      <c r="C453" s="439" t="s">
        <v>124</v>
      </c>
      <c r="D453" s="539" t="s">
        <v>792</v>
      </c>
      <c r="E453" s="539" t="s">
        <v>267</v>
      </c>
      <c r="F453" s="540">
        <v>1909826.57</v>
      </c>
      <c r="G453" s="465">
        <v>16214571.039999999</v>
      </c>
      <c r="H453" s="370">
        <v>10015143.42</v>
      </c>
      <c r="I453" s="440">
        <v>16214571.039999999</v>
      </c>
      <c r="J453" s="466">
        <v>21307950</v>
      </c>
      <c r="K453" s="466">
        <v>21307950</v>
      </c>
      <c r="L453" s="564">
        <f t="shared" si="75"/>
        <v>0</v>
      </c>
      <c r="M453" s="565">
        <f t="shared" si="77"/>
        <v>131.41235711654079</v>
      </c>
      <c r="N453" s="565">
        <f t="shared" si="76"/>
        <v>131.41235711654079</v>
      </c>
    </row>
    <row r="454" spans="1:14" ht="99" customHeight="1" outlineLevel="1" x14ac:dyDescent="0.3">
      <c r="A454" s="393" t="s">
        <v>656</v>
      </c>
      <c r="B454" s="439" t="s">
        <v>500</v>
      </c>
      <c r="C454" s="439" t="s">
        <v>124</v>
      </c>
      <c r="D454" s="539" t="s">
        <v>295</v>
      </c>
      <c r="E454" s="539" t="s">
        <v>6</v>
      </c>
      <c r="F454" s="540">
        <v>17208945.620000001</v>
      </c>
      <c r="G454" s="466">
        <f t="shared" ref="G454:K455" si="85">G455</f>
        <v>8915708.4000000004</v>
      </c>
      <c r="H454" s="442">
        <f t="shared" si="85"/>
        <v>0</v>
      </c>
      <c r="I454" s="442">
        <f t="shared" si="85"/>
        <v>20305313.620000001</v>
      </c>
      <c r="J454" s="466">
        <f t="shared" si="85"/>
        <v>26671240.190000001</v>
      </c>
      <c r="K454" s="466">
        <f t="shared" si="85"/>
        <v>26671240.190000001</v>
      </c>
      <c r="L454" s="564">
        <f t="shared" si="75"/>
        <v>0</v>
      </c>
      <c r="M454" s="565">
        <f t="shared" si="77"/>
        <v>299.14886168776002</v>
      </c>
      <c r="N454" s="565">
        <f t="shared" si="76"/>
        <v>299.14886168776002</v>
      </c>
    </row>
    <row r="455" spans="1:14" ht="50.95" outlineLevel="1" x14ac:dyDescent="0.3">
      <c r="A455" s="438" t="s">
        <v>264</v>
      </c>
      <c r="B455" s="439" t="s">
        <v>500</v>
      </c>
      <c r="C455" s="439" t="s">
        <v>124</v>
      </c>
      <c r="D455" s="539" t="s">
        <v>295</v>
      </c>
      <c r="E455" s="539" t="s">
        <v>265</v>
      </c>
      <c r="F455" s="540">
        <v>17208945.620000001</v>
      </c>
      <c r="G455" s="466">
        <f t="shared" si="85"/>
        <v>8915708.4000000004</v>
      </c>
      <c r="H455" s="442">
        <v>0</v>
      </c>
      <c r="I455" s="442">
        <f t="shared" si="85"/>
        <v>20305313.620000001</v>
      </c>
      <c r="J455" s="466">
        <f t="shared" si="85"/>
        <v>26671240.190000001</v>
      </c>
      <c r="K455" s="466">
        <f t="shared" si="85"/>
        <v>26671240.190000001</v>
      </c>
      <c r="L455" s="564">
        <f t="shared" si="75"/>
        <v>0</v>
      </c>
      <c r="M455" s="565">
        <f t="shared" si="77"/>
        <v>299.14886168776002</v>
      </c>
      <c r="N455" s="565">
        <f t="shared" si="76"/>
        <v>299.14886168776002</v>
      </c>
    </row>
    <row r="456" spans="1:14" outlineLevel="1" x14ac:dyDescent="0.3">
      <c r="A456" s="438" t="s">
        <v>266</v>
      </c>
      <c r="B456" s="439" t="s">
        <v>500</v>
      </c>
      <c r="C456" s="439" t="s">
        <v>124</v>
      </c>
      <c r="D456" s="539" t="s">
        <v>295</v>
      </c>
      <c r="E456" s="539" t="s">
        <v>267</v>
      </c>
      <c r="F456" s="540">
        <v>17208945.620000001</v>
      </c>
      <c r="G456" s="465">
        <f>10197469.69-468919.69-812841.6</f>
        <v>8915708.4000000004</v>
      </c>
      <c r="H456" s="440">
        <v>0</v>
      </c>
      <c r="I456" s="440">
        <v>20305313.620000001</v>
      </c>
      <c r="J456" s="466">
        <v>26671240.190000001</v>
      </c>
      <c r="K456" s="466">
        <v>26671240.190000001</v>
      </c>
      <c r="L456" s="564">
        <f t="shared" ref="L456:L519" si="86">K456-J456</f>
        <v>0</v>
      </c>
      <c r="M456" s="565">
        <f t="shared" si="77"/>
        <v>299.14886168776002</v>
      </c>
      <c r="N456" s="565">
        <f t="shared" ref="N456:N519" si="87">K456/G456*100</f>
        <v>299.14886168776002</v>
      </c>
    </row>
    <row r="457" spans="1:14" outlineLevel="1" x14ac:dyDescent="0.3">
      <c r="A457" s="444" t="s">
        <v>100</v>
      </c>
      <c r="B457" s="445" t="s">
        <v>500</v>
      </c>
      <c r="C457" s="445" t="s">
        <v>101</v>
      </c>
      <c r="D457" s="541" t="s">
        <v>126</v>
      </c>
      <c r="E457" s="541" t="s">
        <v>6</v>
      </c>
      <c r="F457" s="540">
        <v>710998.64</v>
      </c>
      <c r="G457" s="507">
        <f>G458</f>
        <v>11156395.439999999</v>
      </c>
      <c r="H457" s="448">
        <f>H458</f>
        <v>10079819.859999999</v>
      </c>
      <c r="I457" s="448">
        <f>I458</f>
        <v>1973229.4</v>
      </c>
      <c r="J457" s="507">
        <f>J458</f>
        <v>4199318.82</v>
      </c>
      <c r="K457" s="507">
        <f>K458</f>
        <v>4199318.82</v>
      </c>
      <c r="L457" s="564">
        <f t="shared" si="86"/>
        <v>0</v>
      </c>
      <c r="M457" s="565">
        <f t="shared" si="77"/>
        <v>37.640462303297497</v>
      </c>
      <c r="N457" s="565">
        <f t="shared" si="87"/>
        <v>37.640462303297497</v>
      </c>
    </row>
    <row r="458" spans="1:14" ht="22.75" customHeight="1" outlineLevel="1" x14ac:dyDescent="0.3">
      <c r="A458" s="438" t="s">
        <v>301</v>
      </c>
      <c r="B458" s="439" t="s">
        <v>500</v>
      </c>
      <c r="C458" s="439" t="s">
        <v>300</v>
      </c>
      <c r="D458" s="539" t="s">
        <v>126</v>
      </c>
      <c r="E458" s="539" t="s">
        <v>6</v>
      </c>
      <c r="F458" s="540">
        <v>710998.64</v>
      </c>
      <c r="G458" s="466">
        <f>G459+G500</f>
        <v>11156395.439999999</v>
      </c>
      <c r="H458" s="442">
        <f>H459+H500</f>
        <v>10079819.859999999</v>
      </c>
      <c r="I458" s="442">
        <f>I459+I500</f>
        <v>1973229.4</v>
      </c>
      <c r="J458" s="466">
        <f>J459+J500</f>
        <v>4199318.82</v>
      </c>
      <c r="K458" s="466">
        <f>K459+K500</f>
        <v>4199318.82</v>
      </c>
      <c r="L458" s="564">
        <f t="shared" si="86"/>
        <v>0</v>
      </c>
      <c r="M458" s="565">
        <f t="shared" si="77"/>
        <v>37.640462303297497</v>
      </c>
      <c r="N458" s="565">
        <f t="shared" si="87"/>
        <v>37.640462303297497</v>
      </c>
    </row>
    <row r="459" spans="1:14" ht="59.8" customHeight="1" outlineLevel="1" x14ac:dyDescent="0.3">
      <c r="A459" s="444" t="s">
        <v>836</v>
      </c>
      <c r="B459" s="445" t="s">
        <v>500</v>
      </c>
      <c r="C459" s="445" t="s">
        <v>300</v>
      </c>
      <c r="D459" s="541" t="s">
        <v>200</v>
      </c>
      <c r="E459" s="541" t="s">
        <v>6</v>
      </c>
      <c r="F459" s="542">
        <v>660998.64</v>
      </c>
      <c r="G459" s="507">
        <f>G460+G484</f>
        <v>11106395.439999999</v>
      </c>
      <c r="H459" s="448">
        <f>H460+H484</f>
        <v>10029819.859999999</v>
      </c>
      <c r="I459" s="448">
        <f>I460+I484</f>
        <v>1923229.4</v>
      </c>
      <c r="J459" s="507">
        <f>J460+J484</f>
        <v>4149318.8200000003</v>
      </c>
      <c r="K459" s="507">
        <f>K460+K484</f>
        <v>4149318.8200000003</v>
      </c>
      <c r="L459" s="564">
        <f t="shared" si="86"/>
        <v>0</v>
      </c>
      <c r="M459" s="565">
        <f t="shared" si="77"/>
        <v>37.359725235931279</v>
      </c>
      <c r="N459" s="565">
        <f t="shared" si="87"/>
        <v>37.359725235931272</v>
      </c>
    </row>
    <row r="460" spans="1:14" ht="50.95" outlineLevel="1" x14ac:dyDescent="0.3">
      <c r="A460" s="438" t="s">
        <v>837</v>
      </c>
      <c r="B460" s="439" t="s">
        <v>500</v>
      </c>
      <c r="C460" s="439" t="s">
        <v>300</v>
      </c>
      <c r="D460" s="539" t="s">
        <v>230</v>
      </c>
      <c r="E460" s="539" t="s">
        <v>6</v>
      </c>
      <c r="F460" s="540">
        <v>660998.64</v>
      </c>
      <c r="G460" s="466">
        <f>G461+G466+G469+G472+G475</f>
        <v>9907138.4499999993</v>
      </c>
      <c r="H460" s="442">
        <f>H461+H466+H469+H472+H475</f>
        <v>9833329.7299999986</v>
      </c>
      <c r="I460" s="442">
        <f>I461+I466+I469+I472+I475</f>
        <v>661000</v>
      </c>
      <c r="J460" s="466">
        <f>J461+J466+J469+J472+J475+J478+J481+J488+J491</f>
        <v>3055571.62</v>
      </c>
      <c r="K460" s="466">
        <f>K461+K466+K469+K472+K475+K478+K481+K488+K491</f>
        <v>3055571.62</v>
      </c>
      <c r="L460" s="564">
        <f t="shared" si="86"/>
        <v>0</v>
      </c>
      <c r="M460" s="565">
        <f t="shared" ref="M460:M523" si="88">J460/G460%</f>
        <v>30.842120915348676</v>
      </c>
      <c r="N460" s="565">
        <f t="shared" si="87"/>
        <v>30.842120915348676</v>
      </c>
    </row>
    <row r="461" spans="1:14" ht="28.55" customHeight="1" outlineLevel="1" x14ac:dyDescent="0.3">
      <c r="A461" s="438" t="s">
        <v>102</v>
      </c>
      <c r="B461" s="439" t="s">
        <v>500</v>
      </c>
      <c r="C461" s="439" t="s">
        <v>300</v>
      </c>
      <c r="D461" s="539" t="s">
        <v>201</v>
      </c>
      <c r="E461" s="539" t="s">
        <v>6</v>
      </c>
      <c r="F461" s="540">
        <v>660998.64</v>
      </c>
      <c r="G461" s="466">
        <f>G462+G464</f>
        <v>704500</v>
      </c>
      <c r="H461" s="442">
        <f>H462+H464</f>
        <v>630691.68000000005</v>
      </c>
      <c r="I461" s="442">
        <f>I462+I464</f>
        <v>661000</v>
      </c>
      <c r="J461" s="466">
        <f>J462+J464</f>
        <v>661000</v>
      </c>
      <c r="K461" s="466">
        <f>K462+K464</f>
        <v>661000</v>
      </c>
      <c r="L461" s="564">
        <f t="shared" si="86"/>
        <v>0</v>
      </c>
      <c r="M461" s="565">
        <f t="shared" si="88"/>
        <v>93.825408090844576</v>
      </c>
      <c r="N461" s="565">
        <f t="shared" si="87"/>
        <v>93.825408090844576</v>
      </c>
    </row>
    <row r="462" spans="1:14" ht="21.25" customHeight="1" outlineLevel="1" x14ac:dyDescent="0.3">
      <c r="A462" s="438" t="s">
        <v>15</v>
      </c>
      <c r="B462" s="439" t="s">
        <v>500</v>
      </c>
      <c r="C462" s="439" t="s">
        <v>300</v>
      </c>
      <c r="D462" s="539" t="s">
        <v>201</v>
      </c>
      <c r="E462" s="539" t="s">
        <v>16</v>
      </c>
      <c r="F462" s="540">
        <v>639298.64</v>
      </c>
      <c r="G462" s="466">
        <f>G463</f>
        <v>674500</v>
      </c>
      <c r="H462" s="370">
        <v>607991.68000000005</v>
      </c>
      <c r="I462" s="442">
        <f>I463</f>
        <v>631000</v>
      </c>
      <c r="J462" s="466">
        <f>J463</f>
        <v>631000</v>
      </c>
      <c r="K462" s="466">
        <f>K463</f>
        <v>631000</v>
      </c>
      <c r="L462" s="564">
        <f t="shared" si="86"/>
        <v>0</v>
      </c>
      <c r="M462" s="565">
        <f t="shared" si="88"/>
        <v>93.550778354336543</v>
      </c>
      <c r="N462" s="565">
        <f t="shared" si="87"/>
        <v>93.550778354336543</v>
      </c>
    </row>
    <row r="463" spans="1:14" s="449" customFormat="1" ht="34" outlineLevel="1" x14ac:dyDescent="0.3">
      <c r="A463" s="438" t="s">
        <v>17</v>
      </c>
      <c r="B463" s="439" t="s">
        <v>500</v>
      </c>
      <c r="C463" s="439" t="s">
        <v>300</v>
      </c>
      <c r="D463" s="539" t="s">
        <v>201</v>
      </c>
      <c r="E463" s="539" t="s">
        <v>18</v>
      </c>
      <c r="F463" s="540">
        <v>639298.64</v>
      </c>
      <c r="G463" s="466">
        <f>[2]потребность!L432-156500</f>
        <v>674500</v>
      </c>
      <c r="H463" s="370">
        <v>607991.68000000005</v>
      </c>
      <c r="I463" s="442">
        <v>631000</v>
      </c>
      <c r="J463" s="507">
        <v>631000</v>
      </c>
      <c r="K463" s="507">
        <v>631000</v>
      </c>
      <c r="L463" s="564">
        <f t="shared" si="86"/>
        <v>0</v>
      </c>
      <c r="M463" s="565">
        <f t="shared" si="88"/>
        <v>93.550778354336543</v>
      </c>
      <c r="N463" s="565">
        <f t="shared" si="87"/>
        <v>93.550778354336543</v>
      </c>
    </row>
    <row r="464" spans="1:14" ht="24.8" customHeight="1" outlineLevel="2" x14ac:dyDescent="0.3">
      <c r="A464" s="438" t="s">
        <v>271</v>
      </c>
      <c r="B464" s="439" t="s">
        <v>500</v>
      </c>
      <c r="C464" s="439" t="s">
        <v>300</v>
      </c>
      <c r="D464" s="539" t="s">
        <v>201</v>
      </c>
      <c r="E464" s="539" t="s">
        <v>20</v>
      </c>
      <c r="F464" s="540">
        <v>21700</v>
      </c>
      <c r="G464" s="466">
        <f>G465</f>
        <v>30000</v>
      </c>
      <c r="H464" s="370">
        <v>22700</v>
      </c>
      <c r="I464" s="442">
        <f>I465</f>
        <v>30000</v>
      </c>
      <c r="J464" s="466">
        <f>J465</f>
        <v>30000</v>
      </c>
      <c r="K464" s="466">
        <f>K465</f>
        <v>30000</v>
      </c>
      <c r="L464" s="564">
        <f t="shared" si="86"/>
        <v>0</v>
      </c>
      <c r="M464" s="565">
        <f t="shared" si="88"/>
        <v>100</v>
      </c>
      <c r="N464" s="565">
        <f t="shared" si="87"/>
        <v>100</v>
      </c>
    </row>
    <row r="465" spans="1:14" s="449" customFormat="1" ht="27.7" customHeight="1" outlineLevel="3" x14ac:dyDescent="0.3">
      <c r="A465" s="438" t="s">
        <v>272</v>
      </c>
      <c r="B465" s="439" t="s">
        <v>500</v>
      </c>
      <c r="C465" s="439" t="s">
        <v>300</v>
      </c>
      <c r="D465" s="539" t="s">
        <v>201</v>
      </c>
      <c r="E465" s="539" t="s">
        <v>22</v>
      </c>
      <c r="F465" s="540">
        <v>21700</v>
      </c>
      <c r="G465" s="466">
        <v>30000</v>
      </c>
      <c r="H465" s="370">
        <v>22700</v>
      </c>
      <c r="I465" s="442">
        <v>30000</v>
      </c>
      <c r="J465" s="507">
        <v>30000</v>
      </c>
      <c r="K465" s="507">
        <v>30000</v>
      </c>
      <c r="L465" s="564">
        <f t="shared" si="86"/>
        <v>0</v>
      </c>
      <c r="M465" s="565">
        <f t="shared" si="88"/>
        <v>100</v>
      </c>
      <c r="N465" s="565">
        <f t="shared" si="87"/>
        <v>100</v>
      </c>
    </row>
    <row r="466" spans="1:14" s="449" customFormat="1" ht="43.5" customHeight="1" outlineLevel="3" x14ac:dyDescent="0.3">
      <c r="A466" s="438" t="s">
        <v>281</v>
      </c>
      <c r="B466" s="439" t="s">
        <v>500</v>
      </c>
      <c r="C466" s="439" t="s">
        <v>300</v>
      </c>
      <c r="D466" s="539" t="s">
        <v>920</v>
      </c>
      <c r="E466" s="539" t="s">
        <v>6</v>
      </c>
      <c r="F466" s="539"/>
      <c r="G466" s="466">
        <f>G467</f>
        <v>6553690</v>
      </c>
      <c r="H466" s="442">
        <f>H467</f>
        <v>6553689.5999999996</v>
      </c>
      <c r="I466" s="442">
        <v>0</v>
      </c>
      <c r="J466" s="466">
        <f>J467</f>
        <v>0</v>
      </c>
      <c r="K466" s="466">
        <f>K467</f>
        <v>0</v>
      </c>
      <c r="L466" s="564">
        <f t="shared" si="86"/>
        <v>0</v>
      </c>
      <c r="M466" s="565">
        <f t="shared" si="88"/>
        <v>0</v>
      </c>
      <c r="N466" s="565">
        <f t="shared" si="87"/>
        <v>0</v>
      </c>
    </row>
    <row r="467" spans="1:14" s="449" customFormat="1" ht="27.7" customHeight="1" outlineLevel="3" x14ac:dyDescent="0.3">
      <c r="A467" s="438" t="s">
        <v>15</v>
      </c>
      <c r="B467" s="439" t="s">
        <v>500</v>
      </c>
      <c r="C467" s="439" t="s">
        <v>300</v>
      </c>
      <c r="D467" s="539" t="s">
        <v>920</v>
      </c>
      <c r="E467" s="539" t="s">
        <v>16</v>
      </c>
      <c r="F467" s="539"/>
      <c r="G467" s="466">
        <f>G468</f>
        <v>6553690</v>
      </c>
      <c r="H467" s="370">
        <v>6553689.5999999996</v>
      </c>
      <c r="I467" s="442">
        <v>0</v>
      </c>
      <c r="J467" s="466">
        <f>J468</f>
        <v>0</v>
      </c>
      <c r="K467" s="466">
        <f>K468</f>
        <v>0</v>
      </c>
      <c r="L467" s="564">
        <f t="shared" si="86"/>
        <v>0</v>
      </c>
      <c r="M467" s="565">
        <f t="shared" si="88"/>
        <v>0</v>
      </c>
      <c r="N467" s="565">
        <f t="shared" si="87"/>
        <v>0</v>
      </c>
    </row>
    <row r="468" spans="1:14" s="449" customFormat="1" ht="49.75" customHeight="1" outlineLevel="3" x14ac:dyDescent="0.3">
      <c r="A468" s="438" t="s">
        <v>17</v>
      </c>
      <c r="B468" s="439" t="s">
        <v>500</v>
      </c>
      <c r="C468" s="439" t="s">
        <v>300</v>
      </c>
      <c r="D468" s="539" t="s">
        <v>920</v>
      </c>
      <c r="E468" s="539" t="s">
        <v>18</v>
      </c>
      <c r="F468" s="539"/>
      <c r="G468" s="466">
        <v>6553690</v>
      </c>
      <c r="H468" s="370">
        <v>6553689.5999999996</v>
      </c>
      <c r="I468" s="442">
        <v>0</v>
      </c>
      <c r="J468" s="507">
        <v>0</v>
      </c>
      <c r="K468" s="507">
        <v>0</v>
      </c>
      <c r="L468" s="564">
        <f t="shared" si="86"/>
        <v>0</v>
      </c>
      <c r="M468" s="565">
        <f t="shared" si="88"/>
        <v>0</v>
      </c>
      <c r="N468" s="565">
        <f t="shared" si="87"/>
        <v>0</v>
      </c>
    </row>
    <row r="469" spans="1:14" s="449" customFormat="1" ht="38.049999999999997" hidden="1" customHeight="1" outlineLevel="3" x14ac:dyDescent="0.3">
      <c r="A469" s="438" t="s">
        <v>919</v>
      </c>
      <c r="B469" s="439" t="s">
        <v>500</v>
      </c>
      <c r="C469" s="439" t="s">
        <v>300</v>
      </c>
      <c r="D469" s="539" t="s">
        <v>921</v>
      </c>
      <c r="E469" s="539" t="s">
        <v>6</v>
      </c>
      <c r="F469" s="539"/>
      <c r="G469" s="466">
        <f>G470</f>
        <v>0</v>
      </c>
      <c r="H469" s="442">
        <f>H470</f>
        <v>0</v>
      </c>
      <c r="I469" s="442">
        <v>0</v>
      </c>
      <c r="J469" s="466">
        <f>J470</f>
        <v>0</v>
      </c>
      <c r="K469" s="466">
        <f>K470</f>
        <v>0</v>
      </c>
      <c r="L469" s="564">
        <f t="shared" si="86"/>
        <v>0</v>
      </c>
      <c r="M469" s="565"/>
      <c r="N469" s="565"/>
    </row>
    <row r="470" spans="1:14" s="449" customFormat="1" ht="27.7" hidden="1" customHeight="1" outlineLevel="3" x14ac:dyDescent="0.3">
      <c r="A470" s="438" t="s">
        <v>15</v>
      </c>
      <c r="B470" s="439" t="s">
        <v>500</v>
      </c>
      <c r="C470" s="439" t="s">
        <v>300</v>
      </c>
      <c r="D470" s="539" t="s">
        <v>921</v>
      </c>
      <c r="E470" s="539" t="s">
        <v>16</v>
      </c>
      <c r="F470" s="539"/>
      <c r="G470" s="466">
        <f>G471</f>
        <v>0</v>
      </c>
      <c r="H470" s="442">
        <f>H471</f>
        <v>0</v>
      </c>
      <c r="I470" s="442">
        <v>0</v>
      </c>
      <c r="J470" s="466">
        <f>J471</f>
        <v>0</v>
      </c>
      <c r="K470" s="466">
        <f>K471</f>
        <v>0</v>
      </c>
      <c r="L470" s="564">
        <f t="shared" si="86"/>
        <v>0</v>
      </c>
      <c r="M470" s="565"/>
      <c r="N470" s="565"/>
    </row>
    <row r="471" spans="1:14" s="449" customFormat="1" ht="41.95" hidden="1" customHeight="1" outlineLevel="3" x14ac:dyDescent="0.3">
      <c r="A471" s="438" t="s">
        <v>17</v>
      </c>
      <c r="B471" s="439" t="s">
        <v>500</v>
      </c>
      <c r="C471" s="439" t="s">
        <v>300</v>
      </c>
      <c r="D471" s="539" t="s">
        <v>921</v>
      </c>
      <c r="E471" s="539" t="s">
        <v>18</v>
      </c>
      <c r="F471" s="539"/>
      <c r="G471" s="466">
        <f>647275.5-317251-330024.5</f>
        <v>0</v>
      </c>
      <c r="H471" s="442">
        <f>647275.5-317251-330024.5</f>
        <v>0</v>
      </c>
      <c r="I471" s="442">
        <v>0</v>
      </c>
      <c r="J471" s="466">
        <f>647275.5-317251-330024.5</f>
        <v>0</v>
      </c>
      <c r="K471" s="466">
        <f>647275.5-317251-330024.5</f>
        <v>0</v>
      </c>
      <c r="L471" s="564">
        <f t="shared" si="86"/>
        <v>0</v>
      </c>
      <c r="M471" s="565"/>
      <c r="N471" s="565"/>
    </row>
    <row r="472" spans="1:14" s="449" customFormat="1" ht="59.8" customHeight="1" outlineLevel="3" x14ac:dyDescent="0.3">
      <c r="A472" s="453" t="s">
        <v>945</v>
      </c>
      <c r="B472" s="439" t="s">
        <v>500</v>
      </c>
      <c r="C472" s="439" t="s">
        <v>300</v>
      </c>
      <c r="D472" s="539" t="s">
        <v>946</v>
      </c>
      <c r="E472" s="539" t="s">
        <v>6</v>
      </c>
      <c r="F472" s="539"/>
      <c r="G472" s="466">
        <f t="shared" ref="G472:K473" si="89">G473</f>
        <v>2569480</v>
      </c>
      <c r="H472" s="442">
        <f t="shared" si="89"/>
        <v>2569480</v>
      </c>
      <c r="I472" s="442">
        <f t="shared" si="89"/>
        <v>0</v>
      </c>
      <c r="J472" s="466">
        <f t="shared" si="89"/>
        <v>0</v>
      </c>
      <c r="K472" s="466">
        <f t="shared" si="89"/>
        <v>0</v>
      </c>
      <c r="L472" s="564">
        <f t="shared" si="86"/>
        <v>0</v>
      </c>
      <c r="M472" s="565">
        <f t="shared" si="88"/>
        <v>0</v>
      </c>
      <c r="N472" s="565">
        <f t="shared" si="87"/>
        <v>0</v>
      </c>
    </row>
    <row r="473" spans="1:14" s="449" customFormat="1" ht="41.95" customHeight="1" outlineLevel="3" x14ac:dyDescent="0.3">
      <c r="A473" s="438" t="s">
        <v>15</v>
      </c>
      <c r="B473" s="439" t="s">
        <v>500</v>
      </c>
      <c r="C473" s="439" t="s">
        <v>300</v>
      </c>
      <c r="D473" s="539" t="s">
        <v>946</v>
      </c>
      <c r="E473" s="539" t="s">
        <v>16</v>
      </c>
      <c r="F473" s="539"/>
      <c r="G473" s="466">
        <f t="shared" si="89"/>
        <v>2569480</v>
      </c>
      <c r="H473" s="370">
        <v>2569480</v>
      </c>
      <c r="I473" s="442">
        <f t="shared" si="89"/>
        <v>0</v>
      </c>
      <c r="J473" s="466">
        <f t="shared" si="89"/>
        <v>0</v>
      </c>
      <c r="K473" s="466">
        <f t="shared" si="89"/>
        <v>0</v>
      </c>
      <c r="L473" s="564">
        <f t="shared" si="86"/>
        <v>0</v>
      </c>
      <c r="M473" s="565">
        <f t="shared" si="88"/>
        <v>0</v>
      </c>
      <c r="N473" s="565">
        <f t="shared" si="87"/>
        <v>0</v>
      </c>
    </row>
    <row r="474" spans="1:14" s="449" customFormat="1" ht="27.7" customHeight="1" outlineLevel="3" x14ac:dyDescent="0.3">
      <c r="A474" s="438" t="s">
        <v>17</v>
      </c>
      <c r="B474" s="439" t="s">
        <v>500</v>
      </c>
      <c r="C474" s="439" t="s">
        <v>300</v>
      </c>
      <c r="D474" s="539" t="s">
        <v>946</v>
      </c>
      <c r="E474" s="539" t="s">
        <v>18</v>
      </c>
      <c r="F474" s="539"/>
      <c r="G474" s="466">
        <v>2569480</v>
      </c>
      <c r="H474" s="370">
        <v>2569480</v>
      </c>
      <c r="I474" s="442">
        <v>0</v>
      </c>
      <c r="J474" s="507">
        <v>0</v>
      </c>
      <c r="K474" s="507">
        <v>0</v>
      </c>
      <c r="L474" s="564">
        <f t="shared" si="86"/>
        <v>0</v>
      </c>
      <c r="M474" s="565">
        <f t="shared" si="88"/>
        <v>0</v>
      </c>
      <c r="N474" s="565">
        <f t="shared" si="87"/>
        <v>0</v>
      </c>
    </row>
    <row r="475" spans="1:14" s="449" customFormat="1" ht="64.2" customHeight="1" outlineLevel="3" x14ac:dyDescent="0.3">
      <c r="A475" s="438" t="s">
        <v>943</v>
      </c>
      <c r="B475" s="439" t="s">
        <v>500</v>
      </c>
      <c r="C475" s="439" t="s">
        <v>300</v>
      </c>
      <c r="D475" s="539" t="s">
        <v>944</v>
      </c>
      <c r="E475" s="539" t="s">
        <v>6</v>
      </c>
      <c r="F475" s="539"/>
      <c r="G475" s="466">
        <f t="shared" ref="G475:K476" si="90">G476</f>
        <v>79468.45</v>
      </c>
      <c r="H475" s="442">
        <f t="shared" si="90"/>
        <v>79468.45</v>
      </c>
      <c r="I475" s="442">
        <f t="shared" si="90"/>
        <v>0</v>
      </c>
      <c r="J475" s="466">
        <f t="shared" si="90"/>
        <v>0</v>
      </c>
      <c r="K475" s="466">
        <f t="shared" si="90"/>
        <v>0</v>
      </c>
      <c r="L475" s="564">
        <f t="shared" si="86"/>
        <v>0</v>
      </c>
      <c r="M475" s="565">
        <f t="shared" si="88"/>
        <v>0</v>
      </c>
      <c r="N475" s="565">
        <f t="shared" si="87"/>
        <v>0</v>
      </c>
    </row>
    <row r="476" spans="1:14" s="449" customFormat="1" ht="46.9" customHeight="1" outlineLevel="3" x14ac:dyDescent="0.3">
      <c r="A476" s="438" t="s">
        <v>15</v>
      </c>
      <c r="B476" s="439" t="s">
        <v>500</v>
      </c>
      <c r="C476" s="439" t="s">
        <v>300</v>
      </c>
      <c r="D476" s="539" t="s">
        <v>944</v>
      </c>
      <c r="E476" s="539" t="s">
        <v>16</v>
      </c>
      <c r="F476" s="539"/>
      <c r="G476" s="466">
        <f t="shared" si="90"/>
        <v>79468.45</v>
      </c>
      <c r="H476" s="371">
        <v>79468.45</v>
      </c>
      <c r="I476" s="442">
        <f t="shared" si="90"/>
        <v>0</v>
      </c>
      <c r="J476" s="466">
        <f t="shared" si="90"/>
        <v>0</v>
      </c>
      <c r="K476" s="466">
        <f t="shared" si="90"/>
        <v>0</v>
      </c>
      <c r="L476" s="564">
        <f t="shared" si="86"/>
        <v>0</v>
      </c>
      <c r="M476" s="565">
        <f t="shared" si="88"/>
        <v>0</v>
      </c>
      <c r="N476" s="565">
        <f t="shared" si="87"/>
        <v>0</v>
      </c>
    </row>
    <row r="477" spans="1:14" s="449" customFormat="1" ht="55.7" customHeight="1" outlineLevel="3" x14ac:dyDescent="0.3">
      <c r="A477" s="438" t="s">
        <v>17</v>
      </c>
      <c r="B477" s="439" t="s">
        <v>500</v>
      </c>
      <c r="C477" s="439" t="s">
        <v>300</v>
      </c>
      <c r="D477" s="539" t="s">
        <v>944</v>
      </c>
      <c r="E477" s="539" t="s">
        <v>18</v>
      </c>
      <c r="F477" s="539"/>
      <c r="G477" s="466">
        <v>79468.45</v>
      </c>
      <c r="H477" s="371">
        <v>79468.45</v>
      </c>
      <c r="I477" s="442">
        <v>0</v>
      </c>
      <c r="J477" s="507">
        <v>0</v>
      </c>
      <c r="K477" s="507">
        <v>0</v>
      </c>
      <c r="L477" s="564">
        <f t="shared" si="86"/>
        <v>0</v>
      </c>
      <c r="M477" s="565">
        <f t="shared" si="88"/>
        <v>0</v>
      </c>
      <c r="N477" s="565">
        <f t="shared" si="87"/>
        <v>0</v>
      </c>
    </row>
    <row r="478" spans="1:14" s="449" customFormat="1" ht="44.85" customHeight="1" outlineLevel="3" x14ac:dyDescent="0.3">
      <c r="A478" s="567" t="s">
        <v>989</v>
      </c>
      <c r="B478" s="439" t="s">
        <v>500</v>
      </c>
      <c r="C478" s="439" t="s">
        <v>300</v>
      </c>
      <c r="D478" s="539" t="s">
        <v>1017</v>
      </c>
      <c r="E478" s="539" t="s">
        <v>6</v>
      </c>
      <c r="F478" s="539"/>
      <c r="G478" s="466">
        <v>0</v>
      </c>
      <c r="H478" s="371"/>
      <c r="I478" s="442"/>
      <c r="J478" s="507">
        <f>J479</f>
        <v>112589.47</v>
      </c>
      <c r="K478" s="507">
        <f>K479</f>
        <v>112589.47</v>
      </c>
      <c r="L478" s="564">
        <f t="shared" si="86"/>
        <v>0</v>
      </c>
      <c r="M478" s="565"/>
      <c r="N478" s="565"/>
    </row>
    <row r="479" spans="1:14" s="449" customFormat="1" ht="44.15" customHeight="1" outlineLevel="3" x14ac:dyDescent="0.3">
      <c r="A479" s="438" t="s">
        <v>15</v>
      </c>
      <c r="B479" s="439" t="s">
        <v>500</v>
      </c>
      <c r="C479" s="439" t="s">
        <v>300</v>
      </c>
      <c r="D479" s="539" t="s">
        <v>1017</v>
      </c>
      <c r="E479" s="539" t="s">
        <v>16</v>
      </c>
      <c r="F479" s="539"/>
      <c r="G479" s="466">
        <v>0</v>
      </c>
      <c r="H479" s="371"/>
      <c r="I479" s="442"/>
      <c r="J479" s="507">
        <f>J480</f>
        <v>112589.47</v>
      </c>
      <c r="K479" s="507">
        <f>K480</f>
        <v>112589.47</v>
      </c>
      <c r="L479" s="564">
        <f t="shared" si="86"/>
        <v>0</v>
      </c>
      <c r="M479" s="565"/>
      <c r="N479" s="565"/>
    </row>
    <row r="480" spans="1:14" s="449" customFormat="1" ht="50.3" customHeight="1" outlineLevel="3" x14ac:dyDescent="0.3">
      <c r="A480" s="438" t="s">
        <v>17</v>
      </c>
      <c r="B480" s="439" t="s">
        <v>500</v>
      </c>
      <c r="C480" s="439" t="s">
        <v>300</v>
      </c>
      <c r="D480" s="539" t="s">
        <v>1017</v>
      </c>
      <c r="E480" s="539" t="s">
        <v>18</v>
      </c>
      <c r="F480" s="539"/>
      <c r="G480" s="466">
        <v>0</v>
      </c>
      <c r="H480" s="371"/>
      <c r="I480" s="442"/>
      <c r="J480" s="466">
        <v>112589.47</v>
      </c>
      <c r="K480" s="466">
        <v>112589.47</v>
      </c>
      <c r="L480" s="564">
        <f t="shared" si="86"/>
        <v>0</v>
      </c>
      <c r="M480" s="565"/>
      <c r="N480" s="565"/>
    </row>
    <row r="481" spans="1:14" s="449" customFormat="1" ht="53.7" customHeight="1" outlineLevel="3" x14ac:dyDescent="0.3">
      <c r="A481" s="438" t="s">
        <v>1018</v>
      </c>
      <c r="B481" s="439" t="s">
        <v>500</v>
      </c>
      <c r="C481" s="439" t="s">
        <v>300</v>
      </c>
      <c r="D481" s="539" t="s">
        <v>1019</v>
      </c>
      <c r="E481" s="539" t="s">
        <v>6</v>
      </c>
      <c r="F481" s="539"/>
      <c r="G481" s="466">
        <v>0</v>
      </c>
      <c r="H481" s="371"/>
      <c r="I481" s="442"/>
      <c r="J481" s="466">
        <f>J482</f>
        <v>3482.15</v>
      </c>
      <c r="K481" s="466">
        <f>K482</f>
        <v>3482.15</v>
      </c>
      <c r="L481" s="564">
        <f t="shared" si="86"/>
        <v>0</v>
      </c>
      <c r="M481" s="565"/>
      <c r="N481" s="565"/>
    </row>
    <row r="482" spans="1:14" s="449" customFormat="1" ht="36" customHeight="1" outlineLevel="3" x14ac:dyDescent="0.3">
      <c r="A482" s="438" t="s">
        <v>15</v>
      </c>
      <c r="B482" s="439" t="s">
        <v>500</v>
      </c>
      <c r="C482" s="439" t="s">
        <v>300</v>
      </c>
      <c r="D482" s="539" t="s">
        <v>1019</v>
      </c>
      <c r="E482" s="539" t="s">
        <v>16</v>
      </c>
      <c r="F482" s="539"/>
      <c r="G482" s="466">
        <v>0</v>
      </c>
      <c r="H482" s="371"/>
      <c r="I482" s="442"/>
      <c r="J482" s="466">
        <f>J483</f>
        <v>3482.15</v>
      </c>
      <c r="K482" s="466">
        <f>K483</f>
        <v>3482.15</v>
      </c>
      <c r="L482" s="564">
        <f t="shared" si="86"/>
        <v>0</v>
      </c>
      <c r="M482" s="565"/>
      <c r="N482" s="565"/>
    </row>
    <row r="483" spans="1:14" s="449" customFormat="1" ht="47.9" customHeight="1" outlineLevel="3" x14ac:dyDescent="0.3">
      <c r="A483" s="438" t="s">
        <v>17</v>
      </c>
      <c r="B483" s="439" t="s">
        <v>500</v>
      </c>
      <c r="C483" s="439" t="s">
        <v>300</v>
      </c>
      <c r="D483" s="539" t="s">
        <v>1019</v>
      </c>
      <c r="E483" s="539" t="s">
        <v>18</v>
      </c>
      <c r="F483" s="539"/>
      <c r="G483" s="466">
        <v>0</v>
      </c>
      <c r="H483" s="371"/>
      <c r="I483" s="442"/>
      <c r="J483" s="466">
        <v>3482.15</v>
      </c>
      <c r="K483" s="466">
        <v>3482.15</v>
      </c>
      <c r="L483" s="564">
        <f t="shared" si="86"/>
        <v>0</v>
      </c>
      <c r="M483" s="565"/>
      <c r="N483" s="565"/>
    </row>
    <row r="484" spans="1:14" ht="31.75" customHeight="1" outlineLevel="4" x14ac:dyDescent="0.3">
      <c r="A484" s="568" t="s">
        <v>378</v>
      </c>
      <c r="B484" s="461" t="s">
        <v>500</v>
      </c>
      <c r="C484" s="461" t="s">
        <v>300</v>
      </c>
      <c r="D484" s="545" t="s">
        <v>303</v>
      </c>
      <c r="E484" s="545" t="s">
        <v>6</v>
      </c>
      <c r="F484" s="545"/>
      <c r="G484" s="511">
        <f>G485+G488+G491</f>
        <v>1199256.99</v>
      </c>
      <c r="H484" s="457">
        <f>H485+H488+H491</f>
        <v>196490.13</v>
      </c>
      <c r="I484" s="457">
        <f>I485+I488+I491+I494+I497</f>
        <v>1262229.3999999999</v>
      </c>
      <c r="J484" s="511">
        <f>J485</f>
        <v>1093747.2</v>
      </c>
      <c r="K484" s="511">
        <f>K485</f>
        <v>1093747.2</v>
      </c>
      <c r="L484" s="569">
        <f t="shared" si="86"/>
        <v>0</v>
      </c>
      <c r="M484" s="570">
        <f t="shared" si="88"/>
        <v>91.202070041718073</v>
      </c>
      <c r="N484" s="570">
        <f t="shared" si="87"/>
        <v>91.202070041718073</v>
      </c>
    </row>
    <row r="485" spans="1:14" ht="49.75" customHeight="1" outlineLevel="5" x14ac:dyDescent="0.3">
      <c r="A485" s="568" t="s">
        <v>281</v>
      </c>
      <c r="B485" s="461" t="s">
        <v>500</v>
      </c>
      <c r="C485" s="461" t="s">
        <v>300</v>
      </c>
      <c r="D485" s="545" t="s">
        <v>302</v>
      </c>
      <c r="E485" s="545" t="s">
        <v>6</v>
      </c>
      <c r="F485" s="545"/>
      <c r="G485" s="511">
        <f t="shared" ref="G485:K486" si="91">G486</f>
        <v>0</v>
      </c>
      <c r="H485" s="457">
        <f t="shared" si="91"/>
        <v>0</v>
      </c>
      <c r="I485" s="457">
        <f t="shared" si="91"/>
        <v>1093747.2</v>
      </c>
      <c r="J485" s="511">
        <f t="shared" si="91"/>
        <v>1093747.2</v>
      </c>
      <c r="K485" s="511">
        <f t="shared" si="91"/>
        <v>1093747.2</v>
      </c>
      <c r="L485" s="569">
        <f t="shared" si="86"/>
        <v>0</v>
      </c>
      <c r="M485" s="570"/>
      <c r="N485" s="570"/>
    </row>
    <row r="486" spans="1:14" ht="50.95" outlineLevel="6" x14ac:dyDescent="0.3">
      <c r="A486" s="568" t="s">
        <v>264</v>
      </c>
      <c r="B486" s="461" t="s">
        <v>500</v>
      </c>
      <c r="C486" s="461" t="s">
        <v>300</v>
      </c>
      <c r="D486" s="545" t="s">
        <v>302</v>
      </c>
      <c r="E486" s="545" t="s">
        <v>265</v>
      </c>
      <c r="F486" s="545"/>
      <c r="G486" s="511">
        <f t="shared" si="91"/>
        <v>0</v>
      </c>
      <c r="H486" s="457">
        <f t="shared" si="91"/>
        <v>0</v>
      </c>
      <c r="I486" s="457">
        <f t="shared" si="91"/>
        <v>1093747.2</v>
      </c>
      <c r="J486" s="511">
        <f t="shared" si="91"/>
        <v>1093747.2</v>
      </c>
      <c r="K486" s="511">
        <f t="shared" si="91"/>
        <v>1093747.2</v>
      </c>
      <c r="L486" s="569">
        <f t="shared" si="86"/>
        <v>0</v>
      </c>
      <c r="M486" s="570"/>
      <c r="N486" s="570"/>
    </row>
    <row r="487" spans="1:14" outlineLevel="7" x14ac:dyDescent="0.3">
      <c r="A487" s="568" t="s">
        <v>266</v>
      </c>
      <c r="B487" s="461" t="s">
        <v>500</v>
      </c>
      <c r="C487" s="461" t="s">
        <v>300</v>
      </c>
      <c r="D487" s="545" t="s">
        <v>302</v>
      </c>
      <c r="E487" s="545" t="s">
        <v>267</v>
      </c>
      <c r="F487" s="545"/>
      <c r="G487" s="512">
        <f>1127310-1127310</f>
        <v>0</v>
      </c>
      <c r="H487" s="459">
        <f>1127310-1127310</f>
        <v>0</v>
      </c>
      <c r="I487" s="459">
        <v>1093747.2</v>
      </c>
      <c r="J487" s="512">
        <v>1093747.2</v>
      </c>
      <c r="K487" s="512">
        <v>1093747.2</v>
      </c>
      <c r="L487" s="569">
        <f t="shared" si="86"/>
        <v>0</v>
      </c>
      <c r="M487" s="570"/>
      <c r="N487" s="570"/>
    </row>
    <row r="488" spans="1:14" ht="50.95" outlineLevel="7" x14ac:dyDescent="0.3">
      <c r="A488" s="438" t="s">
        <v>788</v>
      </c>
      <c r="B488" s="439" t="s">
        <v>500</v>
      </c>
      <c r="C488" s="439" t="s">
        <v>300</v>
      </c>
      <c r="D488" s="539" t="s">
        <v>1029</v>
      </c>
      <c r="E488" s="539" t="s">
        <v>6</v>
      </c>
      <c r="F488" s="539"/>
      <c r="G488" s="466">
        <f>G489</f>
        <v>703249.99</v>
      </c>
      <c r="H488" s="442">
        <f>H489</f>
        <v>190595.43</v>
      </c>
      <c r="I488" s="442">
        <v>0</v>
      </c>
      <c r="J488" s="466">
        <f>J489</f>
        <v>2210145</v>
      </c>
      <c r="K488" s="466">
        <f>K489</f>
        <v>2210145</v>
      </c>
      <c r="L488" s="564">
        <f t="shared" si="86"/>
        <v>0</v>
      </c>
      <c r="M488" s="565">
        <f t="shared" si="88"/>
        <v>314.27586653787228</v>
      </c>
      <c r="N488" s="565">
        <f t="shared" si="87"/>
        <v>314.27586653787228</v>
      </c>
    </row>
    <row r="489" spans="1:14" ht="34" outlineLevel="7" x14ac:dyDescent="0.3">
      <c r="A489" s="438" t="s">
        <v>15</v>
      </c>
      <c r="B489" s="439" t="s">
        <v>500</v>
      </c>
      <c r="C489" s="439" t="s">
        <v>300</v>
      </c>
      <c r="D489" s="539" t="s">
        <v>1029</v>
      </c>
      <c r="E489" s="539" t="s">
        <v>16</v>
      </c>
      <c r="F489" s="539"/>
      <c r="G489" s="466">
        <f>G490</f>
        <v>703249.99</v>
      </c>
      <c r="H489" s="370">
        <v>190595.43</v>
      </c>
      <c r="I489" s="442">
        <v>0</v>
      </c>
      <c r="J489" s="466">
        <f>J490</f>
        <v>2210145</v>
      </c>
      <c r="K489" s="466">
        <f>K490</f>
        <v>2210145</v>
      </c>
      <c r="L489" s="564">
        <f t="shared" si="86"/>
        <v>0</v>
      </c>
      <c r="M489" s="565">
        <f t="shared" si="88"/>
        <v>314.27586653787228</v>
      </c>
      <c r="N489" s="565">
        <f t="shared" si="87"/>
        <v>314.27586653787228</v>
      </c>
    </row>
    <row r="490" spans="1:14" ht="34" outlineLevel="7" x14ac:dyDescent="0.3">
      <c r="A490" s="438" t="s">
        <v>17</v>
      </c>
      <c r="B490" s="439" t="s">
        <v>500</v>
      </c>
      <c r="C490" s="439" t="s">
        <v>300</v>
      </c>
      <c r="D490" s="539" t="s">
        <v>1029</v>
      </c>
      <c r="E490" s="539" t="s">
        <v>18</v>
      </c>
      <c r="F490" s="539"/>
      <c r="G490" s="466">
        <f>[2]потребность!I441+0.99</f>
        <v>703249.99</v>
      </c>
      <c r="H490" s="370">
        <v>190595.43</v>
      </c>
      <c r="I490" s="442">
        <v>0</v>
      </c>
      <c r="J490" s="466">
        <v>2210145</v>
      </c>
      <c r="K490" s="466">
        <v>2210145</v>
      </c>
      <c r="L490" s="564">
        <f t="shared" si="86"/>
        <v>0</v>
      </c>
      <c r="M490" s="565">
        <f t="shared" si="88"/>
        <v>314.27586653787228</v>
      </c>
      <c r="N490" s="565">
        <f t="shared" si="87"/>
        <v>314.27586653787228</v>
      </c>
    </row>
    <row r="491" spans="1:14" ht="67.95" outlineLevel="7" x14ac:dyDescent="0.3">
      <c r="A491" s="438" t="s">
        <v>911</v>
      </c>
      <c r="B491" s="439" t="s">
        <v>500</v>
      </c>
      <c r="C491" s="439" t="s">
        <v>300</v>
      </c>
      <c r="D491" s="539" t="s">
        <v>1030</v>
      </c>
      <c r="E491" s="539" t="s">
        <v>6</v>
      </c>
      <c r="F491" s="539"/>
      <c r="G491" s="466">
        <f>G492</f>
        <v>496007</v>
      </c>
      <c r="H491" s="442">
        <f>H492</f>
        <v>5894.7</v>
      </c>
      <c r="I491" s="442">
        <v>0</v>
      </c>
      <c r="J491" s="466">
        <f>J492</f>
        <v>68355</v>
      </c>
      <c r="K491" s="466">
        <f>K492</f>
        <v>68355</v>
      </c>
      <c r="L491" s="564">
        <f t="shared" si="86"/>
        <v>0</v>
      </c>
      <c r="M491" s="565">
        <f t="shared" si="88"/>
        <v>13.781055509297248</v>
      </c>
      <c r="N491" s="565">
        <f t="shared" si="87"/>
        <v>13.78105550929725</v>
      </c>
    </row>
    <row r="492" spans="1:14" ht="34" outlineLevel="7" x14ac:dyDescent="0.3">
      <c r="A492" s="438" t="s">
        <v>15</v>
      </c>
      <c r="B492" s="439" t="s">
        <v>500</v>
      </c>
      <c r="C492" s="439" t="s">
        <v>300</v>
      </c>
      <c r="D492" s="539" t="s">
        <v>1030</v>
      </c>
      <c r="E492" s="539" t="s">
        <v>16</v>
      </c>
      <c r="F492" s="539"/>
      <c r="G492" s="466">
        <f>G493</f>
        <v>496007</v>
      </c>
      <c r="H492" s="370">
        <v>5894.7</v>
      </c>
      <c r="I492" s="442">
        <v>0</v>
      </c>
      <c r="J492" s="466">
        <f>J493</f>
        <v>68355</v>
      </c>
      <c r="K492" s="466">
        <f>K493</f>
        <v>68355</v>
      </c>
      <c r="L492" s="564">
        <f t="shared" si="86"/>
        <v>0</v>
      </c>
      <c r="M492" s="565">
        <f t="shared" si="88"/>
        <v>13.781055509297248</v>
      </c>
      <c r="N492" s="565">
        <f t="shared" si="87"/>
        <v>13.78105550929725</v>
      </c>
    </row>
    <row r="493" spans="1:14" ht="25.5" customHeight="1" outlineLevel="7" x14ac:dyDescent="0.3">
      <c r="A493" s="438" t="s">
        <v>17</v>
      </c>
      <c r="B493" s="439" t="s">
        <v>500</v>
      </c>
      <c r="C493" s="439" t="s">
        <v>300</v>
      </c>
      <c r="D493" s="539" t="s">
        <v>1030</v>
      </c>
      <c r="E493" s="539" t="s">
        <v>18</v>
      </c>
      <c r="F493" s="539"/>
      <c r="G493" s="466">
        <f>22000+156756+317251</f>
        <v>496007</v>
      </c>
      <c r="H493" s="370">
        <v>5894.7</v>
      </c>
      <c r="I493" s="442">
        <v>0</v>
      </c>
      <c r="J493" s="466">
        <v>68355</v>
      </c>
      <c r="K493" s="466">
        <v>68355</v>
      </c>
      <c r="L493" s="564">
        <f t="shared" si="86"/>
        <v>0</v>
      </c>
      <c r="M493" s="565">
        <f t="shared" si="88"/>
        <v>13.781055509297248</v>
      </c>
      <c r="N493" s="565">
        <f t="shared" si="87"/>
        <v>13.78105550929725</v>
      </c>
    </row>
    <row r="494" spans="1:14" ht="61.15" hidden="1" customHeight="1" outlineLevel="7" x14ac:dyDescent="0.3">
      <c r="A494" s="438" t="s">
        <v>771</v>
      </c>
      <c r="B494" s="439" t="s">
        <v>500</v>
      </c>
      <c r="C494" s="439" t="s">
        <v>300</v>
      </c>
      <c r="D494" s="539" t="s">
        <v>796</v>
      </c>
      <c r="E494" s="548" t="s">
        <v>6</v>
      </c>
      <c r="F494" s="548"/>
      <c r="G494" s="466">
        <v>0</v>
      </c>
      <c r="H494" s="442">
        <v>0</v>
      </c>
      <c r="I494" s="442">
        <f t="shared" ref="I494:K495" si="92">I495</f>
        <v>163718</v>
      </c>
      <c r="J494" s="466">
        <f t="shared" si="92"/>
        <v>0</v>
      </c>
      <c r="K494" s="466">
        <f t="shared" si="92"/>
        <v>0</v>
      </c>
      <c r="L494" s="564">
        <f t="shared" si="86"/>
        <v>0</v>
      </c>
      <c r="M494" s="565"/>
      <c r="N494" s="565"/>
    </row>
    <row r="495" spans="1:14" ht="25.5" hidden="1" customHeight="1" outlineLevel="7" x14ac:dyDescent="0.3">
      <c r="A495" s="438" t="s">
        <v>15</v>
      </c>
      <c r="B495" s="439" t="s">
        <v>500</v>
      </c>
      <c r="C495" s="439" t="s">
        <v>300</v>
      </c>
      <c r="D495" s="539" t="s">
        <v>796</v>
      </c>
      <c r="E495" s="548" t="s">
        <v>16</v>
      </c>
      <c r="F495" s="548"/>
      <c r="G495" s="466">
        <v>0</v>
      </c>
      <c r="H495" s="442">
        <v>0</v>
      </c>
      <c r="I495" s="442">
        <f t="shared" si="92"/>
        <v>163718</v>
      </c>
      <c r="J495" s="466">
        <f t="shared" si="92"/>
        <v>0</v>
      </c>
      <c r="K495" s="466">
        <f t="shared" si="92"/>
        <v>0</v>
      </c>
      <c r="L495" s="564">
        <f t="shared" si="86"/>
        <v>0</v>
      </c>
      <c r="M495" s="565"/>
      <c r="N495" s="565"/>
    </row>
    <row r="496" spans="1:14" ht="42.45" hidden="1" customHeight="1" outlineLevel="7" x14ac:dyDescent="0.3">
      <c r="A496" s="438" t="s">
        <v>17</v>
      </c>
      <c r="B496" s="439" t="s">
        <v>500</v>
      </c>
      <c r="C496" s="439" t="s">
        <v>300</v>
      </c>
      <c r="D496" s="539" t="s">
        <v>796</v>
      </c>
      <c r="E496" s="548" t="s">
        <v>18</v>
      </c>
      <c r="F496" s="548"/>
      <c r="G496" s="466">
        <v>0</v>
      </c>
      <c r="H496" s="442">
        <v>0</v>
      </c>
      <c r="I496" s="442">
        <v>163718</v>
      </c>
      <c r="J496" s="466"/>
      <c r="K496" s="466"/>
      <c r="L496" s="564">
        <f t="shared" si="86"/>
        <v>0</v>
      </c>
      <c r="M496" s="565"/>
      <c r="N496" s="565"/>
    </row>
    <row r="497" spans="1:14" ht="78.8" hidden="1" customHeight="1" outlineLevel="7" x14ac:dyDescent="0.3">
      <c r="A497" s="438" t="s">
        <v>1024</v>
      </c>
      <c r="B497" s="439" t="s">
        <v>500</v>
      </c>
      <c r="C497" s="439" t="s">
        <v>300</v>
      </c>
      <c r="D497" s="539" t="s">
        <v>797</v>
      </c>
      <c r="E497" s="548" t="s">
        <v>6</v>
      </c>
      <c r="F497" s="548"/>
      <c r="G497" s="466">
        <v>0</v>
      </c>
      <c r="H497" s="442">
        <v>0</v>
      </c>
      <c r="I497" s="442">
        <f t="shared" ref="I497:K498" si="93">I498</f>
        <v>4764.2</v>
      </c>
      <c r="J497" s="466">
        <f t="shared" si="93"/>
        <v>0</v>
      </c>
      <c r="K497" s="466">
        <f t="shared" si="93"/>
        <v>0</v>
      </c>
      <c r="L497" s="564">
        <f t="shared" si="86"/>
        <v>0</v>
      </c>
      <c r="M497" s="565"/>
      <c r="N497" s="565"/>
    </row>
    <row r="498" spans="1:14" ht="25.15" hidden="1" customHeight="1" outlineLevel="7" x14ac:dyDescent="0.3">
      <c r="A498" s="438" t="s">
        <v>15</v>
      </c>
      <c r="B498" s="439" t="s">
        <v>500</v>
      </c>
      <c r="C498" s="439" t="s">
        <v>300</v>
      </c>
      <c r="D498" s="539" t="s">
        <v>797</v>
      </c>
      <c r="E498" s="548" t="s">
        <v>16</v>
      </c>
      <c r="F498" s="548"/>
      <c r="G498" s="466">
        <v>0</v>
      </c>
      <c r="H498" s="442">
        <v>0</v>
      </c>
      <c r="I498" s="442">
        <f t="shared" si="93"/>
        <v>4764.2</v>
      </c>
      <c r="J498" s="466">
        <f t="shared" si="93"/>
        <v>0</v>
      </c>
      <c r="K498" s="466">
        <f t="shared" si="93"/>
        <v>0</v>
      </c>
      <c r="L498" s="564">
        <f t="shared" si="86"/>
        <v>0</v>
      </c>
      <c r="M498" s="565"/>
      <c r="N498" s="565"/>
    </row>
    <row r="499" spans="1:14" ht="41.45" hidden="1" customHeight="1" outlineLevel="7" x14ac:dyDescent="0.3">
      <c r="A499" s="438" t="s">
        <v>17</v>
      </c>
      <c r="B499" s="439" t="s">
        <v>500</v>
      </c>
      <c r="C499" s="439" t="s">
        <v>300</v>
      </c>
      <c r="D499" s="551" t="s">
        <v>797</v>
      </c>
      <c r="E499" s="548" t="s">
        <v>18</v>
      </c>
      <c r="F499" s="548"/>
      <c r="G499" s="466">
        <v>0</v>
      </c>
      <c r="H499" s="442">
        <v>0</v>
      </c>
      <c r="I499" s="442">
        <v>4764.2</v>
      </c>
      <c r="J499" s="466">
        <v>0</v>
      </c>
      <c r="K499" s="466">
        <v>0</v>
      </c>
      <c r="L499" s="564">
        <f t="shared" si="86"/>
        <v>0</v>
      </c>
      <c r="M499" s="565"/>
      <c r="N499" s="565"/>
    </row>
    <row r="500" spans="1:14" s="437" customFormat="1" ht="66.75" customHeight="1" collapsed="1" x14ac:dyDescent="0.3">
      <c r="A500" s="451" t="s">
        <v>828</v>
      </c>
      <c r="B500" s="445" t="s">
        <v>500</v>
      </c>
      <c r="C500" s="445" t="s">
        <v>300</v>
      </c>
      <c r="D500" s="541" t="s">
        <v>463</v>
      </c>
      <c r="E500" s="541" t="s">
        <v>6</v>
      </c>
      <c r="F500" s="542">
        <v>50000</v>
      </c>
      <c r="G500" s="465">
        <f t="shared" ref="G500:K503" si="94">G501</f>
        <v>50000</v>
      </c>
      <c r="H500" s="440">
        <f t="shared" si="94"/>
        <v>50000</v>
      </c>
      <c r="I500" s="440">
        <f t="shared" si="94"/>
        <v>50000</v>
      </c>
      <c r="J500" s="465">
        <f t="shared" si="94"/>
        <v>50000</v>
      </c>
      <c r="K500" s="465">
        <f t="shared" si="94"/>
        <v>50000</v>
      </c>
      <c r="L500" s="564">
        <f t="shared" si="86"/>
        <v>0</v>
      </c>
      <c r="M500" s="565">
        <f t="shared" si="88"/>
        <v>100</v>
      </c>
      <c r="N500" s="565">
        <f t="shared" si="87"/>
        <v>100</v>
      </c>
    </row>
    <row r="501" spans="1:14" outlineLevel="1" x14ac:dyDescent="0.3">
      <c r="A501" s="468" t="s">
        <v>464</v>
      </c>
      <c r="B501" s="439" t="s">
        <v>500</v>
      </c>
      <c r="C501" s="439" t="s">
        <v>300</v>
      </c>
      <c r="D501" s="539" t="s">
        <v>465</v>
      </c>
      <c r="E501" s="539" t="s">
        <v>6</v>
      </c>
      <c r="F501" s="540">
        <v>50000</v>
      </c>
      <c r="G501" s="465">
        <f t="shared" si="94"/>
        <v>50000</v>
      </c>
      <c r="H501" s="440">
        <f t="shared" si="94"/>
        <v>50000</v>
      </c>
      <c r="I501" s="440">
        <f t="shared" si="94"/>
        <v>50000</v>
      </c>
      <c r="J501" s="465">
        <f t="shared" si="94"/>
        <v>50000</v>
      </c>
      <c r="K501" s="465">
        <f t="shared" si="94"/>
        <v>50000</v>
      </c>
      <c r="L501" s="564">
        <f t="shared" si="86"/>
        <v>0</v>
      </c>
      <c r="M501" s="565">
        <f t="shared" si="88"/>
        <v>100</v>
      </c>
      <c r="N501" s="565">
        <f t="shared" si="87"/>
        <v>100</v>
      </c>
    </row>
    <row r="502" spans="1:14" ht="37.549999999999997" customHeight="1" outlineLevel="2" x14ac:dyDescent="0.3">
      <c r="A502" s="438" t="s">
        <v>466</v>
      </c>
      <c r="B502" s="439" t="s">
        <v>500</v>
      </c>
      <c r="C502" s="439" t="s">
        <v>300</v>
      </c>
      <c r="D502" s="539" t="s">
        <v>467</v>
      </c>
      <c r="E502" s="539" t="s">
        <v>6</v>
      </c>
      <c r="F502" s="540">
        <v>50000</v>
      </c>
      <c r="G502" s="465">
        <f t="shared" si="94"/>
        <v>50000</v>
      </c>
      <c r="H502" s="440">
        <f t="shared" si="94"/>
        <v>50000</v>
      </c>
      <c r="I502" s="440">
        <f t="shared" si="94"/>
        <v>50000</v>
      </c>
      <c r="J502" s="465">
        <f t="shared" si="94"/>
        <v>50000</v>
      </c>
      <c r="K502" s="465">
        <f t="shared" si="94"/>
        <v>50000</v>
      </c>
      <c r="L502" s="564">
        <f t="shared" si="86"/>
        <v>0</v>
      </c>
      <c r="M502" s="565">
        <f t="shared" si="88"/>
        <v>100</v>
      </c>
      <c r="N502" s="565">
        <f t="shared" si="87"/>
        <v>100</v>
      </c>
    </row>
    <row r="503" spans="1:14" ht="34" outlineLevel="4" x14ac:dyDescent="0.3">
      <c r="A503" s="438" t="s">
        <v>15</v>
      </c>
      <c r="B503" s="439" t="s">
        <v>500</v>
      </c>
      <c r="C503" s="439" t="s">
        <v>300</v>
      </c>
      <c r="D503" s="539" t="s">
        <v>467</v>
      </c>
      <c r="E503" s="539" t="s">
        <v>16</v>
      </c>
      <c r="F503" s="540">
        <v>50000</v>
      </c>
      <c r="G503" s="465">
        <f t="shared" si="94"/>
        <v>50000</v>
      </c>
      <c r="H503" s="370">
        <v>50000</v>
      </c>
      <c r="I503" s="440">
        <f t="shared" si="94"/>
        <v>50000</v>
      </c>
      <c r="J503" s="465">
        <f t="shared" si="94"/>
        <v>50000</v>
      </c>
      <c r="K503" s="465">
        <f t="shared" si="94"/>
        <v>50000</v>
      </c>
      <c r="L503" s="564">
        <f t="shared" si="86"/>
        <v>0</v>
      </c>
      <c r="M503" s="565">
        <f t="shared" si="88"/>
        <v>100</v>
      </c>
      <c r="N503" s="565">
        <f t="shared" si="87"/>
        <v>100</v>
      </c>
    </row>
    <row r="504" spans="1:14" ht="34" outlineLevel="5" x14ac:dyDescent="0.3">
      <c r="A504" s="438" t="s">
        <v>17</v>
      </c>
      <c r="B504" s="439" t="s">
        <v>500</v>
      </c>
      <c r="C504" s="439" t="s">
        <v>300</v>
      </c>
      <c r="D504" s="539" t="s">
        <v>467</v>
      </c>
      <c r="E504" s="539" t="s">
        <v>18</v>
      </c>
      <c r="F504" s="540">
        <v>50000</v>
      </c>
      <c r="G504" s="466">
        <v>50000</v>
      </c>
      <c r="H504" s="370">
        <v>50000</v>
      </c>
      <c r="I504" s="442">
        <v>50000</v>
      </c>
      <c r="J504" s="466">
        <v>50000</v>
      </c>
      <c r="K504" s="466">
        <v>50000</v>
      </c>
      <c r="L504" s="564">
        <f t="shared" si="86"/>
        <v>0</v>
      </c>
      <c r="M504" s="565">
        <f t="shared" si="88"/>
        <v>100</v>
      </c>
      <c r="N504" s="565">
        <f t="shared" si="87"/>
        <v>100</v>
      </c>
    </row>
    <row r="505" spans="1:14" outlineLevel="6" x14ac:dyDescent="0.3">
      <c r="A505" s="444" t="s">
        <v>103</v>
      </c>
      <c r="B505" s="439" t="s">
        <v>500</v>
      </c>
      <c r="C505" s="445" t="s">
        <v>104</v>
      </c>
      <c r="D505" s="541" t="s">
        <v>126</v>
      </c>
      <c r="E505" s="541" t="s">
        <v>6</v>
      </c>
      <c r="F505" s="540">
        <v>2562000</v>
      </c>
      <c r="G505" s="508">
        <f t="shared" ref="G505:K510" si="95">G506</f>
        <v>3357000</v>
      </c>
      <c r="H505" s="446">
        <f t="shared" si="95"/>
        <v>2408600</v>
      </c>
      <c r="I505" s="446">
        <f t="shared" si="95"/>
        <v>2500000</v>
      </c>
      <c r="J505" s="508">
        <f t="shared" si="95"/>
        <v>3357000</v>
      </c>
      <c r="K505" s="508">
        <f t="shared" si="95"/>
        <v>3357000</v>
      </c>
      <c r="L505" s="564">
        <f t="shared" si="86"/>
        <v>0</v>
      </c>
      <c r="M505" s="565">
        <f t="shared" si="88"/>
        <v>100</v>
      </c>
      <c r="N505" s="565">
        <f t="shared" si="87"/>
        <v>100</v>
      </c>
    </row>
    <row r="506" spans="1:14" outlineLevel="7" x14ac:dyDescent="0.3">
      <c r="A506" s="438" t="s">
        <v>105</v>
      </c>
      <c r="B506" s="439" t="s">
        <v>500</v>
      </c>
      <c r="C506" s="439" t="s">
        <v>106</v>
      </c>
      <c r="D506" s="539" t="s">
        <v>126</v>
      </c>
      <c r="E506" s="539" t="s">
        <v>6</v>
      </c>
      <c r="F506" s="540">
        <v>2562000</v>
      </c>
      <c r="G506" s="465">
        <f t="shared" si="95"/>
        <v>3357000</v>
      </c>
      <c r="H506" s="440">
        <f t="shared" si="95"/>
        <v>2408600</v>
      </c>
      <c r="I506" s="440">
        <f t="shared" si="95"/>
        <v>2500000</v>
      </c>
      <c r="J506" s="465">
        <f t="shared" si="95"/>
        <v>3357000</v>
      </c>
      <c r="K506" s="465">
        <f t="shared" si="95"/>
        <v>3357000</v>
      </c>
      <c r="L506" s="564">
        <f t="shared" si="86"/>
        <v>0</v>
      </c>
      <c r="M506" s="565">
        <f t="shared" si="88"/>
        <v>100</v>
      </c>
      <c r="N506" s="565">
        <f t="shared" si="87"/>
        <v>100</v>
      </c>
    </row>
    <row r="507" spans="1:14" ht="50.95" outlineLevel="5" x14ac:dyDescent="0.3">
      <c r="A507" s="444" t="s">
        <v>829</v>
      </c>
      <c r="B507" s="439" t="s">
        <v>500</v>
      </c>
      <c r="C507" s="445" t="s">
        <v>106</v>
      </c>
      <c r="D507" s="541" t="s">
        <v>317</v>
      </c>
      <c r="E507" s="541" t="s">
        <v>6</v>
      </c>
      <c r="F507" s="542">
        <v>2562000</v>
      </c>
      <c r="G507" s="508">
        <f>G508</f>
        <v>3357000</v>
      </c>
      <c r="H507" s="446">
        <f>H508</f>
        <v>2408600</v>
      </c>
      <c r="I507" s="446">
        <f>I508</f>
        <v>2500000</v>
      </c>
      <c r="J507" s="508">
        <f>J508</f>
        <v>3357000</v>
      </c>
      <c r="K507" s="508">
        <f>K508</f>
        <v>3357000</v>
      </c>
      <c r="L507" s="564">
        <f t="shared" si="86"/>
        <v>0</v>
      </c>
      <c r="M507" s="565">
        <f t="shared" si="88"/>
        <v>100</v>
      </c>
      <c r="N507" s="565">
        <f t="shared" si="87"/>
        <v>100</v>
      </c>
    </row>
    <row r="508" spans="1:14" ht="34" outlineLevel="6" x14ac:dyDescent="0.3">
      <c r="A508" s="450" t="s">
        <v>327</v>
      </c>
      <c r="B508" s="439" t="s">
        <v>500</v>
      </c>
      <c r="C508" s="439" t="s">
        <v>106</v>
      </c>
      <c r="D508" s="539" t="s">
        <v>318</v>
      </c>
      <c r="E508" s="539" t="s">
        <v>6</v>
      </c>
      <c r="F508" s="540">
        <v>2562000</v>
      </c>
      <c r="G508" s="465">
        <f t="shared" si="95"/>
        <v>3357000</v>
      </c>
      <c r="H508" s="440">
        <f t="shared" si="95"/>
        <v>2408600</v>
      </c>
      <c r="I508" s="440">
        <f t="shared" si="95"/>
        <v>2500000</v>
      </c>
      <c r="J508" s="465">
        <f t="shared" si="95"/>
        <v>3357000</v>
      </c>
      <c r="K508" s="465">
        <f t="shared" si="95"/>
        <v>3357000</v>
      </c>
      <c r="L508" s="564">
        <f t="shared" si="86"/>
        <v>0</v>
      </c>
      <c r="M508" s="565">
        <f t="shared" si="88"/>
        <v>100</v>
      </c>
      <c r="N508" s="565">
        <f t="shared" si="87"/>
        <v>100</v>
      </c>
    </row>
    <row r="509" spans="1:14" ht="50.95" outlineLevel="7" x14ac:dyDescent="0.3">
      <c r="A509" s="438" t="s">
        <v>107</v>
      </c>
      <c r="B509" s="439" t="s">
        <v>500</v>
      </c>
      <c r="C509" s="439" t="s">
        <v>106</v>
      </c>
      <c r="D509" s="539" t="s">
        <v>319</v>
      </c>
      <c r="E509" s="539" t="s">
        <v>6</v>
      </c>
      <c r="F509" s="540">
        <v>2562000</v>
      </c>
      <c r="G509" s="465">
        <f t="shared" si="95"/>
        <v>3357000</v>
      </c>
      <c r="H509" s="440">
        <f t="shared" si="95"/>
        <v>2408600</v>
      </c>
      <c r="I509" s="440">
        <f t="shared" si="95"/>
        <v>2500000</v>
      </c>
      <c r="J509" s="465">
        <f t="shared" si="95"/>
        <v>3357000</v>
      </c>
      <c r="K509" s="465">
        <f t="shared" si="95"/>
        <v>3357000</v>
      </c>
      <c r="L509" s="564">
        <f t="shared" si="86"/>
        <v>0</v>
      </c>
      <c r="M509" s="565">
        <f t="shared" si="88"/>
        <v>100</v>
      </c>
      <c r="N509" s="565">
        <f t="shared" si="87"/>
        <v>100</v>
      </c>
    </row>
    <row r="510" spans="1:14" ht="34" outlineLevel="6" x14ac:dyDescent="0.3">
      <c r="A510" s="438" t="s">
        <v>37</v>
      </c>
      <c r="B510" s="439" t="s">
        <v>500</v>
      </c>
      <c r="C510" s="439" t="s">
        <v>106</v>
      </c>
      <c r="D510" s="539" t="s">
        <v>319</v>
      </c>
      <c r="E510" s="539" t="s">
        <v>38</v>
      </c>
      <c r="F510" s="540">
        <v>2562000</v>
      </c>
      <c r="G510" s="465">
        <f t="shared" si="95"/>
        <v>3357000</v>
      </c>
      <c r="H510" s="370">
        <v>2408600</v>
      </c>
      <c r="I510" s="440">
        <f t="shared" si="95"/>
        <v>2500000</v>
      </c>
      <c r="J510" s="465">
        <f t="shared" si="95"/>
        <v>3357000</v>
      </c>
      <c r="K510" s="465">
        <f t="shared" si="95"/>
        <v>3357000</v>
      </c>
      <c r="L510" s="564">
        <f t="shared" si="86"/>
        <v>0</v>
      </c>
      <c r="M510" s="565">
        <f t="shared" si="88"/>
        <v>100</v>
      </c>
      <c r="N510" s="565">
        <f t="shared" si="87"/>
        <v>100</v>
      </c>
    </row>
    <row r="511" spans="1:14" ht="20.25" customHeight="1" outlineLevel="7" x14ac:dyDescent="0.3">
      <c r="A511" s="438" t="s">
        <v>39</v>
      </c>
      <c r="B511" s="439" t="s">
        <v>500</v>
      </c>
      <c r="C511" s="439" t="s">
        <v>106</v>
      </c>
      <c r="D511" s="539" t="s">
        <v>319</v>
      </c>
      <c r="E511" s="539" t="s">
        <v>40</v>
      </c>
      <c r="F511" s="540">
        <v>2562000</v>
      </c>
      <c r="G511" s="465">
        <f>[2]потребность!I456+247000+610000</f>
        <v>3357000</v>
      </c>
      <c r="H511" s="370">
        <v>2408600</v>
      </c>
      <c r="I511" s="440">
        <v>2500000</v>
      </c>
      <c r="J511" s="466">
        <v>3357000</v>
      </c>
      <c r="K511" s="466">
        <v>3357000</v>
      </c>
      <c r="L511" s="564">
        <f t="shared" si="86"/>
        <v>0</v>
      </c>
      <c r="M511" s="565">
        <f t="shared" si="88"/>
        <v>100</v>
      </c>
      <c r="N511" s="565">
        <f t="shared" si="87"/>
        <v>100</v>
      </c>
    </row>
    <row r="512" spans="1:14" ht="29.9" customHeight="1" outlineLevel="6" x14ac:dyDescent="0.3">
      <c r="A512" s="433" t="s">
        <v>527</v>
      </c>
      <c r="B512" s="434" t="s">
        <v>501</v>
      </c>
      <c r="C512" s="434" t="s">
        <v>5</v>
      </c>
      <c r="D512" s="537" t="s">
        <v>126</v>
      </c>
      <c r="E512" s="537" t="s">
        <v>6</v>
      </c>
      <c r="F512" s="538">
        <v>6282947.6699999999</v>
      </c>
      <c r="G512" s="506">
        <f>G513</f>
        <v>5488017.29</v>
      </c>
      <c r="H512" s="435">
        <f>H513</f>
        <v>4018836.4699999997</v>
      </c>
      <c r="I512" s="435">
        <f>I513</f>
        <v>5805481.6399999997</v>
      </c>
      <c r="J512" s="506">
        <f>J513</f>
        <v>5780338.2999999998</v>
      </c>
      <c r="K512" s="506">
        <f>K513</f>
        <v>5666668.2999999998</v>
      </c>
      <c r="L512" s="564">
        <f t="shared" si="86"/>
        <v>-113670</v>
      </c>
      <c r="M512" s="565">
        <f t="shared" si="88"/>
        <v>105.32653223474082</v>
      </c>
      <c r="N512" s="565">
        <f t="shared" si="87"/>
        <v>103.25529240451792</v>
      </c>
    </row>
    <row r="513" spans="1:14" outlineLevel="7" x14ac:dyDescent="0.3">
      <c r="A513" s="438" t="s">
        <v>7</v>
      </c>
      <c r="B513" s="439" t="s">
        <v>501</v>
      </c>
      <c r="C513" s="439" t="s">
        <v>8</v>
      </c>
      <c r="D513" s="539" t="s">
        <v>126</v>
      </c>
      <c r="E513" s="539" t="s">
        <v>6</v>
      </c>
      <c r="F513" s="540">
        <v>6282947.6699999999</v>
      </c>
      <c r="G513" s="465">
        <f>G514+G529+G534</f>
        <v>5488017.29</v>
      </c>
      <c r="H513" s="440">
        <f>H514+H529+H534</f>
        <v>4018836.4699999997</v>
      </c>
      <c r="I513" s="440">
        <f>I514+I529+I534</f>
        <v>5805481.6399999997</v>
      </c>
      <c r="J513" s="465">
        <f>J514+J529+J534</f>
        <v>5780338.2999999998</v>
      </c>
      <c r="K513" s="465">
        <f>K514+K529+K534</f>
        <v>5666668.2999999998</v>
      </c>
      <c r="L513" s="564">
        <f t="shared" si="86"/>
        <v>-113670</v>
      </c>
      <c r="M513" s="565">
        <f t="shared" si="88"/>
        <v>105.32653223474082</v>
      </c>
      <c r="N513" s="565">
        <f t="shared" si="87"/>
        <v>103.25529240451792</v>
      </c>
    </row>
    <row r="514" spans="1:14" ht="67.95" outlineLevel="5" x14ac:dyDescent="0.3">
      <c r="A514" s="438" t="s">
        <v>108</v>
      </c>
      <c r="B514" s="439" t="s">
        <v>501</v>
      </c>
      <c r="C514" s="439" t="s">
        <v>109</v>
      </c>
      <c r="D514" s="539" t="s">
        <v>126</v>
      </c>
      <c r="E514" s="539" t="s">
        <v>6</v>
      </c>
      <c r="F514" s="540">
        <v>5081721.7699999996</v>
      </c>
      <c r="G514" s="465">
        <f>G515</f>
        <v>5350737.29</v>
      </c>
      <c r="H514" s="440">
        <f>H515</f>
        <v>3890917.9699999997</v>
      </c>
      <c r="I514" s="440">
        <f>I515</f>
        <v>5668201.6399999997</v>
      </c>
      <c r="J514" s="465">
        <f>J515</f>
        <v>5529388.2999999998</v>
      </c>
      <c r="K514" s="465">
        <f>K515</f>
        <v>5529388.2999999998</v>
      </c>
      <c r="L514" s="564">
        <f t="shared" si="86"/>
        <v>0</v>
      </c>
      <c r="M514" s="565">
        <f t="shared" si="88"/>
        <v>103.33881108934054</v>
      </c>
      <c r="N514" s="565">
        <f t="shared" si="87"/>
        <v>103.33881108934055</v>
      </c>
    </row>
    <row r="515" spans="1:14" ht="34" outlineLevel="6" x14ac:dyDescent="0.3">
      <c r="A515" s="438" t="s">
        <v>132</v>
      </c>
      <c r="B515" s="439" t="s">
        <v>501</v>
      </c>
      <c r="C515" s="439" t="s">
        <v>109</v>
      </c>
      <c r="D515" s="539" t="s">
        <v>127</v>
      </c>
      <c r="E515" s="539" t="s">
        <v>6</v>
      </c>
      <c r="F515" s="540">
        <v>5081721.7699999996</v>
      </c>
      <c r="G515" s="465">
        <f>G516+G519+G526</f>
        <v>5350737.29</v>
      </c>
      <c r="H515" s="440">
        <f>H516+H519+H526</f>
        <v>3890917.9699999997</v>
      </c>
      <c r="I515" s="440">
        <f>I516+I519+I526</f>
        <v>5668201.6399999997</v>
      </c>
      <c r="J515" s="465">
        <f>J516+J519+J526</f>
        <v>5529388.2999999998</v>
      </c>
      <c r="K515" s="465">
        <f>K516+K519+K526</f>
        <v>5529388.2999999998</v>
      </c>
      <c r="L515" s="564">
        <f t="shared" si="86"/>
        <v>0</v>
      </c>
      <c r="M515" s="565">
        <f t="shared" si="88"/>
        <v>103.33881108934054</v>
      </c>
      <c r="N515" s="565">
        <f t="shared" si="87"/>
        <v>103.33881108934055</v>
      </c>
    </row>
    <row r="516" spans="1:14" ht="34" outlineLevel="7" x14ac:dyDescent="0.3">
      <c r="A516" s="438" t="s">
        <v>528</v>
      </c>
      <c r="B516" s="439" t="s">
        <v>501</v>
      </c>
      <c r="C516" s="439" t="s">
        <v>109</v>
      </c>
      <c r="D516" s="539" t="s">
        <v>529</v>
      </c>
      <c r="E516" s="539" t="s">
        <v>6</v>
      </c>
      <c r="F516" s="540">
        <v>2365763.5699999998</v>
      </c>
      <c r="G516" s="465">
        <f t="shared" ref="G516:K517" si="96">G517</f>
        <v>2472253.96</v>
      </c>
      <c r="H516" s="440">
        <f t="shared" si="96"/>
        <v>1921124.34</v>
      </c>
      <c r="I516" s="440">
        <f t="shared" si="96"/>
        <v>2618572.2799999998</v>
      </c>
      <c r="J516" s="466">
        <f t="shared" si="96"/>
        <v>2537974.2999999998</v>
      </c>
      <c r="K516" s="466">
        <f t="shared" si="96"/>
        <v>2537974.2999999998</v>
      </c>
      <c r="L516" s="564">
        <f t="shared" si="86"/>
        <v>0</v>
      </c>
      <c r="M516" s="565">
        <f t="shared" si="88"/>
        <v>102.65831670464793</v>
      </c>
      <c r="N516" s="565">
        <f t="shared" si="87"/>
        <v>102.65831670464793</v>
      </c>
    </row>
    <row r="517" spans="1:14" ht="37.549999999999997" customHeight="1" outlineLevel="2" x14ac:dyDescent="0.3">
      <c r="A517" s="438" t="s">
        <v>11</v>
      </c>
      <c r="B517" s="439" t="s">
        <v>501</v>
      </c>
      <c r="C517" s="439" t="s">
        <v>109</v>
      </c>
      <c r="D517" s="539" t="s">
        <v>529</v>
      </c>
      <c r="E517" s="539" t="s">
        <v>12</v>
      </c>
      <c r="F517" s="540">
        <v>2365763.5699999998</v>
      </c>
      <c r="G517" s="465">
        <f t="shared" si="96"/>
        <v>2472253.96</v>
      </c>
      <c r="H517" s="373">
        <v>1921124.34</v>
      </c>
      <c r="I517" s="440">
        <f t="shared" si="96"/>
        <v>2618572.2799999998</v>
      </c>
      <c r="J517" s="466">
        <f t="shared" si="96"/>
        <v>2537974.2999999998</v>
      </c>
      <c r="K517" s="466">
        <f t="shared" si="96"/>
        <v>2537974.2999999998</v>
      </c>
      <c r="L517" s="564">
        <f t="shared" si="86"/>
        <v>0</v>
      </c>
      <c r="M517" s="565">
        <f t="shared" si="88"/>
        <v>102.65831670464793</v>
      </c>
      <c r="N517" s="565">
        <f t="shared" si="87"/>
        <v>102.65831670464793</v>
      </c>
    </row>
    <row r="518" spans="1:14" ht="34" outlineLevel="4" x14ac:dyDescent="0.3">
      <c r="A518" s="438" t="s">
        <v>13</v>
      </c>
      <c r="B518" s="439" t="s">
        <v>501</v>
      </c>
      <c r="C518" s="439" t="s">
        <v>109</v>
      </c>
      <c r="D518" s="539" t="s">
        <v>529</v>
      </c>
      <c r="E518" s="539" t="s">
        <v>14</v>
      </c>
      <c r="F518" s="540">
        <v>2365763.5699999998</v>
      </c>
      <c r="G518" s="466">
        <f>[2]потребность!I463-45604</f>
        <v>2472253.96</v>
      </c>
      <c r="H518" s="373">
        <v>1921124.34</v>
      </c>
      <c r="I518" s="442">
        <f>'[2]прил 12'!F476</f>
        <v>2618572.2799999998</v>
      </c>
      <c r="J518" s="466">
        <v>2537974.2999999998</v>
      </c>
      <c r="K518" s="466">
        <v>2537974.2999999998</v>
      </c>
      <c r="L518" s="564">
        <f t="shared" si="86"/>
        <v>0</v>
      </c>
      <c r="M518" s="565">
        <f t="shared" si="88"/>
        <v>102.65831670464793</v>
      </c>
      <c r="N518" s="565">
        <f t="shared" si="87"/>
        <v>102.65831670464793</v>
      </c>
    </row>
    <row r="519" spans="1:14" ht="50.95" outlineLevel="5" x14ac:dyDescent="0.3">
      <c r="A519" s="438" t="s">
        <v>494</v>
      </c>
      <c r="B519" s="439" t="s">
        <v>501</v>
      </c>
      <c r="C519" s="439" t="s">
        <v>109</v>
      </c>
      <c r="D519" s="539" t="s">
        <v>495</v>
      </c>
      <c r="E519" s="539" t="s">
        <v>6</v>
      </c>
      <c r="F519" s="540">
        <v>2535958.2000000002</v>
      </c>
      <c r="G519" s="465">
        <f>G520+G522+G524</f>
        <v>2698483.33</v>
      </c>
      <c r="H519" s="440">
        <f>H520+H522+H524</f>
        <v>1834793.63</v>
      </c>
      <c r="I519" s="440">
        <f>I520+I522+I524</f>
        <v>2869629.36</v>
      </c>
      <c r="J519" s="465">
        <f>J520+J522+J524</f>
        <v>2811414</v>
      </c>
      <c r="K519" s="465">
        <f>K520+K522+K524</f>
        <v>2811414</v>
      </c>
      <c r="L519" s="564">
        <f t="shared" si="86"/>
        <v>0</v>
      </c>
      <c r="M519" s="565">
        <f t="shared" si="88"/>
        <v>104.18496822806016</v>
      </c>
      <c r="N519" s="565">
        <f t="shared" si="87"/>
        <v>104.18496822806016</v>
      </c>
    </row>
    <row r="520" spans="1:14" ht="84.9" outlineLevel="6" x14ac:dyDescent="0.3">
      <c r="A520" s="438" t="s">
        <v>11</v>
      </c>
      <c r="B520" s="439" t="s">
        <v>501</v>
      </c>
      <c r="C520" s="439" t="s">
        <v>109</v>
      </c>
      <c r="D520" s="539" t="s">
        <v>495</v>
      </c>
      <c r="E520" s="539" t="s">
        <v>12</v>
      </c>
      <c r="F520" s="540">
        <v>2387673</v>
      </c>
      <c r="G520" s="465">
        <f>G521</f>
        <v>2446983.33</v>
      </c>
      <c r="H520" s="370">
        <v>1724385.69</v>
      </c>
      <c r="I520" s="440">
        <f>I521</f>
        <v>2618129.36</v>
      </c>
      <c r="J520" s="466">
        <f>J521</f>
        <v>2560414</v>
      </c>
      <c r="K520" s="466">
        <f>K521</f>
        <v>2560414</v>
      </c>
      <c r="L520" s="564">
        <f t="shared" ref="L520:L583" si="97">K520-J520</f>
        <v>0</v>
      </c>
      <c r="M520" s="565">
        <f t="shared" si="88"/>
        <v>104.635530966204</v>
      </c>
      <c r="N520" s="565">
        <f t="shared" ref="N520:N576" si="98">K520/G520*100</f>
        <v>104.63553096620399</v>
      </c>
    </row>
    <row r="521" spans="1:14" ht="34" outlineLevel="7" x14ac:dyDescent="0.3">
      <c r="A521" s="438" t="s">
        <v>13</v>
      </c>
      <c r="B521" s="439" t="s">
        <v>501</v>
      </c>
      <c r="C521" s="439" t="s">
        <v>109</v>
      </c>
      <c r="D521" s="539" t="s">
        <v>495</v>
      </c>
      <c r="E521" s="539" t="s">
        <v>14</v>
      </c>
      <c r="F521" s="540">
        <v>2387673</v>
      </c>
      <c r="G521" s="465">
        <f>[2]потребность!I466-70449</f>
        <v>2446983.33</v>
      </c>
      <c r="H521" s="370">
        <v>1724385.69</v>
      </c>
      <c r="I521" s="440">
        <f>'[2]прил 12'!F479</f>
        <v>2618129.36</v>
      </c>
      <c r="J521" s="466">
        <f>2681114-120700</f>
        <v>2560414</v>
      </c>
      <c r="K521" s="466">
        <f>2681114-120700</f>
        <v>2560414</v>
      </c>
      <c r="L521" s="564">
        <f t="shared" si="97"/>
        <v>0</v>
      </c>
      <c r="M521" s="565">
        <f t="shared" si="88"/>
        <v>104.635530966204</v>
      </c>
      <c r="N521" s="565">
        <f t="shared" si="98"/>
        <v>104.63553096620399</v>
      </c>
    </row>
    <row r="522" spans="1:14" ht="34" outlineLevel="7" x14ac:dyDescent="0.3">
      <c r="A522" s="438" t="s">
        <v>15</v>
      </c>
      <c r="B522" s="439" t="s">
        <v>501</v>
      </c>
      <c r="C522" s="439" t="s">
        <v>109</v>
      </c>
      <c r="D522" s="539" t="s">
        <v>495</v>
      </c>
      <c r="E522" s="539" t="s">
        <v>16</v>
      </c>
      <c r="F522" s="540">
        <v>146395.20000000001</v>
      </c>
      <c r="G522" s="465">
        <f>G523</f>
        <v>246000</v>
      </c>
      <c r="H522" s="370">
        <v>110407.94</v>
      </c>
      <c r="I522" s="440">
        <f>I523</f>
        <v>246000</v>
      </c>
      <c r="J522" s="466">
        <f>J523</f>
        <v>246000</v>
      </c>
      <c r="K522" s="466">
        <f>K523</f>
        <v>246000</v>
      </c>
      <c r="L522" s="564">
        <f t="shared" si="97"/>
        <v>0</v>
      </c>
      <c r="M522" s="565">
        <f t="shared" si="88"/>
        <v>100</v>
      </c>
      <c r="N522" s="565">
        <f t="shared" si="98"/>
        <v>100</v>
      </c>
    </row>
    <row r="523" spans="1:14" ht="34" outlineLevel="7" x14ac:dyDescent="0.3">
      <c r="A523" s="438" t="s">
        <v>17</v>
      </c>
      <c r="B523" s="439" t="s">
        <v>501</v>
      </c>
      <c r="C523" s="439" t="s">
        <v>109</v>
      </c>
      <c r="D523" s="539" t="s">
        <v>495</v>
      </c>
      <c r="E523" s="539" t="s">
        <v>18</v>
      </c>
      <c r="F523" s="540">
        <v>146395.20000000001</v>
      </c>
      <c r="G523" s="466">
        <v>246000</v>
      </c>
      <c r="H523" s="370">
        <v>110407.94</v>
      </c>
      <c r="I523" s="442">
        <f>'[2]прил 12'!F481</f>
        <v>246000</v>
      </c>
      <c r="J523" s="466">
        <v>246000</v>
      </c>
      <c r="K523" s="466">
        <v>246000</v>
      </c>
      <c r="L523" s="564">
        <f t="shared" si="97"/>
        <v>0</v>
      </c>
      <c r="M523" s="565">
        <f t="shared" si="88"/>
        <v>100</v>
      </c>
      <c r="N523" s="565">
        <f t="shared" si="98"/>
        <v>100</v>
      </c>
    </row>
    <row r="524" spans="1:14" outlineLevel="2" x14ac:dyDescent="0.3">
      <c r="A524" s="438" t="s">
        <v>19</v>
      </c>
      <c r="B524" s="439" t="s">
        <v>501</v>
      </c>
      <c r="C524" s="439" t="s">
        <v>109</v>
      </c>
      <c r="D524" s="539" t="s">
        <v>495</v>
      </c>
      <c r="E524" s="539" t="s">
        <v>20</v>
      </c>
      <c r="F524" s="540">
        <v>1890</v>
      </c>
      <c r="G524" s="465">
        <f>G525</f>
        <v>5500</v>
      </c>
      <c r="H524" s="441"/>
      <c r="I524" s="440">
        <f>I525</f>
        <v>5500</v>
      </c>
      <c r="J524" s="466">
        <f>J525</f>
        <v>5000</v>
      </c>
      <c r="K524" s="466">
        <f>K525</f>
        <v>5000</v>
      </c>
      <c r="L524" s="564">
        <f t="shared" si="97"/>
        <v>0</v>
      </c>
      <c r="M524" s="565">
        <f t="shared" ref="M524:M576" si="99">J524/G524%</f>
        <v>90.909090909090907</v>
      </c>
      <c r="N524" s="565">
        <f t="shared" si="98"/>
        <v>90.909090909090907</v>
      </c>
    </row>
    <row r="525" spans="1:14" s="449" customFormat="1" outlineLevel="3" x14ac:dyDescent="0.3">
      <c r="A525" s="438" t="s">
        <v>21</v>
      </c>
      <c r="B525" s="439" t="s">
        <v>501</v>
      </c>
      <c r="C525" s="439" t="s">
        <v>109</v>
      </c>
      <c r="D525" s="539" t="s">
        <v>495</v>
      </c>
      <c r="E525" s="539" t="s">
        <v>22</v>
      </c>
      <c r="F525" s="540">
        <v>1890</v>
      </c>
      <c r="G525" s="466">
        <v>5500</v>
      </c>
      <c r="H525" s="443"/>
      <c r="I525" s="442">
        <f>'[2]прил 12'!F483</f>
        <v>5500</v>
      </c>
      <c r="J525" s="507">
        <v>5000</v>
      </c>
      <c r="K525" s="507">
        <v>5000</v>
      </c>
      <c r="L525" s="564">
        <f t="shared" si="97"/>
        <v>0</v>
      </c>
      <c r="M525" s="565">
        <f t="shared" si="99"/>
        <v>90.909090909090907</v>
      </c>
      <c r="N525" s="565">
        <f t="shared" si="98"/>
        <v>90.909090909090907</v>
      </c>
    </row>
    <row r="526" spans="1:14" outlineLevel="4" x14ac:dyDescent="0.3">
      <c r="A526" s="438" t="s">
        <v>531</v>
      </c>
      <c r="B526" s="439" t="s">
        <v>501</v>
      </c>
      <c r="C526" s="439" t="s">
        <v>109</v>
      </c>
      <c r="D526" s="539" t="s">
        <v>530</v>
      </c>
      <c r="E526" s="539" t="s">
        <v>6</v>
      </c>
      <c r="F526" s="540">
        <v>180000</v>
      </c>
      <c r="G526" s="465">
        <f t="shared" ref="G526:K527" si="100">G527</f>
        <v>180000</v>
      </c>
      <c r="H526" s="440">
        <f t="shared" si="100"/>
        <v>135000</v>
      </c>
      <c r="I526" s="440">
        <f t="shared" si="100"/>
        <v>180000</v>
      </c>
      <c r="J526" s="466">
        <f t="shared" si="100"/>
        <v>180000</v>
      </c>
      <c r="K526" s="466">
        <f t="shared" si="100"/>
        <v>180000</v>
      </c>
      <c r="L526" s="564">
        <f t="shared" si="97"/>
        <v>0</v>
      </c>
      <c r="M526" s="565">
        <f t="shared" si="99"/>
        <v>100</v>
      </c>
      <c r="N526" s="565">
        <f t="shared" si="98"/>
        <v>100</v>
      </c>
    </row>
    <row r="527" spans="1:14" ht="84.9" outlineLevel="5" x14ac:dyDescent="0.3">
      <c r="A527" s="438" t="s">
        <v>11</v>
      </c>
      <c r="B527" s="439" t="s">
        <v>501</v>
      </c>
      <c r="C527" s="439" t="s">
        <v>109</v>
      </c>
      <c r="D527" s="539" t="s">
        <v>530</v>
      </c>
      <c r="E527" s="539" t="s">
        <v>12</v>
      </c>
      <c r="F527" s="540">
        <v>180000</v>
      </c>
      <c r="G527" s="465">
        <f t="shared" si="100"/>
        <v>180000</v>
      </c>
      <c r="H527" s="370">
        <v>135000</v>
      </c>
      <c r="I527" s="440">
        <f t="shared" si="100"/>
        <v>180000</v>
      </c>
      <c r="J527" s="466">
        <f t="shared" si="100"/>
        <v>180000</v>
      </c>
      <c r="K527" s="466">
        <f t="shared" si="100"/>
        <v>180000</v>
      </c>
      <c r="L527" s="564">
        <f t="shared" si="97"/>
        <v>0</v>
      </c>
      <c r="M527" s="565">
        <f t="shared" si="99"/>
        <v>100</v>
      </c>
      <c r="N527" s="565">
        <f t="shared" si="98"/>
        <v>100</v>
      </c>
    </row>
    <row r="528" spans="1:14" ht="45.7" customHeight="1" outlineLevel="6" x14ac:dyDescent="0.3">
      <c r="A528" s="438" t="s">
        <v>13</v>
      </c>
      <c r="B528" s="439" t="s">
        <v>501</v>
      </c>
      <c r="C528" s="439" t="s">
        <v>109</v>
      </c>
      <c r="D528" s="539" t="s">
        <v>530</v>
      </c>
      <c r="E528" s="539" t="s">
        <v>14</v>
      </c>
      <c r="F528" s="540">
        <v>180000</v>
      </c>
      <c r="G528" s="466">
        <v>180000</v>
      </c>
      <c r="H528" s="370">
        <v>135000</v>
      </c>
      <c r="I528" s="442">
        <f>'[2]прил 12'!F486</f>
        <v>180000</v>
      </c>
      <c r="J528" s="466">
        <v>180000</v>
      </c>
      <c r="K528" s="466">
        <v>180000</v>
      </c>
      <c r="L528" s="564">
        <f t="shared" si="97"/>
        <v>0</v>
      </c>
      <c r="M528" s="565">
        <f t="shared" si="99"/>
        <v>100</v>
      </c>
      <c r="N528" s="565">
        <f t="shared" si="98"/>
        <v>100</v>
      </c>
    </row>
    <row r="529" spans="1:14" ht="46.2" hidden="1" customHeight="1" outlineLevel="7" x14ac:dyDescent="0.3">
      <c r="A529" s="438" t="s">
        <v>9</v>
      </c>
      <c r="B529" s="439" t="s">
        <v>501</v>
      </c>
      <c r="C529" s="439" t="s">
        <v>10</v>
      </c>
      <c r="D529" s="539" t="s">
        <v>126</v>
      </c>
      <c r="E529" s="539" t="s">
        <v>6</v>
      </c>
      <c r="F529" s="540">
        <v>1105064.8999999999</v>
      </c>
      <c r="G529" s="465">
        <f t="shared" ref="G529:H532" si="101">G530</f>
        <v>0</v>
      </c>
      <c r="H529" s="440">
        <f t="shared" si="101"/>
        <v>0</v>
      </c>
      <c r="I529" s="440"/>
      <c r="J529" s="466"/>
      <c r="K529" s="466"/>
      <c r="L529" s="564">
        <f t="shared" si="97"/>
        <v>0</v>
      </c>
      <c r="M529" s="565"/>
      <c r="N529" s="565"/>
    </row>
    <row r="530" spans="1:14" s="449" customFormat="1" ht="34" hidden="1" outlineLevel="7" x14ac:dyDescent="0.3">
      <c r="A530" s="438" t="s">
        <v>132</v>
      </c>
      <c r="B530" s="439" t="s">
        <v>501</v>
      </c>
      <c r="C530" s="439" t="s">
        <v>10</v>
      </c>
      <c r="D530" s="539" t="s">
        <v>127</v>
      </c>
      <c r="E530" s="539" t="s">
        <v>6</v>
      </c>
      <c r="F530" s="540">
        <v>1105064.8999999999</v>
      </c>
      <c r="G530" s="465">
        <f t="shared" si="101"/>
        <v>0</v>
      </c>
      <c r="H530" s="440">
        <f t="shared" si="101"/>
        <v>0</v>
      </c>
      <c r="I530" s="440"/>
      <c r="J530" s="507"/>
      <c r="K530" s="507"/>
      <c r="L530" s="564">
        <f t="shared" si="97"/>
        <v>0</v>
      </c>
      <c r="M530" s="565"/>
      <c r="N530" s="565"/>
    </row>
    <row r="531" spans="1:14" hidden="1" outlineLevel="7" x14ac:dyDescent="0.3">
      <c r="A531" s="438" t="s">
        <v>120</v>
      </c>
      <c r="B531" s="439" t="s">
        <v>501</v>
      </c>
      <c r="C531" s="439" t="s">
        <v>10</v>
      </c>
      <c r="D531" s="539" t="s">
        <v>143</v>
      </c>
      <c r="E531" s="539" t="s">
        <v>6</v>
      </c>
      <c r="F531" s="540">
        <v>1105064.8999999999</v>
      </c>
      <c r="G531" s="465">
        <f t="shared" si="101"/>
        <v>0</v>
      </c>
      <c r="H531" s="440">
        <f t="shared" si="101"/>
        <v>0</v>
      </c>
      <c r="I531" s="440"/>
      <c r="J531" s="466"/>
      <c r="K531" s="466"/>
      <c r="L531" s="564">
        <f t="shared" si="97"/>
        <v>0</v>
      </c>
      <c r="M531" s="565"/>
      <c r="N531" s="565"/>
    </row>
    <row r="532" spans="1:14" ht="84.9" hidden="1" outlineLevel="7" x14ac:dyDescent="0.3">
      <c r="A532" s="438" t="s">
        <v>11</v>
      </c>
      <c r="B532" s="439" t="s">
        <v>501</v>
      </c>
      <c r="C532" s="439" t="s">
        <v>10</v>
      </c>
      <c r="D532" s="539" t="s">
        <v>143</v>
      </c>
      <c r="E532" s="539" t="s">
        <v>12</v>
      </c>
      <c r="F532" s="540">
        <v>1105064.8999999999</v>
      </c>
      <c r="G532" s="465">
        <f t="shared" si="101"/>
        <v>0</v>
      </c>
      <c r="H532" s="440">
        <f t="shared" si="101"/>
        <v>0</v>
      </c>
      <c r="I532" s="440"/>
      <c r="J532" s="466"/>
      <c r="K532" s="466"/>
      <c r="L532" s="564">
        <f t="shared" si="97"/>
        <v>0</v>
      </c>
      <c r="M532" s="565"/>
      <c r="N532" s="565"/>
    </row>
    <row r="533" spans="1:14" ht="21.25" hidden="1" customHeight="1" outlineLevel="7" x14ac:dyDescent="0.3">
      <c r="A533" s="438" t="s">
        <v>13</v>
      </c>
      <c r="B533" s="439" t="s">
        <v>501</v>
      </c>
      <c r="C533" s="439" t="s">
        <v>10</v>
      </c>
      <c r="D533" s="539" t="s">
        <v>143</v>
      </c>
      <c r="E533" s="539" t="s">
        <v>14</v>
      </c>
      <c r="F533" s="540">
        <v>1105064.8999999999</v>
      </c>
      <c r="G533" s="465">
        <v>0</v>
      </c>
      <c r="H533" s="441">
        <v>0</v>
      </c>
      <c r="I533" s="440"/>
      <c r="J533" s="466"/>
      <c r="K533" s="466"/>
      <c r="L533" s="564">
        <f t="shared" si="97"/>
        <v>0</v>
      </c>
      <c r="M533" s="565"/>
      <c r="N533" s="565"/>
    </row>
    <row r="534" spans="1:14" s="437" customFormat="1" collapsed="1" x14ac:dyDescent="0.3">
      <c r="A534" s="438" t="s">
        <v>23</v>
      </c>
      <c r="B534" s="439" t="s">
        <v>501</v>
      </c>
      <c r="C534" s="439" t="s">
        <v>24</v>
      </c>
      <c r="D534" s="539" t="s">
        <v>126</v>
      </c>
      <c r="E534" s="539" t="s">
        <v>6</v>
      </c>
      <c r="F534" s="540">
        <v>0</v>
      </c>
      <c r="G534" s="465">
        <f>G535+G540</f>
        <v>137280</v>
      </c>
      <c r="H534" s="440">
        <f>H535+H540</f>
        <v>127918.5</v>
      </c>
      <c r="I534" s="440">
        <f>I535+I540</f>
        <v>137280</v>
      </c>
      <c r="J534" s="465">
        <f>J535+J540+J544</f>
        <v>250950</v>
      </c>
      <c r="K534" s="465">
        <f>K535+K540+K544</f>
        <v>137280</v>
      </c>
      <c r="L534" s="564">
        <f t="shared" si="97"/>
        <v>-113670</v>
      </c>
      <c r="M534" s="565">
        <f t="shared" si="99"/>
        <v>182.80157342657344</v>
      </c>
      <c r="N534" s="565">
        <f t="shared" si="98"/>
        <v>100</v>
      </c>
    </row>
    <row r="535" spans="1:14" s="449" customFormat="1" ht="50.95" outlineLevel="1" x14ac:dyDescent="0.3">
      <c r="A535" s="444" t="s">
        <v>830</v>
      </c>
      <c r="B535" s="445" t="s">
        <v>501</v>
      </c>
      <c r="C535" s="445" t="s">
        <v>24</v>
      </c>
      <c r="D535" s="541" t="s">
        <v>128</v>
      </c>
      <c r="E535" s="541" t="s">
        <v>6</v>
      </c>
      <c r="F535" s="540">
        <v>0</v>
      </c>
      <c r="G535" s="508">
        <f t="shared" ref="G535:K538" si="102">G536</f>
        <v>33280</v>
      </c>
      <c r="H535" s="447"/>
      <c r="I535" s="446">
        <f t="shared" si="102"/>
        <v>33280</v>
      </c>
      <c r="J535" s="507">
        <f t="shared" si="102"/>
        <v>33280</v>
      </c>
      <c r="K535" s="507">
        <f t="shared" si="102"/>
        <v>33280</v>
      </c>
      <c r="L535" s="564">
        <f t="shared" si="97"/>
        <v>0</v>
      </c>
      <c r="M535" s="565">
        <f t="shared" si="99"/>
        <v>100</v>
      </c>
      <c r="N535" s="565">
        <f t="shared" si="98"/>
        <v>100</v>
      </c>
    </row>
    <row r="536" spans="1:14" ht="50.95" outlineLevel="2" x14ac:dyDescent="0.3">
      <c r="A536" s="450" t="s">
        <v>835</v>
      </c>
      <c r="B536" s="439" t="s">
        <v>501</v>
      </c>
      <c r="C536" s="439" t="s">
        <v>24</v>
      </c>
      <c r="D536" s="539" t="s">
        <v>315</v>
      </c>
      <c r="E536" s="539" t="s">
        <v>6</v>
      </c>
      <c r="F536" s="540">
        <v>0</v>
      </c>
      <c r="G536" s="465">
        <f t="shared" si="102"/>
        <v>33280</v>
      </c>
      <c r="H536" s="441"/>
      <c r="I536" s="440">
        <f t="shared" si="102"/>
        <v>33280</v>
      </c>
      <c r="J536" s="466">
        <f t="shared" si="102"/>
        <v>33280</v>
      </c>
      <c r="K536" s="466">
        <f t="shared" si="102"/>
        <v>33280</v>
      </c>
      <c r="L536" s="564">
        <f t="shared" si="97"/>
        <v>0</v>
      </c>
      <c r="M536" s="565">
        <f t="shared" si="99"/>
        <v>100</v>
      </c>
      <c r="N536" s="565">
        <f t="shared" si="98"/>
        <v>100</v>
      </c>
    </row>
    <row r="537" spans="1:14" s="449" customFormat="1" outlineLevel="3" x14ac:dyDescent="0.3">
      <c r="A537" s="450" t="s">
        <v>321</v>
      </c>
      <c r="B537" s="439" t="s">
        <v>501</v>
      </c>
      <c r="C537" s="439" t="s">
        <v>24</v>
      </c>
      <c r="D537" s="539" t="s">
        <v>316</v>
      </c>
      <c r="E537" s="539" t="s">
        <v>6</v>
      </c>
      <c r="F537" s="542">
        <v>0</v>
      </c>
      <c r="G537" s="465">
        <f t="shared" si="102"/>
        <v>33280</v>
      </c>
      <c r="H537" s="441"/>
      <c r="I537" s="440">
        <f t="shared" si="102"/>
        <v>33280</v>
      </c>
      <c r="J537" s="507">
        <f t="shared" si="102"/>
        <v>33280</v>
      </c>
      <c r="K537" s="507">
        <f t="shared" si="102"/>
        <v>33280</v>
      </c>
      <c r="L537" s="564">
        <f t="shared" si="97"/>
        <v>0</v>
      </c>
      <c r="M537" s="565">
        <f t="shared" si="99"/>
        <v>100</v>
      </c>
      <c r="N537" s="565">
        <f t="shared" si="98"/>
        <v>100</v>
      </c>
    </row>
    <row r="538" spans="1:14" ht="34" outlineLevel="4" x14ac:dyDescent="0.3">
      <c r="A538" s="438" t="s">
        <v>15</v>
      </c>
      <c r="B538" s="439" t="s">
        <v>501</v>
      </c>
      <c r="C538" s="439" t="s">
        <v>24</v>
      </c>
      <c r="D538" s="539" t="s">
        <v>316</v>
      </c>
      <c r="E538" s="539" t="s">
        <v>16</v>
      </c>
      <c r="F538" s="540">
        <v>0</v>
      </c>
      <c r="G538" s="465">
        <f t="shared" si="102"/>
        <v>33280</v>
      </c>
      <c r="H538" s="441"/>
      <c r="I538" s="440">
        <f t="shared" si="102"/>
        <v>33280</v>
      </c>
      <c r="J538" s="466">
        <f t="shared" si="102"/>
        <v>33280</v>
      </c>
      <c r="K538" s="466">
        <f t="shared" si="102"/>
        <v>33280</v>
      </c>
      <c r="L538" s="564">
        <f t="shared" si="97"/>
        <v>0</v>
      </c>
      <c r="M538" s="565">
        <f t="shared" si="99"/>
        <v>100</v>
      </c>
      <c r="N538" s="565">
        <f t="shared" si="98"/>
        <v>100</v>
      </c>
    </row>
    <row r="539" spans="1:14" ht="34" outlineLevel="4" x14ac:dyDescent="0.3">
      <c r="A539" s="438" t="s">
        <v>17</v>
      </c>
      <c r="B539" s="439" t="s">
        <v>501</v>
      </c>
      <c r="C539" s="439" t="s">
        <v>24</v>
      </c>
      <c r="D539" s="539" t="s">
        <v>316</v>
      </c>
      <c r="E539" s="539" t="s">
        <v>18</v>
      </c>
      <c r="F539" s="540">
        <v>0</v>
      </c>
      <c r="G539" s="465">
        <v>33280</v>
      </c>
      <c r="H539" s="441"/>
      <c r="I539" s="440">
        <f>'[2]прил 12'!F497</f>
        <v>33280</v>
      </c>
      <c r="J539" s="466">
        <v>33280</v>
      </c>
      <c r="K539" s="466">
        <v>33280</v>
      </c>
      <c r="L539" s="564">
        <f t="shared" si="97"/>
        <v>0</v>
      </c>
      <c r="M539" s="565">
        <f t="shared" si="99"/>
        <v>100</v>
      </c>
      <c r="N539" s="565">
        <f t="shared" si="98"/>
        <v>100</v>
      </c>
    </row>
    <row r="540" spans="1:14" ht="34" outlineLevel="5" x14ac:dyDescent="0.3">
      <c r="A540" s="444" t="s">
        <v>132</v>
      </c>
      <c r="B540" s="445" t="s">
        <v>501</v>
      </c>
      <c r="C540" s="445" t="s">
        <v>24</v>
      </c>
      <c r="D540" s="541" t="s">
        <v>127</v>
      </c>
      <c r="E540" s="541" t="s">
        <v>6</v>
      </c>
      <c r="F540" s="540">
        <v>96161</v>
      </c>
      <c r="G540" s="507">
        <f t="shared" ref="G540:K542" si="103">G541</f>
        <v>104000</v>
      </c>
      <c r="H540" s="452">
        <f>H541</f>
        <v>127918.5</v>
      </c>
      <c r="I540" s="448">
        <f t="shared" si="103"/>
        <v>104000</v>
      </c>
      <c r="J540" s="466">
        <f t="shared" si="103"/>
        <v>104000</v>
      </c>
      <c r="K540" s="466">
        <f t="shared" si="103"/>
        <v>104000</v>
      </c>
      <c r="L540" s="564">
        <f t="shared" si="97"/>
        <v>0</v>
      </c>
      <c r="M540" s="565">
        <f t="shared" si="99"/>
        <v>100</v>
      </c>
      <c r="N540" s="565">
        <f t="shared" si="98"/>
        <v>100</v>
      </c>
    </row>
    <row r="541" spans="1:14" ht="34" outlineLevel="6" x14ac:dyDescent="0.3">
      <c r="A541" s="438" t="s">
        <v>532</v>
      </c>
      <c r="B541" s="439" t="s">
        <v>501</v>
      </c>
      <c r="C541" s="439" t="s">
        <v>24</v>
      </c>
      <c r="D541" s="552">
        <v>9909970201</v>
      </c>
      <c r="E541" s="539" t="s">
        <v>6</v>
      </c>
      <c r="F541" s="540">
        <v>96161</v>
      </c>
      <c r="G541" s="466">
        <f t="shared" si="103"/>
        <v>104000</v>
      </c>
      <c r="H541" s="373">
        <v>127918.5</v>
      </c>
      <c r="I541" s="442">
        <f t="shared" si="103"/>
        <v>104000</v>
      </c>
      <c r="J541" s="466">
        <f t="shared" si="103"/>
        <v>104000</v>
      </c>
      <c r="K541" s="466">
        <f t="shared" si="103"/>
        <v>104000</v>
      </c>
      <c r="L541" s="564">
        <f t="shared" si="97"/>
        <v>0</v>
      </c>
      <c r="M541" s="565">
        <f t="shared" si="99"/>
        <v>100</v>
      </c>
      <c r="N541" s="565">
        <f t="shared" si="98"/>
        <v>100</v>
      </c>
    </row>
    <row r="542" spans="1:14" ht="34" outlineLevel="7" x14ac:dyDescent="0.3">
      <c r="A542" s="438" t="s">
        <v>15</v>
      </c>
      <c r="B542" s="439" t="s">
        <v>501</v>
      </c>
      <c r="C542" s="439" t="s">
        <v>24</v>
      </c>
      <c r="D542" s="552">
        <v>9909970201</v>
      </c>
      <c r="E542" s="539" t="s">
        <v>16</v>
      </c>
      <c r="F542" s="540">
        <v>96161</v>
      </c>
      <c r="G542" s="466">
        <f t="shared" si="103"/>
        <v>104000</v>
      </c>
      <c r="H542" s="373">
        <v>127918.5</v>
      </c>
      <c r="I542" s="442">
        <f t="shared" si="103"/>
        <v>104000</v>
      </c>
      <c r="J542" s="466">
        <f t="shared" si="103"/>
        <v>104000</v>
      </c>
      <c r="K542" s="466">
        <f t="shared" si="103"/>
        <v>104000</v>
      </c>
      <c r="L542" s="564">
        <f t="shared" si="97"/>
        <v>0</v>
      </c>
      <c r="M542" s="565">
        <f t="shared" si="99"/>
        <v>100</v>
      </c>
      <c r="N542" s="565">
        <f t="shared" si="98"/>
        <v>100</v>
      </c>
    </row>
    <row r="543" spans="1:14" ht="45" customHeight="1" outlineLevel="7" x14ac:dyDescent="0.3">
      <c r="A543" s="438" t="s">
        <v>17</v>
      </c>
      <c r="B543" s="439" t="s">
        <v>501</v>
      </c>
      <c r="C543" s="439" t="s">
        <v>24</v>
      </c>
      <c r="D543" s="552">
        <v>9909970201</v>
      </c>
      <c r="E543" s="539" t="s">
        <v>18</v>
      </c>
      <c r="F543" s="543">
        <v>96161</v>
      </c>
      <c r="G543" s="465">
        <v>104000</v>
      </c>
      <c r="H543" s="373">
        <v>127918.5</v>
      </c>
      <c r="I543" s="440">
        <f>'[2]прил 12'!F501</f>
        <v>104000</v>
      </c>
      <c r="J543" s="466">
        <v>104000</v>
      </c>
      <c r="K543" s="466">
        <v>104000</v>
      </c>
      <c r="L543" s="564">
        <f t="shared" si="97"/>
        <v>0</v>
      </c>
      <c r="M543" s="565">
        <f t="shared" si="99"/>
        <v>100</v>
      </c>
      <c r="N543" s="565">
        <f t="shared" si="98"/>
        <v>100</v>
      </c>
    </row>
    <row r="544" spans="1:14" ht="50.95" outlineLevel="7" x14ac:dyDescent="0.3">
      <c r="A544" s="451" t="s">
        <v>829</v>
      </c>
      <c r="B544" s="445" t="s">
        <v>501</v>
      </c>
      <c r="C544" s="439" t="s">
        <v>24</v>
      </c>
      <c r="D544" s="541" t="s">
        <v>317</v>
      </c>
      <c r="E544" s="541" t="s">
        <v>6</v>
      </c>
      <c r="F544" s="552">
        <v>0</v>
      </c>
      <c r="G544" s="465">
        <v>0</v>
      </c>
      <c r="H544" s="441">
        <v>0</v>
      </c>
      <c r="I544" s="440">
        <v>0</v>
      </c>
      <c r="J544" s="466">
        <f t="shared" ref="J544:K547" si="104">J545</f>
        <v>113670</v>
      </c>
      <c r="K544" s="466">
        <f t="shared" si="104"/>
        <v>0</v>
      </c>
      <c r="L544" s="564">
        <f t="shared" si="97"/>
        <v>-113670</v>
      </c>
      <c r="M544" s="565"/>
      <c r="N544" s="565"/>
    </row>
    <row r="545" spans="1:14" ht="34" outlineLevel="7" x14ac:dyDescent="0.3">
      <c r="A545" s="450" t="s">
        <v>249</v>
      </c>
      <c r="B545" s="439" t="s">
        <v>501</v>
      </c>
      <c r="C545" s="439" t="s">
        <v>24</v>
      </c>
      <c r="D545" s="539" t="s">
        <v>318</v>
      </c>
      <c r="E545" s="539" t="s">
        <v>6</v>
      </c>
      <c r="F545" s="552">
        <v>0</v>
      </c>
      <c r="G545" s="465">
        <v>0</v>
      </c>
      <c r="H545" s="441">
        <v>0</v>
      </c>
      <c r="I545" s="440">
        <v>0</v>
      </c>
      <c r="J545" s="466">
        <f t="shared" si="104"/>
        <v>113670</v>
      </c>
      <c r="K545" s="466">
        <f t="shared" si="104"/>
        <v>0</v>
      </c>
      <c r="L545" s="564">
        <f t="shared" si="97"/>
        <v>-113670</v>
      </c>
      <c r="M545" s="565"/>
      <c r="N545" s="565"/>
    </row>
    <row r="546" spans="1:14" ht="18.7" customHeight="1" outlineLevel="7" x14ac:dyDescent="0.3">
      <c r="A546" s="438" t="s">
        <v>25</v>
      </c>
      <c r="B546" s="439" t="s">
        <v>501</v>
      </c>
      <c r="C546" s="439" t="s">
        <v>24</v>
      </c>
      <c r="D546" s="539" t="s">
        <v>329</v>
      </c>
      <c r="E546" s="539" t="s">
        <v>6</v>
      </c>
      <c r="F546" s="539" t="s">
        <v>976</v>
      </c>
      <c r="G546" s="465">
        <v>0</v>
      </c>
      <c r="H546" s="441">
        <v>0</v>
      </c>
      <c r="I546" s="440">
        <v>0</v>
      </c>
      <c r="J546" s="466">
        <f t="shared" si="104"/>
        <v>113670</v>
      </c>
      <c r="K546" s="466">
        <f t="shared" si="104"/>
        <v>0</v>
      </c>
      <c r="L546" s="564">
        <f t="shared" si="97"/>
        <v>-113670</v>
      </c>
      <c r="M546" s="565"/>
      <c r="N546" s="565"/>
    </row>
    <row r="547" spans="1:14" ht="34" outlineLevel="7" x14ac:dyDescent="0.3">
      <c r="A547" s="438" t="s">
        <v>15</v>
      </c>
      <c r="B547" s="439" t="s">
        <v>501</v>
      </c>
      <c r="C547" s="439" t="s">
        <v>24</v>
      </c>
      <c r="D547" s="539" t="s">
        <v>329</v>
      </c>
      <c r="E547" s="539" t="s">
        <v>16</v>
      </c>
      <c r="F547" s="539" t="s">
        <v>976</v>
      </c>
      <c r="G547" s="465">
        <v>0</v>
      </c>
      <c r="H547" s="441">
        <v>0</v>
      </c>
      <c r="I547" s="440">
        <v>0</v>
      </c>
      <c r="J547" s="466">
        <f t="shared" si="104"/>
        <v>113670</v>
      </c>
      <c r="K547" s="466">
        <f t="shared" si="104"/>
        <v>0</v>
      </c>
      <c r="L547" s="564">
        <f t="shared" si="97"/>
        <v>-113670</v>
      </c>
      <c r="M547" s="565"/>
      <c r="N547" s="565"/>
    </row>
    <row r="548" spans="1:14" ht="34" outlineLevel="7" x14ac:dyDescent="0.3">
      <c r="A548" s="438" t="s">
        <v>17</v>
      </c>
      <c r="B548" s="439" t="s">
        <v>501</v>
      </c>
      <c r="C548" s="439" t="s">
        <v>24</v>
      </c>
      <c r="D548" s="539" t="s">
        <v>329</v>
      </c>
      <c r="E548" s="539" t="s">
        <v>18</v>
      </c>
      <c r="F548" s="539" t="s">
        <v>976</v>
      </c>
      <c r="G548" s="465">
        <v>0</v>
      </c>
      <c r="H548" s="441">
        <v>0</v>
      </c>
      <c r="I548" s="440">
        <v>0</v>
      </c>
      <c r="J548" s="466">
        <v>113670</v>
      </c>
      <c r="K548" s="466">
        <f>113670-113670</f>
        <v>0</v>
      </c>
      <c r="L548" s="564">
        <f t="shared" si="97"/>
        <v>-113670</v>
      </c>
      <c r="M548" s="565"/>
      <c r="N548" s="565"/>
    </row>
    <row r="549" spans="1:14" ht="50.95" outlineLevel="7" x14ac:dyDescent="0.3">
      <c r="A549" s="433" t="s">
        <v>546</v>
      </c>
      <c r="B549" s="434" t="s">
        <v>536</v>
      </c>
      <c r="C549" s="434" t="s">
        <v>5</v>
      </c>
      <c r="D549" s="537" t="s">
        <v>126</v>
      </c>
      <c r="E549" s="537" t="s">
        <v>6</v>
      </c>
      <c r="F549" s="538">
        <v>539922363.24000001</v>
      </c>
      <c r="G549" s="506">
        <f>G550+G701+G717</f>
        <v>645023103.13999999</v>
      </c>
      <c r="H549" s="435">
        <f>H550+H701+H717</f>
        <v>448686771.28000015</v>
      </c>
      <c r="I549" s="435">
        <f>I550+I701+I717</f>
        <v>585353722.39999998</v>
      </c>
      <c r="J549" s="506">
        <f>J550+J701+J717</f>
        <v>612217470.23000002</v>
      </c>
      <c r="K549" s="506">
        <f>K550+K701+K717</f>
        <v>600556949.43000007</v>
      </c>
      <c r="L549" s="564">
        <f t="shared" si="97"/>
        <v>-11660520.799999952</v>
      </c>
      <c r="M549" s="565">
        <f t="shared" si="99"/>
        <v>94.914037535973407</v>
      </c>
      <c r="N549" s="565">
        <f t="shared" si="98"/>
        <v>93.106269605920033</v>
      </c>
    </row>
    <row r="550" spans="1:14" outlineLevel="7" x14ac:dyDescent="0.3">
      <c r="A550" s="444" t="s">
        <v>69</v>
      </c>
      <c r="B550" s="445" t="s">
        <v>536</v>
      </c>
      <c r="C550" s="445" t="s">
        <v>70</v>
      </c>
      <c r="D550" s="541" t="s">
        <v>126</v>
      </c>
      <c r="E550" s="541" t="s">
        <v>6</v>
      </c>
      <c r="F550" s="540">
        <v>531585411.58999997</v>
      </c>
      <c r="G550" s="508">
        <f>G551+G587+G662+G681+G636</f>
        <v>638449559.35000002</v>
      </c>
      <c r="H550" s="446">
        <f>H551+H587+H662+H681+H636</f>
        <v>444707177.88000011</v>
      </c>
      <c r="I550" s="446">
        <f>I551+I587+I662+I681+I636</f>
        <v>580505853.39999998</v>
      </c>
      <c r="J550" s="508">
        <f>J551+J587+J662+J681+J636</f>
        <v>606382316.23000002</v>
      </c>
      <c r="K550" s="508">
        <f>K551+K587+K662+K681+K636</f>
        <v>594721795.43000007</v>
      </c>
      <c r="L550" s="564">
        <f t="shared" si="97"/>
        <v>-11660520.799999952</v>
      </c>
      <c r="M550" s="565">
        <f t="shared" si="99"/>
        <v>94.977325514540667</v>
      </c>
      <c r="N550" s="565">
        <f t="shared" si="98"/>
        <v>93.150944615809777</v>
      </c>
    </row>
    <row r="551" spans="1:14" outlineLevel="7" x14ac:dyDescent="0.3">
      <c r="A551" s="438" t="s">
        <v>110</v>
      </c>
      <c r="B551" s="439" t="s">
        <v>536</v>
      </c>
      <c r="C551" s="439" t="s">
        <v>111</v>
      </c>
      <c r="D551" s="539" t="s">
        <v>126</v>
      </c>
      <c r="E551" s="539" t="s">
        <v>6</v>
      </c>
      <c r="F551" s="540">
        <v>118364131.27</v>
      </c>
      <c r="G551" s="465">
        <f t="shared" ref="G551:K552" si="105">G552</f>
        <v>139928096.22</v>
      </c>
      <c r="H551" s="440">
        <f t="shared" si="105"/>
        <v>96923388.159999996</v>
      </c>
      <c r="I551" s="440">
        <f t="shared" si="105"/>
        <v>136647891</v>
      </c>
      <c r="J551" s="465">
        <f t="shared" si="105"/>
        <v>144617866.20000002</v>
      </c>
      <c r="K551" s="465">
        <f t="shared" si="105"/>
        <v>138855396.20000002</v>
      </c>
      <c r="L551" s="564">
        <f t="shared" si="97"/>
        <v>-5762470</v>
      </c>
      <c r="M551" s="565">
        <f t="shared" si="99"/>
        <v>103.35155705443644</v>
      </c>
      <c r="N551" s="565">
        <f t="shared" si="98"/>
        <v>99.233391971321154</v>
      </c>
    </row>
    <row r="552" spans="1:14" ht="34" outlineLevel="7" x14ac:dyDescent="0.3">
      <c r="A552" s="444" t="s">
        <v>825</v>
      </c>
      <c r="B552" s="445" t="s">
        <v>536</v>
      </c>
      <c r="C552" s="445" t="s">
        <v>111</v>
      </c>
      <c r="D552" s="541" t="s">
        <v>138</v>
      </c>
      <c r="E552" s="541" t="s">
        <v>6</v>
      </c>
      <c r="F552" s="542">
        <v>118364131.27</v>
      </c>
      <c r="G552" s="508">
        <f t="shared" si="105"/>
        <v>139928096.22</v>
      </c>
      <c r="H552" s="446">
        <f t="shared" si="105"/>
        <v>96923388.159999996</v>
      </c>
      <c r="I552" s="446">
        <f t="shared" si="105"/>
        <v>136647891</v>
      </c>
      <c r="J552" s="508">
        <f t="shared" si="105"/>
        <v>144617866.20000002</v>
      </c>
      <c r="K552" s="508">
        <f t="shared" si="105"/>
        <v>138855396.20000002</v>
      </c>
      <c r="L552" s="564">
        <f t="shared" si="97"/>
        <v>-5762470</v>
      </c>
      <c r="M552" s="565">
        <f t="shared" si="99"/>
        <v>103.35155705443644</v>
      </c>
      <c r="N552" s="565">
        <f t="shared" si="98"/>
        <v>99.233391971321154</v>
      </c>
    </row>
    <row r="553" spans="1:14" ht="34" outlineLevel="7" x14ac:dyDescent="0.3">
      <c r="A553" s="438" t="s">
        <v>834</v>
      </c>
      <c r="B553" s="439" t="s">
        <v>536</v>
      </c>
      <c r="C553" s="439" t="s">
        <v>111</v>
      </c>
      <c r="D553" s="539" t="s">
        <v>139</v>
      </c>
      <c r="E553" s="539" t="s">
        <v>6</v>
      </c>
      <c r="F553" s="542">
        <v>118364131.27</v>
      </c>
      <c r="G553" s="465">
        <f>G554+G561</f>
        <v>139928096.22</v>
      </c>
      <c r="H553" s="440">
        <f>H554+H561</f>
        <v>96923388.159999996</v>
      </c>
      <c r="I553" s="440">
        <f>I554+I561</f>
        <v>136647891</v>
      </c>
      <c r="J553" s="465">
        <f>J554+J561</f>
        <v>144617866.20000002</v>
      </c>
      <c r="K553" s="465">
        <f>K554+K561</f>
        <v>138855396.20000002</v>
      </c>
      <c r="L553" s="564">
        <f t="shared" si="97"/>
        <v>-5762470</v>
      </c>
      <c r="M553" s="565">
        <f t="shared" si="99"/>
        <v>103.35155705443644</v>
      </c>
      <c r="N553" s="565">
        <f t="shared" si="98"/>
        <v>99.233391971321154</v>
      </c>
    </row>
    <row r="554" spans="1:14" ht="50.95" outlineLevel="7" x14ac:dyDescent="0.3">
      <c r="A554" s="450" t="s">
        <v>202</v>
      </c>
      <c r="B554" s="439" t="s">
        <v>536</v>
      </c>
      <c r="C554" s="439" t="s">
        <v>111</v>
      </c>
      <c r="D554" s="539" t="s">
        <v>219</v>
      </c>
      <c r="E554" s="539" t="s">
        <v>6</v>
      </c>
      <c r="F554" s="540">
        <v>116865686.84</v>
      </c>
      <c r="G554" s="465">
        <f>G555+G558</f>
        <v>130093742.69</v>
      </c>
      <c r="H554" s="440">
        <f>H555+H558</f>
        <v>91675352.060000002</v>
      </c>
      <c r="I554" s="440">
        <f>I555+I558</f>
        <v>134240407.59999999</v>
      </c>
      <c r="J554" s="465">
        <f>J555+J558</f>
        <v>139153899.30000001</v>
      </c>
      <c r="K554" s="465">
        <f>K555+K558</f>
        <v>138408929.30000001</v>
      </c>
      <c r="L554" s="564">
        <f t="shared" si="97"/>
        <v>-744970</v>
      </c>
      <c r="M554" s="565">
        <f t="shared" si="99"/>
        <v>106.96432927722698</v>
      </c>
      <c r="N554" s="565">
        <f t="shared" si="98"/>
        <v>106.39168836107224</v>
      </c>
    </row>
    <row r="555" spans="1:14" ht="50.95" outlineLevel="7" x14ac:dyDescent="0.3">
      <c r="A555" s="438" t="s">
        <v>113</v>
      </c>
      <c r="B555" s="439" t="s">
        <v>536</v>
      </c>
      <c r="C555" s="439" t="s">
        <v>111</v>
      </c>
      <c r="D555" s="539" t="s">
        <v>144</v>
      </c>
      <c r="E555" s="539" t="s">
        <v>6</v>
      </c>
      <c r="F555" s="540">
        <v>41271815.840000004</v>
      </c>
      <c r="G555" s="465">
        <f t="shared" ref="G555:K556" si="106">G556</f>
        <v>45003324.689999998</v>
      </c>
      <c r="H555" s="440">
        <f t="shared" si="106"/>
        <v>31822280.059999999</v>
      </c>
      <c r="I555" s="440">
        <f t="shared" si="106"/>
        <v>48316977.600000001</v>
      </c>
      <c r="J555" s="465">
        <f t="shared" si="106"/>
        <v>49664655.299999997</v>
      </c>
      <c r="K555" s="465">
        <f t="shared" si="106"/>
        <v>48919685.299999997</v>
      </c>
      <c r="L555" s="564">
        <f t="shared" si="97"/>
        <v>-744970</v>
      </c>
      <c r="M555" s="565">
        <f t="shared" si="99"/>
        <v>110.35774721558688</v>
      </c>
      <c r="N555" s="565">
        <f t="shared" si="98"/>
        <v>108.70238062849218</v>
      </c>
    </row>
    <row r="556" spans="1:14" ht="34" outlineLevel="7" x14ac:dyDescent="0.3">
      <c r="A556" s="438" t="s">
        <v>37</v>
      </c>
      <c r="B556" s="439" t="s">
        <v>536</v>
      </c>
      <c r="C556" s="439" t="s">
        <v>111</v>
      </c>
      <c r="D556" s="539" t="s">
        <v>144</v>
      </c>
      <c r="E556" s="539" t="s">
        <v>38</v>
      </c>
      <c r="F556" s="540">
        <v>41271815.840000004</v>
      </c>
      <c r="G556" s="465">
        <f t="shared" si="106"/>
        <v>45003324.689999998</v>
      </c>
      <c r="H556" s="440">
        <f t="shared" si="106"/>
        <v>31822280.059999999</v>
      </c>
      <c r="I556" s="440">
        <f t="shared" si="106"/>
        <v>48316977.600000001</v>
      </c>
      <c r="J556" s="465">
        <f t="shared" si="106"/>
        <v>49664655.299999997</v>
      </c>
      <c r="K556" s="465">
        <f t="shared" si="106"/>
        <v>48919685.299999997</v>
      </c>
      <c r="L556" s="564">
        <f t="shared" si="97"/>
        <v>-744970</v>
      </c>
      <c r="M556" s="565">
        <f t="shared" si="99"/>
        <v>110.35774721558688</v>
      </c>
      <c r="N556" s="565">
        <f t="shared" si="98"/>
        <v>108.70238062849218</v>
      </c>
    </row>
    <row r="557" spans="1:14" outlineLevel="7" x14ac:dyDescent="0.3">
      <c r="A557" s="438" t="s">
        <v>74</v>
      </c>
      <c r="B557" s="439" t="s">
        <v>536</v>
      </c>
      <c r="C557" s="439" t="s">
        <v>111</v>
      </c>
      <c r="D557" s="539" t="s">
        <v>144</v>
      </c>
      <c r="E557" s="539" t="s">
        <v>75</v>
      </c>
      <c r="F557" s="540">
        <v>41271815.840000004</v>
      </c>
      <c r="G557" s="466">
        <f>[2]потребность!I504-3300000+556776+859477+84223.69</f>
        <v>45003324.689999998</v>
      </c>
      <c r="H557" s="443">
        <v>31822280.059999999</v>
      </c>
      <c r="I557" s="442">
        <v>48316977.600000001</v>
      </c>
      <c r="J557" s="466">
        <f>49664655.3+500000-500000</f>
        <v>49664655.299999997</v>
      </c>
      <c r="K557" s="466">
        <f>49664655.3-744970</f>
        <v>48919685.299999997</v>
      </c>
      <c r="L557" s="564">
        <f t="shared" si="97"/>
        <v>-744970</v>
      </c>
      <c r="M557" s="565">
        <f t="shared" si="99"/>
        <v>110.35774721558688</v>
      </c>
      <c r="N557" s="565">
        <f t="shared" si="98"/>
        <v>108.70238062849218</v>
      </c>
    </row>
    <row r="558" spans="1:14" ht="101.9" outlineLevel="7" x14ac:dyDescent="0.3">
      <c r="A558" s="450" t="s">
        <v>397</v>
      </c>
      <c r="B558" s="439" t="s">
        <v>536</v>
      </c>
      <c r="C558" s="439" t="s">
        <v>111</v>
      </c>
      <c r="D558" s="539" t="s">
        <v>145</v>
      </c>
      <c r="E558" s="539" t="s">
        <v>6</v>
      </c>
      <c r="F558" s="540">
        <v>75593871</v>
      </c>
      <c r="G558" s="465">
        <f t="shared" ref="G558:K559" si="107">G559</f>
        <v>85090418</v>
      </c>
      <c r="H558" s="440">
        <f t="shared" si="107"/>
        <v>59853072</v>
      </c>
      <c r="I558" s="440">
        <f t="shared" si="107"/>
        <v>85923430</v>
      </c>
      <c r="J558" s="465">
        <f t="shared" si="107"/>
        <v>89489244</v>
      </c>
      <c r="K558" s="465">
        <f t="shared" si="107"/>
        <v>89489244</v>
      </c>
      <c r="L558" s="564">
        <f t="shared" si="97"/>
        <v>0</v>
      </c>
      <c r="M558" s="565">
        <f t="shared" si="99"/>
        <v>105.16959030569106</v>
      </c>
      <c r="N558" s="565">
        <f t="shared" si="98"/>
        <v>105.16959030569106</v>
      </c>
    </row>
    <row r="559" spans="1:14" ht="34" outlineLevel="7" x14ac:dyDescent="0.3">
      <c r="A559" s="438" t="s">
        <v>37</v>
      </c>
      <c r="B559" s="439" t="s">
        <v>536</v>
      </c>
      <c r="C559" s="439" t="s">
        <v>111</v>
      </c>
      <c r="D559" s="539" t="s">
        <v>145</v>
      </c>
      <c r="E559" s="539" t="s">
        <v>38</v>
      </c>
      <c r="F559" s="540">
        <v>75593871</v>
      </c>
      <c r="G559" s="465">
        <f t="shared" si="107"/>
        <v>85090418</v>
      </c>
      <c r="H559" s="440">
        <f t="shared" si="107"/>
        <v>59853072</v>
      </c>
      <c r="I559" s="440">
        <f t="shared" si="107"/>
        <v>85923430</v>
      </c>
      <c r="J559" s="465">
        <f t="shared" si="107"/>
        <v>89489244</v>
      </c>
      <c r="K559" s="465">
        <f t="shared" si="107"/>
        <v>89489244</v>
      </c>
      <c r="L559" s="564">
        <f t="shared" si="97"/>
        <v>0</v>
      </c>
      <c r="M559" s="565">
        <f t="shared" si="99"/>
        <v>105.16959030569106</v>
      </c>
      <c r="N559" s="565">
        <f t="shared" si="98"/>
        <v>105.16959030569106</v>
      </c>
    </row>
    <row r="560" spans="1:14" ht="24.8" customHeight="1" outlineLevel="7" x14ac:dyDescent="0.3">
      <c r="A560" s="438" t="s">
        <v>74</v>
      </c>
      <c r="B560" s="439" t="s">
        <v>536</v>
      </c>
      <c r="C560" s="439" t="s">
        <v>111</v>
      </c>
      <c r="D560" s="539" t="s">
        <v>145</v>
      </c>
      <c r="E560" s="539" t="s">
        <v>75</v>
      </c>
      <c r="F560" s="540">
        <v>75593871</v>
      </c>
      <c r="G560" s="466">
        <f>81227204+3863214</f>
        <v>85090418</v>
      </c>
      <c r="H560" s="443">
        <v>59853072</v>
      </c>
      <c r="I560" s="442">
        <v>85923430</v>
      </c>
      <c r="J560" s="466">
        <v>89489244</v>
      </c>
      <c r="K560" s="466">
        <v>89489244</v>
      </c>
      <c r="L560" s="564">
        <f t="shared" si="97"/>
        <v>0</v>
      </c>
      <c r="M560" s="565">
        <f t="shared" si="99"/>
        <v>105.16959030569106</v>
      </c>
      <c r="N560" s="565">
        <f t="shared" si="98"/>
        <v>105.16959030569106</v>
      </c>
    </row>
    <row r="561" spans="1:14" ht="34" outlineLevel="7" x14ac:dyDescent="0.3">
      <c r="A561" s="450" t="s">
        <v>203</v>
      </c>
      <c r="B561" s="439" t="s">
        <v>536</v>
      </c>
      <c r="C561" s="439" t="s">
        <v>111</v>
      </c>
      <c r="D561" s="539" t="s">
        <v>221</v>
      </c>
      <c r="E561" s="539" t="s">
        <v>6</v>
      </c>
      <c r="F561" s="540">
        <v>1498444.43</v>
      </c>
      <c r="G561" s="466">
        <f>G580+G562+G565+G568+G571+G574</f>
        <v>9834353.5300000012</v>
      </c>
      <c r="H561" s="442">
        <f>H580+H562+H565+H568+H571+H574</f>
        <v>5248036.0999999996</v>
      </c>
      <c r="I561" s="442">
        <f>I580+I562+I565+I568+I571+I574</f>
        <v>2407483.4</v>
      </c>
      <c r="J561" s="466">
        <f>J580+J562+J565+J568+J571+J574</f>
        <v>5463966.9000000004</v>
      </c>
      <c r="K561" s="466">
        <f>K580+K562+K565+K568+K571+K574</f>
        <v>446466.9</v>
      </c>
      <c r="L561" s="564">
        <f t="shared" si="97"/>
        <v>-5017500</v>
      </c>
      <c r="M561" s="565">
        <f t="shared" si="99"/>
        <v>55.560000800581342</v>
      </c>
      <c r="N561" s="565">
        <f t="shared" si="98"/>
        <v>4.5398703497697017</v>
      </c>
    </row>
    <row r="562" spans="1:14" ht="34" outlineLevel="7" x14ac:dyDescent="0.3">
      <c r="A562" s="438" t="s">
        <v>282</v>
      </c>
      <c r="B562" s="439" t="s">
        <v>536</v>
      </c>
      <c r="C562" s="439" t="s">
        <v>111</v>
      </c>
      <c r="D562" s="539" t="s">
        <v>283</v>
      </c>
      <c r="E562" s="539" t="s">
        <v>6</v>
      </c>
      <c r="F562" s="540">
        <v>97500</v>
      </c>
      <c r="G562" s="466">
        <f t="shared" ref="G562:K563" si="108">G563</f>
        <v>97500</v>
      </c>
      <c r="H562" s="442">
        <f t="shared" si="108"/>
        <v>0</v>
      </c>
      <c r="I562" s="442">
        <f t="shared" si="108"/>
        <v>97500</v>
      </c>
      <c r="J562" s="466">
        <f t="shared" si="108"/>
        <v>100000</v>
      </c>
      <c r="K562" s="466">
        <f t="shared" si="108"/>
        <v>100000</v>
      </c>
      <c r="L562" s="564">
        <f t="shared" si="97"/>
        <v>0</v>
      </c>
      <c r="M562" s="565">
        <f t="shared" si="99"/>
        <v>102.56410256410257</v>
      </c>
      <c r="N562" s="565">
        <f t="shared" si="98"/>
        <v>102.56410256410255</v>
      </c>
    </row>
    <row r="563" spans="1:14" ht="22.75" customHeight="1" outlineLevel="7" x14ac:dyDescent="0.3">
      <c r="A563" s="438" t="s">
        <v>37</v>
      </c>
      <c r="B563" s="439" t="s">
        <v>536</v>
      </c>
      <c r="C563" s="439" t="s">
        <v>111</v>
      </c>
      <c r="D563" s="539" t="s">
        <v>283</v>
      </c>
      <c r="E563" s="539" t="s">
        <v>38</v>
      </c>
      <c r="F563" s="540">
        <v>97500</v>
      </c>
      <c r="G563" s="466">
        <f t="shared" si="108"/>
        <v>97500</v>
      </c>
      <c r="H563" s="442">
        <f t="shared" si="108"/>
        <v>0</v>
      </c>
      <c r="I563" s="442">
        <f t="shared" si="108"/>
        <v>97500</v>
      </c>
      <c r="J563" s="466">
        <f t="shared" si="108"/>
        <v>100000</v>
      </c>
      <c r="K563" s="466">
        <f t="shared" si="108"/>
        <v>100000</v>
      </c>
      <c r="L563" s="564">
        <f t="shared" si="97"/>
        <v>0</v>
      </c>
      <c r="M563" s="565">
        <f t="shared" si="99"/>
        <v>102.56410256410257</v>
      </c>
      <c r="N563" s="565">
        <f t="shared" si="98"/>
        <v>102.56410256410255</v>
      </c>
    </row>
    <row r="564" spans="1:14" outlineLevel="7" x14ac:dyDescent="0.3">
      <c r="A564" s="438" t="s">
        <v>74</v>
      </c>
      <c r="B564" s="439" t="s">
        <v>536</v>
      </c>
      <c r="C564" s="439" t="s">
        <v>111</v>
      </c>
      <c r="D564" s="539" t="s">
        <v>283</v>
      </c>
      <c r="E564" s="539" t="s">
        <v>75</v>
      </c>
      <c r="F564" s="540">
        <v>97500</v>
      </c>
      <c r="G564" s="466">
        <v>97500</v>
      </c>
      <c r="H564" s="443"/>
      <c r="I564" s="442">
        <v>97500</v>
      </c>
      <c r="J564" s="466">
        <v>100000</v>
      </c>
      <c r="K564" s="466">
        <v>100000</v>
      </c>
      <c r="L564" s="564">
        <f t="shared" si="97"/>
        <v>0</v>
      </c>
      <c r="M564" s="565">
        <f t="shared" si="99"/>
        <v>102.56410256410257</v>
      </c>
      <c r="N564" s="565">
        <f t="shared" si="98"/>
        <v>102.56410256410255</v>
      </c>
    </row>
    <row r="565" spans="1:14" ht="34" outlineLevel="7" x14ac:dyDescent="0.3">
      <c r="A565" s="438" t="s">
        <v>268</v>
      </c>
      <c r="B565" s="439" t="s">
        <v>536</v>
      </c>
      <c r="C565" s="439" t="s">
        <v>111</v>
      </c>
      <c r="D565" s="539" t="s">
        <v>284</v>
      </c>
      <c r="E565" s="539" t="s">
        <v>6</v>
      </c>
      <c r="F565" s="540">
        <v>111181.43</v>
      </c>
      <c r="G565" s="466">
        <f>G566</f>
        <v>152000</v>
      </c>
      <c r="H565" s="442">
        <f>H566</f>
        <v>77979.91</v>
      </c>
      <c r="I565" s="442">
        <f>I566</f>
        <v>152000</v>
      </c>
      <c r="J565" s="466">
        <f>J566</f>
        <v>158000</v>
      </c>
      <c r="K565" s="466">
        <f>K566</f>
        <v>158000</v>
      </c>
      <c r="L565" s="564">
        <f t="shared" si="97"/>
        <v>0</v>
      </c>
      <c r="M565" s="565">
        <f t="shared" si="99"/>
        <v>103.94736842105263</v>
      </c>
      <c r="N565" s="565">
        <f t="shared" si="98"/>
        <v>103.94736842105263</v>
      </c>
    </row>
    <row r="566" spans="1:14" ht="34" outlineLevel="7" x14ac:dyDescent="0.3">
      <c r="A566" s="438" t="s">
        <v>37</v>
      </c>
      <c r="B566" s="439" t="s">
        <v>536</v>
      </c>
      <c r="C566" s="439" t="s">
        <v>111</v>
      </c>
      <c r="D566" s="539" t="s">
        <v>284</v>
      </c>
      <c r="E566" s="539" t="s">
        <v>38</v>
      </c>
      <c r="F566" s="540">
        <v>111181.43</v>
      </c>
      <c r="G566" s="466">
        <f>G567</f>
        <v>152000</v>
      </c>
      <c r="H566" s="442">
        <f>H567</f>
        <v>77979.91</v>
      </c>
      <c r="I566" s="442">
        <v>152000</v>
      </c>
      <c r="J566" s="466">
        <f>J567</f>
        <v>158000</v>
      </c>
      <c r="K566" s="466">
        <f>K567</f>
        <v>158000</v>
      </c>
      <c r="L566" s="564">
        <f t="shared" si="97"/>
        <v>0</v>
      </c>
      <c r="M566" s="565">
        <f t="shared" si="99"/>
        <v>103.94736842105263</v>
      </c>
      <c r="N566" s="565">
        <f t="shared" si="98"/>
        <v>103.94736842105263</v>
      </c>
    </row>
    <row r="567" spans="1:14" outlineLevel="7" x14ac:dyDescent="0.3">
      <c r="A567" s="438" t="s">
        <v>74</v>
      </c>
      <c r="B567" s="439" t="s">
        <v>536</v>
      </c>
      <c r="C567" s="439" t="s">
        <v>111</v>
      </c>
      <c r="D567" s="539" t="s">
        <v>284</v>
      </c>
      <c r="E567" s="539" t="s">
        <v>75</v>
      </c>
      <c r="F567" s="540">
        <v>111181.43</v>
      </c>
      <c r="G567" s="466">
        <v>152000</v>
      </c>
      <c r="H567" s="443">
        <v>77979.91</v>
      </c>
      <c r="I567" s="442">
        <v>152000</v>
      </c>
      <c r="J567" s="466">
        <v>158000</v>
      </c>
      <c r="K567" s="466">
        <v>158000</v>
      </c>
      <c r="L567" s="564">
        <f t="shared" si="97"/>
        <v>0</v>
      </c>
      <c r="M567" s="565">
        <f t="shared" si="99"/>
        <v>103.94736842105263</v>
      </c>
      <c r="N567" s="565">
        <f t="shared" si="98"/>
        <v>103.94736842105263</v>
      </c>
    </row>
    <row r="568" spans="1:14" outlineLevel="7" x14ac:dyDescent="0.3">
      <c r="A568" s="438" t="s">
        <v>311</v>
      </c>
      <c r="B568" s="439" t="s">
        <v>536</v>
      </c>
      <c r="C568" s="439" t="s">
        <v>111</v>
      </c>
      <c r="D568" s="539" t="s">
        <v>534</v>
      </c>
      <c r="E568" s="539" t="s">
        <v>6</v>
      </c>
      <c r="F568" s="540">
        <v>413306</v>
      </c>
      <c r="G568" s="466">
        <f t="shared" ref="G568:K569" si="109">G569</f>
        <v>92750</v>
      </c>
      <c r="H568" s="442">
        <f t="shared" si="109"/>
        <v>4700</v>
      </c>
      <c r="I568" s="442">
        <f t="shared" si="109"/>
        <v>400000</v>
      </c>
      <c r="J568" s="466">
        <f t="shared" si="109"/>
        <v>2200000</v>
      </c>
      <c r="K568" s="466">
        <f t="shared" si="109"/>
        <v>0</v>
      </c>
      <c r="L568" s="564">
        <f t="shared" si="97"/>
        <v>-2200000</v>
      </c>
      <c r="M568" s="565">
        <f t="shared" si="99"/>
        <v>2371.967654986523</v>
      </c>
      <c r="N568" s="565">
        <f t="shared" si="98"/>
        <v>0</v>
      </c>
    </row>
    <row r="569" spans="1:14" ht="34" outlineLevel="7" x14ac:dyDescent="0.3">
      <c r="A569" s="438" t="s">
        <v>37</v>
      </c>
      <c r="B569" s="439" t="s">
        <v>536</v>
      </c>
      <c r="C569" s="439" t="s">
        <v>111</v>
      </c>
      <c r="D569" s="539" t="s">
        <v>534</v>
      </c>
      <c r="E569" s="539" t="s">
        <v>38</v>
      </c>
      <c r="F569" s="540">
        <v>413306</v>
      </c>
      <c r="G569" s="466">
        <f t="shared" si="109"/>
        <v>92750</v>
      </c>
      <c r="H569" s="442">
        <f t="shared" si="109"/>
        <v>4700</v>
      </c>
      <c r="I569" s="442">
        <f t="shared" si="109"/>
        <v>400000</v>
      </c>
      <c r="J569" s="466">
        <f t="shared" si="109"/>
        <v>2200000</v>
      </c>
      <c r="K569" s="466">
        <f t="shared" si="109"/>
        <v>0</v>
      </c>
      <c r="L569" s="564">
        <f t="shared" si="97"/>
        <v>-2200000</v>
      </c>
      <c r="M569" s="565">
        <f t="shared" si="99"/>
        <v>2371.967654986523</v>
      </c>
      <c r="N569" s="565">
        <f t="shared" si="98"/>
        <v>0</v>
      </c>
    </row>
    <row r="570" spans="1:14" outlineLevel="7" x14ac:dyDescent="0.3">
      <c r="A570" s="438" t="s">
        <v>74</v>
      </c>
      <c r="B570" s="439" t="s">
        <v>536</v>
      </c>
      <c r="C570" s="439" t="s">
        <v>111</v>
      </c>
      <c r="D570" s="539" t="s">
        <v>534</v>
      </c>
      <c r="E570" s="539" t="s">
        <v>75</v>
      </c>
      <c r="F570" s="540">
        <v>413306</v>
      </c>
      <c r="G570" s="466">
        <f>273250-180500</f>
        <v>92750</v>
      </c>
      <c r="H570" s="443">
        <v>4700</v>
      </c>
      <c r="I570" s="442">
        <v>400000</v>
      </c>
      <c r="J570" s="466">
        <v>2200000</v>
      </c>
      <c r="K570" s="466">
        <f>2200000-2200000</f>
        <v>0</v>
      </c>
      <c r="L570" s="564">
        <f t="shared" si="97"/>
        <v>-2200000</v>
      </c>
      <c r="M570" s="565">
        <f t="shared" si="99"/>
        <v>2371.967654986523</v>
      </c>
      <c r="N570" s="565">
        <f t="shared" si="98"/>
        <v>0</v>
      </c>
    </row>
    <row r="571" spans="1:14" ht="50.95" outlineLevel="7" x14ac:dyDescent="0.3">
      <c r="A571" s="450" t="s">
        <v>458</v>
      </c>
      <c r="B571" s="439" t="s">
        <v>536</v>
      </c>
      <c r="C571" s="439" t="s">
        <v>111</v>
      </c>
      <c r="D571" s="539" t="s">
        <v>459</v>
      </c>
      <c r="E571" s="539" t="s">
        <v>6</v>
      </c>
      <c r="F571" s="540">
        <v>125600</v>
      </c>
      <c r="G571" s="466">
        <f t="shared" ref="G571:K572" si="110">G572</f>
        <v>6000000</v>
      </c>
      <c r="H571" s="442">
        <f t="shared" si="110"/>
        <v>1800000</v>
      </c>
      <c r="I571" s="442">
        <f t="shared" si="110"/>
        <v>1400000</v>
      </c>
      <c r="J571" s="466">
        <f t="shared" si="110"/>
        <v>2817500</v>
      </c>
      <c r="K571" s="466">
        <f t="shared" si="110"/>
        <v>0</v>
      </c>
      <c r="L571" s="564">
        <f t="shared" si="97"/>
        <v>-2817500</v>
      </c>
      <c r="M571" s="565">
        <f t="shared" si="99"/>
        <v>46.958333333333336</v>
      </c>
      <c r="N571" s="565">
        <f t="shared" si="98"/>
        <v>0</v>
      </c>
    </row>
    <row r="572" spans="1:14" ht="34" outlineLevel="7" x14ac:dyDescent="0.3">
      <c r="A572" s="438" t="s">
        <v>37</v>
      </c>
      <c r="B572" s="439" t="s">
        <v>536</v>
      </c>
      <c r="C572" s="439" t="s">
        <v>111</v>
      </c>
      <c r="D572" s="539" t="s">
        <v>459</v>
      </c>
      <c r="E572" s="539" t="s">
        <v>38</v>
      </c>
      <c r="F572" s="540">
        <v>125600</v>
      </c>
      <c r="G572" s="466">
        <f t="shared" si="110"/>
        <v>6000000</v>
      </c>
      <c r="H572" s="442">
        <f t="shared" si="110"/>
        <v>1800000</v>
      </c>
      <c r="I572" s="442">
        <f t="shared" si="110"/>
        <v>1400000</v>
      </c>
      <c r="J572" s="466">
        <f t="shared" si="110"/>
        <v>2817500</v>
      </c>
      <c r="K572" s="466">
        <f t="shared" si="110"/>
        <v>0</v>
      </c>
      <c r="L572" s="564">
        <f t="shared" si="97"/>
        <v>-2817500</v>
      </c>
      <c r="M572" s="565">
        <f t="shared" si="99"/>
        <v>46.958333333333336</v>
      </c>
      <c r="N572" s="565">
        <f t="shared" si="98"/>
        <v>0</v>
      </c>
    </row>
    <row r="573" spans="1:14" ht="17.7" outlineLevel="2" thickBot="1" x14ac:dyDescent="0.35">
      <c r="A573" s="438" t="s">
        <v>74</v>
      </c>
      <c r="B573" s="439" t="s">
        <v>536</v>
      </c>
      <c r="C573" s="439" t="s">
        <v>111</v>
      </c>
      <c r="D573" s="539" t="s">
        <v>459</v>
      </c>
      <c r="E573" s="539" t="s">
        <v>75</v>
      </c>
      <c r="F573" s="540">
        <v>125600</v>
      </c>
      <c r="G573" s="466">
        <f>[2]потребность!I520+3300000-3000000-400000+6000000</f>
        <v>6000000</v>
      </c>
      <c r="H573" s="443">
        <v>1800000</v>
      </c>
      <c r="I573" s="442">
        <v>1400000</v>
      </c>
      <c r="J573" s="466">
        <v>2817500</v>
      </c>
      <c r="K573" s="466">
        <f>2817500-2817500</f>
        <v>0</v>
      </c>
      <c r="L573" s="564">
        <f t="shared" si="97"/>
        <v>-2817500</v>
      </c>
      <c r="M573" s="565">
        <f t="shared" si="99"/>
        <v>46.958333333333336</v>
      </c>
      <c r="N573" s="565">
        <f t="shared" si="98"/>
        <v>0</v>
      </c>
    </row>
    <row r="574" spans="1:14" s="449" customFormat="1" ht="57.25" customHeight="1" outlineLevel="3" thickBot="1" x14ac:dyDescent="0.35">
      <c r="A574" s="470" t="s">
        <v>938</v>
      </c>
      <c r="B574" s="439" t="s">
        <v>536</v>
      </c>
      <c r="C574" s="439" t="s">
        <v>111</v>
      </c>
      <c r="D574" s="539" t="s">
        <v>726</v>
      </c>
      <c r="E574" s="539" t="s">
        <v>6</v>
      </c>
      <c r="F574" s="540">
        <v>343895</v>
      </c>
      <c r="G574" s="466">
        <f>G575</f>
        <v>3492103.5300000003</v>
      </c>
      <c r="H574" s="442">
        <f>H575</f>
        <v>3365356.19</v>
      </c>
      <c r="I574" s="442">
        <v>0</v>
      </c>
      <c r="J574" s="507">
        <v>0</v>
      </c>
      <c r="K574" s="507">
        <v>0</v>
      </c>
      <c r="L574" s="564">
        <f t="shared" si="97"/>
        <v>0</v>
      </c>
      <c r="M574" s="565">
        <f t="shared" si="99"/>
        <v>0</v>
      </c>
      <c r="N574" s="565">
        <f t="shared" si="98"/>
        <v>0</v>
      </c>
    </row>
    <row r="575" spans="1:14" ht="23.95" customHeight="1" outlineLevel="4" x14ac:dyDescent="0.3">
      <c r="A575" s="438" t="s">
        <v>37</v>
      </c>
      <c r="B575" s="439" t="s">
        <v>536</v>
      </c>
      <c r="C575" s="439" t="s">
        <v>111</v>
      </c>
      <c r="D575" s="539" t="s">
        <v>726</v>
      </c>
      <c r="E575" s="539" t="s">
        <v>38</v>
      </c>
      <c r="F575" s="540">
        <v>343895</v>
      </c>
      <c r="G575" s="466">
        <f>G576</f>
        <v>3492103.5300000003</v>
      </c>
      <c r="H575" s="442">
        <f>H576</f>
        <v>3365356.19</v>
      </c>
      <c r="I575" s="442">
        <v>0</v>
      </c>
      <c r="J575" s="466">
        <v>0</v>
      </c>
      <c r="K575" s="466">
        <v>0</v>
      </c>
      <c r="L575" s="564">
        <f t="shared" si="97"/>
        <v>0</v>
      </c>
      <c r="M575" s="565">
        <f t="shared" si="99"/>
        <v>0</v>
      </c>
      <c r="N575" s="565">
        <f t="shared" si="98"/>
        <v>0</v>
      </c>
    </row>
    <row r="576" spans="1:14" ht="22.75" customHeight="1" outlineLevel="4" x14ac:dyDescent="0.3">
      <c r="A576" s="438" t="s">
        <v>74</v>
      </c>
      <c r="B576" s="439" t="s">
        <v>536</v>
      </c>
      <c r="C576" s="439" t="s">
        <v>111</v>
      </c>
      <c r="D576" s="539" t="s">
        <v>726</v>
      </c>
      <c r="E576" s="539" t="s">
        <v>75</v>
      </c>
      <c r="F576" s="540">
        <v>343895</v>
      </c>
      <c r="G576" s="466">
        <f>[2]потребность!L521+340000+282103.53+400000+70000</f>
        <v>3492103.5300000003</v>
      </c>
      <c r="H576" s="443">
        <v>3365356.19</v>
      </c>
      <c r="I576" s="442">
        <v>0</v>
      </c>
      <c r="J576" s="466">
        <v>0</v>
      </c>
      <c r="K576" s="466">
        <v>0</v>
      </c>
      <c r="L576" s="564">
        <f t="shared" si="97"/>
        <v>0</v>
      </c>
      <c r="M576" s="565">
        <f t="shared" si="99"/>
        <v>0</v>
      </c>
      <c r="N576" s="565">
        <f t="shared" si="98"/>
        <v>0</v>
      </c>
    </row>
    <row r="577" spans="1:14" ht="73.400000000000006" customHeight="1" outlineLevel="4" x14ac:dyDescent="0.3">
      <c r="A577" s="393" t="s">
        <v>589</v>
      </c>
      <c r="B577" s="439" t="s">
        <v>536</v>
      </c>
      <c r="C577" s="439" t="s">
        <v>111</v>
      </c>
      <c r="D577" s="539" t="s">
        <v>590</v>
      </c>
      <c r="E577" s="539" t="s">
        <v>6</v>
      </c>
      <c r="F577" s="540">
        <v>394753.14</v>
      </c>
      <c r="G577" s="466">
        <f>G578</f>
        <v>0</v>
      </c>
      <c r="H577" s="442">
        <f>H578</f>
        <v>0</v>
      </c>
      <c r="I577" s="442">
        <v>0</v>
      </c>
      <c r="J577" s="466">
        <v>0</v>
      </c>
      <c r="K577" s="466">
        <v>0</v>
      </c>
      <c r="L577" s="564">
        <f t="shared" si="97"/>
        <v>0</v>
      </c>
      <c r="M577" s="565"/>
      <c r="N577" s="565"/>
    </row>
    <row r="578" spans="1:14" ht="43.5" customHeight="1" outlineLevel="4" x14ac:dyDescent="0.3">
      <c r="A578" s="438" t="s">
        <v>37</v>
      </c>
      <c r="B578" s="439" t="s">
        <v>536</v>
      </c>
      <c r="C578" s="439" t="s">
        <v>111</v>
      </c>
      <c r="D578" s="539" t="s">
        <v>590</v>
      </c>
      <c r="E578" s="539" t="s">
        <v>38</v>
      </c>
      <c r="F578" s="540">
        <v>394753.14</v>
      </c>
      <c r="G578" s="466">
        <f>G579</f>
        <v>0</v>
      </c>
      <c r="H578" s="442">
        <f>H579</f>
        <v>0</v>
      </c>
      <c r="I578" s="442">
        <v>0</v>
      </c>
      <c r="J578" s="466">
        <v>0</v>
      </c>
      <c r="K578" s="466">
        <v>0</v>
      </c>
      <c r="L578" s="564">
        <f t="shared" si="97"/>
        <v>0</v>
      </c>
      <c r="M578" s="565"/>
      <c r="N578" s="565"/>
    </row>
    <row r="579" spans="1:14" ht="30.75" customHeight="1" outlineLevel="4" x14ac:dyDescent="0.3">
      <c r="A579" s="438" t="s">
        <v>74</v>
      </c>
      <c r="B579" s="439" t="s">
        <v>536</v>
      </c>
      <c r="C579" s="439" t="s">
        <v>111</v>
      </c>
      <c r="D579" s="539" t="s">
        <v>590</v>
      </c>
      <c r="E579" s="539" t="s">
        <v>75</v>
      </c>
      <c r="F579" s="540">
        <v>394753.14</v>
      </c>
      <c r="G579" s="466">
        <v>0</v>
      </c>
      <c r="H579" s="442">
        <v>0</v>
      </c>
      <c r="I579" s="442">
        <v>0</v>
      </c>
      <c r="J579" s="466">
        <v>0</v>
      </c>
      <c r="K579" s="466">
        <v>0</v>
      </c>
      <c r="L579" s="564">
        <f t="shared" si="97"/>
        <v>0</v>
      </c>
      <c r="M579" s="565"/>
      <c r="N579" s="565"/>
    </row>
    <row r="580" spans="1:14" ht="67.95" outlineLevel="5" x14ac:dyDescent="0.3">
      <c r="A580" s="438" t="s">
        <v>443</v>
      </c>
      <c r="B580" s="439" t="s">
        <v>536</v>
      </c>
      <c r="C580" s="439" t="s">
        <v>111</v>
      </c>
      <c r="D580" s="539" t="s">
        <v>444</v>
      </c>
      <c r="E580" s="539" t="s">
        <v>6</v>
      </c>
      <c r="F580" s="540">
        <v>12208.86</v>
      </c>
      <c r="G580" s="466">
        <f t="shared" ref="G580:K581" si="111">G581</f>
        <v>0</v>
      </c>
      <c r="H580" s="442">
        <f t="shared" si="111"/>
        <v>0</v>
      </c>
      <c r="I580" s="442">
        <f t="shared" si="111"/>
        <v>357983.4</v>
      </c>
      <c r="J580" s="466">
        <f t="shared" si="111"/>
        <v>188466.9</v>
      </c>
      <c r="K580" s="466">
        <f t="shared" si="111"/>
        <v>188466.9</v>
      </c>
      <c r="L580" s="564">
        <f t="shared" si="97"/>
        <v>0</v>
      </c>
      <c r="M580" s="565"/>
      <c r="N580" s="565"/>
    </row>
    <row r="581" spans="1:14" ht="34" outlineLevel="6" x14ac:dyDescent="0.3">
      <c r="A581" s="438" t="s">
        <v>37</v>
      </c>
      <c r="B581" s="439" t="s">
        <v>536</v>
      </c>
      <c r="C581" s="439" t="s">
        <v>111</v>
      </c>
      <c r="D581" s="539" t="s">
        <v>444</v>
      </c>
      <c r="E581" s="539" t="s">
        <v>38</v>
      </c>
      <c r="F581" s="540">
        <v>12208.86</v>
      </c>
      <c r="G581" s="466">
        <f t="shared" si="111"/>
        <v>0</v>
      </c>
      <c r="H581" s="442">
        <f t="shared" si="111"/>
        <v>0</v>
      </c>
      <c r="I581" s="442">
        <f t="shared" si="111"/>
        <v>357983.4</v>
      </c>
      <c r="J581" s="466">
        <f t="shared" si="111"/>
        <v>188466.9</v>
      </c>
      <c r="K581" s="466">
        <f t="shared" si="111"/>
        <v>188466.9</v>
      </c>
      <c r="L581" s="564">
        <f t="shared" si="97"/>
        <v>0</v>
      </c>
      <c r="M581" s="565"/>
      <c r="N581" s="565"/>
    </row>
    <row r="582" spans="1:14" ht="20.25" customHeight="1" outlineLevel="7" x14ac:dyDescent="0.3">
      <c r="A582" s="438" t="s">
        <v>74</v>
      </c>
      <c r="B582" s="439" t="s">
        <v>536</v>
      </c>
      <c r="C582" s="439" t="s">
        <v>111</v>
      </c>
      <c r="D582" s="539" t="s">
        <v>444</v>
      </c>
      <c r="E582" s="539" t="s">
        <v>75</v>
      </c>
      <c r="F582" s="540">
        <v>12208.86</v>
      </c>
      <c r="G582" s="466">
        <f>282103.53-282103.53</f>
        <v>0</v>
      </c>
      <c r="H582" s="442">
        <f>282103.53-282103.53</f>
        <v>0</v>
      </c>
      <c r="I582" s="442">
        <v>357983.4</v>
      </c>
      <c r="J582" s="466">
        <v>188466.9</v>
      </c>
      <c r="K582" s="466">
        <v>188466.9</v>
      </c>
      <c r="L582" s="564">
        <f t="shared" si="97"/>
        <v>0</v>
      </c>
      <c r="M582" s="565"/>
      <c r="N582" s="565"/>
    </row>
    <row r="583" spans="1:14" ht="63.7" hidden="1" customHeight="1" outlineLevel="5" x14ac:dyDescent="0.3">
      <c r="A583" s="451" t="s">
        <v>591</v>
      </c>
      <c r="B583" s="439" t="s">
        <v>536</v>
      </c>
      <c r="C583" s="439" t="s">
        <v>111</v>
      </c>
      <c r="D583" s="539" t="s">
        <v>592</v>
      </c>
      <c r="E583" s="539" t="s">
        <v>6</v>
      </c>
      <c r="F583" s="539" t="s">
        <v>976</v>
      </c>
      <c r="G583" s="466">
        <f t="shared" ref="G583:H585" si="112">G584</f>
        <v>0</v>
      </c>
      <c r="H583" s="442">
        <f t="shared" si="112"/>
        <v>0</v>
      </c>
      <c r="I583" s="442">
        <v>0</v>
      </c>
      <c r="J583" s="466">
        <v>0</v>
      </c>
      <c r="K583" s="466">
        <v>0</v>
      </c>
      <c r="L583" s="564">
        <f t="shared" si="97"/>
        <v>0</v>
      </c>
      <c r="M583" s="565"/>
      <c r="N583" s="565"/>
    </row>
    <row r="584" spans="1:14" ht="101.9" hidden="1" outlineLevel="5" x14ac:dyDescent="0.3">
      <c r="A584" s="450" t="s">
        <v>562</v>
      </c>
      <c r="B584" s="439" t="s">
        <v>536</v>
      </c>
      <c r="C584" s="439" t="s">
        <v>111</v>
      </c>
      <c r="D584" s="539" t="s">
        <v>675</v>
      </c>
      <c r="E584" s="539" t="s">
        <v>6</v>
      </c>
      <c r="F584" s="539" t="s">
        <v>976</v>
      </c>
      <c r="G584" s="466">
        <f t="shared" si="112"/>
        <v>0</v>
      </c>
      <c r="H584" s="442">
        <f t="shared" si="112"/>
        <v>0</v>
      </c>
      <c r="I584" s="442">
        <v>0</v>
      </c>
      <c r="J584" s="466">
        <v>0</v>
      </c>
      <c r="K584" s="466">
        <v>0</v>
      </c>
      <c r="L584" s="564">
        <f t="shared" ref="L584:L647" si="113">K584-J584</f>
        <v>0</v>
      </c>
      <c r="M584" s="565"/>
      <c r="N584" s="565"/>
    </row>
    <row r="585" spans="1:14" ht="50.95" hidden="1" outlineLevel="5" x14ac:dyDescent="0.3">
      <c r="A585" s="438" t="s">
        <v>264</v>
      </c>
      <c r="B585" s="439" t="s">
        <v>536</v>
      </c>
      <c r="C585" s="439" t="s">
        <v>111</v>
      </c>
      <c r="D585" s="539" t="s">
        <v>675</v>
      </c>
      <c r="E585" s="539" t="s">
        <v>265</v>
      </c>
      <c r="F585" s="539" t="s">
        <v>976</v>
      </c>
      <c r="G585" s="466">
        <f t="shared" si="112"/>
        <v>0</v>
      </c>
      <c r="H585" s="442">
        <f t="shared" si="112"/>
        <v>0</v>
      </c>
      <c r="I585" s="442">
        <v>0</v>
      </c>
      <c r="J585" s="466">
        <v>0</v>
      </c>
      <c r="K585" s="466">
        <v>0</v>
      </c>
      <c r="L585" s="564">
        <f t="shared" si="113"/>
        <v>0</v>
      </c>
      <c r="M585" s="565"/>
      <c r="N585" s="565"/>
    </row>
    <row r="586" spans="1:14" ht="24.8" hidden="1" customHeight="1" outlineLevel="5" x14ac:dyDescent="0.3">
      <c r="A586" s="438" t="s">
        <v>266</v>
      </c>
      <c r="B586" s="439" t="s">
        <v>536</v>
      </c>
      <c r="C586" s="439" t="s">
        <v>111</v>
      </c>
      <c r="D586" s="539" t="s">
        <v>675</v>
      </c>
      <c r="E586" s="539" t="s">
        <v>267</v>
      </c>
      <c r="F586" s="539" t="s">
        <v>976</v>
      </c>
      <c r="G586" s="466">
        <v>0</v>
      </c>
      <c r="H586" s="442">
        <v>0</v>
      </c>
      <c r="I586" s="442">
        <v>0</v>
      </c>
      <c r="J586" s="466">
        <v>0</v>
      </c>
      <c r="K586" s="466">
        <v>0</v>
      </c>
      <c r="L586" s="564">
        <f t="shared" si="113"/>
        <v>0</v>
      </c>
      <c r="M586" s="565"/>
      <c r="N586" s="565"/>
    </row>
    <row r="587" spans="1:14" outlineLevel="5" x14ac:dyDescent="0.3">
      <c r="A587" s="438" t="s">
        <v>71</v>
      </c>
      <c r="B587" s="439" t="s">
        <v>536</v>
      </c>
      <c r="C587" s="439" t="s">
        <v>72</v>
      </c>
      <c r="D587" s="539" t="s">
        <v>126</v>
      </c>
      <c r="E587" s="539" t="s">
        <v>6</v>
      </c>
      <c r="F587" s="540">
        <v>367630079.58999997</v>
      </c>
      <c r="G587" s="465">
        <f t="shared" ref="G587:K588" si="114">G588</f>
        <v>448315829.87</v>
      </c>
      <c r="H587" s="440">
        <f t="shared" si="114"/>
        <v>311413061.14000005</v>
      </c>
      <c r="I587" s="440">
        <f t="shared" si="114"/>
        <v>391756723.39999998</v>
      </c>
      <c r="J587" s="465">
        <f t="shared" si="114"/>
        <v>407407265.77999997</v>
      </c>
      <c r="K587" s="465">
        <f t="shared" si="114"/>
        <v>403407265.77999997</v>
      </c>
      <c r="L587" s="564">
        <f t="shared" si="113"/>
        <v>-4000000</v>
      </c>
      <c r="M587" s="565">
        <f t="shared" ref="M587:M646" si="115">J587/G587%</f>
        <v>90.875056965563218</v>
      </c>
      <c r="N587" s="565">
        <f t="shared" ref="N587:N646" si="116">K587/G587*100</f>
        <v>89.982828823371605</v>
      </c>
    </row>
    <row r="588" spans="1:14" ht="34" outlineLevel="5" x14ac:dyDescent="0.3">
      <c r="A588" s="444" t="s">
        <v>825</v>
      </c>
      <c r="B588" s="445" t="s">
        <v>536</v>
      </c>
      <c r="C588" s="445" t="s">
        <v>72</v>
      </c>
      <c r="D588" s="541" t="s">
        <v>138</v>
      </c>
      <c r="E588" s="541" t="s">
        <v>6</v>
      </c>
      <c r="F588" s="542">
        <v>367630079.58999997</v>
      </c>
      <c r="G588" s="508">
        <f t="shared" si="114"/>
        <v>448315829.87</v>
      </c>
      <c r="H588" s="446">
        <f t="shared" si="114"/>
        <v>311413061.14000005</v>
      </c>
      <c r="I588" s="446">
        <f t="shared" si="114"/>
        <v>391756723.39999998</v>
      </c>
      <c r="J588" s="508">
        <f t="shared" si="114"/>
        <v>407407265.77999997</v>
      </c>
      <c r="K588" s="508">
        <f t="shared" si="114"/>
        <v>403407265.77999997</v>
      </c>
      <c r="L588" s="564">
        <f t="shared" si="113"/>
        <v>-4000000</v>
      </c>
      <c r="M588" s="565">
        <f t="shared" si="115"/>
        <v>90.875056965563218</v>
      </c>
      <c r="N588" s="565">
        <f t="shared" si="116"/>
        <v>89.982828823371605</v>
      </c>
    </row>
    <row r="589" spans="1:14" ht="45" customHeight="1" outlineLevel="5" x14ac:dyDescent="0.3">
      <c r="A589" s="438" t="s">
        <v>831</v>
      </c>
      <c r="B589" s="439" t="s">
        <v>536</v>
      </c>
      <c r="C589" s="439" t="s">
        <v>72</v>
      </c>
      <c r="D589" s="539" t="s">
        <v>146</v>
      </c>
      <c r="E589" s="539" t="s">
        <v>6</v>
      </c>
      <c r="F589" s="542">
        <v>367630079.58999997</v>
      </c>
      <c r="G589" s="465">
        <f>G590+G606+G625+G629</f>
        <v>448315829.87</v>
      </c>
      <c r="H589" s="440">
        <f>H590+H606+H625+H629</f>
        <v>311413061.14000005</v>
      </c>
      <c r="I589" s="440">
        <f>I590+I606+I625+I629</f>
        <v>391756723.39999998</v>
      </c>
      <c r="J589" s="465">
        <f>J590+J606+J625+J629</f>
        <v>407407265.77999997</v>
      </c>
      <c r="K589" s="465">
        <f>K590+K606+K625+K629</f>
        <v>403407265.77999997</v>
      </c>
      <c r="L589" s="564">
        <f t="shared" si="113"/>
        <v>-4000000</v>
      </c>
      <c r="M589" s="565">
        <f t="shared" si="115"/>
        <v>90.875056965563218</v>
      </c>
      <c r="N589" s="565">
        <f t="shared" si="116"/>
        <v>89.982828823371605</v>
      </c>
    </row>
    <row r="590" spans="1:14" ht="45.7" customHeight="1" outlineLevel="5" x14ac:dyDescent="0.3">
      <c r="A590" s="450" t="s">
        <v>205</v>
      </c>
      <c r="B590" s="439" t="s">
        <v>536</v>
      </c>
      <c r="C590" s="439" t="s">
        <v>72</v>
      </c>
      <c r="D590" s="539" t="s">
        <v>222</v>
      </c>
      <c r="E590" s="539" t="s">
        <v>6</v>
      </c>
      <c r="F590" s="540">
        <v>351510244.41000003</v>
      </c>
      <c r="G590" s="465">
        <f>G591+G594+G597+G600+G603</f>
        <v>376463222.84000003</v>
      </c>
      <c r="H590" s="440">
        <f>H591+H594+H597+H600+H603</f>
        <v>270640249.52000004</v>
      </c>
      <c r="I590" s="440">
        <f>I591+I594+I597+I600+I603</f>
        <v>380525659.37</v>
      </c>
      <c r="J590" s="465">
        <f>J591+J594+J597+J600+J603</f>
        <v>393003907.13999999</v>
      </c>
      <c r="K590" s="465">
        <f>K591+K594+K597+K600+K603</f>
        <v>392003907.13999999</v>
      </c>
      <c r="L590" s="564">
        <f t="shared" si="113"/>
        <v>-1000000</v>
      </c>
      <c r="M590" s="565">
        <f t="shared" si="115"/>
        <v>104.39370522709196</v>
      </c>
      <c r="N590" s="565">
        <f t="shared" si="116"/>
        <v>104.1280750302148</v>
      </c>
    </row>
    <row r="591" spans="1:14" ht="67.95" outlineLevel="5" x14ac:dyDescent="0.3">
      <c r="A591" s="397" t="s">
        <v>593</v>
      </c>
      <c r="B591" s="439" t="s">
        <v>536</v>
      </c>
      <c r="C591" s="439" t="s">
        <v>72</v>
      </c>
      <c r="D591" s="539" t="s">
        <v>594</v>
      </c>
      <c r="E591" s="539" t="s">
        <v>6</v>
      </c>
      <c r="F591" s="540">
        <v>19603028.300000001</v>
      </c>
      <c r="G591" s="465">
        <f t="shared" ref="G591:K592" si="117">G592</f>
        <v>20475000</v>
      </c>
      <c r="H591" s="440">
        <f t="shared" si="117"/>
        <v>15369721.029999999</v>
      </c>
      <c r="I591" s="440">
        <f t="shared" si="117"/>
        <v>20475000</v>
      </c>
      <c r="J591" s="465">
        <f t="shared" si="117"/>
        <v>21060000</v>
      </c>
      <c r="K591" s="465">
        <f t="shared" si="117"/>
        <v>21060000</v>
      </c>
      <c r="L591" s="564">
        <f t="shared" si="113"/>
        <v>0</v>
      </c>
      <c r="M591" s="565">
        <f t="shared" si="115"/>
        <v>102.85714285714286</v>
      </c>
      <c r="N591" s="565">
        <f t="shared" si="116"/>
        <v>102.85714285714285</v>
      </c>
    </row>
    <row r="592" spans="1:14" ht="34" outlineLevel="5" x14ac:dyDescent="0.3">
      <c r="A592" s="438" t="s">
        <v>37</v>
      </c>
      <c r="B592" s="439" t="s">
        <v>536</v>
      </c>
      <c r="C592" s="439" t="s">
        <v>72</v>
      </c>
      <c r="D592" s="539" t="s">
        <v>594</v>
      </c>
      <c r="E592" s="539" t="s">
        <v>38</v>
      </c>
      <c r="F592" s="540">
        <v>19603028.300000001</v>
      </c>
      <c r="G592" s="465">
        <f t="shared" si="117"/>
        <v>20475000</v>
      </c>
      <c r="H592" s="440">
        <f t="shared" si="117"/>
        <v>15369721.029999999</v>
      </c>
      <c r="I592" s="440">
        <f t="shared" si="117"/>
        <v>20475000</v>
      </c>
      <c r="J592" s="465">
        <f t="shared" si="117"/>
        <v>21060000</v>
      </c>
      <c r="K592" s="465">
        <f t="shared" si="117"/>
        <v>21060000</v>
      </c>
      <c r="L592" s="564">
        <f t="shared" si="113"/>
        <v>0</v>
      </c>
      <c r="M592" s="565">
        <f t="shared" si="115"/>
        <v>102.85714285714286</v>
      </c>
      <c r="N592" s="565">
        <f t="shared" si="116"/>
        <v>102.85714285714285</v>
      </c>
    </row>
    <row r="593" spans="1:14" outlineLevel="5" x14ac:dyDescent="0.3">
      <c r="A593" s="438" t="s">
        <v>74</v>
      </c>
      <c r="B593" s="439" t="s">
        <v>536</v>
      </c>
      <c r="C593" s="439" t="s">
        <v>72</v>
      </c>
      <c r="D593" s="539" t="s">
        <v>594</v>
      </c>
      <c r="E593" s="539" t="s">
        <v>75</v>
      </c>
      <c r="F593" s="540">
        <v>19603028.300000001</v>
      </c>
      <c r="G593" s="465">
        <v>20475000</v>
      </c>
      <c r="H593" s="441">
        <v>15369721.029999999</v>
      </c>
      <c r="I593" s="440">
        <v>20475000</v>
      </c>
      <c r="J593" s="465">
        <v>21060000</v>
      </c>
      <c r="K593" s="465">
        <v>21060000</v>
      </c>
      <c r="L593" s="564">
        <f t="shared" si="113"/>
        <v>0</v>
      </c>
      <c r="M593" s="565">
        <f t="shared" si="115"/>
        <v>102.85714285714286</v>
      </c>
      <c r="N593" s="565">
        <f t="shared" si="116"/>
        <v>102.85714285714285</v>
      </c>
    </row>
    <row r="594" spans="1:14" ht="50.95" outlineLevel="5" x14ac:dyDescent="0.3">
      <c r="A594" s="438" t="s">
        <v>114</v>
      </c>
      <c r="B594" s="439" t="s">
        <v>536</v>
      </c>
      <c r="C594" s="439" t="s">
        <v>72</v>
      </c>
      <c r="D594" s="539" t="s">
        <v>147</v>
      </c>
      <c r="E594" s="539" t="s">
        <v>6</v>
      </c>
      <c r="F594" s="540">
        <v>90019549.159999996</v>
      </c>
      <c r="G594" s="465">
        <f t="shared" ref="G594:K595" si="118">G595</f>
        <v>98033803.840000004</v>
      </c>
      <c r="H594" s="440">
        <f t="shared" si="118"/>
        <v>68707267.829999998</v>
      </c>
      <c r="I594" s="440">
        <f t="shared" si="118"/>
        <v>95919169.370000005</v>
      </c>
      <c r="J594" s="465">
        <f t="shared" si="118"/>
        <v>102159299.14</v>
      </c>
      <c r="K594" s="465">
        <f t="shared" si="118"/>
        <v>101159299.14</v>
      </c>
      <c r="L594" s="564">
        <f t="shared" si="113"/>
        <v>-1000000</v>
      </c>
      <c r="M594" s="565">
        <f t="shared" si="115"/>
        <v>104.20823750421148</v>
      </c>
      <c r="N594" s="565">
        <f t="shared" si="116"/>
        <v>103.18818119625459</v>
      </c>
    </row>
    <row r="595" spans="1:14" ht="34" outlineLevel="5" x14ac:dyDescent="0.3">
      <c r="A595" s="438" t="s">
        <v>37</v>
      </c>
      <c r="B595" s="439" t="s">
        <v>536</v>
      </c>
      <c r="C595" s="439" t="s">
        <v>72</v>
      </c>
      <c r="D595" s="539" t="s">
        <v>147</v>
      </c>
      <c r="E595" s="539" t="s">
        <v>38</v>
      </c>
      <c r="F595" s="540">
        <v>90019549.159999996</v>
      </c>
      <c r="G595" s="465">
        <f t="shared" si="118"/>
        <v>98033803.840000004</v>
      </c>
      <c r="H595" s="440">
        <f t="shared" si="118"/>
        <v>68707267.829999998</v>
      </c>
      <c r="I595" s="440">
        <f t="shared" si="118"/>
        <v>95919169.370000005</v>
      </c>
      <c r="J595" s="465">
        <f t="shared" si="118"/>
        <v>102159299.14</v>
      </c>
      <c r="K595" s="465">
        <f t="shared" si="118"/>
        <v>101159299.14</v>
      </c>
      <c r="L595" s="564">
        <f t="shared" si="113"/>
        <v>-1000000</v>
      </c>
      <c r="M595" s="565">
        <f t="shared" si="115"/>
        <v>104.20823750421148</v>
      </c>
      <c r="N595" s="565">
        <f t="shared" si="116"/>
        <v>103.18818119625459</v>
      </c>
    </row>
    <row r="596" spans="1:14" outlineLevel="5" x14ac:dyDescent="0.3">
      <c r="A596" s="438" t="s">
        <v>74</v>
      </c>
      <c r="B596" s="439" t="s">
        <v>536</v>
      </c>
      <c r="C596" s="439" t="s">
        <v>72</v>
      </c>
      <c r="D596" s="539" t="s">
        <v>147</v>
      </c>
      <c r="E596" s="539" t="s">
        <v>75</v>
      </c>
      <c r="F596" s="540">
        <v>90019549.159999996</v>
      </c>
      <c r="G596" s="466">
        <f>[2]потребность!I543-4490000+1689516+590000+85160-50000+1454727+1150987.84</f>
        <v>98033803.840000004</v>
      </c>
      <c r="H596" s="443">
        <v>68707267.829999998</v>
      </c>
      <c r="I596" s="442">
        <v>95919169.370000005</v>
      </c>
      <c r="J596" s="466">
        <f>102159299.14+1100000+95625.42-1100000-95625.42</f>
        <v>102159299.14</v>
      </c>
      <c r="K596" s="466">
        <f>102159299.14+1100000+95625.42-1100000-95625.42-1000000</f>
        <v>101159299.14</v>
      </c>
      <c r="L596" s="564">
        <f t="shared" si="113"/>
        <v>-1000000</v>
      </c>
      <c r="M596" s="565">
        <f t="shared" si="115"/>
        <v>104.20823750421148</v>
      </c>
      <c r="N596" s="565">
        <f t="shared" si="116"/>
        <v>103.18818119625459</v>
      </c>
    </row>
    <row r="597" spans="1:14" ht="135.85" outlineLevel="5" x14ac:dyDescent="0.3">
      <c r="A597" s="450" t="s">
        <v>400</v>
      </c>
      <c r="B597" s="439" t="s">
        <v>536</v>
      </c>
      <c r="C597" s="439" t="s">
        <v>72</v>
      </c>
      <c r="D597" s="539" t="s">
        <v>148</v>
      </c>
      <c r="E597" s="539" t="s">
        <v>6</v>
      </c>
      <c r="F597" s="540">
        <v>232256540</v>
      </c>
      <c r="G597" s="465">
        <f t="shared" ref="G597:K598" si="119">G598</f>
        <v>247077819</v>
      </c>
      <c r="H597" s="440">
        <f t="shared" si="119"/>
        <v>179186292</v>
      </c>
      <c r="I597" s="440">
        <f t="shared" si="119"/>
        <v>253254890</v>
      </c>
      <c r="J597" s="465">
        <f t="shared" si="119"/>
        <v>256548408</v>
      </c>
      <c r="K597" s="465">
        <f t="shared" si="119"/>
        <v>256548408</v>
      </c>
      <c r="L597" s="564">
        <f t="shared" si="113"/>
        <v>0</v>
      </c>
      <c r="M597" s="565">
        <f t="shared" si="115"/>
        <v>103.83303893418292</v>
      </c>
      <c r="N597" s="565">
        <f t="shared" si="116"/>
        <v>103.83303893418292</v>
      </c>
    </row>
    <row r="598" spans="1:14" ht="34" outlineLevel="5" x14ac:dyDescent="0.3">
      <c r="A598" s="438" t="s">
        <v>37</v>
      </c>
      <c r="B598" s="439" t="s">
        <v>536</v>
      </c>
      <c r="C598" s="439" t="s">
        <v>72</v>
      </c>
      <c r="D598" s="539" t="s">
        <v>148</v>
      </c>
      <c r="E598" s="539" t="s">
        <v>38</v>
      </c>
      <c r="F598" s="540">
        <v>232256540</v>
      </c>
      <c r="G598" s="465">
        <f t="shared" si="119"/>
        <v>247077819</v>
      </c>
      <c r="H598" s="440">
        <f t="shared" si="119"/>
        <v>179186292</v>
      </c>
      <c r="I598" s="440">
        <f t="shared" si="119"/>
        <v>253254890</v>
      </c>
      <c r="J598" s="465">
        <f t="shared" si="119"/>
        <v>256548408</v>
      </c>
      <c r="K598" s="465">
        <f t="shared" si="119"/>
        <v>256548408</v>
      </c>
      <c r="L598" s="564">
        <f t="shared" si="113"/>
        <v>0</v>
      </c>
      <c r="M598" s="565">
        <f t="shared" si="115"/>
        <v>103.83303893418292</v>
      </c>
      <c r="N598" s="565">
        <f t="shared" si="116"/>
        <v>103.83303893418292</v>
      </c>
    </row>
    <row r="599" spans="1:14" outlineLevel="5" x14ac:dyDescent="0.3">
      <c r="A599" s="438" t="s">
        <v>74</v>
      </c>
      <c r="B599" s="439" t="s">
        <v>536</v>
      </c>
      <c r="C599" s="439" t="s">
        <v>72</v>
      </c>
      <c r="D599" s="539" t="s">
        <v>148</v>
      </c>
      <c r="E599" s="539" t="s">
        <v>75</v>
      </c>
      <c r="F599" s="540">
        <v>232256540</v>
      </c>
      <c r="G599" s="466">
        <f>238943015.2+8134803.8</f>
        <v>247077819</v>
      </c>
      <c r="H599" s="443">
        <v>179186292</v>
      </c>
      <c r="I599" s="442">
        <v>253254890</v>
      </c>
      <c r="J599" s="466">
        <v>256548408</v>
      </c>
      <c r="K599" s="466">
        <v>256548408</v>
      </c>
      <c r="L599" s="564">
        <f t="shared" si="113"/>
        <v>0</v>
      </c>
      <c r="M599" s="565">
        <f t="shared" si="115"/>
        <v>103.83303893418292</v>
      </c>
      <c r="N599" s="565">
        <f t="shared" si="116"/>
        <v>103.83303893418292</v>
      </c>
    </row>
    <row r="600" spans="1:14" ht="135.85" outlineLevel="5" x14ac:dyDescent="0.3">
      <c r="A600" s="397" t="s">
        <v>470</v>
      </c>
      <c r="B600" s="439" t="s">
        <v>536</v>
      </c>
      <c r="C600" s="439" t="s">
        <v>72</v>
      </c>
      <c r="D600" s="539" t="s">
        <v>471</v>
      </c>
      <c r="E600" s="539" t="s">
        <v>6</v>
      </c>
      <c r="F600" s="540">
        <v>9631126.9499999993</v>
      </c>
      <c r="G600" s="466">
        <f>G601</f>
        <v>0</v>
      </c>
      <c r="H600" s="442">
        <f>H601</f>
        <v>0</v>
      </c>
      <c r="I600" s="442"/>
      <c r="J600" s="466">
        <v>0</v>
      </c>
      <c r="K600" s="466">
        <v>0</v>
      </c>
      <c r="L600" s="564">
        <f t="shared" si="113"/>
        <v>0</v>
      </c>
      <c r="M600" s="565"/>
      <c r="N600" s="565"/>
    </row>
    <row r="601" spans="1:14" ht="34" outlineLevel="5" x14ac:dyDescent="0.3">
      <c r="A601" s="438" t="s">
        <v>37</v>
      </c>
      <c r="B601" s="439" t="s">
        <v>536</v>
      </c>
      <c r="C601" s="439" t="s">
        <v>72</v>
      </c>
      <c r="D601" s="539" t="s">
        <v>471</v>
      </c>
      <c r="E601" s="539" t="s">
        <v>38</v>
      </c>
      <c r="F601" s="540">
        <v>9631126.9499999993</v>
      </c>
      <c r="G601" s="466">
        <v>0</v>
      </c>
      <c r="H601" s="442">
        <v>0</v>
      </c>
      <c r="I601" s="442"/>
      <c r="J601" s="466">
        <v>0</v>
      </c>
      <c r="K601" s="466">
        <v>0</v>
      </c>
      <c r="L601" s="564">
        <f t="shared" si="113"/>
        <v>0</v>
      </c>
      <c r="M601" s="565"/>
      <c r="N601" s="565"/>
    </row>
    <row r="602" spans="1:14" outlineLevel="5" x14ac:dyDescent="0.3">
      <c r="A602" s="438" t="s">
        <v>74</v>
      </c>
      <c r="B602" s="439" t="s">
        <v>536</v>
      </c>
      <c r="C602" s="439" t="s">
        <v>72</v>
      </c>
      <c r="D602" s="539" t="s">
        <v>471</v>
      </c>
      <c r="E602" s="539" t="s">
        <v>75</v>
      </c>
      <c r="F602" s="540">
        <v>9631126.9499999993</v>
      </c>
      <c r="G602" s="466">
        <v>0</v>
      </c>
      <c r="H602" s="442">
        <v>0</v>
      </c>
      <c r="I602" s="442"/>
      <c r="J602" s="466">
        <v>0</v>
      </c>
      <c r="K602" s="466">
        <v>0</v>
      </c>
      <c r="L602" s="564">
        <f t="shared" si="113"/>
        <v>0</v>
      </c>
      <c r="M602" s="565"/>
      <c r="N602" s="565"/>
    </row>
    <row r="603" spans="1:14" ht="135.85" outlineLevel="5" x14ac:dyDescent="0.3">
      <c r="A603" s="397" t="s">
        <v>470</v>
      </c>
      <c r="B603" s="439" t="s">
        <v>536</v>
      </c>
      <c r="C603" s="439" t="s">
        <v>72</v>
      </c>
      <c r="D603" s="539" t="s">
        <v>922</v>
      </c>
      <c r="E603" s="539" t="s">
        <v>6</v>
      </c>
      <c r="F603" s="539"/>
      <c r="G603" s="466">
        <f t="shared" ref="G603:K604" si="120">G604</f>
        <v>10876600</v>
      </c>
      <c r="H603" s="442">
        <f t="shared" si="120"/>
        <v>7376968.6600000001</v>
      </c>
      <c r="I603" s="442">
        <f t="shared" si="120"/>
        <v>10876600</v>
      </c>
      <c r="J603" s="466">
        <f t="shared" si="120"/>
        <v>13236200</v>
      </c>
      <c r="K603" s="466">
        <f t="shared" si="120"/>
        <v>13236200</v>
      </c>
      <c r="L603" s="564">
        <f t="shared" si="113"/>
        <v>0</v>
      </c>
      <c r="M603" s="565">
        <f t="shared" si="115"/>
        <v>121.69427946233198</v>
      </c>
      <c r="N603" s="565">
        <f t="shared" si="116"/>
        <v>121.69427946233198</v>
      </c>
    </row>
    <row r="604" spans="1:14" ht="34" outlineLevel="5" x14ac:dyDescent="0.3">
      <c r="A604" s="438" t="s">
        <v>37</v>
      </c>
      <c r="B604" s="439" t="s">
        <v>536</v>
      </c>
      <c r="C604" s="439" t="s">
        <v>72</v>
      </c>
      <c r="D604" s="539" t="s">
        <v>922</v>
      </c>
      <c r="E604" s="539" t="s">
        <v>38</v>
      </c>
      <c r="F604" s="539"/>
      <c r="G604" s="466">
        <f t="shared" si="120"/>
        <v>10876600</v>
      </c>
      <c r="H604" s="442">
        <f t="shared" si="120"/>
        <v>7376968.6600000001</v>
      </c>
      <c r="I604" s="442">
        <f t="shared" si="120"/>
        <v>10876600</v>
      </c>
      <c r="J604" s="466">
        <f t="shared" si="120"/>
        <v>13236200</v>
      </c>
      <c r="K604" s="466">
        <f t="shared" si="120"/>
        <v>13236200</v>
      </c>
      <c r="L604" s="564">
        <f t="shared" si="113"/>
        <v>0</v>
      </c>
      <c r="M604" s="565">
        <f t="shared" si="115"/>
        <v>121.69427946233198</v>
      </c>
      <c r="N604" s="565">
        <f t="shared" si="116"/>
        <v>121.69427946233198</v>
      </c>
    </row>
    <row r="605" spans="1:14" outlineLevel="5" x14ac:dyDescent="0.3">
      <c r="A605" s="438" t="s">
        <v>74</v>
      </c>
      <c r="B605" s="439" t="s">
        <v>536</v>
      </c>
      <c r="C605" s="439" t="s">
        <v>72</v>
      </c>
      <c r="D605" s="539" t="s">
        <v>922</v>
      </c>
      <c r="E605" s="539" t="s">
        <v>75</v>
      </c>
      <c r="F605" s="539"/>
      <c r="G605" s="466">
        <v>10876600</v>
      </c>
      <c r="H605" s="443">
        <v>7376968.6600000001</v>
      </c>
      <c r="I605" s="442">
        <v>10876600</v>
      </c>
      <c r="J605" s="466">
        <v>13236200</v>
      </c>
      <c r="K605" s="466">
        <v>13236200</v>
      </c>
      <c r="L605" s="564">
        <f t="shared" si="113"/>
        <v>0</v>
      </c>
      <c r="M605" s="565">
        <f t="shared" si="115"/>
        <v>121.69427946233198</v>
      </c>
      <c r="N605" s="565">
        <f t="shared" si="116"/>
        <v>121.69427946233198</v>
      </c>
    </row>
    <row r="606" spans="1:14" ht="34" outlineLevel="5" x14ac:dyDescent="0.3">
      <c r="A606" s="450" t="s">
        <v>206</v>
      </c>
      <c r="B606" s="439" t="s">
        <v>536</v>
      </c>
      <c r="C606" s="439" t="s">
        <v>72</v>
      </c>
      <c r="D606" s="539" t="s">
        <v>220</v>
      </c>
      <c r="E606" s="539" t="s">
        <v>6</v>
      </c>
      <c r="F606" s="540">
        <v>8008436.3600000003</v>
      </c>
      <c r="G606" s="466">
        <f>G619+G607+G610+G616+G613+G622+G633</f>
        <v>65735157.030000001</v>
      </c>
      <c r="H606" s="442">
        <f>H619+H607+H610+H616+H613+H622+H633</f>
        <v>36949732.850000001</v>
      </c>
      <c r="I606" s="442">
        <f>I619+I607+I610+I616+I613+I622+I633</f>
        <v>2356579.52</v>
      </c>
      <c r="J606" s="466">
        <f>J619+J607+J610+J616+J613+J622+J633</f>
        <v>4214979.5199999996</v>
      </c>
      <c r="K606" s="466">
        <f>K619+K607+K610+K616+K613+K622+K633</f>
        <v>1214979.52</v>
      </c>
      <c r="L606" s="564">
        <f t="shared" si="113"/>
        <v>-2999999.9999999995</v>
      </c>
      <c r="M606" s="565">
        <f t="shared" si="115"/>
        <v>6.4120627536895984</v>
      </c>
      <c r="N606" s="565">
        <f t="shared" si="116"/>
        <v>1.8482948469196043</v>
      </c>
    </row>
    <row r="607" spans="1:14" ht="34" outlineLevel="5" x14ac:dyDescent="0.3">
      <c r="A607" s="438" t="s">
        <v>268</v>
      </c>
      <c r="B607" s="439" t="s">
        <v>536</v>
      </c>
      <c r="C607" s="439" t="s">
        <v>72</v>
      </c>
      <c r="D607" s="539" t="s">
        <v>269</v>
      </c>
      <c r="E607" s="539" t="s">
        <v>6</v>
      </c>
      <c r="F607" s="540">
        <v>147686.07</v>
      </c>
      <c r="G607" s="466">
        <f t="shared" ref="G607:K608" si="121">G608</f>
        <v>212800</v>
      </c>
      <c r="H607" s="442">
        <f t="shared" si="121"/>
        <v>124850.48</v>
      </c>
      <c r="I607" s="442">
        <f t="shared" si="121"/>
        <v>212800</v>
      </c>
      <c r="J607" s="466">
        <f t="shared" si="121"/>
        <v>221200</v>
      </c>
      <c r="K607" s="466">
        <f t="shared" si="121"/>
        <v>221200</v>
      </c>
      <c r="L607" s="564">
        <f t="shared" si="113"/>
        <v>0</v>
      </c>
      <c r="M607" s="565">
        <f t="shared" si="115"/>
        <v>103.94736842105263</v>
      </c>
      <c r="N607" s="565">
        <f t="shared" si="116"/>
        <v>103.94736842105263</v>
      </c>
    </row>
    <row r="608" spans="1:14" ht="34" outlineLevel="5" x14ac:dyDescent="0.3">
      <c r="A608" s="438" t="s">
        <v>37</v>
      </c>
      <c r="B608" s="439" t="s">
        <v>536</v>
      </c>
      <c r="C608" s="439" t="s">
        <v>72</v>
      </c>
      <c r="D608" s="539" t="s">
        <v>269</v>
      </c>
      <c r="E608" s="539" t="s">
        <v>38</v>
      </c>
      <c r="F608" s="540">
        <v>147686.07</v>
      </c>
      <c r="G608" s="466">
        <f t="shared" si="121"/>
        <v>212800</v>
      </c>
      <c r="H608" s="442">
        <f t="shared" si="121"/>
        <v>124850.48</v>
      </c>
      <c r="I608" s="442">
        <f t="shared" si="121"/>
        <v>212800</v>
      </c>
      <c r="J608" s="466">
        <f t="shared" si="121"/>
        <v>221200</v>
      </c>
      <c r="K608" s="466">
        <f t="shared" si="121"/>
        <v>221200</v>
      </c>
      <c r="L608" s="564">
        <f t="shared" si="113"/>
        <v>0</v>
      </c>
      <c r="M608" s="565">
        <f t="shared" si="115"/>
        <v>103.94736842105263</v>
      </c>
      <c r="N608" s="565">
        <f t="shared" si="116"/>
        <v>103.94736842105263</v>
      </c>
    </row>
    <row r="609" spans="1:14" outlineLevel="5" x14ac:dyDescent="0.3">
      <c r="A609" s="438" t="s">
        <v>74</v>
      </c>
      <c r="B609" s="439" t="s">
        <v>536</v>
      </c>
      <c r="C609" s="439" t="s">
        <v>72</v>
      </c>
      <c r="D609" s="539" t="s">
        <v>269</v>
      </c>
      <c r="E609" s="539" t="s">
        <v>75</v>
      </c>
      <c r="F609" s="540">
        <v>147686.07</v>
      </c>
      <c r="G609" s="466">
        <v>212800</v>
      </c>
      <c r="H609" s="443">
        <v>124850.48</v>
      </c>
      <c r="I609" s="442">
        <v>212800</v>
      </c>
      <c r="J609" s="466">
        <v>221200</v>
      </c>
      <c r="K609" s="466">
        <v>221200</v>
      </c>
      <c r="L609" s="564">
        <f t="shared" si="113"/>
        <v>0</v>
      </c>
      <c r="M609" s="565">
        <f t="shared" si="115"/>
        <v>103.94736842105263</v>
      </c>
      <c r="N609" s="565">
        <f t="shared" si="116"/>
        <v>103.94736842105263</v>
      </c>
    </row>
    <row r="610" spans="1:14" outlineLevel="5" x14ac:dyDescent="0.3">
      <c r="A610" s="450" t="s">
        <v>311</v>
      </c>
      <c r="B610" s="439" t="s">
        <v>536</v>
      </c>
      <c r="C610" s="439" t="s">
        <v>72</v>
      </c>
      <c r="D610" s="539" t="s">
        <v>312</v>
      </c>
      <c r="E610" s="539" t="s">
        <v>6</v>
      </c>
      <c r="F610" s="540">
        <v>631535</v>
      </c>
      <c r="G610" s="466">
        <f t="shared" ref="G610:K611" si="122">G611</f>
        <v>881000</v>
      </c>
      <c r="H610" s="442">
        <f t="shared" si="122"/>
        <v>874250</v>
      </c>
      <c r="I610" s="442">
        <f t="shared" si="122"/>
        <v>350000</v>
      </c>
      <c r="J610" s="466">
        <f t="shared" si="122"/>
        <v>3000000</v>
      </c>
      <c r="K610" s="466">
        <f t="shared" si="122"/>
        <v>0</v>
      </c>
      <c r="L610" s="564">
        <f t="shared" si="113"/>
        <v>-3000000</v>
      </c>
      <c r="M610" s="565">
        <f t="shared" si="115"/>
        <v>340.52213393870602</v>
      </c>
      <c r="N610" s="565">
        <f t="shared" si="116"/>
        <v>0</v>
      </c>
    </row>
    <row r="611" spans="1:14" ht="34" outlineLevel="5" x14ac:dyDescent="0.3">
      <c r="A611" s="438" t="s">
        <v>37</v>
      </c>
      <c r="B611" s="439" t="s">
        <v>536</v>
      </c>
      <c r="C611" s="439" t="s">
        <v>72</v>
      </c>
      <c r="D611" s="539" t="s">
        <v>312</v>
      </c>
      <c r="E611" s="539" t="s">
        <v>38</v>
      </c>
      <c r="F611" s="540">
        <v>631535</v>
      </c>
      <c r="G611" s="466">
        <f t="shared" si="122"/>
        <v>881000</v>
      </c>
      <c r="H611" s="442">
        <f t="shared" si="122"/>
        <v>874250</v>
      </c>
      <c r="I611" s="442">
        <f t="shared" si="122"/>
        <v>350000</v>
      </c>
      <c r="J611" s="466">
        <f t="shared" si="122"/>
        <v>3000000</v>
      </c>
      <c r="K611" s="466">
        <f t="shared" si="122"/>
        <v>0</v>
      </c>
      <c r="L611" s="564">
        <f t="shared" si="113"/>
        <v>-3000000</v>
      </c>
      <c r="M611" s="565">
        <f t="shared" si="115"/>
        <v>340.52213393870602</v>
      </c>
      <c r="N611" s="565">
        <f t="shared" si="116"/>
        <v>0</v>
      </c>
    </row>
    <row r="612" spans="1:14" outlineLevel="5" x14ac:dyDescent="0.3">
      <c r="A612" s="438" t="s">
        <v>74</v>
      </c>
      <c r="B612" s="439" t="s">
        <v>536</v>
      </c>
      <c r="C612" s="439" t="s">
        <v>72</v>
      </c>
      <c r="D612" s="539" t="s">
        <v>312</v>
      </c>
      <c r="E612" s="539" t="s">
        <v>75</v>
      </c>
      <c r="F612" s="540">
        <v>631535</v>
      </c>
      <c r="G612" s="466">
        <f>350000+350500+180500</f>
        <v>881000</v>
      </c>
      <c r="H612" s="443">
        <v>874250</v>
      </c>
      <c r="I612" s="442">
        <v>350000</v>
      </c>
      <c r="J612" s="466">
        <v>3000000</v>
      </c>
      <c r="K612" s="466">
        <f>3000000-3000000</f>
        <v>0</v>
      </c>
      <c r="L612" s="564">
        <f t="shared" si="113"/>
        <v>-3000000</v>
      </c>
      <c r="M612" s="565">
        <f t="shared" si="115"/>
        <v>340.52213393870602</v>
      </c>
      <c r="N612" s="565">
        <f t="shared" si="116"/>
        <v>0</v>
      </c>
    </row>
    <row r="613" spans="1:14" ht="39.75" customHeight="1" outlineLevel="5" x14ac:dyDescent="0.3">
      <c r="A613" s="450" t="s">
        <v>458</v>
      </c>
      <c r="B613" s="439" t="s">
        <v>536</v>
      </c>
      <c r="C613" s="439" t="s">
        <v>72</v>
      </c>
      <c r="D613" s="539" t="s">
        <v>720</v>
      </c>
      <c r="E613" s="539" t="s">
        <v>6</v>
      </c>
      <c r="F613" s="540">
        <v>1876201</v>
      </c>
      <c r="G613" s="466">
        <f t="shared" ref="G613:K614" si="123">G614</f>
        <v>193200</v>
      </c>
      <c r="H613" s="442">
        <f t="shared" si="123"/>
        <v>193200</v>
      </c>
      <c r="I613" s="442">
        <f t="shared" si="123"/>
        <v>800000</v>
      </c>
      <c r="J613" s="466">
        <f t="shared" si="123"/>
        <v>0</v>
      </c>
      <c r="K613" s="466">
        <f t="shared" si="123"/>
        <v>0</v>
      </c>
      <c r="L613" s="564">
        <f t="shared" si="113"/>
        <v>0</v>
      </c>
      <c r="M613" s="565">
        <f t="shared" si="115"/>
        <v>0</v>
      </c>
      <c r="N613" s="565">
        <f t="shared" si="116"/>
        <v>0</v>
      </c>
    </row>
    <row r="614" spans="1:14" ht="34" outlineLevel="5" x14ac:dyDescent="0.3">
      <c r="A614" s="438" t="s">
        <v>37</v>
      </c>
      <c r="B614" s="439" t="s">
        <v>536</v>
      </c>
      <c r="C614" s="439" t="s">
        <v>72</v>
      </c>
      <c r="D614" s="539" t="s">
        <v>720</v>
      </c>
      <c r="E614" s="539" t="s">
        <v>38</v>
      </c>
      <c r="F614" s="540">
        <v>1876201</v>
      </c>
      <c r="G614" s="466">
        <f t="shared" si="123"/>
        <v>193200</v>
      </c>
      <c r="H614" s="442">
        <f t="shared" si="123"/>
        <v>193200</v>
      </c>
      <c r="I614" s="442">
        <f t="shared" si="123"/>
        <v>800000</v>
      </c>
      <c r="J614" s="466">
        <f t="shared" si="123"/>
        <v>0</v>
      </c>
      <c r="K614" s="466">
        <f t="shared" si="123"/>
        <v>0</v>
      </c>
      <c r="L614" s="564">
        <f t="shared" si="113"/>
        <v>0</v>
      </c>
      <c r="M614" s="565">
        <f t="shared" si="115"/>
        <v>0</v>
      </c>
      <c r="N614" s="565">
        <f t="shared" si="116"/>
        <v>0</v>
      </c>
    </row>
    <row r="615" spans="1:14" outlineLevel="5" x14ac:dyDescent="0.3">
      <c r="A615" s="438" t="s">
        <v>74</v>
      </c>
      <c r="B615" s="439" t="s">
        <v>536</v>
      </c>
      <c r="C615" s="439" t="s">
        <v>72</v>
      </c>
      <c r="D615" s="539" t="s">
        <v>720</v>
      </c>
      <c r="E615" s="539" t="s">
        <v>75</v>
      </c>
      <c r="F615" s="540">
        <v>1876201</v>
      </c>
      <c r="G615" s="466">
        <f>[2]потребность!I559+5490000-5000000-590000+193200</f>
        <v>193200</v>
      </c>
      <c r="H615" s="443">
        <v>193200</v>
      </c>
      <c r="I615" s="442">
        <v>800000</v>
      </c>
      <c r="J615" s="466">
        <v>0</v>
      </c>
      <c r="K615" s="466">
        <v>0</v>
      </c>
      <c r="L615" s="564">
        <f t="shared" si="113"/>
        <v>0</v>
      </c>
      <c r="M615" s="565">
        <f t="shared" si="115"/>
        <v>0</v>
      </c>
      <c r="N615" s="565">
        <f t="shared" si="116"/>
        <v>0</v>
      </c>
    </row>
    <row r="616" spans="1:14" ht="67.95" outlineLevel="5" x14ac:dyDescent="0.3">
      <c r="A616" s="397" t="s">
        <v>595</v>
      </c>
      <c r="B616" s="439" t="s">
        <v>536</v>
      </c>
      <c r="C616" s="439" t="s">
        <v>72</v>
      </c>
      <c r="D616" s="539" t="s">
        <v>596</v>
      </c>
      <c r="E616" s="539" t="s">
        <v>6</v>
      </c>
      <c r="F616" s="540">
        <v>5192423.8600000003</v>
      </c>
      <c r="G616" s="466">
        <f t="shared" ref="G616:K617" si="124">G617</f>
        <v>19325166.399999999</v>
      </c>
      <c r="H616" s="442">
        <f t="shared" si="124"/>
        <v>12158531.359999999</v>
      </c>
      <c r="I616" s="442">
        <f t="shared" si="124"/>
        <v>0</v>
      </c>
      <c r="J616" s="466">
        <f t="shared" si="124"/>
        <v>0</v>
      </c>
      <c r="K616" s="466">
        <f t="shared" si="124"/>
        <v>0</v>
      </c>
      <c r="L616" s="564">
        <f t="shared" si="113"/>
        <v>0</v>
      </c>
      <c r="M616" s="565">
        <f t="shared" si="115"/>
        <v>0</v>
      </c>
      <c r="N616" s="565">
        <f t="shared" si="116"/>
        <v>0</v>
      </c>
    </row>
    <row r="617" spans="1:14" s="449" customFormat="1" ht="34" outlineLevel="5" x14ac:dyDescent="0.3">
      <c r="A617" s="438" t="s">
        <v>37</v>
      </c>
      <c r="B617" s="439" t="s">
        <v>536</v>
      </c>
      <c r="C617" s="439" t="s">
        <v>72</v>
      </c>
      <c r="D617" s="539" t="s">
        <v>596</v>
      </c>
      <c r="E617" s="539" t="s">
        <v>38</v>
      </c>
      <c r="F617" s="540">
        <v>5192423.8600000003</v>
      </c>
      <c r="G617" s="466">
        <f t="shared" si="124"/>
        <v>19325166.399999999</v>
      </c>
      <c r="H617" s="442">
        <f t="shared" si="124"/>
        <v>12158531.359999999</v>
      </c>
      <c r="I617" s="442">
        <f t="shared" si="124"/>
        <v>0</v>
      </c>
      <c r="J617" s="466">
        <f t="shared" si="124"/>
        <v>0</v>
      </c>
      <c r="K617" s="466">
        <f t="shared" si="124"/>
        <v>0</v>
      </c>
      <c r="L617" s="564">
        <f t="shared" si="113"/>
        <v>0</v>
      </c>
      <c r="M617" s="565">
        <f t="shared" si="115"/>
        <v>0</v>
      </c>
      <c r="N617" s="565">
        <f t="shared" si="116"/>
        <v>0</v>
      </c>
    </row>
    <row r="618" spans="1:14" ht="23.3" customHeight="1" outlineLevel="4" x14ac:dyDescent="0.3">
      <c r="A618" s="438" t="s">
        <v>74</v>
      </c>
      <c r="B618" s="439" t="s">
        <v>536</v>
      </c>
      <c r="C618" s="439" t="s">
        <v>72</v>
      </c>
      <c r="D618" s="539" t="s">
        <v>596</v>
      </c>
      <c r="E618" s="539" t="s">
        <v>75</v>
      </c>
      <c r="F618" s="540">
        <v>5192423.8600000003</v>
      </c>
      <c r="G618" s="466">
        <f>36003230.04-16678063.64</f>
        <v>19325166.399999999</v>
      </c>
      <c r="H618" s="443">
        <v>12158531.359999999</v>
      </c>
      <c r="I618" s="442">
        <v>0</v>
      </c>
      <c r="J618" s="466">
        <v>0</v>
      </c>
      <c r="K618" s="466">
        <v>0</v>
      </c>
      <c r="L618" s="564">
        <f t="shared" si="113"/>
        <v>0</v>
      </c>
      <c r="M618" s="565">
        <f t="shared" si="115"/>
        <v>0</v>
      </c>
      <c r="N618" s="565">
        <f t="shared" si="116"/>
        <v>0</v>
      </c>
    </row>
    <row r="619" spans="1:14" ht="34" outlineLevel="4" x14ac:dyDescent="0.3">
      <c r="A619" s="438" t="s">
        <v>445</v>
      </c>
      <c r="B619" s="439" t="s">
        <v>536</v>
      </c>
      <c r="C619" s="439" t="s">
        <v>72</v>
      </c>
      <c r="D619" s="539" t="s">
        <v>446</v>
      </c>
      <c r="E619" s="539" t="s">
        <v>6</v>
      </c>
      <c r="F619" s="540">
        <v>160590.43</v>
      </c>
      <c r="G619" s="466">
        <f t="shared" ref="G619:K620" si="125">G620</f>
        <v>597685.56000000006</v>
      </c>
      <c r="H619" s="442">
        <f t="shared" si="125"/>
        <v>364162.07</v>
      </c>
      <c r="I619" s="442">
        <f t="shared" si="125"/>
        <v>993779.52</v>
      </c>
      <c r="J619" s="466">
        <f t="shared" si="125"/>
        <v>993779.52</v>
      </c>
      <c r="K619" s="466">
        <f t="shared" si="125"/>
        <v>993779.52</v>
      </c>
      <c r="L619" s="564">
        <f t="shared" si="113"/>
        <v>0</v>
      </c>
      <c r="M619" s="565">
        <f t="shared" si="115"/>
        <v>166.27129489291994</v>
      </c>
      <c r="N619" s="565">
        <f t="shared" si="116"/>
        <v>166.27129489291994</v>
      </c>
    </row>
    <row r="620" spans="1:14" ht="34" outlineLevel="5" x14ac:dyDescent="0.3">
      <c r="A620" s="438" t="s">
        <v>37</v>
      </c>
      <c r="B620" s="439" t="s">
        <v>536</v>
      </c>
      <c r="C620" s="439" t="s">
        <v>72</v>
      </c>
      <c r="D620" s="539" t="s">
        <v>446</v>
      </c>
      <c r="E620" s="539" t="s">
        <v>38</v>
      </c>
      <c r="F620" s="540">
        <v>160590.43</v>
      </c>
      <c r="G620" s="466">
        <f t="shared" si="125"/>
        <v>597685.56000000006</v>
      </c>
      <c r="H620" s="442">
        <f t="shared" si="125"/>
        <v>364162.07</v>
      </c>
      <c r="I620" s="442">
        <f t="shared" si="125"/>
        <v>993779.52</v>
      </c>
      <c r="J620" s="466">
        <f t="shared" si="125"/>
        <v>993779.52</v>
      </c>
      <c r="K620" s="466">
        <f t="shared" si="125"/>
        <v>993779.52</v>
      </c>
      <c r="L620" s="564">
        <f t="shared" si="113"/>
        <v>0</v>
      </c>
      <c r="M620" s="565">
        <f t="shared" si="115"/>
        <v>166.27129489291994</v>
      </c>
      <c r="N620" s="565">
        <f t="shared" si="116"/>
        <v>166.27129489291994</v>
      </c>
    </row>
    <row r="621" spans="1:14" outlineLevel="6" x14ac:dyDescent="0.3">
      <c r="A621" s="438" t="s">
        <v>74</v>
      </c>
      <c r="B621" s="439" t="s">
        <v>536</v>
      </c>
      <c r="C621" s="439" t="s">
        <v>72</v>
      </c>
      <c r="D621" s="539" t="s">
        <v>446</v>
      </c>
      <c r="E621" s="539" t="s">
        <v>75</v>
      </c>
      <c r="F621" s="540">
        <v>160590.43</v>
      </c>
      <c r="G621" s="466">
        <f>1730960-617458+50000-565816.44</f>
        <v>597685.56000000006</v>
      </c>
      <c r="H621" s="443">
        <v>364162.07</v>
      </c>
      <c r="I621" s="442">
        <v>993779.52</v>
      </c>
      <c r="J621" s="466">
        <v>993779.52</v>
      </c>
      <c r="K621" s="466">
        <v>993779.52</v>
      </c>
      <c r="L621" s="564">
        <f t="shared" si="113"/>
        <v>0</v>
      </c>
      <c r="M621" s="565">
        <f t="shared" si="115"/>
        <v>166.27129489291994</v>
      </c>
      <c r="N621" s="565">
        <f t="shared" si="116"/>
        <v>166.27129489291994</v>
      </c>
    </row>
    <row r="622" spans="1:14" ht="34" outlineLevel="6" x14ac:dyDescent="0.3">
      <c r="A622" s="438" t="s">
        <v>923</v>
      </c>
      <c r="B622" s="439" t="s">
        <v>536</v>
      </c>
      <c r="C622" s="439" t="s">
        <v>72</v>
      </c>
      <c r="D622" s="539" t="s">
        <v>924</v>
      </c>
      <c r="E622" s="539" t="s">
        <v>6</v>
      </c>
      <c r="F622" s="539" t="s">
        <v>976</v>
      </c>
      <c r="G622" s="466">
        <f>G623</f>
        <v>41911341.160000004</v>
      </c>
      <c r="H622" s="442">
        <f>H623</f>
        <v>21307038.940000001</v>
      </c>
      <c r="I622" s="442">
        <v>0</v>
      </c>
      <c r="J622" s="466">
        <v>0</v>
      </c>
      <c r="K622" s="466">
        <v>0</v>
      </c>
      <c r="L622" s="564">
        <f t="shared" si="113"/>
        <v>0</v>
      </c>
      <c r="M622" s="565">
        <f t="shared" si="115"/>
        <v>0</v>
      </c>
      <c r="N622" s="565">
        <f t="shared" si="116"/>
        <v>0</v>
      </c>
    </row>
    <row r="623" spans="1:14" ht="34" outlineLevel="6" x14ac:dyDescent="0.3">
      <c r="A623" s="438" t="s">
        <v>37</v>
      </c>
      <c r="B623" s="439" t="s">
        <v>536</v>
      </c>
      <c r="C623" s="439" t="s">
        <v>72</v>
      </c>
      <c r="D623" s="539" t="s">
        <v>924</v>
      </c>
      <c r="E623" s="539" t="s">
        <v>38</v>
      </c>
      <c r="F623" s="539" t="s">
        <v>976</v>
      </c>
      <c r="G623" s="466">
        <f>G624</f>
        <v>41911341.160000004</v>
      </c>
      <c r="H623" s="442">
        <f>H624</f>
        <v>21307038.940000001</v>
      </c>
      <c r="I623" s="442">
        <v>0</v>
      </c>
      <c r="J623" s="466">
        <v>0</v>
      </c>
      <c r="K623" s="466">
        <v>0</v>
      </c>
      <c r="L623" s="564">
        <f t="shared" si="113"/>
        <v>0</v>
      </c>
      <c r="M623" s="565">
        <f t="shared" si="115"/>
        <v>0</v>
      </c>
      <c r="N623" s="565">
        <f t="shared" si="116"/>
        <v>0</v>
      </c>
    </row>
    <row r="624" spans="1:14" outlineLevel="6" x14ac:dyDescent="0.3">
      <c r="A624" s="438" t="s">
        <v>74</v>
      </c>
      <c r="B624" s="439" t="s">
        <v>536</v>
      </c>
      <c r="C624" s="439" t="s">
        <v>72</v>
      </c>
      <c r="D624" s="539" t="s">
        <v>924</v>
      </c>
      <c r="E624" s="539" t="s">
        <v>75</v>
      </c>
      <c r="F624" s="539" t="s">
        <v>976</v>
      </c>
      <c r="G624" s="466">
        <f>'[2]прил 7 динамика2023'!C58+180149.71+2700000+1500000</f>
        <v>41911341.160000004</v>
      </c>
      <c r="H624" s="443">
        <v>21307038.940000001</v>
      </c>
      <c r="I624" s="442">
        <v>0</v>
      </c>
      <c r="J624" s="466">
        <v>0</v>
      </c>
      <c r="K624" s="466">
        <v>0</v>
      </c>
      <c r="L624" s="564">
        <f t="shared" si="113"/>
        <v>0</v>
      </c>
      <c r="M624" s="565">
        <f t="shared" si="115"/>
        <v>0</v>
      </c>
      <c r="N624" s="565">
        <f t="shared" si="116"/>
        <v>0</v>
      </c>
    </row>
    <row r="625" spans="1:14" ht="34" outlineLevel="7" x14ac:dyDescent="0.3">
      <c r="A625" s="450" t="s">
        <v>275</v>
      </c>
      <c r="B625" s="439" t="s">
        <v>536</v>
      </c>
      <c r="C625" s="439" t="s">
        <v>72</v>
      </c>
      <c r="D625" s="539" t="s">
        <v>223</v>
      </c>
      <c r="E625" s="539" t="s">
        <v>6</v>
      </c>
      <c r="F625" s="540">
        <v>5101292.82</v>
      </c>
      <c r="G625" s="466">
        <f t="shared" ref="G625:K627" si="126">G626</f>
        <v>6117450</v>
      </c>
      <c r="H625" s="442">
        <f t="shared" si="126"/>
        <v>3823078.77</v>
      </c>
      <c r="I625" s="442">
        <f t="shared" si="126"/>
        <v>6188850</v>
      </c>
      <c r="J625" s="466">
        <f t="shared" si="126"/>
        <v>7109400</v>
      </c>
      <c r="K625" s="466">
        <f t="shared" si="126"/>
        <v>7109400</v>
      </c>
      <c r="L625" s="564">
        <f t="shared" si="113"/>
        <v>0</v>
      </c>
      <c r="M625" s="565">
        <f t="shared" si="115"/>
        <v>116.21508962067529</v>
      </c>
      <c r="N625" s="565">
        <f t="shared" si="116"/>
        <v>116.21508962067529</v>
      </c>
    </row>
    <row r="626" spans="1:14" ht="101.9" outlineLevel="7" x14ac:dyDescent="0.3">
      <c r="A626" s="397" t="s">
        <v>658</v>
      </c>
      <c r="B626" s="439" t="s">
        <v>536</v>
      </c>
      <c r="C626" s="439" t="s">
        <v>72</v>
      </c>
      <c r="D626" s="539" t="s">
        <v>659</v>
      </c>
      <c r="E626" s="539" t="s">
        <v>6</v>
      </c>
      <c r="F626" s="540">
        <v>5101292.82</v>
      </c>
      <c r="G626" s="466">
        <f t="shared" si="126"/>
        <v>6117450</v>
      </c>
      <c r="H626" s="442">
        <f t="shared" si="126"/>
        <v>3823078.77</v>
      </c>
      <c r="I626" s="442">
        <f t="shared" si="126"/>
        <v>6188850</v>
      </c>
      <c r="J626" s="466">
        <f t="shared" si="126"/>
        <v>7109400</v>
      </c>
      <c r="K626" s="466">
        <f t="shared" si="126"/>
        <v>7109400</v>
      </c>
      <c r="L626" s="564">
        <f t="shared" si="113"/>
        <v>0</v>
      </c>
      <c r="M626" s="565">
        <f t="shared" si="115"/>
        <v>116.21508962067529</v>
      </c>
      <c r="N626" s="565">
        <f t="shared" si="116"/>
        <v>116.21508962067529</v>
      </c>
    </row>
    <row r="627" spans="1:14" ht="34" outlineLevel="7" x14ac:dyDescent="0.3">
      <c r="A627" s="438" t="s">
        <v>37</v>
      </c>
      <c r="B627" s="439" t="s">
        <v>536</v>
      </c>
      <c r="C627" s="439" t="s">
        <v>72</v>
      </c>
      <c r="D627" s="539" t="s">
        <v>659</v>
      </c>
      <c r="E627" s="539" t="s">
        <v>38</v>
      </c>
      <c r="F627" s="540">
        <v>5101292.82</v>
      </c>
      <c r="G627" s="466">
        <f t="shared" si="126"/>
        <v>6117450</v>
      </c>
      <c r="H627" s="442">
        <f t="shared" si="126"/>
        <v>3823078.77</v>
      </c>
      <c r="I627" s="442">
        <f t="shared" si="126"/>
        <v>6188850</v>
      </c>
      <c r="J627" s="466">
        <f t="shared" si="126"/>
        <v>7109400</v>
      </c>
      <c r="K627" s="466">
        <f t="shared" si="126"/>
        <v>7109400</v>
      </c>
      <c r="L627" s="564">
        <f t="shared" si="113"/>
        <v>0</v>
      </c>
      <c r="M627" s="565">
        <f t="shared" si="115"/>
        <v>116.21508962067529</v>
      </c>
      <c r="N627" s="565">
        <f t="shared" si="116"/>
        <v>116.21508962067529</v>
      </c>
    </row>
    <row r="628" spans="1:14" ht="22.75" customHeight="1" outlineLevel="7" x14ac:dyDescent="0.3">
      <c r="A628" s="438" t="s">
        <v>74</v>
      </c>
      <c r="B628" s="439" t="s">
        <v>536</v>
      </c>
      <c r="C628" s="439" t="s">
        <v>72</v>
      </c>
      <c r="D628" s="539" t="s">
        <v>659</v>
      </c>
      <c r="E628" s="539" t="s">
        <v>75</v>
      </c>
      <c r="F628" s="540">
        <v>5101292.82</v>
      </c>
      <c r="G628" s="466">
        <v>6117450</v>
      </c>
      <c r="H628" s="443">
        <v>3823078.77</v>
      </c>
      <c r="I628" s="442">
        <v>6188850</v>
      </c>
      <c r="J628" s="466">
        <v>7109400</v>
      </c>
      <c r="K628" s="466">
        <v>7109400</v>
      </c>
      <c r="L628" s="564">
        <f t="shared" si="113"/>
        <v>0</v>
      </c>
      <c r="M628" s="565">
        <f t="shared" si="115"/>
        <v>116.21508962067529</v>
      </c>
      <c r="N628" s="565">
        <f t="shared" si="116"/>
        <v>116.21508962067529</v>
      </c>
    </row>
    <row r="629" spans="1:14" outlineLevel="7" x14ac:dyDescent="0.3">
      <c r="A629" s="397" t="s">
        <v>468</v>
      </c>
      <c r="B629" s="439" t="s">
        <v>536</v>
      </c>
      <c r="C629" s="439" t="s">
        <v>72</v>
      </c>
      <c r="D629" s="539" t="s">
        <v>313</v>
      </c>
      <c r="E629" s="539" t="s">
        <v>6</v>
      </c>
      <c r="F629" s="540">
        <v>3010106</v>
      </c>
      <c r="G629" s="466">
        <f t="shared" ref="G629:K631" si="127">G630</f>
        <v>0</v>
      </c>
      <c r="H629" s="442">
        <f t="shared" si="127"/>
        <v>0</v>
      </c>
      <c r="I629" s="442">
        <f t="shared" si="127"/>
        <v>2685634.51</v>
      </c>
      <c r="J629" s="466">
        <f t="shared" si="127"/>
        <v>3078979.12</v>
      </c>
      <c r="K629" s="466">
        <f t="shared" si="127"/>
        <v>3078979.12</v>
      </c>
      <c r="L629" s="564">
        <f t="shared" si="113"/>
        <v>0</v>
      </c>
      <c r="M629" s="565"/>
      <c r="N629" s="565"/>
    </row>
    <row r="630" spans="1:14" ht="50.95" outlineLevel="7" x14ac:dyDescent="0.3">
      <c r="A630" s="438" t="s">
        <v>469</v>
      </c>
      <c r="B630" s="439" t="s">
        <v>536</v>
      </c>
      <c r="C630" s="439" t="s">
        <v>72</v>
      </c>
      <c r="D630" s="551" t="s">
        <v>654</v>
      </c>
      <c r="E630" s="539" t="s">
        <v>6</v>
      </c>
      <c r="F630" s="540">
        <v>3010106</v>
      </c>
      <c r="G630" s="466">
        <f t="shared" si="127"/>
        <v>0</v>
      </c>
      <c r="H630" s="442">
        <f t="shared" si="127"/>
        <v>0</v>
      </c>
      <c r="I630" s="442">
        <f t="shared" si="127"/>
        <v>2685634.51</v>
      </c>
      <c r="J630" s="466">
        <f t="shared" si="127"/>
        <v>3078979.12</v>
      </c>
      <c r="K630" s="466">
        <f t="shared" si="127"/>
        <v>3078979.12</v>
      </c>
      <c r="L630" s="564">
        <f t="shared" si="113"/>
        <v>0</v>
      </c>
      <c r="M630" s="565"/>
      <c r="N630" s="565"/>
    </row>
    <row r="631" spans="1:14" ht="34" outlineLevel="7" x14ac:dyDescent="0.3">
      <c r="A631" s="438" t="s">
        <v>37</v>
      </c>
      <c r="B631" s="439" t="s">
        <v>536</v>
      </c>
      <c r="C631" s="439" t="s">
        <v>72</v>
      </c>
      <c r="D631" s="551" t="s">
        <v>654</v>
      </c>
      <c r="E631" s="539" t="s">
        <v>38</v>
      </c>
      <c r="F631" s="540">
        <v>3010106</v>
      </c>
      <c r="G631" s="466">
        <f t="shared" si="127"/>
        <v>0</v>
      </c>
      <c r="H631" s="442">
        <f t="shared" si="127"/>
        <v>0</v>
      </c>
      <c r="I631" s="442">
        <f t="shared" si="127"/>
        <v>2685634.51</v>
      </c>
      <c r="J631" s="466">
        <f t="shared" si="127"/>
        <v>3078979.12</v>
      </c>
      <c r="K631" s="466">
        <f t="shared" si="127"/>
        <v>3078979.12</v>
      </c>
      <c r="L631" s="564">
        <f t="shared" si="113"/>
        <v>0</v>
      </c>
      <c r="M631" s="565"/>
      <c r="N631" s="565"/>
    </row>
    <row r="632" spans="1:14" ht="17.7" outlineLevel="7" thickBot="1" x14ac:dyDescent="0.35">
      <c r="A632" s="438" t="s">
        <v>74</v>
      </c>
      <c r="B632" s="439" t="s">
        <v>536</v>
      </c>
      <c r="C632" s="439" t="s">
        <v>72</v>
      </c>
      <c r="D632" s="551" t="s">
        <v>968</v>
      </c>
      <c r="E632" s="539" t="s">
        <v>75</v>
      </c>
      <c r="F632" s="540">
        <v>3010106</v>
      </c>
      <c r="G632" s="466">
        <v>0</v>
      </c>
      <c r="H632" s="442">
        <v>0</v>
      </c>
      <c r="I632" s="442">
        <v>2685634.51</v>
      </c>
      <c r="J632" s="466">
        <f>186904.51+2892074.61</f>
        <v>3078979.12</v>
      </c>
      <c r="K632" s="466">
        <f>186904.51+2892074.61</f>
        <v>3078979.12</v>
      </c>
      <c r="L632" s="564">
        <f t="shared" si="113"/>
        <v>0</v>
      </c>
      <c r="M632" s="565"/>
      <c r="N632" s="565"/>
    </row>
    <row r="633" spans="1:14" ht="51.65" outlineLevel="7" thickBot="1" x14ac:dyDescent="0.35">
      <c r="A633" s="470" t="s">
        <v>938</v>
      </c>
      <c r="B633" s="439" t="s">
        <v>536</v>
      </c>
      <c r="C633" s="439" t="s">
        <v>72</v>
      </c>
      <c r="D633" s="539" t="s">
        <v>939</v>
      </c>
      <c r="E633" s="539" t="s">
        <v>6</v>
      </c>
      <c r="F633" s="539" t="s">
        <v>976</v>
      </c>
      <c r="G633" s="466">
        <f>G634</f>
        <v>2613963.91</v>
      </c>
      <c r="H633" s="442">
        <f>H634</f>
        <v>1927700</v>
      </c>
      <c r="I633" s="442">
        <v>0</v>
      </c>
      <c r="J633" s="466">
        <v>0</v>
      </c>
      <c r="K633" s="466">
        <v>0</v>
      </c>
      <c r="L633" s="564">
        <f t="shared" si="113"/>
        <v>0</v>
      </c>
      <c r="M633" s="565">
        <f t="shared" si="115"/>
        <v>0</v>
      </c>
      <c r="N633" s="565">
        <f t="shared" si="116"/>
        <v>0</v>
      </c>
    </row>
    <row r="634" spans="1:14" ht="34" outlineLevel="7" x14ac:dyDescent="0.3">
      <c r="A634" s="438" t="s">
        <v>37</v>
      </c>
      <c r="B634" s="439" t="s">
        <v>536</v>
      </c>
      <c r="C634" s="439" t="s">
        <v>72</v>
      </c>
      <c r="D634" s="539" t="s">
        <v>939</v>
      </c>
      <c r="E634" s="539" t="s">
        <v>38</v>
      </c>
      <c r="F634" s="539" t="s">
        <v>976</v>
      </c>
      <c r="G634" s="466">
        <f>G635</f>
        <v>2613963.91</v>
      </c>
      <c r="H634" s="442">
        <f>H635</f>
        <v>1927700</v>
      </c>
      <c r="I634" s="442">
        <v>0</v>
      </c>
      <c r="J634" s="466">
        <v>0</v>
      </c>
      <c r="K634" s="466">
        <v>0</v>
      </c>
      <c r="L634" s="564">
        <f t="shared" si="113"/>
        <v>0</v>
      </c>
      <c r="M634" s="565">
        <f t="shared" si="115"/>
        <v>0</v>
      </c>
      <c r="N634" s="565">
        <f t="shared" si="116"/>
        <v>0</v>
      </c>
    </row>
    <row r="635" spans="1:14" outlineLevel="7" x14ac:dyDescent="0.3">
      <c r="A635" s="438" t="s">
        <v>74</v>
      </c>
      <c r="B635" s="439" t="s">
        <v>536</v>
      </c>
      <c r="C635" s="439" t="s">
        <v>72</v>
      </c>
      <c r="D635" s="539" t="s">
        <v>939</v>
      </c>
      <c r="E635" s="539" t="s">
        <v>75</v>
      </c>
      <c r="F635" s="539" t="s">
        <v>976</v>
      </c>
      <c r="G635" s="466">
        <f>1000000+1613963.91</f>
        <v>2613963.91</v>
      </c>
      <c r="H635" s="443">
        <v>1927700</v>
      </c>
      <c r="I635" s="442">
        <v>0</v>
      </c>
      <c r="J635" s="466">
        <v>0</v>
      </c>
      <c r="K635" s="466">
        <v>0</v>
      </c>
      <c r="L635" s="564">
        <f t="shared" si="113"/>
        <v>0</v>
      </c>
      <c r="M635" s="565">
        <f t="shared" si="115"/>
        <v>0</v>
      </c>
      <c r="N635" s="565">
        <f t="shared" si="116"/>
        <v>0</v>
      </c>
    </row>
    <row r="636" spans="1:14" outlineLevel="5" x14ac:dyDescent="0.3">
      <c r="A636" s="438" t="s">
        <v>257</v>
      </c>
      <c r="B636" s="439" t="s">
        <v>536</v>
      </c>
      <c r="C636" s="439" t="s">
        <v>256</v>
      </c>
      <c r="D636" s="539" t="s">
        <v>126</v>
      </c>
      <c r="E636" s="539" t="s">
        <v>6</v>
      </c>
      <c r="F636" s="540">
        <v>23253055.059999999</v>
      </c>
      <c r="G636" s="466">
        <f t="shared" ref="G636:K637" si="128">G637</f>
        <v>24263029.260000002</v>
      </c>
      <c r="H636" s="442">
        <f t="shared" si="128"/>
        <v>17264875.789999999</v>
      </c>
      <c r="I636" s="442">
        <f t="shared" si="128"/>
        <v>28310464</v>
      </c>
      <c r="J636" s="466">
        <f t="shared" si="128"/>
        <v>27710552</v>
      </c>
      <c r="K636" s="466">
        <f t="shared" si="128"/>
        <v>26098449.199999999</v>
      </c>
      <c r="L636" s="564">
        <f t="shared" si="113"/>
        <v>-1612102.8000000007</v>
      </c>
      <c r="M636" s="565">
        <f t="shared" si="115"/>
        <v>114.20895430268297</v>
      </c>
      <c r="N636" s="565">
        <f t="shared" si="116"/>
        <v>107.56467760200854</v>
      </c>
    </row>
    <row r="637" spans="1:14" ht="34" outlineLevel="6" x14ac:dyDescent="0.3">
      <c r="A637" s="444" t="s">
        <v>825</v>
      </c>
      <c r="B637" s="445" t="s">
        <v>536</v>
      </c>
      <c r="C637" s="445" t="s">
        <v>256</v>
      </c>
      <c r="D637" s="541" t="s">
        <v>138</v>
      </c>
      <c r="E637" s="541" t="s">
        <v>6</v>
      </c>
      <c r="F637" s="542">
        <v>23253055.059999999</v>
      </c>
      <c r="G637" s="507">
        <f t="shared" si="128"/>
        <v>24263029.260000002</v>
      </c>
      <c r="H637" s="448">
        <f t="shared" si="128"/>
        <v>17264875.789999999</v>
      </c>
      <c r="I637" s="448">
        <f t="shared" si="128"/>
        <v>28310464</v>
      </c>
      <c r="J637" s="507">
        <f t="shared" si="128"/>
        <v>27710552</v>
      </c>
      <c r="K637" s="507">
        <f t="shared" si="128"/>
        <v>26098449.199999999</v>
      </c>
      <c r="L637" s="564">
        <f t="shared" si="113"/>
        <v>-1612102.8000000007</v>
      </c>
      <c r="M637" s="565">
        <f t="shared" si="115"/>
        <v>114.20895430268297</v>
      </c>
      <c r="N637" s="565">
        <f t="shared" si="116"/>
        <v>107.56467760200854</v>
      </c>
    </row>
    <row r="638" spans="1:14" ht="49.75" customHeight="1" outlineLevel="7" x14ac:dyDescent="0.3">
      <c r="A638" s="438" t="s">
        <v>832</v>
      </c>
      <c r="B638" s="439" t="s">
        <v>536</v>
      </c>
      <c r="C638" s="439" t="s">
        <v>256</v>
      </c>
      <c r="D638" s="539" t="s">
        <v>149</v>
      </c>
      <c r="E638" s="539" t="s">
        <v>6</v>
      </c>
      <c r="F638" s="542">
        <v>23253055.059999999</v>
      </c>
      <c r="G638" s="465">
        <f>G639+G643+G653</f>
        <v>24263029.260000002</v>
      </c>
      <c r="H638" s="440">
        <f>H639+H643+H653</f>
        <v>17264875.789999999</v>
      </c>
      <c r="I638" s="440">
        <f>I639+I643+I653</f>
        <v>28310464</v>
      </c>
      <c r="J638" s="465">
        <f>J639+J643+J653</f>
        <v>27710552</v>
      </c>
      <c r="K638" s="465">
        <f>K639+K643+K653</f>
        <v>26098449.199999999</v>
      </c>
      <c r="L638" s="564">
        <f t="shared" si="113"/>
        <v>-1612102.8000000007</v>
      </c>
      <c r="M638" s="565">
        <f t="shared" si="115"/>
        <v>114.20895430268297</v>
      </c>
      <c r="N638" s="565">
        <f t="shared" si="116"/>
        <v>107.56467760200854</v>
      </c>
    </row>
    <row r="639" spans="1:14" ht="42.45" customHeight="1" outlineLevel="7" x14ac:dyDescent="0.3">
      <c r="A639" s="450" t="s">
        <v>207</v>
      </c>
      <c r="B639" s="439" t="s">
        <v>536</v>
      </c>
      <c r="C639" s="439" t="s">
        <v>256</v>
      </c>
      <c r="D639" s="539" t="s">
        <v>224</v>
      </c>
      <c r="E639" s="539" t="s">
        <v>6</v>
      </c>
      <c r="F639" s="540">
        <v>22721588.399999999</v>
      </c>
      <c r="G639" s="465">
        <f t="shared" ref="G639:K641" si="129">G640</f>
        <v>22949529.260000002</v>
      </c>
      <c r="H639" s="440">
        <f t="shared" si="129"/>
        <v>16567468.119999999</v>
      </c>
      <c r="I639" s="440">
        <f t="shared" si="129"/>
        <v>26996964</v>
      </c>
      <c r="J639" s="465">
        <f t="shared" si="129"/>
        <v>25942762</v>
      </c>
      <c r="K639" s="465">
        <f t="shared" si="129"/>
        <v>24330659.199999999</v>
      </c>
      <c r="L639" s="564">
        <f t="shared" si="113"/>
        <v>-1612102.8000000007</v>
      </c>
      <c r="M639" s="565">
        <f t="shared" si="115"/>
        <v>113.04267597861831</v>
      </c>
      <c r="N639" s="565">
        <f t="shared" si="116"/>
        <v>106.01811882218972</v>
      </c>
    </row>
    <row r="640" spans="1:14" ht="22.75" customHeight="1" outlineLevel="7" x14ac:dyDescent="0.3">
      <c r="A640" s="438" t="s">
        <v>115</v>
      </c>
      <c r="B640" s="439" t="s">
        <v>536</v>
      </c>
      <c r="C640" s="439" t="s">
        <v>256</v>
      </c>
      <c r="D640" s="539" t="s">
        <v>151</v>
      </c>
      <c r="E640" s="539" t="s">
        <v>6</v>
      </c>
      <c r="F640" s="540">
        <v>22721588.399999999</v>
      </c>
      <c r="G640" s="465">
        <f t="shared" si="129"/>
        <v>22949529.260000002</v>
      </c>
      <c r="H640" s="440">
        <f t="shared" si="129"/>
        <v>16567468.119999999</v>
      </c>
      <c r="I640" s="440">
        <f t="shared" si="129"/>
        <v>26996964</v>
      </c>
      <c r="J640" s="465">
        <f t="shared" si="129"/>
        <v>25942762</v>
      </c>
      <c r="K640" s="465">
        <f t="shared" si="129"/>
        <v>24330659.199999999</v>
      </c>
      <c r="L640" s="564">
        <f t="shared" si="113"/>
        <v>-1612102.8000000007</v>
      </c>
      <c r="M640" s="565">
        <f t="shared" si="115"/>
        <v>113.04267597861831</v>
      </c>
      <c r="N640" s="565">
        <f t="shared" si="116"/>
        <v>106.01811882218972</v>
      </c>
    </row>
    <row r="641" spans="1:14" ht="24.8" customHeight="1" outlineLevel="7" x14ac:dyDescent="0.3">
      <c r="A641" s="438" t="s">
        <v>37</v>
      </c>
      <c r="B641" s="439" t="s">
        <v>536</v>
      </c>
      <c r="C641" s="439" t="s">
        <v>256</v>
      </c>
      <c r="D641" s="539" t="s">
        <v>151</v>
      </c>
      <c r="E641" s="539" t="s">
        <v>38</v>
      </c>
      <c r="F641" s="540">
        <v>22721588.399999999</v>
      </c>
      <c r="G641" s="465">
        <f t="shared" si="129"/>
        <v>22949529.260000002</v>
      </c>
      <c r="H641" s="440">
        <f t="shared" si="129"/>
        <v>16567468.119999999</v>
      </c>
      <c r="I641" s="440">
        <f t="shared" si="129"/>
        <v>26996964</v>
      </c>
      <c r="J641" s="465">
        <f t="shared" si="129"/>
        <v>25942762</v>
      </c>
      <c r="K641" s="465">
        <f t="shared" si="129"/>
        <v>24330659.199999999</v>
      </c>
      <c r="L641" s="564">
        <f t="shared" si="113"/>
        <v>-1612102.8000000007</v>
      </c>
      <c r="M641" s="565">
        <f t="shared" si="115"/>
        <v>113.04267597861831</v>
      </c>
      <c r="N641" s="565">
        <f t="shared" si="116"/>
        <v>106.01811882218972</v>
      </c>
    </row>
    <row r="642" spans="1:14" ht="27" customHeight="1" outlineLevel="7" x14ac:dyDescent="0.3">
      <c r="A642" s="438" t="s">
        <v>74</v>
      </c>
      <c r="B642" s="439" t="s">
        <v>536</v>
      </c>
      <c r="C642" s="439" t="s">
        <v>256</v>
      </c>
      <c r="D642" s="539" t="s">
        <v>151</v>
      </c>
      <c r="E642" s="539" t="s">
        <v>75</v>
      </c>
      <c r="F642" s="540">
        <v>22721588.399999999</v>
      </c>
      <c r="G642" s="466">
        <f>[2]потребность!I580-1000000-1177656.74+130222</f>
        <v>22949529.260000002</v>
      </c>
      <c r="H642" s="443">
        <v>16567468.119999999</v>
      </c>
      <c r="I642" s="442">
        <v>26996964</v>
      </c>
      <c r="J642" s="466">
        <v>25942762</v>
      </c>
      <c r="K642" s="466">
        <f>25942762-500000-1112102.8</f>
        <v>24330659.199999999</v>
      </c>
      <c r="L642" s="564">
        <f t="shared" si="113"/>
        <v>-1612102.8000000007</v>
      </c>
      <c r="M642" s="565">
        <f t="shared" si="115"/>
        <v>113.04267597861831</v>
      </c>
      <c r="N642" s="565">
        <f t="shared" si="116"/>
        <v>106.01811882218972</v>
      </c>
    </row>
    <row r="643" spans="1:14" ht="34" outlineLevel="7" x14ac:dyDescent="0.3">
      <c r="A643" s="450" t="s">
        <v>402</v>
      </c>
      <c r="B643" s="439" t="s">
        <v>536</v>
      </c>
      <c r="C643" s="439" t="s">
        <v>256</v>
      </c>
      <c r="D643" s="539" t="s">
        <v>225</v>
      </c>
      <c r="E643" s="539" t="s">
        <v>6</v>
      </c>
      <c r="F643" s="540">
        <v>273051.64</v>
      </c>
      <c r="G643" s="466">
        <f>G644+G650</f>
        <v>110500</v>
      </c>
      <c r="H643" s="442">
        <f>H644+H650+H659</f>
        <v>187954.08000000002</v>
      </c>
      <c r="I643" s="442">
        <f>I644+I650</f>
        <v>110500</v>
      </c>
      <c r="J643" s="466">
        <f>J644+J650</f>
        <v>31600</v>
      </c>
      <c r="K643" s="466">
        <f>K644+K650</f>
        <v>31600</v>
      </c>
      <c r="L643" s="564">
        <f t="shared" si="113"/>
        <v>0</v>
      </c>
      <c r="M643" s="565">
        <f t="shared" si="115"/>
        <v>28.597285067873305</v>
      </c>
      <c r="N643" s="565">
        <f t="shared" si="116"/>
        <v>28.597285067873301</v>
      </c>
    </row>
    <row r="644" spans="1:14" ht="34" outlineLevel="7" x14ac:dyDescent="0.3">
      <c r="A644" s="438" t="s">
        <v>268</v>
      </c>
      <c r="B644" s="439" t="s">
        <v>536</v>
      </c>
      <c r="C644" s="439" t="s">
        <v>256</v>
      </c>
      <c r="D644" s="539" t="s">
        <v>288</v>
      </c>
      <c r="E644" s="539" t="s">
        <v>6</v>
      </c>
      <c r="F644" s="540">
        <v>19201.89</v>
      </c>
      <c r="G644" s="466">
        <f t="shared" ref="G644:K645" si="130">G645</f>
        <v>25000</v>
      </c>
      <c r="H644" s="442">
        <f t="shared" si="130"/>
        <v>15994.08</v>
      </c>
      <c r="I644" s="442">
        <f t="shared" si="130"/>
        <v>25000</v>
      </c>
      <c r="J644" s="466">
        <f t="shared" si="130"/>
        <v>31600</v>
      </c>
      <c r="K644" s="466">
        <f t="shared" si="130"/>
        <v>31600</v>
      </c>
      <c r="L644" s="564">
        <f t="shared" si="113"/>
        <v>0</v>
      </c>
      <c r="M644" s="565">
        <f t="shared" si="115"/>
        <v>126.4</v>
      </c>
      <c r="N644" s="565">
        <f t="shared" si="116"/>
        <v>126.4</v>
      </c>
    </row>
    <row r="645" spans="1:14" ht="34" outlineLevel="7" x14ac:dyDescent="0.3">
      <c r="A645" s="438" t="s">
        <v>37</v>
      </c>
      <c r="B645" s="439" t="s">
        <v>536</v>
      </c>
      <c r="C645" s="439" t="s">
        <v>256</v>
      </c>
      <c r="D645" s="539" t="s">
        <v>288</v>
      </c>
      <c r="E645" s="539" t="s">
        <v>38</v>
      </c>
      <c r="F645" s="540">
        <v>19201.89</v>
      </c>
      <c r="G645" s="466">
        <f t="shared" si="130"/>
        <v>25000</v>
      </c>
      <c r="H645" s="442">
        <f t="shared" si="130"/>
        <v>15994.08</v>
      </c>
      <c r="I645" s="442">
        <f t="shared" si="130"/>
        <v>25000</v>
      </c>
      <c r="J645" s="466">
        <f t="shared" si="130"/>
        <v>31600</v>
      </c>
      <c r="K645" s="466">
        <f t="shared" si="130"/>
        <v>31600</v>
      </c>
      <c r="L645" s="564">
        <f t="shared" si="113"/>
        <v>0</v>
      </c>
      <c r="M645" s="565">
        <f t="shared" si="115"/>
        <v>126.4</v>
      </c>
      <c r="N645" s="565">
        <f t="shared" si="116"/>
        <v>126.4</v>
      </c>
    </row>
    <row r="646" spans="1:14" outlineLevel="2" x14ac:dyDescent="0.3">
      <c r="A646" s="438" t="s">
        <v>74</v>
      </c>
      <c r="B646" s="439" t="s">
        <v>536</v>
      </c>
      <c r="C646" s="439" t="s">
        <v>256</v>
      </c>
      <c r="D646" s="539" t="s">
        <v>288</v>
      </c>
      <c r="E646" s="539" t="s">
        <v>75</v>
      </c>
      <c r="F646" s="540">
        <v>19201.89</v>
      </c>
      <c r="G646" s="466">
        <v>25000</v>
      </c>
      <c r="H646" s="443">
        <v>15994.08</v>
      </c>
      <c r="I646" s="442">
        <v>25000</v>
      </c>
      <c r="J646" s="466">
        <v>31600</v>
      </c>
      <c r="K646" s="466">
        <v>31600</v>
      </c>
      <c r="L646" s="564">
        <f t="shared" si="113"/>
        <v>0</v>
      </c>
      <c r="M646" s="565">
        <f t="shared" si="115"/>
        <v>126.4</v>
      </c>
      <c r="N646" s="565">
        <f t="shared" si="116"/>
        <v>126.4</v>
      </c>
    </row>
    <row r="647" spans="1:14" s="449" customFormat="1" ht="28.2" hidden="1" customHeight="1" outlineLevel="3" x14ac:dyDescent="0.3">
      <c r="A647" s="450" t="s">
        <v>311</v>
      </c>
      <c r="B647" s="439" t="s">
        <v>536</v>
      </c>
      <c r="C647" s="439" t="s">
        <v>256</v>
      </c>
      <c r="D647" s="539" t="s">
        <v>735</v>
      </c>
      <c r="E647" s="539" t="s">
        <v>6</v>
      </c>
      <c r="F647" s="540">
        <v>124350</v>
      </c>
      <c r="G647" s="466">
        <f>G648</f>
        <v>0</v>
      </c>
      <c r="H647" s="442">
        <f>H648</f>
        <v>0</v>
      </c>
      <c r="I647" s="442">
        <v>0</v>
      </c>
      <c r="J647" s="466">
        <v>0</v>
      </c>
      <c r="K647" s="466">
        <v>0</v>
      </c>
      <c r="L647" s="564">
        <f t="shared" si="113"/>
        <v>0</v>
      </c>
      <c r="M647" s="565"/>
      <c r="N647" s="565"/>
    </row>
    <row r="648" spans="1:14" ht="34" hidden="1" outlineLevel="3" x14ac:dyDescent="0.3">
      <c r="A648" s="438" t="s">
        <v>37</v>
      </c>
      <c r="B648" s="439" t="s">
        <v>536</v>
      </c>
      <c r="C648" s="439" t="s">
        <v>256</v>
      </c>
      <c r="D648" s="539" t="s">
        <v>735</v>
      </c>
      <c r="E648" s="539" t="s">
        <v>38</v>
      </c>
      <c r="F648" s="540">
        <v>124350</v>
      </c>
      <c r="G648" s="466">
        <f>G649</f>
        <v>0</v>
      </c>
      <c r="H648" s="442">
        <f>H649</f>
        <v>0</v>
      </c>
      <c r="I648" s="442">
        <v>0</v>
      </c>
      <c r="J648" s="466">
        <v>0</v>
      </c>
      <c r="K648" s="466">
        <v>0</v>
      </c>
      <c r="L648" s="564">
        <f t="shared" ref="L648:L711" si="131">K648-J648</f>
        <v>0</v>
      </c>
      <c r="M648" s="565"/>
      <c r="N648" s="565"/>
    </row>
    <row r="649" spans="1:14" ht="19.55" hidden="1" customHeight="1" outlineLevel="3" x14ac:dyDescent="0.3">
      <c r="A649" s="438" t="s">
        <v>74</v>
      </c>
      <c r="B649" s="439" t="s">
        <v>536</v>
      </c>
      <c r="C649" s="439" t="s">
        <v>256</v>
      </c>
      <c r="D649" s="539" t="s">
        <v>735</v>
      </c>
      <c r="E649" s="539" t="s">
        <v>75</v>
      </c>
      <c r="F649" s="540">
        <v>124350</v>
      </c>
      <c r="G649" s="466">
        <v>0</v>
      </c>
      <c r="H649" s="443">
        <v>0</v>
      </c>
      <c r="I649" s="442">
        <v>0</v>
      </c>
      <c r="J649" s="466">
        <v>0</v>
      </c>
      <c r="K649" s="466">
        <v>0</v>
      </c>
      <c r="L649" s="564">
        <f t="shared" si="131"/>
        <v>0</v>
      </c>
      <c r="M649" s="565"/>
      <c r="N649" s="565"/>
    </row>
    <row r="650" spans="1:14" ht="21.25" customHeight="1" outlineLevel="3" x14ac:dyDescent="0.3">
      <c r="A650" s="438" t="s">
        <v>112</v>
      </c>
      <c r="B650" s="439" t="s">
        <v>536</v>
      </c>
      <c r="C650" s="439" t="s">
        <v>256</v>
      </c>
      <c r="D650" s="539" t="s">
        <v>150</v>
      </c>
      <c r="E650" s="539" t="s">
        <v>6</v>
      </c>
      <c r="F650" s="540">
        <v>77499.75</v>
      </c>
      <c r="G650" s="465">
        <f t="shared" ref="G650:K651" si="132">G651</f>
        <v>85500</v>
      </c>
      <c r="H650" s="440">
        <f t="shared" si="132"/>
        <v>39360</v>
      </c>
      <c r="I650" s="440">
        <f t="shared" si="132"/>
        <v>85500</v>
      </c>
      <c r="J650" s="518">
        <f t="shared" si="132"/>
        <v>0</v>
      </c>
      <c r="K650" s="518">
        <f t="shared" si="132"/>
        <v>0</v>
      </c>
      <c r="L650" s="564">
        <f t="shared" si="131"/>
        <v>0</v>
      </c>
      <c r="M650" s="565">
        <f t="shared" ref="M650:M713" si="133">J650/G650%</f>
        <v>0</v>
      </c>
      <c r="N650" s="565">
        <f t="shared" ref="N650:N711" si="134">K650/G650*100</f>
        <v>0</v>
      </c>
    </row>
    <row r="651" spans="1:14" ht="34" outlineLevel="3" x14ac:dyDescent="0.3">
      <c r="A651" s="438" t="s">
        <v>37</v>
      </c>
      <c r="B651" s="439" t="s">
        <v>536</v>
      </c>
      <c r="C651" s="439" t="s">
        <v>256</v>
      </c>
      <c r="D651" s="539" t="s">
        <v>150</v>
      </c>
      <c r="E651" s="539" t="s">
        <v>38</v>
      </c>
      <c r="F651" s="540">
        <v>77499.75</v>
      </c>
      <c r="G651" s="465">
        <f t="shared" si="132"/>
        <v>85500</v>
      </c>
      <c r="H651" s="440">
        <f t="shared" si="132"/>
        <v>39360</v>
      </c>
      <c r="I651" s="440">
        <f t="shared" si="132"/>
        <v>85500</v>
      </c>
      <c r="J651" s="518">
        <f t="shared" si="132"/>
        <v>0</v>
      </c>
      <c r="K651" s="518">
        <f t="shared" si="132"/>
        <v>0</v>
      </c>
      <c r="L651" s="564">
        <f t="shared" si="131"/>
        <v>0</v>
      </c>
      <c r="M651" s="565">
        <f t="shared" si="133"/>
        <v>0</v>
      </c>
      <c r="N651" s="565">
        <f t="shared" si="134"/>
        <v>0</v>
      </c>
    </row>
    <row r="652" spans="1:14" ht="21.25" customHeight="1" outlineLevel="3" x14ac:dyDescent="0.3">
      <c r="A652" s="438" t="s">
        <v>74</v>
      </c>
      <c r="B652" s="439" t="s">
        <v>536</v>
      </c>
      <c r="C652" s="439" t="s">
        <v>256</v>
      </c>
      <c r="D652" s="539" t="s">
        <v>150</v>
      </c>
      <c r="E652" s="539" t="s">
        <v>75</v>
      </c>
      <c r="F652" s="540">
        <v>77499.75</v>
      </c>
      <c r="G652" s="466">
        <v>85500</v>
      </c>
      <c r="H652" s="443">
        <v>39360</v>
      </c>
      <c r="I652" s="442">
        <v>85500</v>
      </c>
      <c r="J652" s="519">
        <v>0</v>
      </c>
      <c r="K652" s="519">
        <v>0</v>
      </c>
      <c r="L652" s="564">
        <f t="shared" si="131"/>
        <v>0</v>
      </c>
      <c r="M652" s="565">
        <f t="shared" si="133"/>
        <v>0</v>
      </c>
      <c r="N652" s="565">
        <f t="shared" si="134"/>
        <v>0</v>
      </c>
    </row>
    <row r="653" spans="1:14" ht="50.95" outlineLevel="3" x14ac:dyDescent="0.3">
      <c r="A653" s="438" t="s">
        <v>754</v>
      </c>
      <c r="B653" s="439" t="s">
        <v>536</v>
      </c>
      <c r="C653" s="439" t="s">
        <v>256</v>
      </c>
      <c r="D653" s="539" t="s">
        <v>755</v>
      </c>
      <c r="E653" s="539" t="s">
        <v>6</v>
      </c>
      <c r="F653" s="540">
        <v>258415.02</v>
      </c>
      <c r="G653" s="466">
        <f t="shared" ref="G653:K654" si="135">G654</f>
        <v>1203000</v>
      </c>
      <c r="H653" s="442">
        <f t="shared" si="135"/>
        <v>509453.59</v>
      </c>
      <c r="I653" s="442">
        <f t="shared" si="135"/>
        <v>1203000</v>
      </c>
      <c r="J653" s="466">
        <f t="shared" si="135"/>
        <v>1736190</v>
      </c>
      <c r="K653" s="466">
        <f t="shared" si="135"/>
        <v>1736190</v>
      </c>
      <c r="L653" s="564">
        <f t="shared" si="131"/>
        <v>0</v>
      </c>
      <c r="M653" s="565">
        <f t="shared" si="133"/>
        <v>144.32169576059852</v>
      </c>
      <c r="N653" s="565">
        <f t="shared" si="134"/>
        <v>144.32169576059849</v>
      </c>
    </row>
    <row r="654" spans="1:14" ht="34" outlineLevel="3" x14ac:dyDescent="0.3">
      <c r="A654" s="438" t="s">
        <v>37</v>
      </c>
      <c r="B654" s="439" t="s">
        <v>536</v>
      </c>
      <c r="C654" s="439" t="s">
        <v>256</v>
      </c>
      <c r="D654" s="539" t="s">
        <v>756</v>
      </c>
      <c r="E654" s="539" t="s">
        <v>38</v>
      </c>
      <c r="F654" s="540">
        <v>258415.02</v>
      </c>
      <c r="G654" s="466">
        <f t="shared" si="135"/>
        <v>1203000</v>
      </c>
      <c r="H654" s="442">
        <f t="shared" si="135"/>
        <v>509453.59</v>
      </c>
      <c r="I654" s="442">
        <f t="shared" si="135"/>
        <v>1203000</v>
      </c>
      <c r="J654" s="466">
        <f t="shared" si="135"/>
        <v>1736190</v>
      </c>
      <c r="K654" s="466">
        <f t="shared" si="135"/>
        <v>1736190</v>
      </c>
      <c r="L654" s="564">
        <f t="shared" si="131"/>
        <v>0</v>
      </c>
      <c r="M654" s="565">
        <f t="shared" si="133"/>
        <v>144.32169576059852</v>
      </c>
      <c r="N654" s="565">
        <f t="shared" si="134"/>
        <v>144.32169576059849</v>
      </c>
    </row>
    <row r="655" spans="1:14" ht="21.75" customHeight="1" outlineLevel="3" x14ac:dyDescent="0.3">
      <c r="A655" s="438" t="s">
        <v>74</v>
      </c>
      <c r="B655" s="439" t="s">
        <v>536</v>
      </c>
      <c r="C655" s="439" t="s">
        <v>256</v>
      </c>
      <c r="D655" s="539" t="s">
        <v>756</v>
      </c>
      <c r="E655" s="539" t="s">
        <v>75</v>
      </c>
      <c r="F655" s="540">
        <v>258415.02</v>
      </c>
      <c r="G655" s="466">
        <v>1203000</v>
      </c>
      <c r="H655" s="443">
        <v>509453.59</v>
      </c>
      <c r="I655" s="442">
        <v>1203000</v>
      </c>
      <c r="J655" s="466">
        <v>1736190</v>
      </c>
      <c r="K655" s="466">
        <v>1736190</v>
      </c>
      <c r="L655" s="564">
        <f t="shared" si="131"/>
        <v>0</v>
      </c>
      <c r="M655" s="565">
        <f t="shared" si="133"/>
        <v>144.32169576059852</v>
      </c>
      <c r="N655" s="565">
        <f t="shared" si="134"/>
        <v>144.32169576059849</v>
      </c>
    </row>
    <row r="656" spans="1:14" ht="50.95" hidden="1" outlineLevel="3" x14ac:dyDescent="0.3">
      <c r="A656" s="450" t="s">
        <v>458</v>
      </c>
      <c r="B656" s="439" t="s">
        <v>536</v>
      </c>
      <c r="C656" s="439" t="s">
        <v>256</v>
      </c>
      <c r="D656" s="539" t="s">
        <v>727</v>
      </c>
      <c r="E656" s="539" t="s">
        <v>6</v>
      </c>
      <c r="F656" s="540">
        <v>52000</v>
      </c>
      <c r="G656" s="466">
        <f t="shared" ref="G656:I657" si="136">G657</f>
        <v>0</v>
      </c>
      <c r="H656" s="442">
        <f t="shared" si="136"/>
        <v>0</v>
      </c>
      <c r="I656" s="442">
        <f t="shared" si="136"/>
        <v>100000</v>
      </c>
      <c r="J656" s="466">
        <v>0</v>
      </c>
      <c r="K656" s="466">
        <v>0</v>
      </c>
      <c r="L656" s="564">
        <f t="shared" si="131"/>
        <v>0</v>
      </c>
      <c r="M656" s="565"/>
      <c r="N656" s="565"/>
    </row>
    <row r="657" spans="1:14" ht="34" hidden="1" outlineLevel="3" x14ac:dyDescent="0.3">
      <c r="A657" s="438" t="s">
        <v>37</v>
      </c>
      <c r="B657" s="439" t="s">
        <v>536</v>
      </c>
      <c r="C657" s="439" t="s">
        <v>256</v>
      </c>
      <c r="D657" s="539" t="s">
        <v>727</v>
      </c>
      <c r="E657" s="539" t="s">
        <v>38</v>
      </c>
      <c r="F657" s="540">
        <v>52000</v>
      </c>
      <c r="G657" s="466">
        <f t="shared" si="136"/>
        <v>0</v>
      </c>
      <c r="H657" s="442">
        <f t="shared" si="136"/>
        <v>0</v>
      </c>
      <c r="I657" s="442">
        <f t="shared" si="136"/>
        <v>100000</v>
      </c>
      <c r="J657" s="466">
        <v>0</v>
      </c>
      <c r="K657" s="466">
        <v>0</v>
      </c>
      <c r="L657" s="564">
        <f t="shared" si="131"/>
        <v>0</v>
      </c>
      <c r="M657" s="565"/>
      <c r="N657" s="565"/>
    </row>
    <row r="658" spans="1:14" ht="17.7" hidden="1" outlineLevel="3" thickBot="1" x14ac:dyDescent="0.35">
      <c r="A658" s="438" t="s">
        <v>74</v>
      </c>
      <c r="B658" s="439" t="s">
        <v>536</v>
      </c>
      <c r="C658" s="439" t="s">
        <v>256</v>
      </c>
      <c r="D658" s="539" t="s">
        <v>727</v>
      </c>
      <c r="E658" s="539" t="s">
        <v>75</v>
      </c>
      <c r="F658" s="540">
        <v>52000</v>
      </c>
      <c r="G658" s="466">
        <v>0</v>
      </c>
      <c r="H658" s="442">
        <v>0</v>
      </c>
      <c r="I658" s="442">
        <v>100000</v>
      </c>
      <c r="J658" s="466">
        <v>0</v>
      </c>
      <c r="K658" s="466">
        <v>0</v>
      </c>
      <c r="L658" s="564">
        <f t="shared" si="131"/>
        <v>0</v>
      </c>
      <c r="M658" s="565"/>
      <c r="N658" s="565"/>
    </row>
    <row r="659" spans="1:14" ht="51.65" hidden="1" outlineLevel="3" thickBot="1" x14ac:dyDescent="0.35">
      <c r="A659" s="470" t="s">
        <v>938</v>
      </c>
      <c r="B659" s="439" t="s">
        <v>536</v>
      </c>
      <c r="C659" s="439" t="s">
        <v>72</v>
      </c>
      <c r="D659" s="539" t="s">
        <v>980</v>
      </c>
      <c r="E659" s="539" t="s">
        <v>6</v>
      </c>
      <c r="F659" s="540"/>
      <c r="G659" s="466"/>
      <c r="H659" s="442">
        <f>H660</f>
        <v>132600</v>
      </c>
      <c r="I659" s="442"/>
      <c r="J659" s="466"/>
      <c r="K659" s="466"/>
      <c r="L659" s="564">
        <f t="shared" si="131"/>
        <v>0</v>
      </c>
      <c r="M659" s="565"/>
      <c r="N659" s="565"/>
    </row>
    <row r="660" spans="1:14" ht="34" hidden="1" outlineLevel="3" x14ac:dyDescent="0.3">
      <c r="A660" s="438" t="s">
        <v>37</v>
      </c>
      <c r="B660" s="439" t="s">
        <v>536</v>
      </c>
      <c r="C660" s="439" t="s">
        <v>72</v>
      </c>
      <c r="D660" s="539" t="s">
        <v>981</v>
      </c>
      <c r="E660" s="539" t="s">
        <v>38</v>
      </c>
      <c r="F660" s="540"/>
      <c r="G660" s="466"/>
      <c r="H660" s="442">
        <f>H661</f>
        <v>132600</v>
      </c>
      <c r="I660" s="442"/>
      <c r="J660" s="466"/>
      <c r="K660" s="466"/>
      <c r="L660" s="564">
        <f t="shared" si="131"/>
        <v>0</v>
      </c>
      <c r="M660" s="565"/>
      <c r="N660" s="565"/>
    </row>
    <row r="661" spans="1:14" hidden="1" outlineLevel="3" x14ac:dyDescent="0.3">
      <c r="A661" s="438" t="s">
        <v>74</v>
      </c>
      <c r="B661" s="439" t="s">
        <v>536</v>
      </c>
      <c r="C661" s="439" t="s">
        <v>72</v>
      </c>
      <c r="D661" s="539" t="s">
        <v>981</v>
      </c>
      <c r="E661" s="539" t="s">
        <v>75</v>
      </c>
      <c r="F661" s="540"/>
      <c r="G661" s="466"/>
      <c r="H661" s="442">
        <v>132600</v>
      </c>
      <c r="I661" s="442"/>
      <c r="J661" s="466"/>
      <c r="K661" s="466"/>
      <c r="L661" s="564">
        <f t="shared" si="131"/>
        <v>0</v>
      </c>
      <c r="M661" s="565"/>
      <c r="N661" s="565"/>
    </row>
    <row r="662" spans="1:14" outlineLevel="3" x14ac:dyDescent="0.3">
      <c r="A662" s="438" t="s">
        <v>76</v>
      </c>
      <c r="B662" s="439" t="s">
        <v>536</v>
      </c>
      <c r="C662" s="439" t="s">
        <v>77</v>
      </c>
      <c r="D662" s="539" t="s">
        <v>126</v>
      </c>
      <c r="E662" s="539" t="s">
        <v>6</v>
      </c>
      <c r="F662" s="540">
        <v>1754985.46</v>
      </c>
      <c r="G662" s="465">
        <f>G663</f>
        <v>2041369</v>
      </c>
      <c r="H662" s="440">
        <f>H663</f>
        <v>1919444.25</v>
      </c>
      <c r="I662" s="440">
        <f>I663</f>
        <v>2042300</v>
      </c>
      <c r="J662" s="465">
        <f>J663</f>
        <v>2803119.25</v>
      </c>
      <c r="K662" s="465">
        <f>K663</f>
        <v>2803119.25</v>
      </c>
      <c r="L662" s="564">
        <f t="shared" si="131"/>
        <v>0</v>
      </c>
      <c r="M662" s="565">
        <f t="shared" si="133"/>
        <v>137.31565679698281</v>
      </c>
      <c r="N662" s="565">
        <f t="shared" si="134"/>
        <v>137.31565679698281</v>
      </c>
    </row>
    <row r="663" spans="1:14" ht="34" outlineLevel="3" x14ac:dyDescent="0.3">
      <c r="A663" s="444" t="s">
        <v>825</v>
      </c>
      <c r="B663" s="445" t="s">
        <v>536</v>
      </c>
      <c r="C663" s="445" t="s">
        <v>77</v>
      </c>
      <c r="D663" s="541" t="s">
        <v>138</v>
      </c>
      <c r="E663" s="541" t="s">
        <v>6</v>
      </c>
      <c r="F663" s="540">
        <v>1754985.46</v>
      </c>
      <c r="G663" s="508">
        <f>G664+G678</f>
        <v>2041369</v>
      </c>
      <c r="H663" s="446">
        <f>H664+H678</f>
        <v>1919444.25</v>
      </c>
      <c r="I663" s="446">
        <f>I664+I678</f>
        <v>2042300</v>
      </c>
      <c r="J663" s="508">
        <f>J664+J678</f>
        <v>2803119.25</v>
      </c>
      <c r="K663" s="508">
        <f>K664+K678</f>
        <v>2803119.25</v>
      </c>
      <c r="L663" s="564">
        <f t="shared" si="131"/>
        <v>0</v>
      </c>
      <c r="M663" s="565">
        <f t="shared" si="133"/>
        <v>137.31565679698281</v>
      </c>
      <c r="N663" s="565">
        <f t="shared" si="134"/>
        <v>137.31565679698281</v>
      </c>
    </row>
    <row r="664" spans="1:14" ht="50.95" outlineLevel="3" x14ac:dyDescent="0.3">
      <c r="A664" s="438" t="s">
        <v>833</v>
      </c>
      <c r="B664" s="439" t="s">
        <v>536</v>
      </c>
      <c r="C664" s="439" t="s">
        <v>77</v>
      </c>
      <c r="D664" s="539" t="s">
        <v>146</v>
      </c>
      <c r="E664" s="539" t="s">
        <v>6</v>
      </c>
      <c r="F664" s="540">
        <v>69978.509999999995</v>
      </c>
      <c r="G664" s="465">
        <f>G665+G669</f>
        <v>1916369</v>
      </c>
      <c r="H664" s="440">
        <f>H665+H669</f>
        <v>1858488.25</v>
      </c>
      <c r="I664" s="440">
        <f>I665+I669</f>
        <v>1917300</v>
      </c>
      <c r="J664" s="465">
        <f>J665+J669</f>
        <v>2678119.25</v>
      </c>
      <c r="K664" s="465">
        <f>K665+K669</f>
        <v>2678119.25</v>
      </c>
      <c r="L664" s="564">
        <f t="shared" si="131"/>
        <v>0</v>
      </c>
      <c r="M664" s="565">
        <f t="shared" si="133"/>
        <v>139.74966460008486</v>
      </c>
      <c r="N664" s="565">
        <f t="shared" si="134"/>
        <v>139.74966460008486</v>
      </c>
    </row>
    <row r="665" spans="1:14" ht="34" outlineLevel="7" x14ac:dyDescent="0.3">
      <c r="A665" s="450" t="s">
        <v>206</v>
      </c>
      <c r="B665" s="439" t="s">
        <v>536</v>
      </c>
      <c r="C665" s="439" t="s">
        <v>77</v>
      </c>
      <c r="D665" s="539" t="s">
        <v>220</v>
      </c>
      <c r="E665" s="539" t="s">
        <v>6</v>
      </c>
      <c r="F665" s="540">
        <v>69978.509999999995</v>
      </c>
      <c r="G665" s="465">
        <f t="shared" ref="G665:K667" si="137">G666</f>
        <v>70000</v>
      </c>
      <c r="H665" s="440">
        <f t="shared" si="137"/>
        <v>53268</v>
      </c>
      <c r="I665" s="440">
        <f t="shared" si="137"/>
        <v>70000</v>
      </c>
      <c r="J665" s="465">
        <f t="shared" si="137"/>
        <v>70000</v>
      </c>
      <c r="K665" s="465">
        <f t="shared" si="137"/>
        <v>70000</v>
      </c>
      <c r="L665" s="564">
        <f t="shared" si="131"/>
        <v>0</v>
      </c>
      <c r="M665" s="565">
        <f t="shared" si="133"/>
        <v>100</v>
      </c>
      <c r="N665" s="565">
        <f t="shared" si="134"/>
        <v>100</v>
      </c>
    </row>
    <row r="666" spans="1:14" outlineLevel="7" x14ac:dyDescent="0.3">
      <c r="A666" s="438" t="s">
        <v>424</v>
      </c>
      <c r="B666" s="439" t="s">
        <v>536</v>
      </c>
      <c r="C666" s="439" t="s">
        <v>77</v>
      </c>
      <c r="D666" s="539" t="s">
        <v>235</v>
      </c>
      <c r="E666" s="539" t="s">
        <v>6</v>
      </c>
      <c r="F666" s="540">
        <v>69978.509999999995</v>
      </c>
      <c r="G666" s="465">
        <f t="shared" si="137"/>
        <v>70000</v>
      </c>
      <c r="H666" s="440">
        <f t="shared" si="137"/>
        <v>53268</v>
      </c>
      <c r="I666" s="440">
        <f t="shared" si="137"/>
        <v>70000</v>
      </c>
      <c r="J666" s="465">
        <f t="shared" si="137"/>
        <v>70000</v>
      </c>
      <c r="K666" s="465">
        <f t="shared" si="137"/>
        <v>70000</v>
      </c>
      <c r="L666" s="564">
        <f t="shared" si="131"/>
        <v>0</v>
      </c>
      <c r="M666" s="565">
        <f t="shared" si="133"/>
        <v>100</v>
      </c>
      <c r="N666" s="565">
        <f t="shared" si="134"/>
        <v>100</v>
      </c>
    </row>
    <row r="667" spans="1:14" ht="23.3" customHeight="1" outlineLevel="7" x14ac:dyDescent="0.3">
      <c r="A667" s="438" t="s">
        <v>15</v>
      </c>
      <c r="B667" s="439" t="s">
        <v>536</v>
      </c>
      <c r="C667" s="439" t="s">
        <v>77</v>
      </c>
      <c r="D667" s="539" t="s">
        <v>235</v>
      </c>
      <c r="E667" s="539" t="s">
        <v>16</v>
      </c>
      <c r="F667" s="540">
        <v>69978.509999999995</v>
      </c>
      <c r="G667" s="465">
        <f t="shared" si="137"/>
        <v>70000</v>
      </c>
      <c r="H667" s="440">
        <f t="shared" si="137"/>
        <v>53268</v>
      </c>
      <c r="I667" s="440">
        <f t="shared" si="137"/>
        <v>70000</v>
      </c>
      <c r="J667" s="465">
        <f t="shared" si="137"/>
        <v>70000</v>
      </c>
      <c r="K667" s="465">
        <f t="shared" si="137"/>
        <v>70000</v>
      </c>
      <c r="L667" s="564">
        <f t="shared" si="131"/>
        <v>0</v>
      </c>
      <c r="M667" s="565">
        <f t="shared" si="133"/>
        <v>100</v>
      </c>
      <c r="N667" s="565">
        <f t="shared" si="134"/>
        <v>100</v>
      </c>
    </row>
    <row r="668" spans="1:14" ht="34" outlineLevel="2" x14ac:dyDescent="0.3">
      <c r="A668" s="438" t="s">
        <v>17</v>
      </c>
      <c r="B668" s="439" t="s">
        <v>536</v>
      </c>
      <c r="C668" s="439" t="s">
        <v>77</v>
      </c>
      <c r="D668" s="539" t="s">
        <v>235</v>
      </c>
      <c r="E668" s="539" t="s">
        <v>18</v>
      </c>
      <c r="F668" s="540">
        <v>69978.509999999995</v>
      </c>
      <c r="G668" s="466">
        <v>70000</v>
      </c>
      <c r="H668" s="443">
        <v>53268</v>
      </c>
      <c r="I668" s="442">
        <v>70000</v>
      </c>
      <c r="J668" s="466">
        <v>70000</v>
      </c>
      <c r="K668" s="466">
        <v>70000</v>
      </c>
      <c r="L668" s="564">
        <f t="shared" si="131"/>
        <v>0</v>
      </c>
      <c r="M668" s="565">
        <f t="shared" si="133"/>
        <v>100</v>
      </c>
      <c r="N668" s="565">
        <f t="shared" si="134"/>
        <v>100</v>
      </c>
    </row>
    <row r="669" spans="1:14" s="449" customFormat="1" ht="34" outlineLevel="3" x14ac:dyDescent="0.3">
      <c r="A669" s="450" t="s">
        <v>275</v>
      </c>
      <c r="B669" s="439" t="s">
        <v>536</v>
      </c>
      <c r="C669" s="439" t="s">
        <v>77</v>
      </c>
      <c r="D669" s="539" t="s">
        <v>223</v>
      </c>
      <c r="E669" s="539" t="s">
        <v>6</v>
      </c>
      <c r="F669" s="540">
        <v>1561006.95</v>
      </c>
      <c r="G669" s="466">
        <f>G670</f>
        <v>1846369</v>
      </c>
      <c r="H669" s="442">
        <f>H670</f>
        <v>1805220.25</v>
      </c>
      <c r="I669" s="442">
        <f>I670</f>
        <v>1847300</v>
      </c>
      <c r="J669" s="466">
        <f>J670</f>
        <v>2608119.25</v>
      </c>
      <c r="K669" s="466">
        <f>K670</f>
        <v>2608119.25</v>
      </c>
      <c r="L669" s="564">
        <f t="shared" si="131"/>
        <v>0</v>
      </c>
      <c r="M669" s="565">
        <f t="shared" si="133"/>
        <v>141.25666375464493</v>
      </c>
      <c r="N669" s="565">
        <f t="shared" si="134"/>
        <v>141.2566637546449</v>
      </c>
    </row>
    <row r="670" spans="1:14" s="449" customFormat="1" ht="84.9" outlineLevel="3" x14ac:dyDescent="0.3">
      <c r="A670" s="393" t="s">
        <v>403</v>
      </c>
      <c r="B670" s="439" t="s">
        <v>536</v>
      </c>
      <c r="C670" s="439" t="s">
        <v>77</v>
      </c>
      <c r="D670" s="539" t="s">
        <v>152</v>
      </c>
      <c r="E670" s="539" t="s">
        <v>6</v>
      </c>
      <c r="F670" s="540">
        <v>1561006.95</v>
      </c>
      <c r="G670" s="465">
        <f>G671+G675+G673</f>
        <v>1846369</v>
      </c>
      <c r="H670" s="440">
        <f>H671+H675+H673</f>
        <v>1805220.25</v>
      </c>
      <c r="I670" s="440">
        <f>I671+I675+I673</f>
        <v>1847300</v>
      </c>
      <c r="J670" s="465">
        <v>2608119.25</v>
      </c>
      <c r="K670" s="465">
        <v>2608119.25</v>
      </c>
      <c r="L670" s="564">
        <f t="shared" si="131"/>
        <v>0</v>
      </c>
      <c r="M670" s="565">
        <f t="shared" si="133"/>
        <v>141.25666375464493</v>
      </c>
      <c r="N670" s="565">
        <f t="shared" si="134"/>
        <v>141.2566637546449</v>
      </c>
    </row>
    <row r="671" spans="1:14" ht="34" outlineLevel="5" x14ac:dyDescent="0.3">
      <c r="A671" s="438" t="s">
        <v>15</v>
      </c>
      <c r="B671" s="439" t="s">
        <v>536</v>
      </c>
      <c r="C671" s="439" t="s">
        <v>77</v>
      </c>
      <c r="D671" s="539" t="s">
        <v>152</v>
      </c>
      <c r="E671" s="539" t="s">
        <v>16</v>
      </c>
      <c r="F671" s="540">
        <v>0</v>
      </c>
      <c r="G671" s="465">
        <f>G672</f>
        <v>2000</v>
      </c>
      <c r="H671" s="440">
        <f>H672</f>
        <v>0</v>
      </c>
      <c r="I671" s="440">
        <f>I672</f>
        <v>2000</v>
      </c>
      <c r="J671" s="465">
        <f>J672</f>
        <v>2608119.25</v>
      </c>
      <c r="K671" s="465">
        <f>K672</f>
        <v>2608119.25</v>
      </c>
      <c r="L671" s="564">
        <f t="shared" si="131"/>
        <v>0</v>
      </c>
      <c r="M671" s="565"/>
      <c r="N671" s="565">
        <f t="shared" si="134"/>
        <v>130405.96250000001</v>
      </c>
    </row>
    <row r="672" spans="1:14" ht="34" outlineLevel="6" x14ac:dyDescent="0.3">
      <c r="A672" s="438" t="s">
        <v>17</v>
      </c>
      <c r="B672" s="439" t="s">
        <v>536</v>
      </c>
      <c r="C672" s="439" t="s">
        <v>77</v>
      </c>
      <c r="D672" s="539" t="s">
        <v>152</v>
      </c>
      <c r="E672" s="539" t="s">
        <v>18</v>
      </c>
      <c r="F672" s="540">
        <v>0</v>
      </c>
      <c r="G672" s="466">
        <v>2000</v>
      </c>
      <c r="H672" s="442">
        <v>0</v>
      </c>
      <c r="I672" s="442">
        <v>2000</v>
      </c>
      <c r="J672" s="466">
        <v>2608119.25</v>
      </c>
      <c r="K672" s="466">
        <v>2608119.25</v>
      </c>
      <c r="L672" s="564">
        <f t="shared" si="131"/>
        <v>0</v>
      </c>
      <c r="M672" s="565"/>
      <c r="N672" s="565">
        <f t="shared" si="134"/>
        <v>130405.96250000001</v>
      </c>
    </row>
    <row r="673" spans="1:14" outlineLevel="7" x14ac:dyDescent="0.3">
      <c r="A673" s="438" t="s">
        <v>90</v>
      </c>
      <c r="B673" s="439" t="s">
        <v>536</v>
      </c>
      <c r="C673" s="439" t="s">
        <v>77</v>
      </c>
      <c r="D673" s="539" t="s">
        <v>152</v>
      </c>
      <c r="E673" s="539" t="s">
        <v>91</v>
      </c>
      <c r="F673" s="540">
        <v>194977.5</v>
      </c>
      <c r="G673" s="465">
        <f>G674</f>
        <v>320000</v>
      </c>
      <c r="H673" s="440">
        <f>H674</f>
        <v>280851.25</v>
      </c>
      <c r="I673" s="440">
        <f>I674</f>
        <v>320000</v>
      </c>
      <c r="J673" s="465">
        <f>J674</f>
        <v>0</v>
      </c>
      <c r="K673" s="465">
        <f>K674</f>
        <v>0</v>
      </c>
      <c r="L673" s="564">
        <f t="shared" si="131"/>
        <v>0</v>
      </c>
      <c r="M673" s="565">
        <f t="shared" si="133"/>
        <v>0</v>
      </c>
      <c r="N673" s="565">
        <f t="shared" si="134"/>
        <v>0</v>
      </c>
    </row>
    <row r="674" spans="1:14" ht="34" outlineLevel="6" x14ac:dyDescent="0.3">
      <c r="A674" s="438" t="s">
        <v>97</v>
      </c>
      <c r="B674" s="439" t="s">
        <v>536</v>
      </c>
      <c r="C674" s="439" t="s">
        <v>77</v>
      </c>
      <c r="D674" s="539" t="s">
        <v>152</v>
      </c>
      <c r="E674" s="539" t="s">
        <v>98</v>
      </c>
      <c r="F674" s="540">
        <v>194977.5</v>
      </c>
      <c r="G674" s="466">
        <v>320000</v>
      </c>
      <c r="H674" s="443">
        <v>280851.25</v>
      </c>
      <c r="I674" s="442">
        <v>320000</v>
      </c>
      <c r="J674" s="466">
        <v>0</v>
      </c>
      <c r="K674" s="466">
        <v>0</v>
      </c>
      <c r="L674" s="564">
        <f t="shared" si="131"/>
        <v>0</v>
      </c>
      <c r="M674" s="565">
        <f t="shared" si="133"/>
        <v>0</v>
      </c>
      <c r="N674" s="565">
        <f t="shared" si="134"/>
        <v>0</v>
      </c>
    </row>
    <row r="675" spans="1:14" ht="21.25" customHeight="1" outlineLevel="7" x14ac:dyDescent="0.3">
      <c r="A675" s="438" t="s">
        <v>37</v>
      </c>
      <c r="B675" s="439" t="s">
        <v>536</v>
      </c>
      <c r="C675" s="439" t="s">
        <v>77</v>
      </c>
      <c r="D675" s="539" t="s">
        <v>152</v>
      </c>
      <c r="E675" s="539" t="s">
        <v>38</v>
      </c>
      <c r="F675" s="540">
        <v>1366029.45</v>
      </c>
      <c r="G675" s="465">
        <v>1524369</v>
      </c>
      <c r="H675" s="441">
        <v>1524369</v>
      </c>
      <c r="I675" s="440">
        <f>I676</f>
        <v>1525300</v>
      </c>
      <c r="J675" s="465">
        <f>J676</f>
        <v>0</v>
      </c>
      <c r="K675" s="465">
        <f>K676</f>
        <v>0</v>
      </c>
      <c r="L675" s="564">
        <f t="shared" si="131"/>
        <v>0</v>
      </c>
      <c r="M675" s="565">
        <f t="shared" si="133"/>
        <v>0</v>
      </c>
      <c r="N675" s="565">
        <f t="shared" si="134"/>
        <v>0</v>
      </c>
    </row>
    <row r="676" spans="1:14" outlineLevel="7" x14ac:dyDescent="0.3">
      <c r="A676" s="438" t="s">
        <v>74</v>
      </c>
      <c r="B676" s="439" t="s">
        <v>536</v>
      </c>
      <c r="C676" s="439" t="s">
        <v>77</v>
      </c>
      <c r="D676" s="539" t="s">
        <v>152</v>
      </c>
      <c r="E676" s="539" t="s">
        <v>75</v>
      </c>
      <c r="F676" s="540">
        <v>1366029.45</v>
      </c>
      <c r="G676" s="466">
        <v>1525300</v>
      </c>
      <c r="H676" s="443">
        <v>1524369</v>
      </c>
      <c r="I676" s="442">
        <v>1525300</v>
      </c>
      <c r="J676" s="466">
        <v>0</v>
      </c>
      <c r="K676" s="466">
        <v>0</v>
      </c>
      <c r="L676" s="564">
        <f t="shared" si="131"/>
        <v>0</v>
      </c>
      <c r="M676" s="565">
        <f t="shared" si="133"/>
        <v>0</v>
      </c>
      <c r="N676" s="565">
        <f t="shared" si="134"/>
        <v>0</v>
      </c>
    </row>
    <row r="677" spans="1:14" ht="34" outlineLevel="7" x14ac:dyDescent="0.3">
      <c r="A677" s="397" t="s">
        <v>238</v>
      </c>
      <c r="B677" s="439" t="s">
        <v>536</v>
      </c>
      <c r="C677" s="439" t="s">
        <v>77</v>
      </c>
      <c r="D677" s="539" t="s">
        <v>237</v>
      </c>
      <c r="E677" s="539" t="s">
        <v>6</v>
      </c>
      <c r="F677" s="540">
        <v>124000</v>
      </c>
      <c r="G677" s="466">
        <f t="shared" ref="G677:K679" si="138">G678</f>
        <v>125000</v>
      </c>
      <c r="H677" s="442">
        <f t="shared" si="138"/>
        <v>60956</v>
      </c>
      <c r="I677" s="442">
        <f t="shared" si="138"/>
        <v>125000</v>
      </c>
      <c r="J677" s="466">
        <f t="shared" si="138"/>
        <v>125000</v>
      </c>
      <c r="K677" s="466">
        <f t="shared" si="138"/>
        <v>125000</v>
      </c>
      <c r="L677" s="564">
        <f t="shared" si="131"/>
        <v>0</v>
      </c>
      <c r="M677" s="565">
        <f t="shared" si="133"/>
        <v>100</v>
      </c>
      <c r="N677" s="565">
        <f t="shared" si="134"/>
        <v>100</v>
      </c>
    </row>
    <row r="678" spans="1:14" outlineLevel="5" x14ac:dyDescent="0.3">
      <c r="A678" s="438" t="s">
        <v>78</v>
      </c>
      <c r="B678" s="439" t="s">
        <v>536</v>
      </c>
      <c r="C678" s="439" t="s">
        <v>77</v>
      </c>
      <c r="D678" s="539" t="s">
        <v>153</v>
      </c>
      <c r="E678" s="539" t="s">
        <v>6</v>
      </c>
      <c r="F678" s="540">
        <v>124000</v>
      </c>
      <c r="G678" s="465">
        <f t="shared" si="138"/>
        <v>125000</v>
      </c>
      <c r="H678" s="440">
        <f t="shared" si="138"/>
        <v>60956</v>
      </c>
      <c r="I678" s="440">
        <f t="shared" si="138"/>
        <v>125000</v>
      </c>
      <c r="J678" s="465">
        <f t="shared" si="138"/>
        <v>125000</v>
      </c>
      <c r="K678" s="465">
        <f t="shared" si="138"/>
        <v>125000</v>
      </c>
      <c r="L678" s="564">
        <f t="shared" si="131"/>
        <v>0</v>
      </c>
      <c r="M678" s="565">
        <f t="shared" si="133"/>
        <v>100</v>
      </c>
      <c r="N678" s="565">
        <f t="shared" si="134"/>
        <v>100</v>
      </c>
    </row>
    <row r="679" spans="1:14" ht="34" outlineLevel="6" x14ac:dyDescent="0.3">
      <c r="A679" s="438" t="s">
        <v>15</v>
      </c>
      <c r="B679" s="439" t="s">
        <v>536</v>
      </c>
      <c r="C679" s="439" t="s">
        <v>77</v>
      </c>
      <c r="D679" s="539" t="s">
        <v>153</v>
      </c>
      <c r="E679" s="539" t="s">
        <v>16</v>
      </c>
      <c r="F679" s="540">
        <v>124000</v>
      </c>
      <c r="G679" s="465">
        <f t="shared" si="138"/>
        <v>125000</v>
      </c>
      <c r="H679" s="440">
        <f t="shared" si="138"/>
        <v>60956</v>
      </c>
      <c r="I679" s="440">
        <f t="shared" si="138"/>
        <v>125000</v>
      </c>
      <c r="J679" s="465">
        <f t="shared" si="138"/>
        <v>125000</v>
      </c>
      <c r="K679" s="465">
        <f t="shared" si="138"/>
        <v>125000</v>
      </c>
      <c r="L679" s="564">
        <f t="shared" si="131"/>
        <v>0</v>
      </c>
      <c r="M679" s="565">
        <f t="shared" si="133"/>
        <v>100</v>
      </c>
      <c r="N679" s="565">
        <f t="shared" si="134"/>
        <v>100</v>
      </c>
    </row>
    <row r="680" spans="1:14" ht="34" outlineLevel="7" x14ac:dyDescent="0.3">
      <c r="A680" s="438" t="s">
        <v>17</v>
      </c>
      <c r="B680" s="439" t="s">
        <v>536</v>
      </c>
      <c r="C680" s="439" t="s">
        <v>77</v>
      </c>
      <c r="D680" s="539" t="s">
        <v>153</v>
      </c>
      <c r="E680" s="539" t="s">
        <v>18</v>
      </c>
      <c r="F680" s="540">
        <v>124000</v>
      </c>
      <c r="G680" s="466">
        <v>125000</v>
      </c>
      <c r="H680" s="443">
        <v>60956</v>
      </c>
      <c r="I680" s="442">
        <v>125000</v>
      </c>
      <c r="J680" s="466">
        <v>125000</v>
      </c>
      <c r="K680" s="466">
        <v>125000</v>
      </c>
      <c r="L680" s="564">
        <f t="shared" si="131"/>
        <v>0</v>
      </c>
      <c r="M680" s="565">
        <f t="shared" si="133"/>
        <v>100</v>
      </c>
      <c r="N680" s="565">
        <f t="shared" si="134"/>
        <v>100</v>
      </c>
    </row>
    <row r="681" spans="1:14" outlineLevel="6" x14ac:dyDescent="0.3">
      <c r="A681" s="438" t="s">
        <v>116</v>
      </c>
      <c r="B681" s="439" t="s">
        <v>536</v>
      </c>
      <c r="C681" s="439" t="s">
        <v>117</v>
      </c>
      <c r="D681" s="539" t="s">
        <v>126</v>
      </c>
      <c r="E681" s="539" t="s">
        <v>6</v>
      </c>
      <c r="F681" s="540">
        <v>20583160.210000001</v>
      </c>
      <c r="G681" s="465">
        <f t="shared" ref="G681:K682" si="139">G682</f>
        <v>23901235</v>
      </c>
      <c r="H681" s="440">
        <f t="shared" si="139"/>
        <v>17186408.539999999</v>
      </c>
      <c r="I681" s="440">
        <f t="shared" si="139"/>
        <v>21748475</v>
      </c>
      <c r="J681" s="465">
        <f t="shared" si="139"/>
        <v>23843513</v>
      </c>
      <c r="K681" s="465">
        <f t="shared" si="139"/>
        <v>23557565</v>
      </c>
      <c r="L681" s="564">
        <f t="shared" si="131"/>
        <v>-285948</v>
      </c>
      <c r="M681" s="565">
        <f t="shared" si="133"/>
        <v>99.758497834944507</v>
      </c>
      <c r="N681" s="565">
        <f t="shared" si="134"/>
        <v>98.562124509465718</v>
      </c>
    </row>
    <row r="682" spans="1:14" ht="46.55" customHeight="1" outlineLevel="7" x14ac:dyDescent="0.3">
      <c r="A682" s="444" t="s">
        <v>827</v>
      </c>
      <c r="B682" s="445" t="s">
        <v>536</v>
      </c>
      <c r="C682" s="445" t="s">
        <v>117</v>
      </c>
      <c r="D682" s="541" t="s">
        <v>138</v>
      </c>
      <c r="E682" s="541" t="s">
        <v>6</v>
      </c>
      <c r="F682" s="542">
        <v>20583160.210000001</v>
      </c>
      <c r="G682" s="520">
        <f t="shared" si="139"/>
        <v>23901235</v>
      </c>
      <c r="H682" s="471">
        <f t="shared" si="139"/>
        <v>17186408.539999999</v>
      </c>
      <c r="I682" s="471">
        <f t="shared" si="139"/>
        <v>21748475</v>
      </c>
      <c r="J682" s="520">
        <f t="shared" si="139"/>
        <v>23843513</v>
      </c>
      <c r="K682" s="520">
        <f t="shared" si="139"/>
        <v>23557565</v>
      </c>
      <c r="L682" s="564">
        <f t="shared" si="131"/>
        <v>-285948</v>
      </c>
      <c r="M682" s="565">
        <f t="shared" si="133"/>
        <v>99.758497834944507</v>
      </c>
      <c r="N682" s="565">
        <f t="shared" si="134"/>
        <v>98.562124509465718</v>
      </c>
    </row>
    <row r="683" spans="1:14" ht="34" outlineLevel="6" x14ac:dyDescent="0.3">
      <c r="A683" s="450" t="s">
        <v>209</v>
      </c>
      <c r="B683" s="439" t="s">
        <v>536</v>
      </c>
      <c r="C683" s="439" t="s">
        <v>117</v>
      </c>
      <c r="D683" s="539" t="s">
        <v>226</v>
      </c>
      <c r="E683" s="539" t="s">
        <v>6</v>
      </c>
      <c r="F683" s="540">
        <v>20583160.210000001</v>
      </c>
      <c r="G683" s="508">
        <f>G684+G691+G698</f>
        <v>23901235</v>
      </c>
      <c r="H683" s="446">
        <f>H684+H691+H698</f>
        <v>17186408.539999999</v>
      </c>
      <c r="I683" s="446">
        <f>I684+I691+I698</f>
        <v>21748475</v>
      </c>
      <c r="J683" s="508">
        <f>J684+J691+J698</f>
        <v>23843513</v>
      </c>
      <c r="K683" s="508">
        <f>K684+K691+K698</f>
        <v>23557565</v>
      </c>
      <c r="L683" s="564">
        <f t="shared" si="131"/>
        <v>-285948</v>
      </c>
      <c r="M683" s="565">
        <f t="shared" si="133"/>
        <v>99.758497834944507</v>
      </c>
      <c r="N683" s="565">
        <f t="shared" si="134"/>
        <v>98.562124509465718</v>
      </c>
    </row>
    <row r="684" spans="1:14" ht="39.75" customHeight="1" outlineLevel="7" x14ac:dyDescent="0.3">
      <c r="A684" s="438" t="s">
        <v>494</v>
      </c>
      <c r="B684" s="439" t="s">
        <v>536</v>
      </c>
      <c r="C684" s="439" t="s">
        <v>117</v>
      </c>
      <c r="D684" s="539" t="s">
        <v>535</v>
      </c>
      <c r="E684" s="539" t="s">
        <v>6</v>
      </c>
      <c r="F684" s="540">
        <v>4679801.09</v>
      </c>
      <c r="G684" s="465">
        <f>G685+G687+G689</f>
        <v>6389242</v>
      </c>
      <c r="H684" s="440">
        <f>H685+H687+H689</f>
        <v>4957074.93</v>
      </c>
      <c r="I684" s="440">
        <f>I685+I687+I689</f>
        <v>5189242</v>
      </c>
      <c r="J684" s="465">
        <f>J685+J687+J689</f>
        <v>5880410</v>
      </c>
      <c r="K684" s="465">
        <f>K685+K687+K689</f>
        <v>5400410</v>
      </c>
      <c r="L684" s="564">
        <f t="shared" si="131"/>
        <v>-480000</v>
      </c>
      <c r="M684" s="565">
        <f t="shared" si="133"/>
        <v>92.036113204038912</v>
      </c>
      <c r="N684" s="565">
        <f t="shared" si="134"/>
        <v>84.523484945475531</v>
      </c>
    </row>
    <row r="685" spans="1:14" ht="84.9" outlineLevel="3" x14ac:dyDescent="0.3">
      <c r="A685" s="438" t="s">
        <v>11</v>
      </c>
      <c r="B685" s="439" t="s">
        <v>536</v>
      </c>
      <c r="C685" s="439" t="s">
        <v>117</v>
      </c>
      <c r="D685" s="539" t="s">
        <v>535</v>
      </c>
      <c r="E685" s="539" t="s">
        <v>12</v>
      </c>
      <c r="F685" s="540">
        <v>4322530.09</v>
      </c>
      <c r="G685" s="465">
        <f>G686</f>
        <v>5089242</v>
      </c>
      <c r="H685" s="440">
        <f>H686</f>
        <v>3737020.13</v>
      </c>
      <c r="I685" s="440">
        <f>I686</f>
        <v>5089242</v>
      </c>
      <c r="J685" s="465">
        <f>J686</f>
        <v>5300410</v>
      </c>
      <c r="K685" s="465">
        <f>K686</f>
        <v>5300410</v>
      </c>
      <c r="L685" s="564">
        <f t="shared" si="131"/>
        <v>0</v>
      </c>
      <c r="M685" s="565">
        <f t="shared" si="133"/>
        <v>104.14930160522923</v>
      </c>
      <c r="N685" s="565">
        <f t="shared" si="134"/>
        <v>104.14930160522921</v>
      </c>
    </row>
    <row r="686" spans="1:14" ht="34" outlineLevel="3" x14ac:dyDescent="0.3">
      <c r="A686" s="438" t="s">
        <v>13</v>
      </c>
      <c r="B686" s="439" t="s">
        <v>536</v>
      </c>
      <c r="C686" s="439" t="s">
        <v>117</v>
      </c>
      <c r="D686" s="539" t="s">
        <v>535</v>
      </c>
      <c r="E686" s="539" t="s">
        <v>14</v>
      </c>
      <c r="F686" s="540">
        <v>4322530.09</v>
      </c>
      <c r="G686" s="466">
        <f>[2]потребность!I621</f>
        <v>5089242</v>
      </c>
      <c r="H686" s="443">
        <v>3737020.13</v>
      </c>
      <c r="I686" s="442">
        <v>5089242</v>
      </c>
      <c r="J686" s="466">
        <v>5300410</v>
      </c>
      <c r="K686" s="466">
        <v>5300410</v>
      </c>
      <c r="L686" s="564">
        <f t="shared" si="131"/>
        <v>0</v>
      </c>
      <c r="M686" s="565">
        <f t="shared" si="133"/>
        <v>104.14930160522923</v>
      </c>
      <c r="N686" s="565">
        <f t="shared" si="134"/>
        <v>104.14930160522921</v>
      </c>
    </row>
    <row r="687" spans="1:14" ht="34" outlineLevel="3" x14ac:dyDescent="0.3">
      <c r="A687" s="438" t="s">
        <v>15</v>
      </c>
      <c r="B687" s="439" t="s">
        <v>536</v>
      </c>
      <c r="C687" s="439" t="s">
        <v>117</v>
      </c>
      <c r="D687" s="539" t="s">
        <v>535</v>
      </c>
      <c r="E687" s="539" t="s">
        <v>16</v>
      </c>
      <c r="F687" s="540">
        <v>310400</v>
      </c>
      <c r="G687" s="465">
        <f>G688</f>
        <v>1300000</v>
      </c>
      <c r="H687" s="440">
        <f>H688</f>
        <v>1220054.8</v>
      </c>
      <c r="I687" s="440">
        <f>I688</f>
        <v>100000</v>
      </c>
      <c r="J687" s="465">
        <f>J688</f>
        <v>580000</v>
      </c>
      <c r="K687" s="465">
        <f>K688</f>
        <v>100000</v>
      </c>
      <c r="L687" s="564">
        <f t="shared" si="131"/>
        <v>-480000</v>
      </c>
      <c r="M687" s="565">
        <f t="shared" si="133"/>
        <v>44.615384615384613</v>
      </c>
      <c r="N687" s="565">
        <f t="shared" si="134"/>
        <v>7.6923076923076925</v>
      </c>
    </row>
    <row r="688" spans="1:14" s="449" customFormat="1" ht="46.2" customHeight="1" outlineLevel="3" x14ac:dyDescent="0.3">
      <c r="A688" s="438" t="s">
        <v>17</v>
      </c>
      <c r="B688" s="439" t="s">
        <v>536</v>
      </c>
      <c r="C688" s="439" t="s">
        <v>117</v>
      </c>
      <c r="D688" s="539" t="s">
        <v>535</v>
      </c>
      <c r="E688" s="539" t="s">
        <v>18</v>
      </c>
      <c r="F688" s="540">
        <v>310400</v>
      </c>
      <c r="G688" s="466">
        <f>[2]потребность!I623+1200000</f>
        <v>1300000</v>
      </c>
      <c r="H688" s="443">
        <v>1220054.8</v>
      </c>
      <c r="I688" s="442">
        <v>100000</v>
      </c>
      <c r="J688" s="466">
        <v>580000</v>
      </c>
      <c r="K688" s="466">
        <f>580000-420000-60000</f>
        <v>100000</v>
      </c>
      <c r="L688" s="564">
        <f t="shared" si="131"/>
        <v>-480000</v>
      </c>
      <c r="M688" s="565">
        <f t="shared" si="133"/>
        <v>44.615384615384613</v>
      </c>
      <c r="N688" s="565">
        <f t="shared" si="134"/>
        <v>7.6923076923076925</v>
      </c>
    </row>
    <row r="689" spans="1:15" outlineLevel="3" x14ac:dyDescent="0.3">
      <c r="A689" s="438" t="s">
        <v>19</v>
      </c>
      <c r="B689" s="439" t="s">
        <v>536</v>
      </c>
      <c r="C689" s="439" t="s">
        <v>117</v>
      </c>
      <c r="D689" s="539" t="s">
        <v>535</v>
      </c>
      <c r="E689" s="539" t="s">
        <v>20</v>
      </c>
      <c r="F689" s="540">
        <v>46871</v>
      </c>
      <c r="G689" s="466">
        <f>G690</f>
        <v>0</v>
      </c>
      <c r="H689" s="442">
        <f>H690</f>
        <v>0</v>
      </c>
      <c r="I689" s="442">
        <f>I690</f>
        <v>0</v>
      </c>
      <c r="J689" s="466">
        <v>0</v>
      </c>
      <c r="K689" s="466">
        <v>0</v>
      </c>
      <c r="L689" s="564">
        <f t="shared" si="131"/>
        <v>0</v>
      </c>
      <c r="M689" s="565"/>
      <c r="N689" s="565"/>
    </row>
    <row r="690" spans="1:15" s="449" customFormat="1" outlineLevel="3" x14ac:dyDescent="0.3">
      <c r="A690" s="438" t="s">
        <v>21</v>
      </c>
      <c r="B690" s="439" t="s">
        <v>536</v>
      </c>
      <c r="C690" s="439" t="s">
        <v>117</v>
      </c>
      <c r="D690" s="539" t="s">
        <v>535</v>
      </c>
      <c r="E690" s="539" t="s">
        <v>22</v>
      </c>
      <c r="F690" s="540">
        <v>46871</v>
      </c>
      <c r="G690" s="466">
        <v>0</v>
      </c>
      <c r="H690" s="442">
        <v>0</v>
      </c>
      <c r="I690" s="442">
        <v>0</v>
      </c>
      <c r="J690" s="507">
        <v>0</v>
      </c>
      <c r="K690" s="507">
        <v>0</v>
      </c>
      <c r="L690" s="564">
        <f t="shared" si="131"/>
        <v>0</v>
      </c>
      <c r="M690" s="565"/>
      <c r="N690" s="565"/>
    </row>
    <row r="691" spans="1:15" ht="34" outlineLevel="3" x14ac:dyDescent="0.3">
      <c r="A691" s="438" t="s">
        <v>33</v>
      </c>
      <c r="B691" s="439" t="s">
        <v>536</v>
      </c>
      <c r="C691" s="439" t="s">
        <v>117</v>
      </c>
      <c r="D691" s="539" t="s">
        <v>154</v>
      </c>
      <c r="E691" s="539" t="s">
        <v>6</v>
      </c>
      <c r="F691" s="540">
        <v>13829667.76</v>
      </c>
      <c r="G691" s="465">
        <f>G692+G694+G696</f>
        <v>15354732</v>
      </c>
      <c r="H691" s="440">
        <f>H692+H694+H696</f>
        <v>10604991.219999999</v>
      </c>
      <c r="I691" s="440">
        <f>I692+I694+I696</f>
        <v>14477700</v>
      </c>
      <c r="J691" s="465">
        <f>J692+J694+J696</f>
        <v>15696868</v>
      </c>
      <c r="K691" s="465">
        <f>K692+K694+K696</f>
        <v>15890920</v>
      </c>
      <c r="L691" s="564">
        <f t="shared" si="131"/>
        <v>194052</v>
      </c>
      <c r="M691" s="565">
        <f t="shared" si="133"/>
        <v>102.2282121237935</v>
      </c>
      <c r="N691" s="565">
        <f t="shared" si="134"/>
        <v>103.492004940236</v>
      </c>
    </row>
    <row r="692" spans="1:15" ht="84.9" outlineLevel="3" x14ac:dyDescent="0.3">
      <c r="A692" s="438" t="s">
        <v>11</v>
      </c>
      <c r="B692" s="439" t="s">
        <v>536</v>
      </c>
      <c r="C692" s="439" t="s">
        <v>117</v>
      </c>
      <c r="D692" s="539" t="s">
        <v>154</v>
      </c>
      <c r="E692" s="539" t="s">
        <v>12</v>
      </c>
      <c r="F692" s="540">
        <v>11317918.75</v>
      </c>
      <c r="G692" s="465">
        <f>G693</f>
        <v>12224586</v>
      </c>
      <c r="H692" s="440">
        <f>H693</f>
        <v>8887451.2799999993</v>
      </c>
      <c r="I692" s="440">
        <f>I693</f>
        <v>11638500</v>
      </c>
      <c r="J692" s="465">
        <f>J693</f>
        <v>12652855</v>
      </c>
      <c r="K692" s="465">
        <f>K693</f>
        <v>12652855</v>
      </c>
      <c r="L692" s="564">
        <f t="shared" si="131"/>
        <v>0</v>
      </c>
      <c r="M692" s="565">
        <f t="shared" si="133"/>
        <v>103.50334154465435</v>
      </c>
      <c r="N692" s="565">
        <f t="shared" si="134"/>
        <v>103.50334154465435</v>
      </c>
    </row>
    <row r="693" spans="1:15" outlineLevel="3" x14ac:dyDescent="0.3">
      <c r="A693" s="438" t="s">
        <v>34</v>
      </c>
      <c r="B693" s="439" t="s">
        <v>536</v>
      </c>
      <c r="C693" s="439" t="s">
        <v>117</v>
      </c>
      <c r="D693" s="539" t="s">
        <v>154</v>
      </c>
      <c r="E693" s="539" t="s">
        <v>35</v>
      </c>
      <c r="F693" s="540">
        <v>11317918.75</v>
      </c>
      <c r="G693" s="466">
        <f>11638500-64022+650000+108</f>
        <v>12224586</v>
      </c>
      <c r="H693" s="443">
        <v>8887451.2799999993</v>
      </c>
      <c r="I693" s="442">
        <v>11638500</v>
      </c>
      <c r="J693" s="466">
        <v>12652855</v>
      </c>
      <c r="K693" s="466">
        <v>12652855</v>
      </c>
      <c r="L693" s="564">
        <f t="shared" si="131"/>
        <v>0</v>
      </c>
      <c r="M693" s="565">
        <f t="shared" si="133"/>
        <v>103.50334154465435</v>
      </c>
      <c r="N693" s="565">
        <f t="shared" si="134"/>
        <v>103.50334154465435</v>
      </c>
    </row>
    <row r="694" spans="1:15" ht="34" outlineLevel="3" x14ac:dyDescent="0.3">
      <c r="A694" s="438" t="s">
        <v>15</v>
      </c>
      <c r="B694" s="439" t="s">
        <v>536</v>
      </c>
      <c r="C694" s="439" t="s">
        <v>117</v>
      </c>
      <c r="D694" s="539" t="s">
        <v>154</v>
      </c>
      <c r="E694" s="539" t="s">
        <v>16</v>
      </c>
      <c r="F694" s="540">
        <v>2478211.0099999998</v>
      </c>
      <c r="G694" s="465">
        <f>G695</f>
        <v>3090946</v>
      </c>
      <c r="H694" s="440">
        <f>H695</f>
        <v>1695350.94</v>
      </c>
      <c r="I694" s="440">
        <f>I695</f>
        <v>2800000</v>
      </c>
      <c r="J694" s="465">
        <f>J695</f>
        <v>3005948</v>
      </c>
      <c r="K694" s="511">
        <f>K695</f>
        <v>3200000</v>
      </c>
      <c r="L694" s="564">
        <f t="shared" si="131"/>
        <v>194052</v>
      </c>
      <c r="M694" s="565">
        <f t="shared" si="133"/>
        <v>97.250097542952872</v>
      </c>
      <c r="N694" s="565">
        <f t="shared" si="134"/>
        <v>103.52817551649235</v>
      </c>
      <c r="O694" s="391" t="s">
        <v>1031</v>
      </c>
    </row>
    <row r="695" spans="1:15" ht="34" outlineLevel="3" x14ac:dyDescent="0.3">
      <c r="A695" s="438" t="s">
        <v>17</v>
      </c>
      <c r="B695" s="439" t="s">
        <v>536</v>
      </c>
      <c r="C695" s="439" t="s">
        <v>117</v>
      </c>
      <c r="D695" s="539" t="s">
        <v>154</v>
      </c>
      <c r="E695" s="539" t="s">
        <v>18</v>
      </c>
      <c r="F695" s="540">
        <v>2478211.0099999998</v>
      </c>
      <c r="G695" s="466">
        <f>[2]потребность!I630+7425+240000</f>
        <v>3090946</v>
      </c>
      <c r="H695" s="443">
        <v>1695350.94</v>
      </c>
      <c r="I695" s="442">
        <v>2800000</v>
      </c>
      <c r="J695" s="466">
        <v>3005948</v>
      </c>
      <c r="K695" s="512">
        <f>3200000</f>
        <v>3200000</v>
      </c>
      <c r="L695" s="564">
        <f t="shared" si="131"/>
        <v>194052</v>
      </c>
      <c r="M695" s="565">
        <f t="shared" si="133"/>
        <v>97.250097542952872</v>
      </c>
      <c r="N695" s="565">
        <f t="shared" si="134"/>
        <v>103.52817551649235</v>
      </c>
    </row>
    <row r="696" spans="1:15" s="449" customFormat="1" outlineLevel="3" x14ac:dyDescent="0.3">
      <c r="A696" s="438" t="s">
        <v>19</v>
      </c>
      <c r="B696" s="439" t="s">
        <v>536</v>
      </c>
      <c r="C696" s="439" t="s">
        <v>117</v>
      </c>
      <c r="D696" s="539" t="s">
        <v>154</v>
      </c>
      <c r="E696" s="539" t="s">
        <v>20</v>
      </c>
      <c r="F696" s="540">
        <v>33538</v>
      </c>
      <c r="G696" s="465">
        <f>G697</f>
        <v>39200</v>
      </c>
      <c r="H696" s="440">
        <f>H697</f>
        <v>22189</v>
      </c>
      <c r="I696" s="440">
        <f>I697</f>
        <v>39200</v>
      </c>
      <c r="J696" s="465">
        <f>J697</f>
        <v>38065</v>
      </c>
      <c r="K696" s="465">
        <f>K697</f>
        <v>38065</v>
      </c>
      <c r="L696" s="564">
        <f t="shared" si="131"/>
        <v>0</v>
      </c>
      <c r="M696" s="565">
        <f t="shared" si="133"/>
        <v>97.104591836734699</v>
      </c>
      <c r="N696" s="565">
        <f t="shared" si="134"/>
        <v>97.104591836734699</v>
      </c>
    </row>
    <row r="697" spans="1:15" outlineLevel="3" x14ac:dyDescent="0.3">
      <c r="A697" s="438" t="s">
        <v>21</v>
      </c>
      <c r="B697" s="439" t="s">
        <v>536</v>
      </c>
      <c r="C697" s="439" t="s">
        <v>117</v>
      </c>
      <c r="D697" s="539" t="s">
        <v>154</v>
      </c>
      <c r="E697" s="539" t="s">
        <v>22</v>
      </c>
      <c r="F697" s="540">
        <v>33538</v>
      </c>
      <c r="G697" s="466">
        <v>39200</v>
      </c>
      <c r="H697" s="443">
        <v>22189</v>
      </c>
      <c r="I697" s="442">
        <v>39200</v>
      </c>
      <c r="J697" s="466">
        <v>38065</v>
      </c>
      <c r="K697" s="466">
        <v>38065</v>
      </c>
      <c r="L697" s="564">
        <f t="shared" si="131"/>
        <v>0</v>
      </c>
      <c r="M697" s="565">
        <f t="shared" si="133"/>
        <v>97.104591836734699</v>
      </c>
      <c r="N697" s="565">
        <f t="shared" si="134"/>
        <v>97.104591836734699</v>
      </c>
    </row>
    <row r="698" spans="1:15" ht="23.3" customHeight="1" outlineLevel="3" x14ac:dyDescent="0.3">
      <c r="A698" s="397" t="s">
        <v>36</v>
      </c>
      <c r="B698" s="439" t="s">
        <v>536</v>
      </c>
      <c r="C698" s="439" t="s">
        <v>117</v>
      </c>
      <c r="D698" s="539" t="s">
        <v>155</v>
      </c>
      <c r="E698" s="539" t="s">
        <v>6</v>
      </c>
      <c r="F698" s="540">
        <v>2073691.36</v>
      </c>
      <c r="G698" s="465">
        <f t="shared" ref="G698:K699" si="140">G699</f>
        <v>2157261</v>
      </c>
      <c r="H698" s="440">
        <f t="shared" si="140"/>
        <v>1624342.39</v>
      </c>
      <c r="I698" s="440">
        <f t="shared" si="140"/>
        <v>2081533</v>
      </c>
      <c r="J698" s="466">
        <f t="shared" si="140"/>
        <v>2266235</v>
      </c>
      <c r="K698" s="466">
        <f t="shared" si="140"/>
        <v>2266235</v>
      </c>
      <c r="L698" s="564">
        <f t="shared" si="131"/>
        <v>0</v>
      </c>
      <c r="M698" s="565">
        <f t="shared" si="133"/>
        <v>105.05149817291463</v>
      </c>
      <c r="N698" s="565">
        <f t="shared" si="134"/>
        <v>105.05149817291463</v>
      </c>
    </row>
    <row r="699" spans="1:15" ht="45.7" customHeight="1" outlineLevel="3" x14ac:dyDescent="0.3">
      <c r="A699" s="438" t="s">
        <v>37</v>
      </c>
      <c r="B699" s="439" t="s">
        <v>536</v>
      </c>
      <c r="C699" s="439" t="s">
        <v>117</v>
      </c>
      <c r="D699" s="539" t="s">
        <v>155</v>
      </c>
      <c r="E699" s="539" t="s">
        <v>38</v>
      </c>
      <c r="F699" s="540">
        <v>2073691.36</v>
      </c>
      <c r="G699" s="465">
        <f t="shared" si="140"/>
        <v>2157261</v>
      </c>
      <c r="H699" s="440">
        <f t="shared" si="140"/>
        <v>1624342.39</v>
      </c>
      <c r="I699" s="440">
        <f t="shared" si="140"/>
        <v>2081533</v>
      </c>
      <c r="J699" s="466">
        <f t="shared" si="140"/>
        <v>2266235</v>
      </c>
      <c r="K699" s="466">
        <f t="shared" si="140"/>
        <v>2266235</v>
      </c>
      <c r="L699" s="564">
        <f t="shared" si="131"/>
        <v>0</v>
      </c>
      <c r="M699" s="565">
        <f t="shared" si="133"/>
        <v>105.05149817291463</v>
      </c>
      <c r="N699" s="565">
        <f t="shared" si="134"/>
        <v>105.05149817291463</v>
      </c>
    </row>
    <row r="700" spans="1:15" ht="22.75" customHeight="1" outlineLevel="3" x14ac:dyDescent="0.3">
      <c r="A700" s="438" t="s">
        <v>39</v>
      </c>
      <c r="B700" s="439" t="s">
        <v>536</v>
      </c>
      <c r="C700" s="439" t="s">
        <v>117</v>
      </c>
      <c r="D700" s="539" t="s">
        <v>155</v>
      </c>
      <c r="E700" s="539" t="s">
        <v>40</v>
      </c>
      <c r="F700" s="540">
        <v>2073691.36</v>
      </c>
      <c r="G700" s="466">
        <f>2081533+64022+11706</f>
        <v>2157261</v>
      </c>
      <c r="H700" s="443">
        <v>1624342.39</v>
      </c>
      <c r="I700" s="442">
        <v>2081533</v>
      </c>
      <c r="J700" s="466">
        <v>2266235</v>
      </c>
      <c r="K700" s="466">
        <v>2266235</v>
      </c>
      <c r="L700" s="564">
        <f t="shared" si="131"/>
        <v>0</v>
      </c>
      <c r="M700" s="565">
        <f t="shared" si="133"/>
        <v>105.05149817291463</v>
      </c>
      <c r="N700" s="565">
        <f t="shared" si="134"/>
        <v>105.05149817291463</v>
      </c>
    </row>
    <row r="701" spans="1:15" ht="23.3" customHeight="1" outlineLevel="3" x14ac:dyDescent="0.3">
      <c r="A701" s="444" t="s">
        <v>85</v>
      </c>
      <c r="B701" s="445" t="s">
        <v>536</v>
      </c>
      <c r="C701" s="445" t="s">
        <v>86</v>
      </c>
      <c r="D701" s="541" t="s">
        <v>126</v>
      </c>
      <c r="E701" s="541" t="s">
        <v>6</v>
      </c>
      <c r="F701" s="540">
        <v>4717600.49</v>
      </c>
      <c r="G701" s="508">
        <f>G702+G708</f>
        <v>4489069</v>
      </c>
      <c r="H701" s="446">
        <f>H702+H708</f>
        <v>2535444.17</v>
      </c>
      <c r="I701" s="446">
        <f>I702+I708</f>
        <v>4489069</v>
      </c>
      <c r="J701" s="508">
        <f>J702+J708</f>
        <v>5476354</v>
      </c>
      <c r="K701" s="508">
        <f>K702+K708</f>
        <v>5476354</v>
      </c>
      <c r="L701" s="564">
        <f t="shared" si="131"/>
        <v>0</v>
      </c>
      <c r="M701" s="565">
        <f t="shared" si="133"/>
        <v>121.99309032674704</v>
      </c>
      <c r="N701" s="565">
        <f t="shared" si="134"/>
        <v>121.99309032674704</v>
      </c>
    </row>
    <row r="702" spans="1:15" outlineLevel="3" x14ac:dyDescent="0.3">
      <c r="A702" s="438" t="s">
        <v>94</v>
      </c>
      <c r="B702" s="439" t="s">
        <v>536</v>
      </c>
      <c r="C702" s="439" t="s">
        <v>95</v>
      </c>
      <c r="D702" s="539" t="s">
        <v>126</v>
      </c>
      <c r="E702" s="539" t="s">
        <v>6</v>
      </c>
      <c r="F702" s="540">
        <v>1640454.55</v>
      </c>
      <c r="G702" s="465">
        <f t="shared" ref="G702:K706" si="141">G703</f>
        <v>1310000</v>
      </c>
      <c r="H702" s="440">
        <f t="shared" si="141"/>
        <v>566956.52</v>
      </c>
      <c r="I702" s="440">
        <f t="shared" si="141"/>
        <v>1310000</v>
      </c>
      <c r="J702" s="465">
        <f t="shared" si="141"/>
        <v>1685000</v>
      </c>
      <c r="K702" s="465">
        <f t="shared" si="141"/>
        <v>1685000</v>
      </c>
      <c r="L702" s="564">
        <f t="shared" si="131"/>
        <v>0</v>
      </c>
      <c r="M702" s="565">
        <f t="shared" si="133"/>
        <v>128.62595419847329</v>
      </c>
      <c r="N702" s="565">
        <f t="shared" si="134"/>
        <v>128.62595419847329</v>
      </c>
    </row>
    <row r="703" spans="1:15" ht="34" outlineLevel="3" x14ac:dyDescent="0.3">
      <c r="A703" s="444" t="s">
        <v>825</v>
      </c>
      <c r="B703" s="445" t="s">
        <v>536</v>
      </c>
      <c r="C703" s="445" t="s">
        <v>95</v>
      </c>
      <c r="D703" s="541" t="s">
        <v>138</v>
      </c>
      <c r="E703" s="541" t="s">
        <v>6</v>
      </c>
      <c r="F703" s="542">
        <v>1640454.55</v>
      </c>
      <c r="G703" s="508">
        <f t="shared" si="141"/>
        <v>1310000</v>
      </c>
      <c r="H703" s="446">
        <f t="shared" si="141"/>
        <v>566956.52</v>
      </c>
      <c r="I703" s="446">
        <f t="shared" si="141"/>
        <v>1310000</v>
      </c>
      <c r="J703" s="508">
        <f t="shared" si="141"/>
        <v>1685000</v>
      </c>
      <c r="K703" s="508">
        <f t="shared" si="141"/>
        <v>1685000</v>
      </c>
      <c r="L703" s="564">
        <f t="shared" si="131"/>
        <v>0</v>
      </c>
      <c r="M703" s="565">
        <f t="shared" si="133"/>
        <v>128.62595419847329</v>
      </c>
      <c r="N703" s="565">
        <f t="shared" si="134"/>
        <v>128.62595419847329</v>
      </c>
    </row>
    <row r="704" spans="1:15" outlineLevel="3" x14ac:dyDescent="0.3">
      <c r="A704" s="450" t="s">
        <v>738</v>
      </c>
      <c r="B704" s="439" t="s">
        <v>536</v>
      </c>
      <c r="C704" s="439" t="s">
        <v>95</v>
      </c>
      <c r="D704" s="539" t="s">
        <v>736</v>
      </c>
      <c r="E704" s="539" t="s">
        <v>6</v>
      </c>
      <c r="F704" s="540">
        <v>1640454.55</v>
      </c>
      <c r="G704" s="465">
        <f t="shared" si="141"/>
        <v>1310000</v>
      </c>
      <c r="H704" s="440">
        <f t="shared" si="141"/>
        <v>566956.52</v>
      </c>
      <c r="I704" s="440">
        <f t="shared" si="141"/>
        <v>1310000</v>
      </c>
      <c r="J704" s="465">
        <f t="shared" si="141"/>
        <v>1685000</v>
      </c>
      <c r="K704" s="465">
        <f t="shared" si="141"/>
        <v>1685000</v>
      </c>
      <c r="L704" s="564">
        <f t="shared" si="131"/>
        <v>0</v>
      </c>
      <c r="M704" s="565">
        <f t="shared" si="133"/>
        <v>128.62595419847329</v>
      </c>
      <c r="N704" s="565">
        <f t="shared" si="134"/>
        <v>128.62595419847329</v>
      </c>
    </row>
    <row r="705" spans="1:14" ht="101.9" outlineLevel="3" x14ac:dyDescent="0.3">
      <c r="A705" s="393" t="s">
        <v>405</v>
      </c>
      <c r="B705" s="439" t="s">
        <v>536</v>
      </c>
      <c r="C705" s="439" t="s">
        <v>95</v>
      </c>
      <c r="D705" s="539" t="s">
        <v>737</v>
      </c>
      <c r="E705" s="539" t="s">
        <v>6</v>
      </c>
      <c r="F705" s="540">
        <v>1640454.55</v>
      </c>
      <c r="G705" s="465">
        <f t="shared" si="141"/>
        <v>1310000</v>
      </c>
      <c r="H705" s="440">
        <f t="shared" si="141"/>
        <v>566956.52</v>
      </c>
      <c r="I705" s="440">
        <f t="shared" si="141"/>
        <v>1310000</v>
      </c>
      <c r="J705" s="465">
        <f t="shared" si="141"/>
        <v>1685000</v>
      </c>
      <c r="K705" s="465">
        <f t="shared" si="141"/>
        <v>1685000</v>
      </c>
      <c r="L705" s="564">
        <f t="shared" si="131"/>
        <v>0</v>
      </c>
      <c r="M705" s="565">
        <f t="shared" si="133"/>
        <v>128.62595419847329</v>
      </c>
      <c r="N705" s="565">
        <f t="shared" si="134"/>
        <v>128.62595419847329</v>
      </c>
    </row>
    <row r="706" spans="1:14" ht="23.3" customHeight="1" outlineLevel="3" x14ac:dyDescent="0.3">
      <c r="A706" s="438" t="s">
        <v>90</v>
      </c>
      <c r="B706" s="439" t="s">
        <v>536</v>
      </c>
      <c r="C706" s="439" t="s">
        <v>95</v>
      </c>
      <c r="D706" s="539" t="s">
        <v>737</v>
      </c>
      <c r="E706" s="539" t="s">
        <v>91</v>
      </c>
      <c r="F706" s="540">
        <v>1640454.55</v>
      </c>
      <c r="G706" s="465">
        <f t="shared" si="141"/>
        <v>1310000</v>
      </c>
      <c r="H706" s="440">
        <f t="shared" si="141"/>
        <v>566956.52</v>
      </c>
      <c r="I706" s="440">
        <f t="shared" si="141"/>
        <v>1310000</v>
      </c>
      <c r="J706" s="465">
        <f t="shared" si="141"/>
        <v>1685000</v>
      </c>
      <c r="K706" s="465">
        <f t="shared" si="141"/>
        <v>1685000</v>
      </c>
      <c r="L706" s="564">
        <f t="shared" si="131"/>
        <v>0</v>
      </c>
      <c r="M706" s="565">
        <f t="shared" si="133"/>
        <v>128.62595419847329</v>
      </c>
      <c r="N706" s="565">
        <f t="shared" si="134"/>
        <v>128.62595419847329</v>
      </c>
    </row>
    <row r="707" spans="1:14" ht="34" outlineLevel="3" x14ac:dyDescent="0.3">
      <c r="A707" s="438" t="s">
        <v>97</v>
      </c>
      <c r="B707" s="439" t="s">
        <v>536</v>
      </c>
      <c r="C707" s="439" t="s">
        <v>95</v>
      </c>
      <c r="D707" s="539" t="s">
        <v>737</v>
      </c>
      <c r="E707" s="539" t="s">
        <v>98</v>
      </c>
      <c r="F707" s="540">
        <v>1640454.55</v>
      </c>
      <c r="G707" s="466">
        <v>1310000</v>
      </c>
      <c r="H707" s="443">
        <v>566956.52</v>
      </c>
      <c r="I707" s="442">
        <v>1310000</v>
      </c>
      <c r="J707" s="466">
        <v>1685000</v>
      </c>
      <c r="K707" s="466">
        <v>1685000</v>
      </c>
      <c r="L707" s="564">
        <f t="shared" si="131"/>
        <v>0</v>
      </c>
      <c r="M707" s="565">
        <f t="shared" si="133"/>
        <v>128.62595419847329</v>
      </c>
      <c r="N707" s="565">
        <f t="shared" si="134"/>
        <v>128.62595419847329</v>
      </c>
    </row>
    <row r="708" spans="1:14" outlineLevel="3" x14ac:dyDescent="0.3">
      <c r="A708" s="438" t="s">
        <v>123</v>
      </c>
      <c r="B708" s="439" t="s">
        <v>536</v>
      </c>
      <c r="C708" s="439" t="s">
        <v>124</v>
      </c>
      <c r="D708" s="539" t="s">
        <v>126</v>
      </c>
      <c r="E708" s="539" t="s">
        <v>6</v>
      </c>
      <c r="F708" s="540">
        <v>3077145.94</v>
      </c>
      <c r="G708" s="465">
        <f t="shared" ref="G708:K711" si="142">G709</f>
        <v>3179069</v>
      </c>
      <c r="H708" s="440">
        <f t="shared" si="142"/>
        <v>1968487.6500000001</v>
      </c>
      <c r="I708" s="440">
        <f t="shared" si="142"/>
        <v>3179069</v>
      </c>
      <c r="J708" s="465">
        <f t="shared" si="142"/>
        <v>3791354</v>
      </c>
      <c r="K708" s="465">
        <f t="shared" si="142"/>
        <v>3791354</v>
      </c>
      <c r="L708" s="564">
        <f t="shared" si="131"/>
        <v>0</v>
      </c>
      <c r="M708" s="565">
        <f t="shared" si="133"/>
        <v>119.2598839471556</v>
      </c>
      <c r="N708" s="565">
        <f t="shared" si="134"/>
        <v>119.25988394715559</v>
      </c>
    </row>
    <row r="709" spans="1:14" ht="39.75" customHeight="1" outlineLevel="3" x14ac:dyDescent="0.3">
      <c r="A709" s="444" t="s">
        <v>827</v>
      </c>
      <c r="B709" s="445" t="s">
        <v>536</v>
      </c>
      <c r="C709" s="445" t="s">
        <v>124</v>
      </c>
      <c r="D709" s="541" t="s">
        <v>138</v>
      </c>
      <c r="E709" s="541" t="s">
        <v>6</v>
      </c>
      <c r="F709" s="542">
        <v>3077145.94</v>
      </c>
      <c r="G709" s="508">
        <f t="shared" si="142"/>
        <v>3179069</v>
      </c>
      <c r="H709" s="446">
        <f t="shared" si="142"/>
        <v>1968487.6500000001</v>
      </c>
      <c r="I709" s="446">
        <f t="shared" si="142"/>
        <v>3179069</v>
      </c>
      <c r="J709" s="508">
        <f t="shared" si="142"/>
        <v>3791354</v>
      </c>
      <c r="K709" s="508">
        <f t="shared" si="142"/>
        <v>3791354</v>
      </c>
      <c r="L709" s="564">
        <f t="shared" si="131"/>
        <v>0</v>
      </c>
      <c r="M709" s="565">
        <f t="shared" si="133"/>
        <v>119.2598839471556</v>
      </c>
      <c r="N709" s="565">
        <f t="shared" si="134"/>
        <v>119.25988394715559</v>
      </c>
    </row>
    <row r="710" spans="1:14" ht="34" outlineLevel="3" x14ac:dyDescent="0.3">
      <c r="A710" s="438" t="s">
        <v>396</v>
      </c>
      <c r="B710" s="439" t="s">
        <v>536</v>
      </c>
      <c r="C710" s="439" t="s">
        <v>124</v>
      </c>
      <c r="D710" s="539" t="s">
        <v>139</v>
      </c>
      <c r="E710" s="539" t="s">
        <v>6</v>
      </c>
      <c r="F710" s="540">
        <v>3077145.94</v>
      </c>
      <c r="G710" s="465">
        <f t="shared" si="142"/>
        <v>3179069</v>
      </c>
      <c r="H710" s="440">
        <f t="shared" si="142"/>
        <v>1968487.6500000001</v>
      </c>
      <c r="I710" s="440">
        <f t="shared" si="142"/>
        <v>3179069</v>
      </c>
      <c r="J710" s="465">
        <f t="shared" si="142"/>
        <v>3791354</v>
      </c>
      <c r="K710" s="465">
        <f t="shared" si="142"/>
        <v>3791354</v>
      </c>
      <c r="L710" s="564">
        <f t="shared" si="131"/>
        <v>0</v>
      </c>
      <c r="M710" s="565">
        <f t="shared" si="133"/>
        <v>119.2598839471556</v>
      </c>
      <c r="N710" s="565">
        <f t="shared" si="134"/>
        <v>119.25988394715559</v>
      </c>
    </row>
    <row r="711" spans="1:14" ht="24.8" customHeight="1" outlineLevel="3" x14ac:dyDescent="0.3">
      <c r="A711" s="450" t="s">
        <v>204</v>
      </c>
      <c r="B711" s="439" t="s">
        <v>536</v>
      </c>
      <c r="C711" s="439" t="s">
        <v>124</v>
      </c>
      <c r="D711" s="539" t="s">
        <v>234</v>
      </c>
      <c r="E711" s="539" t="s">
        <v>6</v>
      </c>
      <c r="F711" s="540">
        <v>3077145.94</v>
      </c>
      <c r="G711" s="465">
        <f t="shared" si="142"/>
        <v>3179069</v>
      </c>
      <c r="H711" s="440">
        <f t="shared" si="142"/>
        <v>1968487.6500000001</v>
      </c>
      <c r="I711" s="440">
        <f t="shared" si="142"/>
        <v>3179069</v>
      </c>
      <c r="J711" s="465">
        <f t="shared" si="142"/>
        <v>3791354</v>
      </c>
      <c r="K711" s="465">
        <f t="shared" si="142"/>
        <v>3791354</v>
      </c>
      <c r="L711" s="564">
        <f t="shared" si="131"/>
        <v>0</v>
      </c>
      <c r="M711" s="565">
        <f t="shared" si="133"/>
        <v>119.2598839471556</v>
      </c>
      <c r="N711" s="565">
        <f t="shared" si="134"/>
        <v>119.25988394715559</v>
      </c>
    </row>
    <row r="712" spans="1:14" s="437" customFormat="1" ht="137.25" customHeight="1" x14ac:dyDescent="0.3">
      <c r="A712" s="393" t="s">
        <v>657</v>
      </c>
      <c r="B712" s="439" t="s">
        <v>536</v>
      </c>
      <c r="C712" s="439" t="s">
        <v>124</v>
      </c>
      <c r="D712" s="539" t="s">
        <v>156</v>
      </c>
      <c r="E712" s="539" t="s">
        <v>6</v>
      </c>
      <c r="F712" s="540">
        <v>3077145.94</v>
      </c>
      <c r="G712" s="465">
        <f>G715+G713</f>
        <v>3179069</v>
      </c>
      <c r="H712" s="440">
        <f>H715+H713</f>
        <v>1968487.6500000001</v>
      </c>
      <c r="I712" s="440">
        <f>I715+I713</f>
        <v>3179069</v>
      </c>
      <c r="J712" s="465">
        <f>J715+J713</f>
        <v>3791354</v>
      </c>
      <c r="K712" s="465">
        <f>K715+K713</f>
        <v>3791354</v>
      </c>
      <c r="L712" s="564">
        <f t="shared" ref="L712:L761" si="143">K712-J712</f>
        <v>0</v>
      </c>
      <c r="M712" s="565">
        <f t="shared" si="133"/>
        <v>119.2598839471556</v>
      </c>
      <c r="N712" s="565">
        <f t="shared" ref="N712:N762" si="144">K712/G712*100</f>
        <v>119.25988394715559</v>
      </c>
    </row>
    <row r="713" spans="1:14" s="437" customFormat="1" ht="34" x14ac:dyDescent="0.3">
      <c r="A713" s="438" t="s">
        <v>15</v>
      </c>
      <c r="B713" s="439" t="s">
        <v>536</v>
      </c>
      <c r="C713" s="439" t="s">
        <v>124</v>
      </c>
      <c r="D713" s="539" t="s">
        <v>156</v>
      </c>
      <c r="E713" s="539" t="s">
        <v>16</v>
      </c>
      <c r="F713" s="540">
        <v>19534.14</v>
      </c>
      <c r="G713" s="465">
        <f>G714</f>
        <v>27000</v>
      </c>
      <c r="H713" s="440">
        <f>H714</f>
        <v>12323.04</v>
      </c>
      <c r="I713" s="440">
        <v>0</v>
      </c>
      <c r="J713" s="465">
        <f>J714</f>
        <v>0</v>
      </c>
      <c r="K713" s="465">
        <f>K714</f>
        <v>0</v>
      </c>
      <c r="L713" s="564">
        <f t="shared" si="143"/>
        <v>0</v>
      </c>
      <c r="M713" s="565">
        <f t="shared" si="133"/>
        <v>0</v>
      </c>
      <c r="N713" s="565">
        <f t="shared" si="144"/>
        <v>0</v>
      </c>
    </row>
    <row r="714" spans="1:14" s="437" customFormat="1" ht="34" x14ac:dyDescent="0.3">
      <c r="A714" s="438" t="s">
        <v>17</v>
      </c>
      <c r="B714" s="439" t="s">
        <v>536</v>
      </c>
      <c r="C714" s="439" t="s">
        <v>124</v>
      </c>
      <c r="D714" s="539" t="s">
        <v>156</v>
      </c>
      <c r="E714" s="539" t="s">
        <v>18</v>
      </c>
      <c r="F714" s="540">
        <v>19534.14</v>
      </c>
      <c r="G714" s="465">
        <f>22000+5000</f>
        <v>27000</v>
      </c>
      <c r="H714" s="441">
        <v>12323.04</v>
      </c>
      <c r="I714" s="440">
        <v>0</v>
      </c>
      <c r="J714" s="465">
        <v>0</v>
      </c>
      <c r="K714" s="465">
        <v>0</v>
      </c>
      <c r="L714" s="564">
        <f t="shared" si="143"/>
        <v>0</v>
      </c>
      <c r="M714" s="565">
        <f t="shared" ref="M714:M748" si="145">J714/G714%</f>
        <v>0</v>
      </c>
      <c r="N714" s="565">
        <f t="shared" si="144"/>
        <v>0</v>
      </c>
    </row>
    <row r="715" spans="1:14" s="437" customFormat="1" x14ac:dyDescent="0.3">
      <c r="A715" s="438" t="s">
        <v>90</v>
      </c>
      <c r="B715" s="439" t="s">
        <v>536</v>
      </c>
      <c r="C715" s="439" t="s">
        <v>124</v>
      </c>
      <c r="D715" s="539" t="s">
        <v>156</v>
      </c>
      <c r="E715" s="539" t="s">
        <v>91</v>
      </c>
      <c r="F715" s="540">
        <v>3057611.8</v>
      </c>
      <c r="G715" s="465">
        <f>G716</f>
        <v>3152069</v>
      </c>
      <c r="H715" s="440">
        <f>H716</f>
        <v>1956164.61</v>
      </c>
      <c r="I715" s="440">
        <f>I716</f>
        <v>3179069</v>
      </c>
      <c r="J715" s="465">
        <f>J716</f>
        <v>3791354</v>
      </c>
      <c r="K715" s="465">
        <f>K716</f>
        <v>3791354</v>
      </c>
      <c r="L715" s="564">
        <f t="shared" si="143"/>
        <v>0</v>
      </c>
      <c r="M715" s="565">
        <f t="shared" si="145"/>
        <v>120.28144053953135</v>
      </c>
      <c r="N715" s="565">
        <f t="shared" si="144"/>
        <v>120.28144053953133</v>
      </c>
    </row>
    <row r="716" spans="1:14" s="437" customFormat="1" ht="39.25" customHeight="1" x14ac:dyDescent="0.3">
      <c r="A716" s="438" t="s">
        <v>97</v>
      </c>
      <c r="B716" s="439" t="s">
        <v>536</v>
      </c>
      <c r="C716" s="439" t="s">
        <v>124</v>
      </c>
      <c r="D716" s="539" t="s">
        <v>156</v>
      </c>
      <c r="E716" s="539" t="s">
        <v>98</v>
      </c>
      <c r="F716" s="540">
        <v>3057611.8</v>
      </c>
      <c r="G716" s="466">
        <f>3179069-22000-5000</f>
        <v>3152069</v>
      </c>
      <c r="H716" s="443">
        <v>1956164.61</v>
      </c>
      <c r="I716" s="442">
        <v>3179069</v>
      </c>
      <c r="J716" s="466">
        <v>3791354</v>
      </c>
      <c r="K716" s="466">
        <v>3791354</v>
      </c>
      <c r="L716" s="564">
        <f t="shared" si="143"/>
        <v>0</v>
      </c>
      <c r="M716" s="565">
        <f t="shared" si="145"/>
        <v>120.28144053953135</v>
      </c>
      <c r="N716" s="565">
        <f t="shared" si="144"/>
        <v>120.28144053953133</v>
      </c>
    </row>
    <row r="717" spans="1:14" s="437" customFormat="1" x14ac:dyDescent="0.3">
      <c r="A717" s="444" t="s">
        <v>100</v>
      </c>
      <c r="B717" s="439" t="s">
        <v>536</v>
      </c>
      <c r="C717" s="439" t="s">
        <v>101</v>
      </c>
      <c r="D717" s="541" t="s">
        <v>126</v>
      </c>
      <c r="E717" s="539" t="s">
        <v>6</v>
      </c>
      <c r="F717" s="540">
        <v>3619351.16</v>
      </c>
      <c r="G717" s="466">
        <f t="shared" ref="G717:K725" si="146">G718</f>
        <v>2084474.79</v>
      </c>
      <c r="H717" s="442">
        <f t="shared" si="146"/>
        <v>1444149.23</v>
      </c>
      <c r="I717" s="442">
        <f t="shared" si="146"/>
        <v>358800</v>
      </c>
      <c r="J717" s="466">
        <f t="shared" si="146"/>
        <v>358800</v>
      </c>
      <c r="K717" s="466">
        <f t="shared" si="146"/>
        <v>358800</v>
      </c>
      <c r="L717" s="564">
        <f t="shared" si="143"/>
        <v>0</v>
      </c>
      <c r="M717" s="565">
        <f t="shared" si="145"/>
        <v>17.212969028039911</v>
      </c>
      <c r="N717" s="565">
        <f t="shared" si="144"/>
        <v>17.212969028039911</v>
      </c>
    </row>
    <row r="718" spans="1:14" x14ac:dyDescent="0.3">
      <c r="A718" s="438" t="s">
        <v>301</v>
      </c>
      <c r="B718" s="439" t="s">
        <v>536</v>
      </c>
      <c r="C718" s="439" t="s">
        <v>300</v>
      </c>
      <c r="D718" s="541" t="s">
        <v>126</v>
      </c>
      <c r="E718" s="539" t="s">
        <v>6</v>
      </c>
      <c r="F718" s="540">
        <v>3619351.16</v>
      </c>
      <c r="G718" s="466">
        <f t="shared" si="146"/>
        <v>2084474.79</v>
      </c>
      <c r="H718" s="442">
        <f t="shared" si="146"/>
        <v>1444149.23</v>
      </c>
      <c r="I718" s="442">
        <f t="shared" si="146"/>
        <v>358800</v>
      </c>
      <c r="J718" s="466">
        <f t="shared" si="146"/>
        <v>358800</v>
      </c>
      <c r="K718" s="466">
        <f t="shared" si="146"/>
        <v>358800</v>
      </c>
      <c r="L718" s="564">
        <f t="shared" si="143"/>
        <v>0</v>
      </c>
      <c r="M718" s="565">
        <f t="shared" si="145"/>
        <v>17.212969028039911</v>
      </c>
      <c r="N718" s="565">
        <f t="shared" si="144"/>
        <v>17.212969028039911</v>
      </c>
    </row>
    <row r="719" spans="1:14" ht="44.5" customHeight="1" x14ac:dyDescent="0.3">
      <c r="A719" s="444" t="s">
        <v>377</v>
      </c>
      <c r="B719" s="439" t="s">
        <v>536</v>
      </c>
      <c r="C719" s="439" t="s">
        <v>300</v>
      </c>
      <c r="D719" s="541" t="s">
        <v>200</v>
      </c>
      <c r="E719" s="539" t="s">
        <v>6</v>
      </c>
      <c r="F719" s="542">
        <v>3619351.16</v>
      </c>
      <c r="G719" s="466">
        <f t="shared" si="146"/>
        <v>2084474.79</v>
      </c>
      <c r="H719" s="442">
        <f t="shared" si="146"/>
        <v>1444149.23</v>
      </c>
      <c r="I719" s="442">
        <f t="shared" si="146"/>
        <v>358800</v>
      </c>
      <c r="J719" s="466">
        <f t="shared" si="146"/>
        <v>358800</v>
      </c>
      <c r="K719" s="466">
        <f t="shared" si="146"/>
        <v>358800</v>
      </c>
      <c r="L719" s="564">
        <f t="shared" si="143"/>
        <v>0</v>
      </c>
      <c r="M719" s="565">
        <f t="shared" si="145"/>
        <v>17.212969028039911</v>
      </c>
      <c r="N719" s="565">
        <f t="shared" si="144"/>
        <v>17.212969028039911</v>
      </c>
    </row>
    <row r="720" spans="1:14" ht="50.95" x14ac:dyDescent="0.3">
      <c r="A720" s="438" t="s">
        <v>213</v>
      </c>
      <c r="B720" s="439" t="s">
        <v>536</v>
      </c>
      <c r="C720" s="439" t="s">
        <v>300</v>
      </c>
      <c r="D720" s="539" t="s">
        <v>674</v>
      </c>
      <c r="E720" s="539" t="s">
        <v>6</v>
      </c>
      <c r="F720" s="540">
        <v>3619351.16</v>
      </c>
      <c r="G720" s="466">
        <f>G721+G734</f>
        <v>2084474.79</v>
      </c>
      <c r="H720" s="442">
        <f>H721+H734</f>
        <v>1444149.23</v>
      </c>
      <c r="I720" s="442">
        <f>I724</f>
        <v>358800</v>
      </c>
      <c r="J720" s="466">
        <f>J724</f>
        <v>358800</v>
      </c>
      <c r="K720" s="466">
        <f>K724</f>
        <v>358800</v>
      </c>
      <c r="L720" s="564">
        <f t="shared" si="143"/>
        <v>0</v>
      </c>
      <c r="M720" s="565">
        <f t="shared" si="145"/>
        <v>17.212969028039911</v>
      </c>
      <c r="N720" s="565">
        <f t="shared" si="144"/>
        <v>17.212969028039911</v>
      </c>
    </row>
    <row r="721" spans="1:14" ht="45.7" customHeight="1" x14ac:dyDescent="0.3">
      <c r="A721" s="438" t="s">
        <v>925</v>
      </c>
      <c r="B721" s="439" t="s">
        <v>536</v>
      </c>
      <c r="C721" s="439" t="s">
        <v>300</v>
      </c>
      <c r="D721" s="539" t="s">
        <v>926</v>
      </c>
      <c r="E721" s="539" t="s">
        <v>6</v>
      </c>
      <c r="F721" s="539"/>
      <c r="G721" s="466">
        <f>G722</f>
        <v>1677418.74</v>
      </c>
      <c r="H721" s="442">
        <f>H722</f>
        <v>1128718.53</v>
      </c>
      <c r="I721" s="442">
        <v>0</v>
      </c>
      <c r="J721" s="466">
        <v>0</v>
      </c>
      <c r="K721" s="466">
        <v>0</v>
      </c>
      <c r="L721" s="564">
        <f t="shared" si="143"/>
        <v>0</v>
      </c>
      <c r="M721" s="565">
        <f t="shared" si="145"/>
        <v>0</v>
      </c>
      <c r="N721" s="565">
        <f t="shared" si="144"/>
        <v>0</v>
      </c>
    </row>
    <row r="722" spans="1:14" ht="34" x14ac:dyDescent="0.3">
      <c r="A722" s="438" t="s">
        <v>37</v>
      </c>
      <c r="B722" s="439" t="s">
        <v>536</v>
      </c>
      <c r="C722" s="439" t="s">
        <v>300</v>
      </c>
      <c r="D722" s="539" t="s">
        <v>926</v>
      </c>
      <c r="E722" s="539" t="s">
        <v>38</v>
      </c>
      <c r="F722" s="539"/>
      <c r="G722" s="466">
        <f>G723</f>
        <v>1677418.74</v>
      </c>
      <c r="H722" s="442">
        <f>H723</f>
        <v>1128718.53</v>
      </c>
      <c r="I722" s="442">
        <v>0</v>
      </c>
      <c r="J722" s="466">
        <v>0</v>
      </c>
      <c r="K722" s="466">
        <v>0</v>
      </c>
      <c r="L722" s="564">
        <f t="shared" si="143"/>
        <v>0</v>
      </c>
      <c r="M722" s="565">
        <f t="shared" si="145"/>
        <v>0</v>
      </c>
      <c r="N722" s="565">
        <f t="shared" si="144"/>
        <v>0</v>
      </c>
    </row>
    <row r="723" spans="1:14" ht="19.55" customHeight="1" x14ac:dyDescent="0.3">
      <c r="A723" s="438" t="s">
        <v>74</v>
      </c>
      <c r="B723" s="439" t="s">
        <v>536</v>
      </c>
      <c r="C723" s="439" t="s">
        <v>300</v>
      </c>
      <c r="D723" s="539" t="s">
        <v>926</v>
      </c>
      <c r="E723" s="539" t="s">
        <v>75</v>
      </c>
      <c r="F723" s="539"/>
      <c r="G723" s="466">
        <v>1677418.74</v>
      </c>
      <c r="H723" s="443">
        <v>1128718.53</v>
      </c>
      <c r="I723" s="442">
        <v>0</v>
      </c>
      <c r="J723" s="466">
        <v>0</v>
      </c>
      <c r="K723" s="466">
        <v>0</v>
      </c>
      <c r="L723" s="564">
        <f t="shared" si="143"/>
        <v>0</v>
      </c>
      <c r="M723" s="565">
        <f t="shared" si="145"/>
        <v>0</v>
      </c>
      <c r="N723" s="565">
        <f t="shared" si="144"/>
        <v>0</v>
      </c>
    </row>
    <row r="724" spans="1:14" x14ac:dyDescent="0.3">
      <c r="A724" s="568" t="s">
        <v>378</v>
      </c>
      <c r="B724" s="461" t="s">
        <v>536</v>
      </c>
      <c r="C724" s="461" t="s">
        <v>300</v>
      </c>
      <c r="D724" s="545" t="s">
        <v>303</v>
      </c>
      <c r="E724" s="545" t="s">
        <v>6</v>
      </c>
      <c r="F724" s="545"/>
      <c r="G724" s="512">
        <f>G725+G728+G731</f>
        <v>0</v>
      </c>
      <c r="H724" s="459">
        <f>H725+H728+H731</f>
        <v>0</v>
      </c>
      <c r="I724" s="459">
        <f t="shared" ref="I724:K726" si="147">I725</f>
        <v>358800</v>
      </c>
      <c r="J724" s="512">
        <f t="shared" si="147"/>
        <v>358800</v>
      </c>
      <c r="K724" s="512">
        <f t="shared" si="147"/>
        <v>358800</v>
      </c>
      <c r="L724" s="569">
        <f t="shared" si="143"/>
        <v>0</v>
      </c>
      <c r="M724" s="570"/>
      <c r="N724" s="570"/>
    </row>
    <row r="725" spans="1:14" ht="34" x14ac:dyDescent="0.3">
      <c r="A725" s="568" t="s">
        <v>281</v>
      </c>
      <c r="B725" s="461" t="s">
        <v>536</v>
      </c>
      <c r="C725" s="461" t="s">
        <v>300</v>
      </c>
      <c r="D725" s="545" t="s">
        <v>302</v>
      </c>
      <c r="E725" s="545" t="s">
        <v>6</v>
      </c>
      <c r="F725" s="545"/>
      <c r="G725" s="512">
        <f t="shared" si="146"/>
        <v>0</v>
      </c>
      <c r="H725" s="459">
        <f t="shared" si="146"/>
        <v>0</v>
      </c>
      <c r="I725" s="459">
        <f t="shared" si="147"/>
        <v>358800</v>
      </c>
      <c r="J725" s="512">
        <f t="shared" si="147"/>
        <v>358800</v>
      </c>
      <c r="K725" s="512">
        <f t="shared" si="147"/>
        <v>358800</v>
      </c>
      <c r="L725" s="569">
        <f t="shared" si="143"/>
        <v>0</v>
      </c>
      <c r="M725" s="570"/>
      <c r="N725" s="570"/>
    </row>
    <row r="726" spans="1:14" ht="34" x14ac:dyDescent="0.3">
      <c r="A726" s="568" t="s">
        <v>37</v>
      </c>
      <c r="B726" s="461" t="s">
        <v>536</v>
      </c>
      <c r="C726" s="461" t="s">
        <v>300</v>
      </c>
      <c r="D726" s="545" t="s">
        <v>302</v>
      </c>
      <c r="E726" s="545" t="s">
        <v>38</v>
      </c>
      <c r="F726" s="545"/>
      <c r="G726" s="512">
        <f>G727</f>
        <v>0</v>
      </c>
      <c r="H726" s="459">
        <f>H727</f>
        <v>0</v>
      </c>
      <c r="I726" s="459">
        <f t="shared" si="147"/>
        <v>358800</v>
      </c>
      <c r="J726" s="512">
        <f t="shared" si="147"/>
        <v>358800</v>
      </c>
      <c r="K726" s="512">
        <f t="shared" si="147"/>
        <v>358800</v>
      </c>
      <c r="L726" s="569">
        <f t="shared" si="143"/>
        <v>0</v>
      </c>
      <c r="M726" s="570"/>
      <c r="N726" s="570"/>
    </row>
    <row r="727" spans="1:14" ht="18" customHeight="1" x14ac:dyDescent="0.3">
      <c r="A727" s="568" t="s">
        <v>74</v>
      </c>
      <c r="B727" s="461" t="s">
        <v>536</v>
      </c>
      <c r="C727" s="461" t="s">
        <v>300</v>
      </c>
      <c r="D727" s="545" t="s">
        <v>302</v>
      </c>
      <c r="E727" s="545" t="s">
        <v>75</v>
      </c>
      <c r="F727" s="545"/>
      <c r="G727" s="512">
        <f>[2]потребность!I659</f>
        <v>0</v>
      </c>
      <c r="H727" s="459">
        <v>0</v>
      </c>
      <c r="I727" s="459">
        <v>358800</v>
      </c>
      <c r="J727" s="512">
        <v>358800</v>
      </c>
      <c r="K727" s="512">
        <v>358800</v>
      </c>
      <c r="L727" s="569">
        <f t="shared" si="143"/>
        <v>0</v>
      </c>
      <c r="M727" s="570"/>
      <c r="N727" s="570"/>
    </row>
    <row r="728" spans="1:14" ht="50.95" hidden="1" x14ac:dyDescent="0.3">
      <c r="A728" s="438" t="s">
        <v>788</v>
      </c>
      <c r="B728" s="439" t="s">
        <v>536</v>
      </c>
      <c r="C728" s="439" t="s">
        <v>300</v>
      </c>
      <c r="D728" s="539" t="s">
        <v>764</v>
      </c>
      <c r="E728" s="539" t="s">
        <v>6</v>
      </c>
      <c r="F728" s="539"/>
      <c r="G728" s="466">
        <f>G729</f>
        <v>0</v>
      </c>
      <c r="H728" s="442">
        <f>H729</f>
        <v>0</v>
      </c>
      <c r="I728" s="442">
        <v>0</v>
      </c>
      <c r="J728" s="466">
        <v>0</v>
      </c>
      <c r="K728" s="466">
        <v>0</v>
      </c>
      <c r="L728" s="564">
        <f t="shared" si="143"/>
        <v>0</v>
      </c>
      <c r="M728" s="565"/>
      <c r="N728" s="565"/>
    </row>
    <row r="729" spans="1:14" ht="34" hidden="1" x14ac:dyDescent="0.3">
      <c r="A729" s="438" t="s">
        <v>37</v>
      </c>
      <c r="B729" s="439" t="s">
        <v>536</v>
      </c>
      <c r="C729" s="439" t="s">
        <v>300</v>
      </c>
      <c r="D729" s="539" t="s">
        <v>764</v>
      </c>
      <c r="E729" s="539" t="s">
        <v>38</v>
      </c>
      <c r="F729" s="539"/>
      <c r="G729" s="466">
        <f>G730</f>
        <v>0</v>
      </c>
      <c r="H729" s="442">
        <f>H730</f>
        <v>0</v>
      </c>
      <c r="I729" s="442">
        <v>0</v>
      </c>
      <c r="J729" s="466">
        <v>0</v>
      </c>
      <c r="K729" s="466">
        <v>0</v>
      </c>
      <c r="L729" s="564">
        <f t="shared" si="143"/>
        <v>0</v>
      </c>
      <c r="M729" s="565"/>
      <c r="N729" s="565"/>
    </row>
    <row r="730" spans="1:14" hidden="1" x14ac:dyDescent="0.3">
      <c r="A730" s="438" t="s">
        <v>74</v>
      </c>
      <c r="B730" s="439" t="s">
        <v>536</v>
      </c>
      <c r="C730" s="439" t="s">
        <v>300</v>
      </c>
      <c r="D730" s="539" t="s">
        <v>764</v>
      </c>
      <c r="E730" s="539" t="s">
        <v>75</v>
      </c>
      <c r="F730" s="539"/>
      <c r="G730" s="466">
        <v>0</v>
      </c>
      <c r="H730" s="442">
        <v>0</v>
      </c>
      <c r="I730" s="442">
        <v>0</v>
      </c>
      <c r="J730" s="466">
        <v>0</v>
      </c>
      <c r="K730" s="466">
        <v>0</v>
      </c>
      <c r="L730" s="564">
        <f t="shared" si="143"/>
        <v>0</v>
      </c>
      <c r="M730" s="565"/>
      <c r="N730" s="565"/>
    </row>
    <row r="731" spans="1:14" ht="67.95" hidden="1" x14ac:dyDescent="0.3">
      <c r="A731" s="438" t="s">
        <v>911</v>
      </c>
      <c r="B731" s="439" t="s">
        <v>536</v>
      </c>
      <c r="C731" s="439" t="s">
        <v>300</v>
      </c>
      <c r="D731" s="539" t="s">
        <v>769</v>
      </c>
      <c r="E731" s="539" t="s">
        <v>6</v>
      </c>
      <c r="F731" s="539"/>
      <c r="G731" s="466">
        <f>G732</f>
        <v>0</v>
      </c>
      <c r="H731" s="442">
        <f>H732</f>
        <v>0</v>
      </c>
      <c r="I731" s="442">
        <v>0</v>
      </c>
      <c r="J731" s="466">
        <v>0</v>
      </c>
      <c r="K731" s="466">
        <v>0</v>
      </c>
      <c r="L731" s="564">
        <f t="shared" si="143"/>
        <v>0</v>
      </c>
      <c r="M731" s="565"/>
      <c r="N731" s="565"/>
    </row>
    <row r="732" spans="1:14" ht="34" hidden="1" x14ac:dyDescent="0.3">
      <c r="A732" s="438" t="s">
        <v>37</v>
      </c>
      <c r="B732" s="439" t="s">
        <v>536</v>
      </c>
      <c r="C732" s="439" t="s">
        <v>300</v>
      </c>
      <c r="D732" s="539" t="s">
        <v>769</v>
      </c>
      <c r="E732" s="539" t="s">
        <v>38</v>
      </c>
      <c r="F732" s="539"/>
      <c r="G732" s="466">
        <f>G733</f>
        <v>0</v>
      </c>
      <c r="H732" s="442">
        <f>H733</f>
        <v>0</v>
      </c>
      <c r="I732" s="442">
        <v>0</v>
      </c>
      <c r="J732" s="466">
        <v>0</v>
      </c>
      <c r="K732" s="466">
        <v>0</v>
      </c>
      <c r="L732" s="564">
        <f t="shared" si="143"/>
        <v>0</v>
      </c>
      <c r="M732" s="565"/>
      <c r="N732" s="565"/>
    </row>
    <row r="733" spans="1:14" hidden="1" x14ac:dyDescent="0.3">
      <c r="A733" s="438" t="s">
        <v>74</v>
      </c>
      <c r="B733" s="439" t="s">
        <v>536</v>
      </c>
      <c r="C733" s="439" t="s">
        <v>300</v>
      </c>
      <c r="D733" s="539" t="s">
        <v>769</v>
      </c>
      <c r="E733" s="539" t="s">
        <v>75</v>
      </c>
      <c r="F733" s="539"/>
      <c r="G733" s="466">
        <v>0</v>
      </c>
      <c r="H733" s="442">
        <v>0</v>
      </c>
      <c r="I733" s="442">
        <v>0</v>
      </c>
      <c r="J733" s="466">
        <v>0</v>
      </c>
      <c r="K733" s="466">
        <v>0</v>
      </c>
      <c r="L733" s="564">
        <f t="shared" si="143"/>
        <v>0</v>
      </c>
      <c r="M733" s="565"/>
      <c r="N733" s="565"/>
    </row>
    <row r="734" spans="1:14" ht="42.45" customHeight="1" x14ac:dyDescent="0.3">
      <c r="A734" s="438" t="s">
        <v>102</v>
      </c>
      <c r="B734" s="439" t="s">
        <v>536</v>
      </c>
      <c r="C734" s="439" t="s">
        <v>300</v>
      </c>
      <c r="D734" s="539" t="s">
        <v>201</v>
      </c>
      <c r="E734" s="539" t="s">
        <v>6</v>
      </c>
      <c r="F734" s="539"/>
      <c r="G734" s="466">
        <f>G735</f>
        <v>407056.05</v>
      </c>
      <c r="H734" s="442">
        <f>H735</f>
        <v>315430.7</v>
      </c>
      <c r="I734" s="442">
        <v>0</v>
      </c>
      <c r="J734" s="466">
        <v>0</v>
      </c>
      <c r="K734" s="466">
        <v>0</v>
      </c>
      <c r="L734" s="564">
        <f t="shared" si="143"/>
        <v>0</v>
      </c>
      <c r="M734" s="565">
        <f t="shared" si="145"/>
        <v>0</v>
      </c>
      <c r="N734" s="565">
        <f t="shared" si="144"/>
        <v>0</v>
      </c>
    </row>
    <row r="735" spans="1:14" ht="34" x14ac:dyDescent="0.3">
      <c r="A735" s="438" t="s">
        <v>37</v>
      </c>
      <c r="B735" s="439" t="s">
        <v>536</v>
      </c>
      <c r="C735" s="439" t="s">
        <v>300</v>
      </c>
      <c r="D735" s="539" t="s">
        <v>201</v>
      </c>
      <c r="E735" s="539" t="s">
        <v>38</v>
      </c>
      <c r="F735" s="539"/>
      <c r="G735" s="466">
        <f>G736</f>
        <v>407056.05</v>
      </c>
      <c r="H735" s="442">
        <f>H736</f>
        <v>315430.7</v>
      </c>
      <c r="I735" s="442">
        <v>0</v>
      </c>
      <c r="J735" s="466">
        <v>0</v>
      </c>
      <c r="K735" s="466">
        <v>0</v>
      </c>
      <c r="L735" s="564">
        <f t="shared" si="143"/>
        <v>0</v>
      </c>
      <c r="M735" s="565">
        <f t="shared" si="145"/>
        <v>0</v>
      </c>
      <c r="N735" s="565">
        <f t="shared" si="144"/>
        <v>0</v>
      </c>
    </row>
    <row r="736" spans="1:14" x14ac:dyDescent="0.3">
      <c r="A736" s="438" t="s">
        <v>74</v>
      </c>
      <c r="B736" s="439" t="s">
        <v>536</v>
      </c>
      <c r="C736" s="439" t="s">
        <v>300</v>
      </c>
      <c r="D736" s="539" t="s">
        <v>201</v>
      </c>
      <c r="E736" s="539" t="s">
        <v>75</v>
      </c>
      <c r="F736" s="539"/>
      <c r="G736" s="466">
        <v>407056.05</v>
      </c>
      <c r="H736" s="443">
        <v>315430.7</v>
      </c>
      <c r="I736" s="442">
        <v>0</v>
      </c>
      <c r="J736" s="466">
        <v>0</v>
      </c>
      <c r="K736" s="466">
        <v>0</v>
      </c>
      <c r="L736" s="564">
        <f t="shared" si="143"/>
        <v>0</v>
      </c>
      <c r="M736" s="565">
        <f t="shared" si="145"/>
        <v>0</v>
      </c>
      <c r="N736" s="565">
        <f t="shared" si="144"/>
        <v>0</v>
      </c>
    </row>
    <row r="737" spans="1:14" ht="34" x14ac:dyDescent="0.3">
      <c r="A737" s="394" t="s">
        <v>750</v>
      </c>
      <c r="B737" s="472">
        <v>959</v>
      </c>
      <c r="C737" s="434" t="s">
        <v>5</v>
      </c>
      <c r="D737" s="537" t="s">
        <v>126</v>
      </c>
      <c r="E737" s="537" t="s">
        <v>6</v>
      </c>
      <c r="F737" s="538">
        <v>300218.82</v>
      </c>
      <c r="G737" s="521">
        <f>G738</f>
        <v>1627772</v>
      </c>
      <c r="H737" s="473">
        <f>H738</f>
        <v>1140137.2000000002</v>
      </c>
      <c r="I737" s="473">
        <f>I738</f>
        <v>1510000</v>
      </c>
      <c r="J737" s="521">
        <f>J738</f>
        <v>1745512</v>
      </c>
      <c r="K737" s="521">
        <f>K738</f>
        <v>1745512</v>
      </c>
      <c r="L737" s="564">
        <f t="shared" si="143"/>
        <v>0</v>
      </c>
      <c r="M737" s="565">
        <f t="shared" si="145"/>
        <v>107.23319973558951</v>
      </c>
      <c r="N737" s="565">
        <f t="shared" si="144"/>
        <v>107.23319973558951</v>
      </c>
    </row>
    <row r="738" spans="1:14" x14ac:dyDescent="0.3">
      <c r="A738" s="438" t="s">
        <v>7</v>
      </c>
      <c r="B738" s="439" t="s">
        <v>751</v>
      </c>
      <c r="C738" s="439" t="s">
        <v>8</v>
      </c>
      <c r="D738" s="539" t="s">
        <v>126</v>
      </c>
      <c r="E738" s="539" t="s">
        <v>6</v>
      </c>
      <c r="F738" s="540">
        <v>300218.82</v>
      </c>
      <c r="G738" s="466">
        <f t="shared" ref="G738:I739" si="148">G739</f>
        <v>1627772</v>
      </c>
      <c r="H738" s="442">
        <f t="shared" si="148"/>
        <v>1140137.2000000002</v>
      </c>
      <c r="I738" s="442">
        <f t="shared" si="148"/>
        <v>1510000</v>
      </c>
      <c r="J738" s="466">
        <f>J739+J751</f>
        <v>1745512</v>
      </c>
      <c r="K738" s="466">
        <f>K739+K751</f>
        <v>1745512</v>
      </c>
      <c r="L738" s="564">
        <f t="shared" si="143"/>
        <v>0</v>
      </c>
      <c r="M738" s="565">
        <f t="shared" si="145"/>
        <v>107.23319973558951</v>
      </c>
      <c r="N738" s="565">
        <f t="shared" si="144"/>
        <v>107.23319973558951</v>
      </c>
    </row>
    <row r="739" spans="1:14" ht="50.95" x14ac:dyDescent="0.3">
      <c r="A739" s="438" t="s">
        <v>9</v>
      </c>
      <c r="B739" s="439" t="s">
        <v>751</v>
      </c>
      <c r="C739" s="439" t="s">
        <v>10</v>
      </c>
      <c r="D739" s="539" t="s">
        <v>126</v>
      </c>
      <c r="E739" s="539" t="s">
        <v>6</v>
      </c>
      <c r="F739" s="540">
        <v>300218.82</v>
      </c>
      <c r="G739" s="465">
        <f t="shared" si="148"/>
        <v>1627772</v>
      </c>
      <c r="H739" s="440">
        <f t="shared" si="148"/>
        <v>1140137.2000000002</v>
      </c>
      <c r="I739" s="440">
        <f t="shared" si="148"/>
        <v>1510000</v>
      </c>
      <c r="J739" s="465">
        <f>J740</f>
        <v>1688872</v>
      </c>
      <c r="K739" s="465">
        <f>K740</f>
        <v>1688872</v>
      </c>
      <c r="L739" s="564">
        <f t="shared" si="143"/>
        <v>0</v>
      </c>
      <c r="M739" s="565">
        <f t="shared" si="145"/>
        <v>103.75359694109495</v>
      </c>
      <c r="N739" s="565">
        <f t="shared" si="144"/>
        <v>103.75359694109494</v>
      </c>
    </row>
    <row r="740" spans="1:14" ht="34" x14ac:dyDescent="0.3">
      <c r="A740" s="438" t="s">
        <v>132</v>
      </c>
      <c r="B740" s="439" t="s">
        <v>751</v>
      </c>
      <c r="C740" s="439" t="s">
        <v>10</v>
      </c>
      <c r="D740" s="539" t="s">
        <v>127</v>
      </c>
      <c r="E740" s="539" t="s">
        <v>6</v>
      </c>
      <c r="F740" s="540">
        <v>300218.82</v>
      </c>
      <c r="G740" s="465">
        <f>G741+G744</f>
        <v>1627772</v>
      </c>
      <c r="H740" s="440">
        <f>H741+H744</f>
        <v>1140137.2000000002</v>
      </c>
      <c r="I740" s="440">
        <f>I741+I744</f>
        <v>1510000</v>
      </c>
      <c r="J740" s="465">
        <f>J741+J744</f>
        <v>1688872</v>
      </c>
      <c r="K740" s="465">
        <f>K741+K744</f>
        <v>1688872</v>
      </c>
      <c r="L740" s="564">
        <f t="shared" si="143"/>
        <v>0</v>
      </c>
      <c r="M740" s="565">
        <f t="shared" si="145"/>
        <v>103.75359694109495</v>
      </c>
      <c r="N740" s="565">
        <f t="shared" si="144"/>
        <v>103.75359694109494</v>
      </c>
    </row>
    <row r="741" spans="1:14" x14ac:dyDescent="0.3">
      <c r="A741" s="438" t="s">
        <v>752</v>
      </c>
      <c r="B741" s="439" t="s">
        <v>751</v>
      </c>
      <c r="C741" s="439" t="s">
        <v>10</v>
      </c>
      <c r="D741" s="539" t="s">
        <v>143</v>
      </c>
      <c r="E741" s="539" t="s">
        <v>6</v>
      </c>
      <c r="F741" s="540">
        <v>174318.55</v>
      </c>
      <c r="G741" s="465">
        <f t="shared" ref="G741:K742" si="149">G742</f>
        <v>1347772</v>
      </c>
      <c r="H741" s="440">
        <f t="shared" si="149"/>
        <v>981643.31</v>
      </c>
      <c r="I741" s="440">
        <f t="shared" si="149"/>
        <v>1220000</v>
      </c>
      <c r="J741" s="466">
        <f t="shared" si="149"/>
        <v>1384096</v>
      </c>
      <c r="K741" s="466">
        <f t="shared" si="149"/>
        <v>1384096</v>
      </c>
      <c r="L741" s="564">
        <f t="shared" si="143"/>
        <v>0</v>
      </c>
      <c r="M741" s="565">
        <f t="shared" si="145"/>
        <v>102.69511460395378</v>
      </c>
      <c r="N741" s="565">
        <f t="shared" si="144"/>
        <v>102.69511460395377</v>
      </c>
    </row>
    <row r="742" spans="1:14" ht="84.9" x14ac:dyDescent="0.3">
      <c r="A742" s="438" t="s">
        <v>11</v>
      </c>
      <c r="B742" s="439" t="s">
        <v>751</v>
      </c>
      <c r="C742" s="439" t="s">
        <v>10</v>
      </c>
      <c r="D742" s="539" t="s">
        <v>143</v>
      </c>
      <c r="E742" s="539" t="s">
        <v>12</v>
      </c>
      <c r="F742" s="540">
        <v>174318.55</v>
      </c>
      <c r="G742" s="465">
        <f t="shared" si="149"/>
        <v>1347772</v>
      </c>
      <c r="H742" s="440">
        <f t="shared" si="149"/>
        <v>981643.31</v>
      </c>
      <c r="I742" s="440">
        <f t="shared" si="149"/>
        <v>1220000</v>
      </c>
      <c r="J742" s="466">
        <f t="shared" si="149"/>
        <v>1384096</v>
      </c>
      <c r="K742" s="466">
        <f t="shared" si="149"/>
        <v>1384096</v>
      </c>
      <c r="L742" s="564">
        <f t="shared" si="143"/>
        <v>0</v>
      </c>
      <c r="M742" s="565">
        <f t="shared" si="145"/>
        <v>102.69511460395378</v>
      </c>
      <c r="N742" s="565">
        <f t="shared" si="144"/>
        <v>102.69511460395377</v>
      </c>
    </row>
    <row r="743" spans="1:14" ht="34" x14ac:dyDescent="0.3">
      <c r="A743" s="438" t="s">
        <v>13</v>
      </c>
      <c r="B743" s="439" t="s">
        <v>751</v>
      </c>
      <c r="C743" s="439" t="s">
        <v>10</v>
      </c>
      <c r="D743" s="539" t="s">
        <v>143</v>
      </c>
      <c r="E743" s="539" t="s">
        <v>14</v>
      </c>
      <c r="F743" s="540">
        <v>174318.55</v>
      </c>
      <c r="G743" s="466">
        <f>[2]потребность!I672+248000-40228</f>
        <v>1347772</v>
      </c>
      <c r="H743" s="443">
        <v>981643.31</v>
      </c>
      <c r="I743" s="442">
        <f>'[2]прил 12'!F678</f>
        <v>1220000</v>
      </c>
      <c r="J743" s="466">
        <v>1384096</v>
      </c>
      <c r="K743" s="466">
        <v>1384096</v>
      </c>
      <c r="L743" s="564">
        <f t="shared" si="143"/>
        <v>0</v>
      </c>
      <c r="M743" s="565">
        <f t="shared" si="145"/>
        <v>102.69511460395378</v>
      </c>
      <c r="N743" s="565">
        <f t="shared" si="144"/>
        <v>102.69511460395377</v>
      </c>
    </row>
    <row r="744" spans="1:14" ht="45.7" customHeight="1" x14ac:dyDescent="0.3">
      <c r="A744" s="438" t="s">
        <v>494</v>
      </c>
      <c r="B744" s="439" t="s">
        <v>751</v>
      </c>
      <c r="C744" s="439" t="s">
        <v>10</v>
      </c>
      <c r="D744" s="539" t="s">
        <v>495</v>
      </c>
      <c r="E744" s="539" t="s">
        <v>6</v>
      </c>
      <c r="F744" s="540">
        <v>125900.27</v>
      </c>
      <c r="G744" s="466">
        <f>G745+G747</f>
        <v>280000</v>
      </c>
      <c r="H744" s="442">
        <f>H745+H747</f>
        <v>158493.89000000001</v>
      </c>
      <c r="I744" s="442">
        <f>I745+I747</f>
        <v>290000</v>
      </c>
      <c r="J744" s="466">
        <f>J745+J747+J749</f>
        <v>304776</v>
      </c>
      <c r="K744" s="466">
        <f>K745+K747+K749</f>
        <v>304776</v>
      </c>
      <c r="L744" s="564">
        <f t="shared" si="143"/>
        <v>0</v>
      </c>
      <c r="M744" s="565">
        <f t="shared" si="145"/>
        <v>108.84857142857143</v>
      </c>
      <c r="N744" s="565">
        <f t="shared" si="144"/>
        <v>108.84857142857143</v>
      </c>
    </row>
    <row r="745" spans="1:14" ht="84.9" x14ac:dyDescent="0.3">
      <c r="A745" s="438" t="s">
        <v>11</v>
      </c>
      <c r="B745" s="439" t="s">
        <v>751</v>
      </c>
      <c r="C745" s="439" t="s">
        <v>10</v>
      </c>
      <c r="D745" s="539" t="s">
        <v>495</v>
      </c>
      <c r="E745" s="539" t="s">
        <v>12</v>
      </c>
      <c r="F745" s="540">
        <v>14739.19</v>
      </c>
      <c r="G745" s="466">
        <f>G746</f>
        <v>200000</v>
      </c>
      <c r="H745" s="442">
        <f>H746</f>
        <v>148323.89000000001</v>
      </c>
      <c r="I745" s="442">
        <f>I746</f>
        <v>210000</v>
      </c>
      <c r="J745" s="466">
        <f>J746</f>
        <v>212776</v>
      </c>
      <c r="K745" s="466">
        <f>K746</f>
        <v>212776</v>
      </c>
      <c r="L745" s="564">
        <f t="shared" si="143"/>
        <v>0</v>
      </c>
      <c r="M745" s="565">
        <f t="shared" si="145"/>
        <v>106.38800000000001</v>
      </c>
      <c r="N745" s="565">
        <f t="shared" si="144"/>
        <v>106.38799999999999</v>
      </c>
    </row>
    <row r="746" spans="1:14" ht="34" x14ac:dyDescent="0.3">
      <c r="A746" s="438" t="s">
        <v>13</v>
      </c>
      <c r="B746" s="439" t="s">
        <v>751</v>
      </c>
      <c r="C746" s="439" t="s">
        <v>10</v>
      </c>
      <c r="D746" s="539" t="s">
        <v>495</v>
      </c>
      <c r="E746" s="539" t="s">
        <v>14</v>
      </c>
      <c r="F746" s="540">
        <v>14739.19</v>
      </c>
      <c r="G746" s="466">
        <f>[2]потребность!I675</f>
        <v>200000</v>
      </c>
      <c r="H746" s="443">
        <v>148323.89000000001</v>
      </c>
      <c r="I746" s="442">
        <f>'[2]прил 12'!F681</f>
        <v>210000</v>
      </c>
      <c r="J746" s="466">
        <v>212776</v>
      </c>
      <c r="K746" s="466">
        <v>212776</v>
      </c>
      <c r="L746" s="564">
        <f t="shared" si="143"/>
        <v>0</v>
      </c>
      <c r="M746" s="565">
        <f t="shared" si="145"/>
        <v>106.38800000000001</v>
      </c>
      <c r="N746" s="565">
        <f t="shared" si="144"/>
        <v>106.38799999999999</v>
      </c>
    </row>
    <row r="747" spans="1:14" ht="34" x14ac:dyDescent="0.3">
      <c r="A747" s="438" t="s">
        <v>15</v>
      </c>
      <c r="B747" s="439" t="s">
        <v>751</v>
      </c>
      <c r="C747" s="439" t="s">
        <v>10</v>
      </c>
      <c r="D747" s="539" t="s">
        <v>495</v>
      </c>
      <c r="E747" s="539" t="s">
        <v>16</v>
      </c>
      <c r="F747" s="540">
        <v>111161.08</v>
      </c>
      <c r="G747" s="466">
        <f>G748</f>
        <v>80000</v>
      </c>
      <c r="H747" s="442">
        <f>H748</f>
        <v>10170</v>
      </c>
      <c r="I747" s="442">
        <f>I748</f>
        <v>80000</v>
      </c>
      <c r="J747" s="466">
        <f>J748</f>
        <v>91500</v>
      </c>
      <c r="K747" s="466">
        <f>K748</f>
        <v>91500</v>
      </c>
      <c r="L747" s="564">
        <f t="shared" si="143"/>
        <v>0</v>
      </c>
      <c r="M747" s="565">
        <f t="shared" si="145"/>
        <v>114.375</v>
      </c>
      <c r="N747" s="565">
        <f t="shared" si="144"/>
        <v>114.375</v>
      </c>
    </row>
    <row r="748" spans="1:14" ht="42.8" customHeight="1" x14ac:dyDescent="0.3">
      <c r="A748" s="438" t="s">
        <v>17</v>
      </c>
      <c r="B748" s="439" t="s">
        <v>751</v>
      </c>
      <c r="C748" s="439" t="s">
        <v>10</v>
      </c>
      <c r="D748" s="539" t="s">
        <v>495</v>
      </c>
      <c r="E748" s="539" t="s">
        <v>18</v>
      </c>
      <c r="F748" s="540">
        <v>111161.08</v>
      </c>
      <c r="G748" s="466">
        <f>[2]потребность!I677</f>
        <v>80000</v>
      </c>
      <c r="H748" s="443">
        <v>10170</v>
      </c>
      <c r="I748" s="442">
        <f>'[2]прил 12'!F683</f>
        <v>80000</v>
      </c>
      <c r="J748" s="466">
        <v>91500</v>
      </c>
      <c r="K748" s="466">
        <v>91500</v>
      </c>
      <c r="L748" s="564">
        <f t="shared" si="143"/>
        <v>0</v>
      </c>
      <c r="M748" s="565">
        <f t="shared" si="145"/>
        <v>114.375</v>
      </c>
      <c r="N748" s="565">
        <f t="shared" si="144"/>
        <v>114.375</v>
      </c>
    </row>
    <row r="749" spans="1:14" ht="29.25" customHeight="1" x14ac:dyDescent="0.3">
      <c r="A749" s="438" t="s">
        <v>19</v>
      </c>
      <c r="B749" s="439" t="s">
        <v>751</v>
      </c>
      <c r="C749" s="439" t="s">
        <v>10</v>
      </c>
      <c r="D749" s="539" t="s">
        <v>495</v>
      </c>
      <c r="E749" s="539" t="s">
        <v>20</v>
      </c>
      <c r="F749" s="539"/>
      <c r="G749" s="466">
        <v>0</v>
      </c>
      <c r="H749" s="442">
        <v>0</v>
      </c>
      <c r="I749" s="442">
        <v>0</v>
      </c>
      <c r="J749" s="466">
        <f>J750</f>
        <v>500</v>
      </c>
      <c r="K749" s="466">
        <f>K750</f>
        <v>500</v>
      </c>
      <c r="L749" s="564">
        <f t="shared" si="143"/>
        <v>0</v>
      </c>
      <c r="M749" s="565"/>
      <c r="N749" s="565"/>
    </row>
    <row r="750" spans="1:14" ht="27.2" customHeight="1" x14ac:dyDescent="0.3">
      <c r="A750" s="438" t="s">
        <v>21</v>
      </c>
      <c r="B750" s="439" t="s">
        <v>751</v>
      </c>
      <c r="C750" s="439" t="s">
        <v>10</v>
      </c>
      <c r="D750" s="539" t="s">
        <v>495</v>
      </c>
      <c r="E750" s="539" t="s">
        <v>22</v>
      </c>
      <c r="F750" s="539"/>
      <c r="G750" s="466">
        <v>0</v>
      </c>
      <c r="H750" s="442">
        <v>0</v>
      </c>
      <c r="I750" s="442">
        <v>0</v>
      </c>
      <c r="J750" s="466">
        <v>500</v>
      </c>
      <c r="K750" s="466">
        <v>500</v>
      </c>
      <c r="L750" s="564">
        <f t="shared" si="143"/>
        <v>0</v>
      </c>
      <c r="M750" s="565"/>
      <c r="N750" s="565"/>
    </row>
    <row r="751" spans="1:14" ht="31.75" customHeight="1" x14ac:dyDescent="0.3">
      <c r="A751" s="438" t="s">
        <v>23</v>
      </c>
      <c r="B751" s="439" t="s">
        <v>751</v>
      </c>
      <c r="C751" s="439" t="s">
        <v>24</v>
      </c>
      <c r="D751" s="539" t="s">
        <v>126</v>
      </c>
      <c r="E751" s="539" t="s">
        <v>6</v>
      </c>
      <c r="F751" s="539"/>
      <c r="G751" s="466">
        <v>0</v>
      </c>
      <c r="H751" s="442">
        <v>0</v>
      </c>
      <c r="I751" s="442">
        <v>0</v>
      </c>
      <c r="J751" s="466">
        <f>J752+J757</f>
        <v>56640</v>
      </c>
      <c r="K751" s="466">
        <f>K752+K757</f>
        <v>56640</v>
      </c>
      <c r="L751" s="564">
        <f t="shared" si="143"/>
        <v>0</v>
      </c>
      <c r="M751" s="565"/>
      <c r="N751" s="565"/>
    </row>
    <row r="752" spans="1:14" ht="42.8" customHeight="1" x14ac:dyDescent="0.3">
      <c r="A752" s="444" t="s">
        <v>830</v>
      </c>
      <c r="B752" s="445" t="s">
        <v>751</v>
      </c>
      <c r="C752" s="445" t="s">
        <v>24</v>
      </c>
      <c r="D752" s="541" t="s">
        <v>128</v>
      </c>
      <c r="E752" s="541" t="s">
        <v>6</v>
      </c>
      <c r="F752" s="541"/>
      <c r="G752" s="466">
        <v>0</v>
      </c>
      <c r="H752" s="442">
        <v>0</v>
      </c>
      <c r="I752" s="442">
        <v>0</v>
      </c>
      <c r="J752" s="466">
        <f t="shared" ref="J752:K755" si="150">J753</f>
        <v>10000</v>
      </c>
      <c r="K752" s="466">
        <f t="shared" si="150"/>
        <v>10000</v>
      </c>
      <c r="L752" s="564">
        <f t="shared" si="143"/>
        <v>0</v>
      </c>
      <c r="M752" s="565"/>
      <c r="N752" s="565"/>
    </row>
    <row r="753" spans="1:14" ht="38.049999999999997" customHeight="1" x14ac:dyDescent="0.3">
      <c r="A753" s="450" t="s">
        <v>835</v>
      </c>
      <c r="B753" s="439" t="s">
        <v>751</v>
      </c>
      <c r="C753" s="439" t="s">
        <v>24</v>
      </c>
      <c r="D753" s="539" t="s">
        <v>315</v>
      </c>
      <c r="E753" s="539" t="s">
        <v>6</v>
      </c>
      <c r="F753" s="539"/>
      <c r="G753" s="466">
        <v>0</v>
      </c>
      <c r="H753" s="442">
        <v>0</v>
      </c>
      <c r="I753" s="442">
        <v>0</v>
      </c>
      <c r="J753" s="466">
        <f t="shared" si="150"/>
        <v>10000</v>
      </c>
      <c r="K753" s="466">
        <f t="shared" si="150"/>
        <v>10000</v>
      </c>
      <c r="L753" s="564">
        <f t="shared" si="143"/>
        <v>0</v>
      </c>
      <c r="M753" s="565"/>
      <c r="N753" s="565"/>
    </row>
    <row r="754" spans="1:14" ht="23.8" customHeight="1" x14ac:dyDescent="0.3">
      <c r="A754" s="450" t="s">
        <v>321</v>
      </c>
      <c r="B754" s="439" t="s">
        <v>751</v>
      </c>
      <c r="C754" s="439" t="s">
        <v>24</v>
      </c>
      <c r="D754" s="539" t="s">
        <v>316</v>
      </c>
      <c r="E754" s="539" t="s">
        <v>6</v>
      </c>
      <c r="F754" s="539"/>
      <c r="G754" s="466">
        <v>0</v>
      </c>
      <c r="H754" s="442">
        <v>0</v>
      </c>
      <c r="I754" s="442">
        <v>0</v>
      </c>
      <c r="J754" s="466">
        <f t="shared" si="150"/>
        <v>10000</v>
      </c>
      <c r="K754" s="466">
        <f t="shared" si="150"/>
        <v>10000</v>
      </c>
      <c r="L754" s="564">
        <f t="shared" si="143"/>
        <v>0</v>
      </c>
      <c r="M754" s="565"/>
      <c r="N754" s="565"/>
    </row>
    <row r="755" spans="1:14" ht="42.8" customHeight="1" x14ac:dyDescent="0.3">
      <c r="A755" s="438" t="s">
        <v>15</v>
      </c>
      <c r="B755" s="439" t="s">
        <v>751</v>
      </c>
      <c r="C755" s="439" t="s">
        <v>24</v>
      </c>
      <c r="D755" s="539" t="s">
        <v>316</v>
      </c>
      <c r="E755" s="539" t="s">
        <v>16</v>
      </c>
      <c r="F755" s="539"/>
      <c r="G755" s="466">
        <v>0</v>
      </c>
      <c r="H755" s="442">
        <v>0</v>
      </c>
      <c r="I755" s="442">
        <v>0</v>
      </c>
      <c r="J755" s="466">
        <f t="shared" si="150"/>
        <v>10000</v>
      </c>
      <c r="K755" s="466">
        <f t="shared" si="150"/>
        <v>10000</v>
      </c>
      <c r="L755" s="564">
        <f t="shared" si="143"/>
        <v>0</v>
      </c>
      <c r="M755" s="565"/>
      <c r="N755" s="565"/>
    </row>
    <row r="756" spans="1:14" ht="42.8" customHeight="1" x14ac:dyDescent="0.3">
      <c r="A756" s="438" t="s">
        <v>17</v>
      </c>
      <c r="B756" s="439" t="s">
        <v>751</v>
      </c>
      <c r="C756" s="439" t="s">
        <v>24</v>
      </c>
      <c r="D756" s="539" t="s">
        <v>316</v>
      </c>
      <c r="E756" s="539" t="s">
        <v>18</v>
      </c>
      <c r="F756" s="539"/>
      <c r="G756" s="466">
        <v>0</v>
      </c>
      <c r="H756" s="442">
        <v>0</v>
      </c>
      <c r="I756" s="442">
        <v>0</v>
      </c>
      <c r="J756" s="466">
        <v>10000</v>
      </c>
      <c r="K756" s="466">
        <v>10000</v>
      </c>
      <c r="L756" s="564">
        <f t="shared" si="143"/>
        <v>0</v>
      </c>
      <c r="M756" s="565"/>
      <c r="N756" s="565"/>
    </row>
    <row r="757" spans="1:14" ht="44.15" customHeight="1" x14ac:dyDescent="0.3">
      <c r="A757" s="451" t="s">
        <v>829</v>
      </c>
      <c r="B757" s="445" t="s">
        <v>751</v>
      </c>
      <c r="C757" s="439" t="s">
        <v>24</v>
      </c>
      <c r="D757" s="541" t="s">
        <v>317</v>
      </c>
      <c r="E757" s="541" t="s">
        <v>6</v>
      </c>
      <c r="F757" s="541"/>
      <c r="G757" s="466">
        <v>0</v>
      </c>
      <c r="H757" s="442">
        <v>0</v>
      </c>
      <c r="I757" s="442">
        <v>0</v>
      </c>
      <c r="J757" s="466">
        <f t="shared" ref="J757:K760" si="151">J758</f>
        <v>46640</v>
      </c>
      <c r="K757" s="466">
        <f t="shared" si="151"/>
        <v>46640</v>
      </c>
      <c r="L757" s="564">
        <f t="shared" si="143"/>
        <v>0</v>
      </c>
      <c r="M757" s="565"/>
      <c r="N757" s="565"/>
    </row>
    <row r="758" spans="1:14" ht="19.2" customHeight="1" x14ac:dyDescent="0.3">
      <c r="A758" s="450" t="s">
        <v>249</v>
      </c>
      <c r="B758" s="439" t="s">
        <v>751</v>
      </c>
      <c r="C758" s="439" t="s">
        <v>24</v>
      </c>
      <c r="D758" s="539" t="s">
        <v>318</v>
      </c>
      <c r="E758" s="539" t="s">
        <v>6</v>
      </c>
      <c r="F758" s="539"/>
      <c r="G758" s="466">
        <v>0</v>
      </c>
      <c r="H758" s="442">
        <v>0</v>
      </c>
      <c r="I758" s="442">
        <v>0</v>
      </c>
      <c r="J758" s="466">
        <f t="shared" si="151"/>
        <v>46640</v>
      </c>
      <c r="K758" s="466">
        <f t="shared" si="151"/>
        <v>46640</v>
      </c>
      <c r="L758" s="564">
        <f t="shared" si="143"/>
        <v>0</v>
      </c>
      <c r="M758" s="565"/>
      <c r="N758" s="565"/>
    </row>
    <row r="759" spans="1:14" ht="23.8" customHeight="1" x14ac:dyDescent="0.3">
      <c r="A759" s="438" t="s">
        <v>25</v>
      </c>
      <c r="B759" s="439" t="s">
        <v>751</v>
      </c>
      <c r="C759" s="439" t="s">
        <v>24</v>
      </c>
      <c r="D759" s="539" t="s">
        <v>329</v>
      </c>
      <c r="E759" s="539" t="s">
        <v>6</v>
      </c>
      <c r="F759" s="539"/>
      <c r="G759" s="466">
        <v>0</v>
      </c>
      <c r="H759" s="442">
        <v>0</v>
      </c>
      <c r="I759" s="442">
        <v>0</v>
      </c>
      <c r="J759" s="466">
        <f t="shared" si="151"/>
        <v>46640</v>
      </c>
      <c r="K759" s="466">
        <f t="shared" si="151"/>
        <v>46640</v>
      </c>
      <c r="L759" s="564">
        <f t="shared" si="143"/>
        <v>0</v>
      </c>
      <c r="M759" s="565"/>
      <c r="N759" s="565"/>
    </row>
    <row r="760" spans="1:14" ht="23.8" customHeight="1" x14ac:dyDescent="0.3">
      <c r="A760" s="438" t="s">
        <v>15</v>
      </c>
      <c r="B760" s="439" t="s">
        <v>751</v>
      </c>
      <c r="C760" s="439" t="s">
        <v>24</v>
      </c>
      <c r="D760" s="539" t="s">
        <v>329</v>
      </c>
      <c r="E760" s="539" t="s">
        <v>16</v>
      </c>
      <c r="F760" s="539"/>
      <c r="G760" s="466">
        <v>0</v>
      </c>
      <c r="H760" s="442">
        <v>0</v>
      </c>
      <c r="I760" s="442">
        <v>0</v>
      </c>
      <c r="J760" s="466">
        <f t="shared" si="151"/>
        <v>46640</v>
      </c>
      <c r="K760" s="466">
        <f t="shared" si="151"/>
        <v>46640</v>
      </c>
      <c r="L760" s="564">
        <f t="shared" si="143"/>
        <v>0</v>
      </c>
      <c r="M760" s="565"/>
      <c r="N760" s="565"/>
    </row>
    <row r="761" spans="1:14" ht="22.75" customHeight="1" x14ac:dyDescent="0.3">
      <c r="A761" s="438" t="s">
        <v>17</v>
      </c>
      <c r="B761" s="439" t="s">
        <v>751</v>
      </c>
      <c r="C761" s="439" t="s">
        <v>24</v>
      </c>
      <c r="D761" s="539" t="s">
        <v>329</v>
      </c>
      <c r="E761" s="539" t="s">
        <v>18</v>
      </c>
      <c r="F761" s="539"/>
      <c r="G761" s="466">
        <v>0</v>
      </c>
      <c r="H761" s="442">
        <v>0</v>
      </c>
      <c r="I761" s="442">
        <v>0</v>
      </c>
      <c r="J761" s="466">
        <v>46640</v>
      </c>
      <c r="K761" s="466">
        <v>46640</v>
      </c>
      <c r="L761" s="564">
        <f t="shared" si="143"/>
        <v>0</v>
      </c>
      <c r="M761" s="565"/>
      <c r="N761" s="565"/>
    </row>
    <row r="762" spans="1:14" x14ac:dyDescent="0.3">
      <c r="A762" s="399" t="s">
        <v>768</v>
      </c>
      <c r="B762" s="469"/>
      <c r="C762" s="469"/>
      <c r="D762" s="554"/>
      <c r="E762" s="552"/>
      <c r="F762" s="521">
        <v>988413094.71000004</v>
      </c>
      <c r="G762" s="506">
        <f>G7+G29+G512+G549+G737</f>
        <v>1057478517.41</v>
      </c>
      <c r="H762" s="435">
        <f>H7+H29+H512+H549+H737</f>
        <v>721773772.18000019</v>
      </c>
      <c r="I762" s="435">
        <f>I7+I29+I512+I549+I737</f>
        <v>898231865.89999998</v>
      </c>
      <c r="J762" s="506">
        <f>J7+J29+J512+J549+J737</f>
        <v>1001448650.3900001</v>
      </c>
      <c r="K762" s="506">
        <f>K7+K29+K512+K549+K737</f>
        <v>976194103.9000001</v>
      </c>
      <c r="L762" s="387">
        <f>J762-K762</f>
        <v>25254546.49000001</v>
      </c>
      <c r="M762" s="499"/>
      <c r="N762" s="565">
        <f t="shared" si="144"/>
        <v>92.313374487352846</v>
      </c>
    </row>
    <row r="763" spans="1:14" x14ac:dyDescent="0.3">
      <c r="A763" s="475"/>
      <c r="B763" s="476"/>
      <c r="C763" s="476"/>
      <c r="D763" s="555"/>
      <c r="E763" s="556"/>
      <c r="F763" s="524"/>
      <c r="G763" s="522"/>
      <c r="H763" s="478"/>
      <c r="I763" s="477"/>
      <c r="J763" s="522">
        <f>J764+J765</f>
        <v>976194103.9000001</v>
      </c>
      <c r="K763" s="572">
        <v>973972103.89999998</v>
      </c>
      <c r="L763" s="479"/>
    </row>
    <row r="764" spans="1:14" x14ac:dyDescent="0.3">
      <c r="A764" s="475"/>
      <c r="B764" s="476"/>
      <c r="C764" s="476"/>
      <c r="D764" s="555" t="s">
        <v>798</v>
      </c>
      <c r="E764" s="556"/>
      <c r="F764" s="556"/>
      <c r="G764" s="522">
        <v>422970631.79000002</v>
      </c>
      <c r="H764" s="478"/>
      <c r="I764" s="477">
        <f>'[2]прил 12'!F685</f>
        <v>426818000</v>
      </c>
      <c r="J764" s="524">
        <f>452526957+2222000</f>
        <v>454748957</v>
      </c>
      <c r="K764" s="524">
        <f>K762-K765</f>
        <v>454748957.00000006</v>
      </c>
      <c r="L764" s="571">
        <f>K764-J764</f>
        <v>0</v>
      </c>
      <c r="N764" s="391">
        <f>L764/K764*100</f>
        <v>0</v>
      </c>
    </row>
    <row r="765" spans="1:14" x14ac:dyDescent="0.3">
      <c r="A765" s="475"/>
      <c r="B765" s="476"/>
      <c r="C765" s="476"/>
      <c r="D765" s="555" t="s">
        <v>970</v>
      </c>
      <c r="E765" s="556"/>
      <c r="F765" s="556"/>
      <c r="G765" s="522">
        <v>616907493.53999996</v>
      </c>
      <c r="H765" s="478"/>
      <c r="I765" s="477">
        <f>'[2]прил 12'!F686</f>
        <v>482120951.43599993</v>
      </c>
      <c r="J765" s="524">
        <f>J46+J134+J139+J142+J147+J152+J157+J166+J187+J193+J207+J262+J269+J298+J307+J315+J327+J359+J367+J377+J408+J415+J418+J434+J445+J452+J455+J472+J478+J488+J494+J558+J577+J591+J597+J603+J616+J626+J629+J670+J705+J712+J728-135113.43-173500-32776.18-69324.76-33081.95-186904.51</f>
        <v>521445146.90000004</v>
      </c>
      <c r="K765" s="524">
        <f>K46+K134+K139+K142+K147+K152+K157+K166+K187+K193+K207+K262+K269+K298+K307+K315+K327+K359+K367+K377+K408+K415+K418+K434+K445+K452+K455+K472+K478+K488+K494+K558+K577+K591+K597+K603+K616+K626+K629+K670+K705+K712+K728-135113.43-173500-32776.18-69324.76-33081.95-186904.51</f>
        <v>521445146.90000004</v>
      </c>
      <c r="L765" s="480"/>
    </row>
    <row r="766" spans="1:14" x14ac:dyDescent="0.3">
      <c r="A766" s="475"/>
      <c r="B766" s="476"/>
      <c r="C766" s="476"/>
      <c r="D766" s="555" t="s">
        <v>978</v>
      </c>
      <c r="E766" s="556"/>
      <c r="F766" s="556"/>
      <c r="G766" s="522"/>
      <c r="H766" s="478"/>
      <c r="I766" s="477">
        <f>'[2]прил 12'!F687</f>
        <v>10670450</v>
      </c>
      <c r="J766" s="526"/>
      <c r="K766" s="527"/>
      <c r="L766" s="479"/>
    </row>
    <row r="767" spans="1:14" x14ac:dyDescent="0.3">
      <c r="A767" s="475"/>
      <c r="B767" s="476"/>
      <c r="C767" s="476"/>
      <c r="D767" s="555" t="s">
        <v>971</v>
      </c>
      <c r="E767" s="556"/>
      <c r="F767" s="556"/>
      <c r="G767" s="522">
        <f>G764+G765</f>
        <v>1039878125.3299999</v>
      </c>
      <c r="H767" s="478"/>
      <c r="I767" s="477">
        <f>I764+I765</f>
        <v>908938951.43599987</v>
      </c>
      <c r="J767" s="524">
        <f>J764+J765</f>
        <v>976194103.9000001</v>
      </c>
      <c r="K767" s="527"/>
      <c r="L767" s="479">
        <v>973877103.89999998</v>
      </c>
    </row>
    <row r="768" spans="1:14" x14ac:dyDescent="0.3">
      <c r="A768" s="475"/>
      <c r="B768" s="476"/>
      <c r="C768" s="476"/>
      <c r="D768" s="555"/>
      <c r="E768" s="556"/>
      <c r="F768" s="556"/>
      <c r="G768" s="522"/>
      <c r="H768" s="478"/>
      <c r="I768" s="477"/>
      <c r="J768" s="526">
        <v>164499000</v>
      </c>
      <c r="K768" s="527"/>
      <c r="L768" s="479"/>
    </row>
    <row r="769" spans="1:12" s="495" customFormat="1" x14ac:dyDescent="0.3">
      <c r="A769" s="475"/>
      <c r="B769" s="476"/>
      <c r="C769" s="476"/>
      <c r="D769" s="555"/>
      <c r="E769" s="556"/>
      <c r="F769" s="556"/>
      <c r="G769" s="522"/>
      <c r="H769" s="478"/>
      <c r="I769" s="477"/>
      <c r="J769" s="526">
        <v>250588957</v>
      </c>
      <c r="K769" s="527"/>
      <c r="L769" s="479"/>
    </row>
    <row r="770" spans="1:12" s="495" customFormat="1" x14ac:dyDescent="0.3">
      <c r="A770" s="475"/>
      <c r="B770" s="476"/>
      <c r="C770" s="476"/>
      <c r="D770" s="555"/>
      <c r="E770" s="556"/>
      <c r="F770" s="556"/>
      <c r="G770" s="522"/>
      <c r="H770" s="478"/>
      <c r="I770" s="477"/>
      <c r="J770" s="526">
        <v>37439000</v>
      </c>
      <c r="K770" s="527"/>
      <c r="L770" s="479"/>
    </row>
    <row r="771" spans="1:12" s="495" customFormat="1" x14ac:dyDescent="0.3">
      <c r="A771" s="419"/>
      <c r="B771" s="420"/>
      <c r="C771" s="420"/>
      <c r="D771" s="557"/>
      <c r="E771" s="500"/>
      <c r="F771" s="500"/>
      <c r="G771" s="528"/>
      <c r="H771" s="482"/>
      <c r="I771" s="481"/>
      <c r="J771" s="528"/>
      <c r="K771" s="501"/>
      <c r="L771" s="391"/>
    </row>
    <row r="772" spans="1:12" s="495" customFormat="1" x14ac:dyDescent="0.3">
      <c r="A772" s="419"/>
      <c r="B772" s="420"/>
      <c r="C772" s="420"/>
      <c r="D772" s="558" t="s">
        <v>875</v>
      </c>
      <c r="E772" s="500"/>
      <c r="F772" s="500"/>
      <c r="G772" s="528" t="e">
        <f>'[2]прил 7'!C14+'[2]прил 7'!C43</f>
        <v>#REF!</v>
      </c>
      <c r="H772" s="482"/>
      <c r="I772" s="481">
        <f>'[2]прил 7'!D14+'[2]прил 7'!D43</f>
        <v>0</v>
      </c>
      <c r="J772" s="528">
        <f>'[2]прил 7'!E14+'[2]прил 7'!E43</f>
        <v>0</v>
      </c>
      <c r="K772" s="501"/>
      <c r="L772" s="391"/>
    </row>
    <row r="773" spans="1:12" s="495" customFormat="1" x14ac:dyDescent="0.3">
      <c r="A773" s="419"/>
      <c r="B773" s="420"/>
      <c r="C773" s="420"/>
      <c r="D773" s="557"/>
      <c r="E773" s="500"/>
      <c r="F773" s="500"/>
      <c r="G773" s="529" t="e">
        <f>G772-G762</f>
        <v>#REF!</v>
      </c>
      <c r="H773" s="484"/>
      <c r="I773" s="483">
        <f>I772-I762</f>
        <v>-898231865.89999998</v>
      </c>
      <c r="J773" s="529">
        <f>J772-J762</f>
        <v>-1001448650.3900001</v>
      </c>
      <c r="K773" s="501"/>
      <c r="L773" s="391"/>
    </row>
    <row r="774" spans="1:12" s="495" customFormat="1" x14ac:dyDescent="0.3">
      <c r="A774" s="419"/>
      <c r="B774" s="420"/>
      <c r="C774" s="420"/>
      <c r="D774" s="557"/>
      <c r="E774" s="500"/>
      <c r="F774" s="500"/>
      <c r="G774" s="529" t="e">
        <f>'[2]прил 7'!C73-G762</f>
        <v>#REF!</v>
      </c>
      <c r="H774" s="484"/>
      <c r="I774" s="483">
        <f>'[2]прил 7'!D73-I762</f>
        <v>-898231865.89999998</v>
      </c>
      <c r="J774" s="529">
        <f>'[2]прил 7'!E73-J762</f>
        <v>-1001448650.3900001</v>
      </c>
      <c r="K774" s="501"/>
      <c r="L774" s="391"/>
    </row>
    <row r="775" spans="1:12" s="495" customFormat="1" x14ac:dyDescent="0.3">
      <c r="A775" s="419"/>
      <c r="B775" s="420"/>
      <c r="C775" s="474" t="s">
        <v>8</v>
      </c>
      <c r="D775" s="557"/>
      <c r="E775" s="500"/>
      <c r="F775" s="500"/>
      <c r="G775" s="528">
        <f>G8+G30++G513+G738</f>
        <v>123659726.01000001</v>
      </c>
      <c r="H775" s="482"/>
      <c r="I775" s="481">
        <f>I8+I30++I513+I738</f>
        <v>114096497.84</v>
      </c>
      <c r="J775" s="528">
        <f>J8+J30++J513+J738</f>
        <v>138760238.30000001</v>
      </c>
      <c r="K775" s="501"/>
      <c r="L775" s="391"/>
    </row>
    <row r="776" spans="1:12" s="495" customFormat="1" x14ac:dyDescent="0.3">
      <c r="A776" s="419"/>
      <c r="B776" s="420"/>
      <c r="C776" s="474" t="s">
        <v>26</v>
      </c>
      <c r="D776" s="557"/>
      <c r="E776" s="500"/>
      <c r="F776" s="500"/>
      <c r="G776" s="528">
        <f>G162</f>
        <v>1626656</v>
      </c>
      <c r="H776" s="482"/>
      <c r="I776" s="481">
        <f>I162</f>
        <v>1700240</v>
      </c>
      <c r="J776" s="528">
        <f>J162</f>
        <v>1951380</v>
      </c>
      <c r="K776" s="501"/>
      <c r="L776" s="391"/>
    </row>
    <row r="777" spans="1:12" s="495" customFormat="1" x14ac:dyDescent="0.3">
      <c r="A777" s="419"/>
      <c r="B777" s="420"/>
      <c r="C777" s="474" t="s">
        <v>42</v>
      </c>
      <c r="D777" s="557"/>
      <c r="E777" s="500"/>
      <c r="F777" s="500"/>
      <c r="G777" s="528">
        <f>G172</f>
        <v>991747.04</v>
      </c>
      <c r="H777" s="482"/>
      <c r="I777" s="481">
        <f>I172</f>
        <v>400000</v>
      </c>
      <c r="J777" s="528">
        <f>J172</f>
        <v>1805000</v>
      </c>
      <c r="K777" s="501"/>
      <c r="L777" s="391"/>
    </row>
    <row r="778" spans="1:12" s="495" customFormat="1" x14ac:dyDescent="0.3">
      <c r="A778" s="419"/>
      <c r="B778" s="420"/>
      <c r="C778" s="474" t="s">
        <v>46</v>
      </c>
      <c r="D778" s="557"/>
      <c r="E778" s="500"/>
      <c r="F778" s="500"/>
      <c r="G778" s="528">
        <f>G183</f>
        <v>29220883.93</v>
      </c>
      <c r="H778" s="482"/>
      <c r="I778" s="481">
        <f>I183</f>
        <v>14114514.17</v>
      </c>
      <c r="J778" s="528">
        <f>J183</f>
        <v>16168133.93</v>
      </c>
      <c r="K778" s="501"/>
      <c r="L778" s="391"/>
    </row>
    <row r="779" spans="1:12" s="495" customFormat="1" x14ac:dyDescent="0.3">
      <c r="A779" s="419"/>
      <c r="B779" s="420"/>
      <c r="C779" s="474" t="s">
        <v>55</v>
      </c>
      <c r="D779" s="557"/>
      <c r="E779" s="500"/>
      <c r="F779" s="500"/>
      <c r="G779" s="528">
        <f>G228</f>
        <v>126974379.52000001</v>
      </c>
      <c r="H779" s="482"/>
      <c r="I779" s="481">
        <f>I228</f>
        <v>48705734.209999993</v>
      </c>
      <c r="J779" s="528">
        <f>J228</f>
        <v>62901864.480000004</v>
      </c>
      <c r="K779" s="501"/>
      <c r="L779" s="391"/>
    </row>
    <row r="780" spans="1:12" s="495" customFormat="1" x14ac:dyDescent="0.3">
      <c r="A780" s="419"/>
      <c r="B780" s="420"/>
      <c r="C780" s="474" t="s">
        <v>65</v>
      </c>
      <c r="D780" s="557"/>
      <c r="E780" s="500"/>
      <c r="F780" s="500"/>
      <c r="G780" s="528">
        <f>G333</f>
        <v>555000</v>
      </c>
      <c r="H780" s="482"/>
      <c r="I780" s="481">
        <f>I333</f>
        <v>515000</v>
      </c>
      <c r="J780" s="528">
        <f>J333</f>
        <v>515000</v>
      </c>
      <c r="K780" s="501"/>
      <c r="L780" s="391"/>
    </row>
    <row r="781" spans="1:12" s="495" customFormat="1" x14ac:dyDescent="0.3">
      <c r="A781" s="419"/>
      <c r="B781" s="420"/>
      <c r="C781" s="474" t="s">
        <v>70</v>
      </c>
      <c r="D781" s="557"/>
      <c r="E781" s="500"/>
      <c r="F781" s="500"/>
      <c r="G781" s="528">
        <f>G349+G550</f>
        <v>657541021.93000007</v>
      </c>
      <c r="H781" s="482"/>
      <c r="I781" s="481">
        <f>I349+I550</f>
        <v>604016307.83999991</v>
      </c>
      <c r="J781" s="528">
        <f>J349+J550</f>
        <v>631678734.47000003</v>
      </c>
      <c r="K781" s="501"/>
      <c r="L781" s="391"/>
    </row>
    <row r="782" spans="1:12" s="495" customFormat="1" x14ac:dyDescent="0.3">
      <c r="A782" s="419"/>
      <c r="B782" s="420"/>
      <c r="C782" s="474" t="s">
        <v>80</v>
      </c>
      <c r="D782" s="557"/>
      <c r="E782" s="500"/>
      <c r="F782" s="500"/>
      <c r="G782" s="528">
        <f>G370</f>
        <v>41452318.13000001</v>
      </c>
      <c r="H782" s="482"/>
      <c r="I782" s="481">
        <f>I370</f>
        <v>39865848.490000002</v>
      </c>
      <c r="J782" s="528">
        <f>J370</f>
        <v>43751559.600000001</v>
      </c>
      <c r="K782" s="501"/>
      <c r="L782" s="391"/>
    </row>
    <row r="783" spans="1:12" s="495" customFormat="1" x14ac:dyDescent="0.3">
      <c r="A783" s="419"/>
      <c r="B783" s="420"/>
      <c r="C783" s="474" t="s">
        <v>86</v>
      </c>
      <c r="D783" s="557"/>
      <c r="E783" s="500"/>
      <c r="F783" s="500"/>
      <c r="G783" s="530">
        <f>G421+G701</f>
        <v>58858914.619999997</v>
      </c>
      <c r="H783" s="486"/>
      <c r="I783" s="485">
        <f>I421+I701</f>
        <v>69985693.950000003</v>
      </c>
      <c r="J783" s="530">
        <f>J421+J701</f>
        <v>96001620.789999992</v>
      </c>
      <c r="K783" s="501"/>
      <c r="L783" s="391"/>
    </row>
    <row r="784" spans="1:12" s="495" customFormat="1" x14ac:dyDescent="0.3">
      <c r="A784" s="419"/>
      <c r="B784" s="420"/>
      <c r="C784" s="474" t="s">
        <v>101</v>
      </c>
      <c r="D784" s="557"/>
      <c r="E784" s="500"/>
      <c r="F784" s="500"/>
      <c r="G784" s="528">
        <f>G457+G717</f>
        <v>13240870.23</v>
      </c>
      <c r="H784" s="482"/>
      <c r="I784" s="481">
        <f>I457+I717</f>
        <v>2332029.4</v>
      </c>
      <c r="J784" s="528">
        <f>J457+J717</f>
        <v>4558118.82</v>
      </c>
      <c r="K784" s="501"/>
      <c r="L784" s="391"/>
    </row>
    <row r="785" spans="1:13" x14ac:dyDescent="0.3">
      <c r="C785" s="474" t="s">
        <v>104</v>
      </c>
      <c r="G785" s="528">
        <f>G505</f>
        <v>3357000</v>
      </c>
      <c r="I785" s="481">
        <f>I505</f>
        <v>2500000</v>
      </c>
      <c r="J785" s="528">
        <f>J505</f>
        <v>3357000</v>
      </c>
    </row>
    <row r="786" spans="1:13" x14ac:dyDescent="0.3">
      <c r="A786" s="487"/>
      <c r="G786" s="531">
        <f>SUBTOTAL(9,G775:G785)</f>
        <v>1057478517.4100001</v>
      </c>
      <c r="H786" s="489"/>
      <c r="I786" s="488">
        <f>SUBTOTAL(9,I775:I785)</f>
        <v>898231865.89999998</v>
      </c>
      <c r="J786" s="531">
        <f>SUBTOTAL(9,J775:J785)</f>
        <v>1001448650.3900001</v>
      </c>
    </row>
    <row r="788" spans="1:13" x14ac:dyDescent="0.3">
      <c r="D788" s="554" t="s">
        <v>876</v>
      </c>
      <c r="G788" s="528">
        <f>G552+G588+G637+G663+G682+G703+G709</f>
        <v>642938628.35000002</v>
      </c>
      <c r="I788" s="481">
        <f>I552+I588+I637+I663+I682+I703+I709</f>
        <v>584994922.39999998</v>
      </c>
      <c r="J788" s="528">
        <f>J552+J588+J637+J663+J682+J703+J709</f>
        <v>611858670.23000002</v>
      </c>
    </row>
    <row r="789" spans="1:13" x14ac:dyDescent="0.3">
      <c r="D789" s="554" t="s">
        <v>877</v>
      </c>
      <c r="G789" s="532">
        <f>G351+G372+G402</f>
        <v>58376849.760000005</v>
      </c>
      <c r="H789" s="491"/>
      <c r="I789" s="490">
        <f>I351+I372+I402</f>
        <v>59972938.369999997</v>
      </c>
      <c r="J789" s="532">
        <f>J351+J372+J402</f>
        <v>66781328.439999998</v>
      </c>
    </row>
    <row r="790" spans="1:13" x14ac:dyDescent="0.3">
      <c r="D790" s="554" t="s">
        <v>878</v>
      </c>
      <c r="G790" s="532">
        <f>G335</f>
        <v>470000</v>
      </c>
      <c r="H790" s="491"/>
      <c r="I790" s="490">
        <f>I335</f>
        <v>470000</v>
      </c>
      <c r="J790" s="532">
        <f>J335</f>
        <v>470000</v>
      </c>
    </row>
    <row r="791" spans="1:13" x14ac:dyDescent="0.3">
      <c r="D791" s="554" t="s">
        <v>879</v>
      </c>
      <c r="G791" s="528">
        <f>G459+G719</f>
        <v>13190870.23</v>
      </c>
      <c r="I791" s="481">
        <f>I459+I719</f>
        <v>2282029.4</v>
      </c>
      <c r="J791" s="528">
        <f>J459+J719</f>
        <v>4508118.82</v>
      </c>
    </row>
    <row r="792" spans="1:13" x14ac:dyDescent="0.3">
      <c r="D792" s="554" t="s">
        <v>880</v>
      </c>
      <c r="G792" s="528">
        <f>G428</f>
        <v>150000</v>
      </c>
      <c r="I792" s="481">
        <f>I428</f>
        <v>150000</v>
      </c>
      <c r="J792" s="528">
        <f>J428</f>
        <v>150000</v>
      </c>
    </row>
    <row r="793" spans="1:13" x14ac:dyDescent="0.3">
      <c r="D793" s="554" t="s">
        <v>881</v>
      </c>
      <c r="G793" s="528">
        <f>G19+G60+G535</f>
        <v>23565855</v>
      </c>
      <c r="I793" s="481">
        <f>I19+I60+I535</f>
        <v>25122401.030000001</v>
      </c>
      <c r="J793" s="528">
        <f>J19+J60+J535</f>
        <v>26677664</v>
      </c>
    </row>
    <row r="794" spans="1:13" x14ac:dyDescent="0.3">
      <c r="D794" s="554" t="s">
        <v>882</v>
      </c>
      <c r="G794" s="528">
        <f>G241+G273+G325</f>
        <v>69475792.460000008</v>
      </c>
      <c r="I794" s="481">
        <f>I241+I273+I325</f>
        <v>17293288.939999998</v>
      </c>
      <c r="J794" s="528">
        <f>J241+J273+J325</f>
        <v>37812108.920000002</v>
      </c>
    </row>
    <row r="795" spans="1:13" x14ac:dyDescent="0.3">
      <c r="D795" s="554" t="s">
        <v>883</v>
      </c>
      <c r="G795" s="528">
        <f>G85</f>
        <v>50000</v>
      </c>
      <c r="I795" s="481">
        <f>I85</f>
        <v>50000</v>
      </c>
      <c r="J795" s="528">
        <f>J85</f>
        <v>50000</v>
      </c>
    </row>
    <row r="796" spans="1:13" x14ac:dyDescent="0.3">
      <c r="D796" s="554" t="s">
        <v>884</v>
      </c>
      <c r="G796" s="528">
        <f>G214</f>
        <v>100000</v>
      </c>
      <c r="I796" s="481">
        <f>I214</f>
        <v>100000</v>
      </c>
      <c r="J796" s="528">
        <f>J214</f>
        <v>100000</v>
      </c>
    </row>
    <row r="797" spans="1:13" s="392" customFormat="1" x14ac:dyDescent="0.3">
      <c r="A797" s="419"/>
      <c r="B797" s="420"/>
      <c r="C797" s="420"/>
      <c r="D797" s="554" t="s">
        <v>885</v>
      </c>
      <c r="E797" s="500"/>
      <c r="F797" s="500"/>
      <c r="G797" s="528">
        <f>G433</f>
        <v>1276800</v>
      </c>
      <c r="H797" s="482"/>
      <c r="I797" s="481">
        <f>I433</f>
        <v>735609.95</v>
      </c>
      <c r="J797" s="528">
        <f>J433</f>
        <v>734438.26</v>
      </c>
      <c r="K797" s="501"/>
      <c r="L797" s="391"/>
      <c r="M797" s="495"/>
    </row>
    <row r="798" spans="1:13" s="392" customFormat="1" x14ac:dyDescent="0.3">
      <c r="A798" s="419"/>
      <c r="B798" s="420"/>
      <c r="C798" s="420"/>
      <c r="D798" s="554" t="s">
        <v>886</v>
      </c>
      <c r="E798" s="500"/>
      <c r="F798" s="500"/>
      <c r="G798" s="528">
        <f>G24+G90+G507</f>
        <v>5979054</v>
      </c>
      <c r="H798" s="482"/>
      <c r="I798" s="481">
        <f>I24+I90+I507</f>
        <v>4521373.5</v>
      </c>
      <c r="J798" s="528">
        <f>J24+J90+J507</f>
        <v>11050226</v>
      </c>
      <c r="K798" s="501"/>
      <c r="L798" s="391"/>
      <c r="M798" s="495"/>
    </row>
    <row r="799" spans="1:13" s="392" customFormat="1" x14ac:dyDescent="0.3">
      <c r="A799" s="419"/>
      <c r="B799" s="420"/>
      <c r="C799" s="420"/>
      <c r="D799" s="554" t="s">
        <v>887</v>
      </c>
      <c r="E799" s="500"/>
      <c r="F799" s="500"/>
      <c r="G799" s="528">
        <f>G202</f>
        <v>24051150</v>
      </c>
      <c r="H799" s="482"/>
      <c r="I799" s="481">
        <f>I202</f>
        <v>13157000</v>
      </c>
      <c r="J799" s="528">
        <f>J202</f>
        <v>13057000</v>
      </c>
      <c r="K799" s="501"/>
      <c r="L799" s="391"/>
      <c r="M799" s="495"/>
    </row>
    <row r="800" spans="1:13" s="392" customFormat="1" x14ac:dyDescent="0.3">
      <c r="A800" s="419"/>
      <c r="B800" s="420"/>
      <c r="C800" s="420"/>
      <c r="D800" s="554" t="s">
        <v>888</v>
      </c>
      <c r="E800" s="500"/>
      <c r="F800" s="500"/>
      <c r="G800" s="528">
        <f>G344</f>
        <v>85000</v>
      </c>
      <c r="H800" s="482"/>
      <c r="I800" s="481">
        <f>I344</f>
        <v>45000</v>
      </c>
      <c r="J800" s="528">
        <f>J344</f>
        <v>45000</v>
      </c>
      <c r="K800" s="501"/>
      <c r="L800" s="391"/>
      <c r="M800" s="495"/>
    </row>
    <row r="801" spans="1:13" s="392" customFormat="1" x14ac:dyDescent="0.3">
      <c r="A801" s="419"/>
      <c r="B801" s="420"/>
      <c r="C801" s="420"/>
      <c r="D801" s="554" t="s">
        <v>889</v>
      </c>
      <c r="E801" s="500"/>
      <c r="F801" s="500"/>
      <c r="G801" s="528">
        <f>G219</f>
        <v>3843600</v>
      </c>
      <c r="H801" s="482"/>
      <c r="I801" s="481">
        <f>I219</f>
        <v>430000</v>
      </c>
      <c r="J801" s="528">
        <f>J219</f>
        <v>1785000</v>
      </c>
      <c r="K801" s="501"/>
      <c r="L801" s="391"/>
      <c r="M801" s="495"/>
    </row>
    <row r="802" spans="1:13" s="392" customFormat="1" x14ac:dyDescent="0.3">
      <c r="A802" s="419"/>
      <c r="B802" s="420"/>
      <c r="C802" s="420"/>
      <c r="D802" s="554" t="s">
        <v>890</v>
      </c>
      <c r="E802" s="500"/>
      <c r="F802" s="500"/>
      <c r="G802" s="528">
        <f>G98+G230+G413</f>
        <v>10156930.949999999</v>
      </c>
      <c r="H802" s="482"/>
      <c r="I802" s="481">
        <f>I98+I230+I413</f>
        <v>7503364.5600000005</v>
      </c>
      <c r="J802" s="528">
        <f>J98+J230+J413</f>
        <v>8483649.4000000004</v>
      </c>
      <c r="K802" s="501"/>
      <c r="L802" s="391"/>
      <c r="M802" s="495"/>
    </row>
    <row r="803" spans="1:13" s="392" customFormat="1" x14ac:dyDescent="0.3">
      <c r="A803" s="419"/>
      <c r="B803" s="420"/>
      <c r="C803" s="420"/>
      <c r="D803" s="554" t="s">
        <v>895</v>
      </c>
      <c r="E803" s="500"/>
      <c r="F803" s="500"/>
      <c r="G803" s="528">
        <f>G196</f>
        <v>100000</v>
      </c>
      <c r="H803" s="482"/>
      <c r="I803" s="481">
        <f>I196</f>
        <v>100000</v>
      </c>
      <c r="J803" s="528">
        <f>J196</f>
        <v>100000</v>
      </c>
      <c r="K803" s="501"/>
      <c r="L803" s="391"/>
      <c r="M803" s="495"/>
    </row>
    <row r="804" spans="1:13" s="392" customFormat="1" x14ac:dyDescent="0.3">
      <c r="A804" s="419"/>
      <c r="B804" s="420"/>
      <c r="C804" s="420"/>
      <c r="D804" s="554" t="s">
        <v>891</v>
      </c>
      <c r="E804" s="500"/>
      <c r="F804" s="500"/>
      <c r="G804" s="528">
        <f>G500</f>
        <v>50000</v>
      </c>
      <c r="H804" s="482"/>
      <c r="I804" s="481">
        <f>I500</f>
        <v>50000</v>
      </c>
      <c r="J804" s="528">
        <f>J500</f>
        <v>50000</v>
      </c>
      <c r="K804" s="501"/>
      <c r="L804" s="391"/>
      <c r="M804" s="495"/>
    </row>
    <row r="805" spans="1:13" s="392" customFormat="1" x14ac:dyDescent="0.3">
      <c r="A805" s="419"/>
      <c r="B805" s="420"/>
      <c r="C805" s="420"/>
      <c r="D805" s="554" t="s">
        <v>892</v>
      </c>
      <c r="E805" s="500"/>
      <c r="F805" s="500"/>
      <c r="G805" s="528">
        <f>G287</f>
        <v>37602759.850000001</v>
      </c>
      <c r="H805" s="482"/>
      <c r="I805" s="481">
        <f>I287</f>
        <v>8938369</v>
      </c>
      <c r="J805" s="528">
        <f>J287</f>
        <v>9414506.0600000005</v>
      </c>
      <c r="K805" s="501"/>
      <c r="L805" s="391"/>
      <c r="M805" s="495"/>
    </row>
    <row r="806" spans="1:13" s="392" customFormat="1" x14ac:dyDescent="0.3">
      <c r="A806" s="419"/>
      <c r="B806" s="420"/>
      <c r="C806" s="420"/>
      <c r="D806" s="554" t="s">
        <v>893</v>
      </c>
      <c r="E806" s="500"/>
      <c r="F806" s="500"/>
      <c r="G806" s="528">
        <f>G304</f>
        <v>15345827.210000001</v>
      </c>
      <c r="H806" s="482"/>
      <c r="I806" s="481">
        <f>I304</f>
        <v>19974076.27</v>
      </c>
      <c r="J806" s="528">
        <f>J304</f>
        <v>13175249.5</v>
      </c>
      <c r="K806" s="501"/>
      <c r="L806" s="391"/>
      <c r="M806" s="495"/>
    </row>
    <row r="807" spans="1:13" s="392" customFormat="1" x14ac:dyDescent="0.3">
      <c r="A807" s="419"/>
      <c r="B807" s="420"/>
      <c r="C807" s="420"/>
      <c r="D807" s="554" t="s">
        <v>977</v>
      </c>
      <c r="E807" s="500"/>
      <c r="F807" s="500"/>
      <c r="G807" s="528">
        <v>50000</v>
      </c>
      <c r="H807" s="482"/>
      <c r="I807" s="481"/>
      <c r="J807" s="528"/>
      <c r="K807" s="501"/>
      <c r="L807" s="391"/>
      <c r="M807" s="495"/>
    </row>
    <row r="808" spans="1:13" s="392" customFormat="1" x14ac:dyDescent="0.3">
      <c r="A808" s="419"/>
      <c r="B808" s="420"/>
      <c r="C808" s="420"/>
      <c r="D808" s="554" t="s">
        <v>894</v>
      </c>
      <c r="E808" s="500"/>
      <c r="F808" s="500"/>
      <c r="G808" s="528">
        <f>G10+G32+G37+G44+G50+G55+G110+G164+G174+G179+G185+G191+G235+G423+G438+G443+G515+G530+G540+G740</f>
        <v>150619399.59999999</v>
      </c>
      <c r="H808" s="482"/>
      <c r="I808" s="481">
        <f>I10+I32+I37+I44+I50+I55+I110+I164+I174+I179+I185+I191+I235+I423+I438+I443+I515+I530+I540+I740</f>
        <v>152341492.47999999</v>
      </c>
      <c r="J808" s="528">
        <f>J10+J32+J37+J44+J50+J55+J110+J164+J174+J179+J185+J191+J235+J423+J438+J443+J515+J530+J540+J740</f>
        <v>194875380.75999999</v>
      </c>
      <c r="K808" s="501"/>
      <c r="L808" s="391"/>
      <c r="M808" s="495"/>
    </row>
    <row r="809" spans="1:13" s="392" customFormat="1" x14ac:dyDescent="0.3">
      <c r="A809" s="419"/>
      <c r="B809" s="420"/>
      <c r="C809" s="420"/>
      <c r="D809" s="500"/>
      <c r="E809" s="500"/>
      <c r="F809" s="500"/>
      <c r="G809" s="531">
        <f>SUBTOTAL(9,G788:G808)</f>
        <v>1057478517.4100002</v>
      </c>
      <c r="H809" s="489"/>
      <c r="I809" s="488">
        <f>SUBTOTAL(9,I788:I808)</f>
        <v>898231865.89999986</v>
      </c>
      <c r="J809" s="531">
        <f>SUBTOTAL(9,J788:J808)</f>
        <v>1001178340.39</v>
      </c>
      <c r="K809" s="501"/>
      <c r="L809" s="391"/>
      <c r="M809" s="495"/>
    </row>
    <row r="810" spans="1:13" s="392" customFormat="1" x14ac:dyDescent="0.3">
      <c r="A810" s="419"/>
      <c r="B810" s="420" t="s">
        <v>896</v>
      </c>
      <c r="C810" s="420"/>
      <c r="D810" s="500"/>
      <c r="E810" s="500"/>
      <c r="F810" s="500"/>
      <c r="G810" s="531">
        <f>G426+G449</f>
        <v>25582766.18</v>
      </c>
      <c r="H810" s="489"/>
      <c r="I810" s="488">
        <f>I426+I449</f>
        <v>25861130.34</v>
      </c>
      <c r="J810" s="531">
        <f>J426+J449</f>
        <v>39431638.340000004</v>
      </c>
      <c r="K810" s="501"/>
      <c r="L810" s="391"/>
      <c r="M810" s="495"/>
    </row>
    <row r="812" spans="1:13" s="392" customFormat="1" x14ac:dyDescent="0.3">
      <c r="A812" s="419"/>
      <c r="B812" s="420" t="s">
        <v>774</v>
      </c>
      <c r="C812" s="420"/>
      <c r="D812" s="500"/>
      <c r="E812" s="500"/>
      <c r="F812" s="500"/>
      <c r="G812" s="528">
        <f>G11+G33+G38+G51+G114+G516+G519+G526+G684+G741+G744</f>
        <v>79038115.810000002</v>
      </c>
      <c r="H812" s="482"/>
      <c r="I812" s="481"/>
      <c r="J812" s="528"/>
      <c r="K812" s="501"/>
      <c r="L812" s="391"/>
      <c r="M812" s="495"/>
    </row>
    <row r="813" spans="1:13" s="482" customFormat="1" x14ac:dyDescent="0.3">
      <c r="A813" s="487" t="s">
        <v>775</v>
      </c>
      <c r="B813" s="420"/>
      <c r="C813" s="492">
        <v>25.55</v>
      </c>
      <c r="D813" s="500"/>
      <c r="E813" s="500"/>
      <c r="F813" s="500"/>
      <c r="G813" s="528">
        <f>'[2]прил 7'!C14*25.55%</f>
        <v>108068996.42234501</v>
      </c>
      <c r="I813" s="481"/>
      <c r="J813" s="528"/>
      <c r="K813" s="501"/>
      <c r="L813" s="391"/>
      <c r="M813" s="497"/>
    </row>
    <row r="814" spans="1:13" s="482" customFormat="1" x14ac:dyDescent="0.3">
      <c r="A814" s="487" t="s">
        <v>776</v>
      </c>
      <c r="B814" s="420"/>
      <c r="C814" s="420"/>
      <c r="D814" s="500"/>
      <c r="E814" s="500"/>
      <c r="F814" s="500"/>
      <c r="G814" s="528">
        <v>2136400</v>
      </c>
      <c r="I814" s="481"/>
      <c r="J814" s="528"/>
      <c r="K814" s="501"/>
      <c r="L814" s="391"/>
      <c r="M814" s="497"/>
    </row>
    <row r="815" spans="1:13" s="482" customFormat="1" x14ac:dyDescent="0.3">
      <c r="A815" s="487" t="s">
        <v>969</v>
      </c>
      <c r="B815" s="420"/>
      <c r="C815" s="420"/>
      <c r="D815" s="500"/>
      <c r="E815" s="500"/>
      <c r="F815" s="500"/>
      <c r="G815" s="528">
        <v>2136400</v>
      </c>
      <c r="I815" s="481"/>
      <c r="J815" s="528"/>
      <c r="K815" s="501"/>
      <c r="L815" s="391"/>
      <c r="M815" s="497"/>
    </row>
  </sheetData>
  <autoFilter ref="A6:N770"/>
  <mergeCells count="3">
    <mergeCell ref="A2:G2"/>
    <mergeCell ref="A3:G3"/>
    <mergeCell ref="A4:G4"/>
  </mergeCells>
  <pageMargins left="0.25" right="0.25" top="0.75" bottom="0.75" header="0.3" footer="0.3"/>
  <pageSetup paperSize="9" scale="52" fitToHeight="0" orientation="portrait" r:id="rId1"/>
  <rowBreaks count="3" manualBreakCount="3">
    <brk id="110" max="13" man="1"/>
    <brk id="170" max="13" man="1"/>
    <brk id="542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O812"/>
  <sheetViews>
    <sheetView topLeftCell="A605" zoomScaleNormal="100" zoomScaleSheetLayoutView="90" workbookViewId="0">
      <selection activeCell="K629" sqref="K629"/>
    </sheetView>
  </sheetViews>
  <sheetFormatPr defaultRowHeight="17" outlineLevelRow="7" x14ac:dyDescent="0.3"/>
  <cols>
    <col min="1" max="1" width="59.625" style="419" customWidth="1"/>
    <col min="2" max="2" width="6.375" style="420" customWidth="1"/>
    <col min="3" max="3" width="8" style="420" customWidth="1"/>
    <col min="4" max="4" width="15.875" style="500" customWidth="1"/>
    <col min="5" max="5" width="6.875" style="500" customWidth="1"/>
    <col min="6" max="6" width="19.75" style="500" hidden="1" customWidth="1"/>
    <col min="7" max="7" width="17" style="528" customWidth="1"/>
    <col min="8" max="8" width="18.75" style="482" hidden="1" customWidth="1"/>
    <col min="9" max="9" width="20" style="481" hidden="1" customWidth="1"/>
    <col min="10" max="10" width="19.125" style="528" customWidth="1"/>
    <col min="11" max="11" width="18.125" style="599" customWidth="1"/>
    <col min="12" max="12" width="16.375" style="391" customWidth="1"/>
    <col min="13" max="13" width="11.125" style="495" customWidth="1"/>
    <col min="14" max="14" width="11.75" style="391" bestFit="1" customWidth="1"/>
    <col min="15" max="239" width="9" style="391"/>
    <col min="240" max="240" width="75.875" style="391" customWidth="1"/>
    <col min="241" max="242" width="7.625" style="391" customWidth="1"/>
    <col min="243" max="243" width="9.625" style="391" customWidth="1"/>
    <col min="244" max="244" width="7.625" style="391" customWidth="1"/>
    <col min="245" max="248" width="0" style="391" hidden="1" customWidth="1"/>
    <col min="249" max="249" width="14.375" style="391" customWidth="1"/>
    <col min="250" max="255" width="0" style="391" hidden="1" customWidth="1"/>
    <col min="256" max="256" width="10.125" style="391" bestFit="1" customWidth="1"/>
    <col min="257" max="495" width="9" style="391"/>
    <col min="496" max="496" width="75.875" style="391" customWidth="1"/>
    <col min="497" max="498" width="7.625" style="391" customWidth="1"/>
    <col min="499" max="499" width="9.625" style="391" customWidth="1"/>
    <col min="500" max="500" width="7.625" style="391" customWidth="1"/>
    <col min="501" max="504" width="0" style="391" hidden="1" customWidth="1"/>
    <col min="505" max="505" width="14.375" style="391" customWidth="1"/>
    <col min="506" max="511" width="0" style="391" hidden="1" customWidth="1"/>
    <col min="512" max="512" width="10.125" style="391" bestFit="1" customWidth="1"/>
    <col min="513" max="751" width="9" style="391"/>
    <col min="752" max="752" width="75.875" style="391" customWidth="1"/>
    <col min="753" max="754" width="7.625" style="391" customWidth="1"/>
    <col min="755" max="755" width="9.625" style="391" customWidth="1"/>
    <col min="756" max="756" width="7.625" style="391" customWidth="1"/>
    <col min="757" max="760" width="0" style="391" hidden="1" customWidth="1"/>
    <col min="761" max="761" width="14.375" style="391" customWidth="1"/>
    <col min="762" max="767" width="0" style="391" hidden="1" customWidth="1"/>
    <col min="768" max="768" width="10.125" style="391" bestFit="1" customWidth="1"/>
    <col min="769" max="1007" width="9" style="391"/>
    <col min="1008" max="1008" width="75.875" style="391" customWidth="1"/>
    <col min="1009" max="1010" width="7.625" style="391" customWidth="1"/>
    <col min="1011" max="1011" width="9.625" style="391" customWidth="1"/>
    <col min="1012" max="1012" width="7.625" style="391" customWidth="1"/>
    <col min="1013" max="1016" width="0" style="391" hidden="1" customWidth="1"/>
    <col min="1017" max="1017" width="14.375" style="391" customWidth="1"/>
    <col min="1018" max="1023" width="0" style="391" hidden="1" customWidth="1"/>
    <col min="1024" max="1024" width="10.125" style="391" bestFit="1" customWidth="1"/>
    <col min="1025" max="1263" width="9" style="391"/>
    <col min="1264" max="1264" width="75.875" style="391" customWidth="1"/>
    <col min="1265" max="1266" width="7.625" style="391" customWidth="1"/>
    <col min="1267" max="1267" width="9.625" style="391" customWidth="1"/>
    <col min="1268" max="1268" width="7.625" style="391" customWidth="1"/>
    <col min="1269" max="1272" width="0" style="391" hidden="1" customWidth="1"/>
    <col min="1273" max="1273" width="14.375" style="391" customWidth="1"/>
    <col min="1274" max="1279" width="0" style="391" hidden="1" customWidth="1"/>
    <col min="1280" max="1280" width="10.125" style="391" bestFit="1" customWidth="1"/>
    <col min="1281" max="1519" width="9" style="391"/>
    <col min="1520" max="1520" width="75.875" style="391" customWidth="1"/>
    <col min="1521" max="1522" width="7.625" style="391" customWidth="1"/>
    <col min="1523" max="1523" width="9.625" style="391" customWidth="1"/>
    <col min="1524" max="1524" width="7.625" style="391" customWidth="1"/>
    <col min="1525" max="1528" width="0" style="391" hidden="1" customWidth="1"/>
    <col min="1529" max="1529" width="14.375" style="391" customWidth="1"/>
    <col min="1530" max="1535" width="0" style="391" hidden="1" customWidth="1"/>
    <col min="1536" max="1536" width="10.125" style="391" bestFit="1" customWidth="1"/>
    <col min="1537" max="1775" width="9" style="391"/>
    <col min="1776" max="1776" width="75.875" style="391" customWidth="1"/>
    <col min="1777" max="1778" width="7.625" style="391" customWidth="1"/>
    <col min="1779" max="1779" width="9.625" style="391" customWidth="1"/>
    <col min="1780" max="1780" width="7.625" style="391" customWidth="1"/>
    <col min="1781" max="1784" width="0" style="391" hidden="1" customWidth="1"/>
    <col min="1785" max="1785" width="14.375" style="391" customWidth="1"/>
    <col min="1786" max="1791" width="0" style="391" hidden="1" customWidth="1"/>
    <col min="1792" max="1792" width="10.125" style="391" bestFit="1" customWidth="1"/>
    <col min="1793" max="2031" width="9" style="391"/>
    <col min="2032" max="2032" width="75.875" style="391" customWidth="1"/>
    <col min="2033" max="2034" width="7.625" style="391" customWidth="1"/>
    <col min="2035" max="2035" width="9.625" style="391" customWidth="1"/>
    <col min="2036" max="2036" width="7.625" style="391" customWidth="1"/>
    <col min="2037" max="2040" width="0" style="391" hidden="1" customWidth="1"/>
    <col min="2041" max="2041" width="14.375" style="391" customWidth="1"/>
    <col min="2042" max="2047" width="0" style="391" hidden="1" customWidth="1"/>
    <col min="2048" max="2048" width="10.125" style="391" bestFit="1" customWidth="1"/>
    <col min="2049" max="2287" width="9" style="391"/>
    <col min="2288" max="2288" width="75.875" style="391" customWidth="1"/>
    <col min="2289" max="2290" width="7.625" style="391" customWidth="1"/>
    <col min="2291" max="2291" width="9.625" style="391" customWidth="1"/>
    <col min="2292" max="2292" width="7.625" style="391" customWidth="1"/>
    <col min="2293" max="2296" width="0" style="391" hidden="1" customWidth="1"/>
    <col min="2297" max="2297" width="14.375" style="391" customWidth="1"/>
    <col min="2298" max="2303" width="0" style="391" hidden="1" customWidth="1"/>
    <col min="2304" max="2304" width="10.125" style="391" bestFit="1" customWidth="1"/>
    <col min="2305" max="2543" width="9" style="391"/>
    <col min="2544" max="2544" width="75.875" style="391" customWidth="1"/>
    <col min="2545" max="2546" width="7.625" style="391" customWidth="1"/>
    <col min="2547" max="2547" width="9.625" style="391" customWidth="1"/>
    <col min="2548" max="2548" width="7.625" style="391" customWidth="1"/>
    <col min="2549" max="2552" width="0" style="391" hidden="1" customWidth="1"/>
    <col min="2553" max="2553" width="14.375" style="391" customWidth="1"/>
    <col min="2554" max="2559" width="0" style="391" hidden="1" customWidth="1"/>
    <col min="2560" max="2560" width="10.125" style="391" bestFit="1" customWidth="1"/>
    <col min="2561" max="2799" width="9" style="391"/>
    <col min="2800" max="2800" width="75.875" style="391" customWidth="1"/>
    <col min="2801" max="2802" width="7.625" style="391" customWidth="1"/>
    <col min="2803" max="2803" width="9.625" style="391" customWidth="1"/>
    <col min="2804" max="2804" width="7.625" style="391" customWidth="1"/>
    <col min="2805" max="2808" width="0" style="391" hidden="1" customWidth="1"/>
    <col min="2809" max="2809" width="14.375" style="391" customWidth="1"/>
    <col min="2810" max="2815" width="0" style="391" hidden="1" customWidth="1"/>
    <col min="2816" max="2816" width="10.125" style="391" bestFit="1" customWidth="1"/>
    <col min="2817" max="3055" width="9" style="391"/>
    <col min="3056" max="3056" width="75.875" style="391" customWidth="1"/>
    <col min="3057" max="3058" width="7.625" style="391" customWidth="1"/>
    <col min="3059" max="3059" width="9.625" style="391" customWidth="1"/>
    <col min="3060" max="3060" width="7.625" style="391" customWidth="1"/>
    <col min="3061" max="3064" width="0" style="391" hidden="1" customWidth="1"/>
    <col min="3065" max="3065" width="14.375" style="391" customWidth="1"/>
    <col min="3066" max="3071" width="0" style="391" hidden="1" customWidth="1"/>
    <col min="3072" max="3072" width="10.125" style="391" bestFit="1" customWidth="1"/>
    <col min="3073" max="3311" width="9" style="391"/>
    <col min="3312" max="3312" width="75.875" style="391" customWidth="1"/>
    <col min="3313" max="3314" width="7.625" style="391" customWidth="1"/>
    <col min="3315" max="3315" width="9.625" style="391" customWidth="1"/>
    <col min="3316" max="3316" width="7.625" style="391" customWidth="1"/>
    <col min="3317" max="3320" width="0" style="391" hidden="1" customWidth="1"/>
    <col min="3321" max="3321" width="14.375" style="391" customWidth="1"/>
    <col min="3322" max="3327" width="0" style="391" hidden="1" customWidth="1"/>
    <col min="3328" max="3328" width="10.125" style="391" bestFit="1" customWidth="1"/>
    <col min="3329" max="3567" width="9" style="391"/>
    <col min="3568" max="3568" width="75.875" style="391" customWidth="1"/>
    <col min="3569" max="3570" width="7.625" style="391" customWidth="1"/>
    <col min="3571" max="3571" width="9.625" style="391" customWidth="1"/>
    <col min="3572" max="3572" width="7.625" style="391" customWidth="1"/>
    <col min="3573" max="3576" width="0" style="391" hidden="1" customWidth="1"/>
    <col min="3577" max="3577" width="14.375" style="391" customWidth="1"/>
    <col min="3578" max="3583" width="0" style="391" hidden="1" customWidth="1"/>
    <col min="3584" max="3584" width="10.125" style="391" bestFit="1" customWidth="1"/>
    <col min="3585" max="3823" width="9" style="391"/>
    <col min="3824" max="3824" width="75.875" style="391" customWidth="1"/>
    <col min="3825" max="3826" width="7.625" style="391" customWidth="1"/>
    <col min="3827" max="3827" width="9.625" style="391" customWidth="1"/>
    <col min="3828" max="3828" width="7.625" style="391" customWidth="1"/>
    <col min="3829" max="3832" width="0" style="391" hidden="1" customWidth="1"/>
    <col min="3833" max="3833" width="14.375" style="391" customWidth="1"/>
    <col min="3834" max="3839" width="0" style="391" hidden="1" customWidth="1"/>
    <col min="3840" max="3840" width="10.125" style="391" bestFit="1" customWidth="1"/>
    <col min="3841" max="4079" width="9" style="391"/>
    <col min="4080" max="4080" width="75.875" style="391" customWidth="1"/>
    <col min="4081" max="4082" width="7.625" style="391" customWidth="1"/>
    <col min="4083" max="4083" width="9.625" style="391" customWidth="1"/>
    <col min="4084" max="4084" width="7.625" style="391" customWidth="1"/>
    <col min="4085" max="4088" width="0" style="391" hidden="1" customWidth="1"/>
    <col min="4089" max="4089" width="14.375" style="391" customWidth="1"/>
    <col min="4090" max="4095" width="0" style="391" hidden="1" customWidth="1"/>
    <col min="4096" max="4096" width="10.125" style="391" bestFit="1" customWidth="1"/>
    <col min="4097" max="4335" width="9" style="391"/>
    <col min="4336" max="4336" width="75.875" style="391" customWidth="1"/>
    <col min="4337" max="4338" width="7.625" style="391" customWidth="1"/>
    <col min="4339" max="4339" width="9.625" style="391" customWidth="1"/>
    <col min="4340" max="4340" width="7.625" style="391" customWidth="1"/>
    <col min="4341" max="4344" width="0" style="391" hidden="1" customWidth="1"/>
    <col min="4345" max="4345" width="14.375" style="391" customWidth="1"/>
    <col min="4346" max="4351" width="0" style="391" hidden="1" customWidth="1"/>
    <col min="4352" max="4352" width="10.125" style="391" bestFit="1" customWidth="1"/>
    <col min="4353" max="4591" width="9" style="391"/>
    <col min="4592" max="4592" width="75.875" style="391" customWidth="1"/>
    <col min="4593" max="4594" width="7.625" style="391" customWidth="1"/>
    <col min="4595" max="4595" width="9.625" style="391" customWidth="1"/>
    <col min="4596" max="4596" width="7.625" style="391" customWidth="1"/>
    <col min="4597" max="4600" width="0" style="391" hidden="1" customWidth="1"/>
    <col min="4601" max="4601" width="14.375" style="391" customWidth="1"/>
    <col min="4602" max="4607" width="0" style="391" hidden="1" customWidth="1"/>
    <col min="4608" max="4608" width="10.125" style="391" bestFit="1" customWidth="1"/>
    <col min="4609" max="4847" width="9" style="391"/>
    <col min="4848" max="4848" width="75.875" style="391" customWidth="1"/>
    <col min="4849" max="4850" width="7.625" style="391" customWidth="1"/>
    <col min="4851" max="4851" width="9.625" style="391" customWidth="1"/>
    <col min="4852" max="4852" width="7.625" style="391" customWidth="1"/>
    <col min="4853" max="4856" width="0" style="391" hidden="1" customWidth="1"/>
    <col min="4857" max="4857" width="14.375" style="391" customWidth="1"/>
    <col min="4858" max="4863" width="0" style="391" hidden="1" customWidth="1"/>
    <col min="4864" max="4864" width="10.125" style="391" bestFit="1" customWidth="1"/>
    <col min="4865" max="5103" width="9" style="391"/>
    <col min="5104" max="5104" width="75.875" style="391" customWidth="1"/>
    <col min="5105" max="5106" width="7.625" style="391" customWidth="1"/>
    <col min="5107" max="5107" width="9.625" style="391" customWidth="1"/>
    <col min="5108" max="5108" width="7.625" style="391" customWidth="1"/>
    <col min="5109" max="5112" width="0" style="391" hidden="1" customWidth="1"/>
    <col min="5113" max="5113" width="14.375" style="391" customWidth="1"/>
    <col min="5114" max="5119" width="0" style="391" hidden="1" customWidth="1"/>
    <col min="5120" max="5120" width="10.125" style="391" bestFit="1" customWidth="1"/>
    <col min="5121" max="5359" width="9" style="391"/>
    <col min="5360" max="5360" width="75.875" style="391" customWidth="1"/>
    <col min="5361" max="5362" width="7.625" style="391" customWidth="1"/>
    <col min="5363" max="5363" width="9.625" style="391" customWidth="1"/>
    <col min="5364" max="5364" width="7.625" style="391" customWidth="1"/>
    <col min="5365" max="5368" width="0" style="391" hidden="1" customWidth="1"/>
    <col min="5369" max="5369" width="14.375" style="391" customWidth="1"/>
    <col min="5370" max="5375" width="0" style="391" hidden="1" customWidth="1"/>
    <col min="5376" max="5376" width="10.125" style="391" bestFit="1" customWidth="1"/>
    <col min="5377" max="5615" width="9" style="391"/>
    <col min="5616" max="5616" width="75.875" style="391" customWidth="1"/>
    <col min="5617" max="5618" width="7.625" style="391" customWidth="1"/>
    <col min="5619" max="5619" width="9.625" style="391" customWidth="1"/>
    <col min="5620" max="5620" width="7.625" style="391" customWidth="1"/>
    <col min="5621" max="5624" width="0" style="391" hidden="1" customWidth="1"/>
    <col min="5625" max="5625" width="14.375" style="391" customWidth="1"/>
    <col min="5626" max="5631" width="0" style="391" hidden="1" customWidth="1"/>
    <col min="5632" max="5632" width="10.125" style="391" bestFit="1" customWidth="1"/>
    <col min="5633" max="5871" width="9" style="391"/>
    <col min="5872" max="5872" width="75.875" style="391" customWidth="1"/>
    <col min="5873" max="5874" width="7.625" style="391" customWidth="1"/>
    <col min="5875" max="5875" width="9.625" style="391" customWidth="1"/>
    <col min="5876" max="5876" width="7.625" style="391" customWidth="1"/>
    <col min="5877" max="5880" width="0" style="391" hidden="1" customWidth="1"/>
    <col min="5881" max="5881" width="14.375" style="391" customWidth="1"/>
    <col min="5882" max="5887" width="0" style="391" hidden="1" customWidth="1"/>
    <col min="5888" max="5888" width="10.125" style="391" bestFit="1" customWidth="1"/>
    <col min="5889" max="6127" width="9" style="391"/>
    <col min="6128" max="6128" width="75.875" style="391" customWidth="1"/>
    <col min="6129" max="6130" width="7.625" style="391" customWidth="1"/>
    <col min="6131" max="6131" width="9.625" style="391" customWidth="1"/>
    <col min="6132" max="6132" width="7.625" style="391" customWidth="1"/>
    <col min="6133" max="6136" width="0" style="391" hidden="1" customWidth="1"/>
    <col min="6137" max="6137" width="14.375" style="391" customWidth="1"/>
    <col min="6138" max="6143" width="0" style="391" hidden="1" customWidth="1"/>
    <col min="6144" max="6144" width="10.125" style="391" bestFit="1" customWidth="1"/>
    <col min="6145" max="6383" width="9" style="391"/>
    <col min="6384" max="6384" width="75.875" style="391" customWidth="1"/>
    <col min="6385" max="6386" width="7.625" style="391" customWidth="1"/>
    <col min="6387" max="6387" width="9.625" style="391" customWidth="1"/>
    <col min="6388" max="6388" width="7.625" style="391" customWidth="1"/>
    <col min="6389" max="6392" width="0" style="391" hidden="1" customWidth="1"/>
    <col min="6393" max="6393" width="14.375" style="391" customWidth="1"/>
    <col min="6394" max="6399" width="0" style="391" hidden="1" customWidth="1"/>
    <col min="6400" max="6400" width="10.125" style="391" bestFit="1" customWidth="1"/>
    <col min="6401" max="6639" width="9" style="391"/>
    <col min="6640" max="6640" width="75.875" style="391" customWidth="1"/>
    <col min="6641" max="6642" width="7.625" style="391" customWidth="1"/>
    <col min="6643" max="6643" width="9.625" style="391" customWidth="1"/>
    <col min="6644" max="6644" width="7.625" style="391" customWidth="1"/>
    <col min="6645" max="6648" width="0" style="391" hidden="1" customWidth="1"/>
    <col min="6649" max="6649" width="14.375" style="391" customWidth="1"/>
    <col min="6650" max="6655" width="0" style="391" hidden="1" customWidth="1"/>
    <col min="6656" max="6656" width="10.125" style="391" bestFit="1" customWidth="1"/>
    <col min="6657" max="6895" width="9" style="391"/>
    <col min="6896" max="6896" width="75.875" style="391" customWidth="1"/>
    <col min="6897" max="6898" width="7.625" style="391" customWidth="1"/>
    <col min="6899" max="6899" width="9.625" style="391" customWidth="1"/>
    <col min="6900" max="6900" width="7.625" style="391" customWidth="1"/>
    <col min="6901" max="6904" width="0" style="391" hidden="1" customWidth="1"/>
    <col min="6905" max="6905" width="14.375" style="391" customWidth="1"/>
    <col min="6906" max="6911" width="0" style="391" hidden="1" customWidth="1"/>
    <col min="6912" max="6912" width="10.125" style="391" bestFit="1" customWidth="1"/>
    <col min="6913" max="7151" width="9" style="391"/>
    <col min="7152" max="7152" width="75.875" style="391" customWidth="1"/>
    <col min="7153" max="7154" width="7.625" style="391" customWidth="1"/>
    <col min="7155" max="7155" width="9.625" style="391" customWidth="1"/>
    <col min="7156" max="7156" width="7.625" style="391" customWidth="1"/>
    <col min="7157" max="7160" width="0" style="391" hidden="1" customWidth="1"/>
    <col min="7161" max="7161" width="14.375" style="391" customWidth="1"/>
    <col min="7162" max="7167" width="0" style="391" hidden="1" customWidth="1"/>
    <col min="7168" max="7168" width="10.125" style="391" bestFit="1" customWidth="1"/>
    <col min="7169" max="7407" width="9" style="391"/>
    <col min="7408" max="7408" width="75.875" style="391" customWidth="1"/>
    <col min="7409" max="7410" width="7.625" style="391" customWidth="1"/>
    <col min="7411" max="7411" width="9.625" style="391" customWidth="1"/>
    <col min="7412" max="7412" width="7.625" style="391" customWidth="1"/>
    <col min="7413" max="7416" width="0" style="391" hidden="1" customWidth="1"/>
    <col min="7417" max="7417" width="14.375" style="391" customWidth="1"/>
    <col min="7418" max="7423" width="0" style="391" hidden="1" customWidth="1"/>
    <col min="7424" max="7424" width="10.125" style="391" bestFit="1" customWidth="1"/>
    <col min="7425" max="7663" width="9" style="391"/>
    <col min="7664" max="7664" width="75.875" style="391" customWidth="1"/>
    <col min="7665" max="7666" width="7.625" style="391" customWidth="1"/>
    <col min="7667" max="7667" width="9.625" style="391" customWidth="1"/>
    <col min="7668" max="7668" width="7.625" style="391" customWidth="1"/>
    <col min="7669" max="7672" width="0" style="391" hidden="1" customWidth="1"/>
    <col min="7673" max="7673" width="14.375" style="391" customWidth="1"/>
    <col min="7674" max="7679" width="0" style="391" hidden="1" customWidth="1"/>
    <col min="7680" max="7680" width="10.125" style="391" bestFit="1" customWidth="1"/>
    <col min="7681" max="7919" width="9" style="391"/>
    <col min="7920" max="7920" width="75.875" style="391" customWidth="1"/>
    <col min="7921" max="7922" width="7.625" style="391" customWidth="1"/>
    <col min="7923" max="7923" width="9.625" style="391" customWidth="1"/>
    <col min="7924" max="7924" width="7.625" style="391" customWidth="1"/>
    <col min="7925" max="7928" width="0" style="391" hidden="1" customWidth="1"/>
    <col min="7929" max="7929" width="14.375" style="391" customWidth="1"/>
    <col min="7930" max="7935" width="0" style="391" hidden="1" customWidth="1"/>
    <col min="7936" max="7936" width="10.125" style="391" bestFit="1" customWidth="1"/>
    <col min="7937" max="8175" width="9" style="391"/>
    <col min="8176" max="8176" width="75.875" style="391" customWidth="1"/>
    <col min="8177" max="8178" width="7.625" style="391" customWidth="1"/>
    <col min="8179" max="8179" width="9.625" style="391" customWidth="1"/>
    <col min="8180" max="8180" width="7.625" style="391" customWidth="1"/>
    <col min="8181" max="8184" width="0" style="391" hidden="1" customWidth="1"/>
    <col min="8185" max="8185" width="14.375" style="391" customWidth="1"/>
    <col min="8186" max="8191" width="0" style="391" hidden="1" customWidth="1"/>
    <col min="8192" max="8192" width="10.125" style="391" bestFit="1" customWidth="1"/>
    <col min="8193" max="8431" width="9" style="391"/>
    <col min="8432" max="8432" width="75.875" style="391" customWidth="1"/>
    <col min="8433" max="8434" width="7.625" style="391" customWidth="1"/>
    <col min="8435" max="8435" width="9.625" style="391" customWidth="1"/>
    <col min="8436" max="8436" width="7.625" style="391" customWidth="1"/>
    <col min="8437" max="8440" width="0" style="391" hidden="1" customWidth="1"/>
    <col min="8441" max="8441" width="14.375" style="391" customWidth="1"/>
    <col min="8442" max="8447" width="0" style="391" hidden="1" customWidth="1"/>
    <col min="8448" max="8448" width="10.125" style="391" bestFit="1" customWidth="1"/>
    <col min="8449" max="8687" width="9" style="391"/>
    <col min="8688" max="8688" width="75.875" style="391" customWidth="1"/>
    <col min="8689" max="8690" width="7.625" style="391" customWidth="1"/>
    <col min="8691" max="8691" width="9.625" style="391" customWidth="1"/>
    <col min="8692" max="8692" width="7.625" style="391" customWidth="1"/>
    <col min="8693" max="8696" width="0" style="391" hidden="1" customWidth="1"/>
    <col min="8697" max="8697" width="14.375" style="391" customWidth="1"/>
    <col min="8698" max="8703" width="0" style="391" hidden="1" customWidth="1"/>
    <col min="8704" max="8704" width="10.125" style="391" bestFit="1" customWidth="1"/>
    <col min="8705" max="8943" width="9" style="391"/>
    <col min="8944" max="8944" width="75.875" style="391" customWidth="1"/>
    <col min="8945" max="8946" width="7.625" style="391" customWidth="1"/>
    <col min="8947" max="8947" width="9.625" style="391" customWidth="1"/>
    <col min="8948" max="8948" width="7.625" style="391" customWidth="1"/>
    <col min="8949" max="8952" width="0" style="391" hidden="1" customWidth="1"/>
    <col min="8953" max="8953" width="14.375" style="391" customWidth="1"/>
    <col min="8954" max="8959" width="0" style="391" hidden="1" customWidth="1"/>
    <col min="8960" max="8960" width="10.125" style="391" bestFit="1" customWidth="1"/>
    <col min="8961" max="9199" width="9" style="391"/>
    <col min="9200" max="9200" width="75.875" style="391" customWidth="1"/>
    <col min="9201" max="9202" width="7.625" style="391" customWidth="1"/>
    <col min="9203" max="9203" width="9.625" style="391" customWidth="1"/>
    <col min="9204" max="9204" width="7.625" style="391" customWidth="1"/>
    <col min="9205" max="9208" width="0" style="391" hidden="1" customWidth="1"/>
    <col min="9209" max="9209" width="14.375" style="391" customWidth="1"/>
    <col min="9210" max="9215" width="0" style="391" hidden="1" customWidth="1"/>
    <col min="9216" max="9216" width="10.125" style="391" bestFit="1" customWidth="1"/>
    <col min="9217" max="9455" width="9" style="391"/>
    <col min="9456" max="9456" width="75.875" style="391" customWidth="1"/>
    <col min="9457" max="9458" width="7.625" style="391" customWidth="1"/>
    <col min="9459" max="9459" width="9.625" style="391" customWidth="1"/>
    <col min="9460" max="9460" width="7.625" style="391" customWidth="1"/>
    <col min="9461" max="9464" width="0" style="391" hidden="1" customWidth="1"/>
    <col min="9465" max="9465" width="14.375" style="391" customWidth="1"/>
    <col min="9466" max="9471" width="0" style="391" hidden="1" customWidth="1"/>
    <col min="9472" max="9472" width="10.125" style="391" bestFit="1" customWidth="1"/>
    <col min="9473" max="9711" width="9" style="391"/>
    <col min="9712" max="9712" width="75.875" style="391" customWidth="1"/>
    <col min="9713" max="9714" width="7.625" style="391" customWidth="1"/>
    <col min="9715" max="9715" width="9.625" style="391" customWidth="1"/>
    <col min="9716" max="9716" width="7.625" style="391" customWidth="1"/>
    <col min="9717" max="9720" width="0" style="391" hidden="1" customWidth="1"/>
    <col min="9721" max="9721" width="14.375" style="391" customWidth="1"/>
    <col min="9722" max="9727" width="0" style="391" hidden="1" customWidth="1"/>
    <col min="9728" max="9728" width="10.125" style="391" bestFit="1" customWidth="1"/>
    <col min="9729" max="9967" width="9" style="391"/>
    <col min="9968" max="9968" width="75.875" style="391" customWidth="1"/>
    <col min="9969" max="9970" width="7.625" style="391" customWidth="1"/>
    <col min="9971" max="9971" width="9.625" style="391" customWidth="1"/>
    <col min="9972" max="9972" width="7.625" style="391" customWidth="1"/>
    <col min="9973" max="9976" width="0" style="391" hidden="1" customWidth="1"/>
    <col min="9977" max="9977" width="14.375" style="391" customWidth="1"/>
    <col min="9978" max="9983" width="0" style="391" hidden="1" customWidth="1"/>
    <col min="9984" max="9984" width="10.125" style="391" bestFit="1" customWidth="1"/>
    <col min="9985" max="10223" width="9" style="391"/>
    <col min="10224" max="10224" width="75.875" style="391" customWidth="1"/>
    <col min="10225" max="10226" width="7.625" style="391" customWidth="1"/>
    <col min="10227" max="10227" width="9.625" style="391" customWidth="1"/>
    <col min="10228" max="10228" width="7.625" style="391" customWidth="1"/>
    <col min="10229" max="10232" width="0" style="391" hidden="1" customWidth="1"/>
    <col min="10233" max="10233" width="14.375" style="391" customWidth="1"/>
    <col min="10234" max="10239" width="0" style="391" hidden="1" customWidth="1"/>
    <col min="10240" max="10240" width="10.125" style="391" bestFit="1" customWidth="1"/>
    <col min="10241" max="10479" width="9" style="391"/>
    <col min="10480" max="10480" width="75.875" style="391" customWidth="1"/>
    <col min="10481" max="10482" width="7.625" style="391" customWidth="1"/>
    <col min="10483" max="10483" width="9.625" style="391" customWidth="1"/>
    <col min="10484" max="10484" width="7.625" style="391" customWidth="1"/>
    <col min="10485" max="10488" width="0" style="391" hidden="1" customWidth="1"/>
    <col min="10489" max="10489" width="14.375" style="391" customWidth="1"/>
    <col min="10490" max="10495" width="0" style="391" hidden="1" customWidth="1"/>
    <col min="10496" max="10496" width="10.125" style="391" bestFit="1" customWidth="1"/>
    <col min="10497" max="10735" width="9" style="391"/>
    <col min="10736" max="10736" width="75.875" style="391" customWidth="1"/>
    <col min="10737" max="10738" width="7.625" style="391" customWidth="1"/>
    <col min="10739" max="10739" width="9.625" style="391" customWidth="1"/>
    <col min="10740" max="10740" width="7.625" style="391" customWidth="1"/>
    <col min="10741" max="10744" width="0" style="391" hidden="1" customWidth="1"/>
    <col min="10745" max="10745" width="14.375" style="391" customWidth="1"/>
    <col min="10746" max="10751" width="0" style="391" hidden="1" customWidth="1"/>
    <col min="10752" max="10752" width="10.125" style="391" bestFit="1" customWidth="1"/>
    <col min="10753" max="10991" width="9" style="391"/>
    <col min="10992" max="10992" width="75.875" style="391" customWidth="1"/>
    <col min="10993" max="10994" width="7.625" style="391" customWidth="1"/>
    <col min="10995" max="10995" width="9.625" style="391" customWidth="1"/>
    <col min="10996" max="10996" width="7.625" style="391" customWidth="1"/>
    <col min="10997" max="11000" width="0" style="391" hidden="1" customWidth="1"/>
    <col min="11001" max="11001" width="14.375" style="391" customWidth="1"/>
    <col min="11002" max="11007" width="0" style="391" hidden="1" customWidth="1"/>
    <col min="11008" max="11008" width="10.125" style="391" bestFit="1" customWidth="1"/>
    <col min="11009" max="11247" width="9" style="391"/>
    <col min="11248" max="11248" width="75.875" style="391" customWidth="1"/>
    <col min="11249" max="11250" width="7.625" style="391" customWidth="1"/>
    <col min="11251" max="11251" width="9.625" style="391" customWidth="1"/>
    <col min="11252" max="11252" width="7.625" style="391" customWidth="1"/>
    <col min="11253" max="11256" width="0" style="391" hidden="1" customWidth="1"/>
    <col min="11257" max="11257" width="14.375" style="391" customWidth="1"/>
    <col min="11258" max="11263" width="0" style="391" hidden="1" customWidth="1"/>
    <col min="11264" max="11264" width="10.125" style="391" bestFit="1" customWidth="1"/>
    <col min="11265" max="11503" width="9" style="391"/>
    <col min="11504" max="11504" width="75.875" style="391" customWidth="1"/>
    <col min="11505" max="11506" width="7.625" style="391" customWidth="1"/>
    <col min="11507" max="11507" width="9.625" style="391" customWidth="1"/>
    <col min="11508" max="11508" width="7.625" style="391" customWidth="1"/>
    <col min="11509" max="11512" width="0" style="391" hidden="1" customWidth="1"/>
    <col min="11513" max="11513" width="14.375" style="391" customWidth="1"/>
    <col min="11514" max="11519" width="0" style="391" hidden="1" customWidth="1"/>
    <col min="11520" max="11520" width="10.125" style="391" bestFit="1" customWidth="1"/>
    <col min="11521" max="11759" width="9" style="391"/>
    <col min="11760" max="11760" width="75.875" style="391" customWidth="1"/>
    <col min="11761" max="11762" width="7.625" style="391" customWidth="1"/>
    <col min="11763" max="11763" width="9.625" style="391" customWidth="1"/>
    <col min="11764" max="11764" width="7.625" style="391" customWidth="1"/>
    <col min="11765" max="11768" width="0" style="391" hidden="1" customWidth="1"/>
    <col min="11769" max="11769" width="14.375" style="391" customWidth="1"/>
    <col min="11770" max="11775" width="0" style="391" hidden="1" customWidth="1"/>
    <col min="11776" max="11776" width="10.125" style="391" bestFit="1" customWidth="1"/>
    <col min="11777" max="12015" width="9" style="391"/>
    <col min="12016" max="12016" width="75.875" style="391" customWidth="1"/>
    <col min="12017" max="12018" width="7.625" style="391" customWidth="1"/>
    <col min="12019" max="12019" width="9.625" style="391" customWidth="1"/>
    <col min="12020" max="12020" width="7.625" style="391" customWidth="1"/>
    <col min="12021" max="12024" width="0" style="391" hidden="1" customWidth="1"/>
    <col min="12025" max="12025" width="14.375" style="391" customWidth="1"/>
    <col min="12026" max="12031" width="0" style="391" hidden="1" customWidth="1"/>
    <col min="12032" max="12032" width="10.125" style="391" bestFit="1" customWidth="1"/>
    <col min="12033" max="12271" width="9" style="391"/>
    <col min="12272" max="12272" width="75.875" style="391" customWidth="1"/>
    <col min="12273" max="12274" width="7.625" style="391" customWidth="1"/>
    <col min="12275" max="12275" width="9.625" style="391" customWidth="1"/>
    <col min="12276" max="12276" width="7.625" style="391" customWidth="1"/>
    <col min="12277" max="12280" width="0" style="391" hidden="1" customWidth="1"/>
    <col min="12281" max="12281" width="14.375" style="391" customWidth="1"/>
    <col min="12282" max="12287" width="0" style="391" hidden="1" customWidth="1"/>
    <col min="12288" max="12288" width="10.125" style="391" bestFit="1" customWidth="1"/>
    <col min="12289" max="12527" width="9" style="391"/>
    <col min="12528" max="12528" width="75.875" style="391" customWidth="1"/>
    <col min="12529" max="12530" width="7.625" style="391" customWidth="1"/>
    <col min="12531" max="12531" width="9.625" style="391" customWidth="1"/>
    <col min="12532" max="12532" width="7.625" style="391" customWidth="1"/>
    <col min="12533" max="12536" width="0" style="391" hidden="1" customWidth="1"/>
    <col min="12537" max="12537" width="14.375" style="391" customWidth="1"/>
    <col min="12538" max="12543" width="0" style="391" hidden="1" customWidth="1"/>
    <col min="12544" max="12544" width="10.125" style="391" bestFit="1" customWidth="1"/>
    <col min="12545" max="12783" width="9" style="391"/>
    <col min="12784" max="12784" width="75.875" style="391" customWidth="1"/>
    <col min="12785" max="12786" width="7.625" style="391" customWidth="1"/>
    <col min="12787" max="12787" width="9.625" style="391" customWidth="1"/>
    <col min="12788" max="12788" width="7.625" style="391" customWidth="1"/>
    <col min="12789" max="12792" width="0" style="391" hidden="1" customWidth="1"/>
    <col min="12793" max="12793" width="14.375" style="391" customWidth="1"/>
    <col min="12794" max="12799" width="0" style="391" hidden="1" customWidth="1"/>
    <col min="12800" max="12800" width="10.125" style="391" bestFit="1" customWidth="1"/>
    <col min="12801" max="13039" width="9" style="391"/>
    <col min="13040" max="13040" width="75.875" style="391" customWidth="1"/>
    <col min="13041" max="13042" width="7.625" style="391" customWidth="1"/>
    <col min="13043" max="13043" width="9.625" style="391" customWidth="1"/>
    <col min="13044" max="13044" width="7.625" style="391" customWidth="1"/>
    <col min="13045" max="13048" width="0" style="391" hidden="1" customWidth="1"/>
    <col min="13049" max="13049" width="14.375" style="391" customWidth="1"/>
    <col min="13050" max="13055" width="0" style="391" hidden="1" customWidth="1"/>
    <col min="13056" max="13056" width="10.125" style="391" bestFit="1" customWidth="1"/>
    <col min="13057" max="13295" width="9" style="391"/>
    <col min="13296" max="13296" width="75.875" style="391" customWidth="1"/>
    <col min="13297" max="13298" width="7.625" style="391" customWidth="1"/>
    <col min="13299" max="13299" width="9.625" style="391" customWidth="1"/>
    <col min="13300" max="13300" width="7.625" style="391" customWidth="1"/>
    <col min="13301" max="13304" width="0" style="391" hidden="1" customWidth="1"/>
    <col min="13305" max="13305" width="14.375" style="391" customWidth="1"/>
    <col min="13306" max="13311" width="0" style="391" hidden="1" customWidth="1"/>
    <col min="13312" max="13312" width="10.125" style="391" bestFit="1" customWidth="1"/>
    <col min="13313" max="13551" width="9" style="391"/>
    <col min="13552" max="13552" width="75.875" style="391" customWidth="1"/>
    <col min="13553" max="13554" width="7.625" style="391" customWidth="1"/>
    <col min="13555" max="13555" width="9.625" style="391" customWidth="1"/>
    <col min="13556" max="13556" width="7.625" style="391" customWidth="1"/>
    <col min="13557" max="13560" width="0" style="391" hidden="1" customWidth="1"/>
    <col min="13561" max="13561" width="14.375" style="391" customWidth="1"/>
    <col min="13562" max="13567" width="0" style="391" hidden="1" customWidth="1"/>
    <col min="13568" max="13568" width="10.125" style="391" bestFit="1" customWidth="1"/>
    <col min="13569" max="13807" width="9" style="391"/>
    <col min="13808" max="13808" width="75.875" style="391" customWidth="1"/>
    <col min="13809" max="13810" width="7.625" style="391" customWidth="1"/>
    <col min="13811" max="13811" width="9.625" style="391" customWidth="1"/>
    <col min="13812" max="13812" width="7.625" style="391" customWidth="1"/>
    <col min="13813" max="13816" width="0" style="391" hidden="1" customWidth="1"/>
    <col min="13817" max="13817" width="14.375" style="391" customWidth="1"/>
    <col min="13818" max="13823" width="0" style="391" hidden="1" customWidth="1"/>
    <col min="13824" max="13824" width="10.125" style="391" bestFit="1" customWidth="1"/>
    <col min="13825" max="14063" width="9" style="391"/>
    <col min="14064" max="14064" width="75.875" style="391" customWidth="1"/>
    <col min="14065" max="14066" width="7.625" style="391" customWidth="1"/>
    <col min="14067" max="14067" width="9.625" style="391" customWidth="1"/>
    <col min="14068" max="14068" width="7.625" style="391" customWidth="1"/>
    <col min="14069" max="14072" width="0" style="391" hidden="1" customWidth="1"/>
    <col min="14073" max="14073" width="14.375" style="391" customWidth="1"/>
    <col min="14074" max="14079" width="0" style="391" hidden="1" customWidth="1"/>
    <col min="14080" max="14080" width="10.125" style="391" bestFit="1" customWidth="1"/>
    <col min="14081" max="14319" width="9" style="391"/>
    <col min="14320" max="14320" width="75.875" style="391" customWidth="1"/>
    <col min="14321" max="14322" width="7.625" style="391" customWidth="1"/>
    <col min="14323" max="14323" width="9.625" style="391" customWidth="1"/>
    <col min="14324" max="14324" width="7.625" style="391" customWidth="1"/>
    <col min="14325" max="14328" width="0" style="391" hidden="1" customWidth="1"/>
    <col min="14329" max="14329" width="14.375" style="391" customWidth="1"/>
    <col min="14330" max="14335" width="0" style="391" hidden="1" customWidth="1"/>
    <col min="14336" max="14336" width="10.125" style="391" bestFit="1" customWidth="1"/>
    <col min="14337" max="14575" width="9" style="391"/>
    <col min="14576" max="14576" width="75.875" style="391" customWidth="1"/>
    <col min="14577" max="14578" width="7.625" style="391" customWidth="1"/>
    <col min="14579" max="14579" width="9.625" style="391" customWidth="1"/>
    <col min="14580" max="14580" width="7.625" style="391" customWidth="1"/>
    <col min="14581" max="14584" width="0" style="391" hidden="1" customWidth="1"/>
    <col min="14585" max="14585" width="14.375" style="391" customWidth="1"/>
    <col min="14586" max="14591" width="0" style="391" hidden="1" customWidth="1"/>
    <col min="14592" max="14592" width="10.125" style="391" bestFit="1" customWidth="1"/>
    <col min="14593" max="14831" width="9" style="391"/>
    <col min="14832" max="14832" width="75.875" style="391" customWidth="1"/>
    <col min="14833" max="14834" width="7.625" style="391" customWidth="1"/>
    <col min="14835" max="14835" width="9.625" style="391" customWidth="1"/>
    <col min="14836" max="14836" width="7.625" style="391" customWidth="1"/>
    <col min="14837" max="14840" width="0" style="391" hidden="1" customWidth="1"/>
    <col min="14841" max="14841" width="14.375" style="391" customWidth="1"/>
    <col min="14842" max="14847" width="0" style="391" hidden="1" customWidth="1"/>
    <col min="14848" max="14848" width="10.125" style="391" bestFit="1" customWidth="1"/>
    <col min="14849" max="15087" width="9" style="391"/>
    <col min="15088" max="15088" width="75.875" style="391" customWidth="1"/>
    <col min="15089" max="15090" width="7.625" style="391" customWidth="1"/>
    <col min="15091" max="15091" width="9.625" style="391" customWidth="1"/>
    <col min="15092" max="15092" width="7.625" style="391" customWidth="1"/>
    <col min="15093" max="15096" width="0" style="391" hidden="1" customWidth="1"/>
    <col min="15097" max="15097" width="14.375" style="391" customWidth="1"/>
    <col min="15098" max="15103" width="0" style="391" hidden="1" customWidth="1"/>
    <col min="15104" max="15104" width="10.125" style="391" bestFit="1" customWidth="1"/>
    <col min="15105" max="15343" width="9" style="391"/>
    <col min="15344" max="15344" width="75.875" style="391" customWidth="1"/>
    <col min="15345" max="15346" width="7.625" style="391" customWidth="1"/>
    <col min="15347" max="15347" width="9.625" style="391" customWidth="1"/>
    <col min="15348" max="15348" width="7.625" style="391" customWidth="1"/>
    <col min="15349" max="15352" width="0" style="391" hidden="1" customWidth="1"/>
    <col min="15353" max="15353" width="14.375" style="391" customWidth="1"/>
    <col min="15354" max="15359" width="0" style="391" hidden="1" customWidth="1"/>
    <col min="15360" max="15360" width="10.125" style="391" bestFit="1" customWidth="1"/>
    <col min="15361" max="15599" width="9" style="391"/>
    <col min="15600" max="15600" width="75.875" style="391" customWidth="1"/>
    <col min="15601" max="15602" width="7.625" style="391" customWidth="1"/>
    <col min="15603" max="15603" width="9.625" style="391" customWidth="1"/>
    <col min="15604" max="15604" width="7.625" style="391" customWidth="1"/>
    <col min="15605" max="15608" width="0" style="391" hidden="1" customWidth="1"/>
    <col min="15609" max="15609" width="14.375" style="391" customWidth="1"/>
    <col min="15610" max="15615" width="0" style="391" hidden="1" customWidth="1"/>
    <col min="15616" max="15616" width="10.125" style="391" bestFit="1" customWidth="1"/>
    <col min="15617" max="15855" width="9" style="391"/>
    <col min="15856" max="15856" width="75.875" style="391" customWidth="1"/>
    <col min="15857" max="15858" width="7.625" style="391" customWidth="1"/>
    <col min="15859" max="15859" width="9.625" style="391" customWidth="1"/>
    <col min="15860" max="15860" width="7.625" style="391" customWidth="1"/>
    <col min="15861" max="15864" width="0" style="391" hidden="1" customWidth="1"/>
    <col min="15865" max="15865" width="14.375" style="391" customWidth="1"/>
    <col min="15866" max="15871" width="0" style="391" hidden="1" customWidth="1"/>
    <col min="15872" max="15872" width="10.125" style="391" bestFit="1" customWidth="1"/>
    <col min="15873" max="16111" width="9" style="391"/>
    <col min="16112" max="16112" width="75.875" style="391" customWidth="1"/>
    <col min="16113" max="16114" width="7.625" style="391" customWidth="1"/>
    <col min="16115" max="16115" width="9.625" style="391" customWidth="1"/>
    <col min="16116" max="16116" width="7.625" style="391" customWidth="1"/>
    <col min="16117" max="16120" width="0" style="391" hidden="1" customWidth="1"/>
    <col min="16121" max="16121" width="14.375" style="391" customWidth="1"/>
    <col min="16122" max="16127" width="0" style="391" hidden="1" customWidth="1"/>
    <col min="16128" max="16128" width="10.125" style="391" bestFit="1" customWidth="1"/>
    <col min="16129" max="16384" width="9" style="391"/>
  </cols>
  <sheetData>
    <row r="1" spans="1:14" x14ac:dyDescent="0.3">
      <c r="G1" s="500"/>
      <c r="H1" s="419"/>
      <c r="I1" s="420"/>
      <c r="J1" s="500"/>
      <c r="L1" s="421"/>
    </row>
    <row r="2" spans="1:14" s="425" customFormat="1" x14ac:dyDescent="0.3">
      <c r="A2" s="691" t="s">
        <v>240</v>
      </c>
      <c r="B2" s="691"/>
      <c r="C2" s="691"/>
      <c r="D2" s="691"/>
      <c r="E2" s="691"/>
      <c r="F2" s="691"/>
      <c r="G2" s="691"/>
      <c r="H2" s="422"/>
      <c r="I2" s="423"/>
      <c r="J2" s="502"/>
      <c r="K2" s="600"/>
      <c r="M2" s="496"/>
    </row>
    <row r="3" spans="1:14" s="425" customFormat="1" x14ac:dyDescent="0.3">
      <c r="A3" s="692" t="s">
        <v>965</v>
      </c>
      <c r="B3" s="692"/>
      <c r="C3" s="692"/>
      <c r="D3" s="692"/>
      <c r="E3" s="692"/>
      <c r="F3" s="692"/>
      <c r="G3" s="692"/>
      <c r="H3" s="426"/>
      <c r="I3" s="427"/>
      <c r="J3" s="502"/>
      <c r="K3" s="600"/>
      <c r="M3" s="496"/>
    </row>
    <row r="4" spans="1:14" s="425" customFormat="1" x14ac:dyDescent="0.3">
      <c r="A4" s="692" t="s">
        <v>472</v>
      </c>
      <c r="B4" s="692"/>
      <c r="C4" s="692"/>
      <c r="D4" s="692"/>
      <c r="E4" s="692"/>
      <c r="F4" s="692"/>
      <c r="G4" s="692"/>
      <c r="H4" s="426"/>
      <c r="I4" s="427"/>
      <c r="J4" s="502"/>
      <c r="K4" s="600"/>
      <c r="M4" s="496"/>
    </row>
    <row r="5" spans="1:14" s="425" customFormat="1" x14ac:dyDescent="0.3">
      <c r="A5" s="427"/>
      <c r="B5" s="427"/>
      <c r="C5" s="427"/>
      <c r="D5" s="579"/>
      <c r="E5" s="579"/>
      <c r="F5" s="579"/>
      <c r="G5" s="502" t="s">
        <v>408</v>
      </c>
      <c r="H5" s="428"/>
      <c r="I5" s="424"/>
      <c r="J5" s="502"/>
      <c r="K5" s="600"/>
      <c r="M5" s="496"/>
    </row>
    <row r="6" spans="1:14" ht="50.95" x14ac:dyDescent="0.3">
      <c r="A6" s="429" t="s">
        <v>0</v>
      </c>
      <c r="B6" s="429" t="s">
        <v>1</v>
      </c>
      <c r="C6" s="429" t="s">
        <v>2</v>
      </c>
      <c r="D6" s="535" t="s">
        <v>3</v>
      </c>
      <c r="E6" s="535" t="s">
        <v>4</v>
      </c>
      <c r="F6" s="535" t="s">
        <v>975</v>
      </c>
      <c r="G6" s="536" t="s">
        <v>966</v>
      </c>
      <c r="H6" s="431" t="s">
        <v>979</v>
      </c>
      <c r="I6" s="430" t="s">
        <v>967</v>
      </c>
      <c r="J6" s="504" t="s">
        <v>962</v>
      </c>
      <c r="K6" s="601" t="s">
        <v>963</v>
      </c>
      <c r="L6" s="563" t="s">
        <v>1028</v>
      </c>
      <c r="M6" s="562" t="s">
        <v>1036</v>
      </c>
      <c r="N6" s="396" t="s">
        <v>1037</v>
      </c>
    </row>
    <row r="7" spans="1:14" s="437" customFormat="1" ht="50.95" x14ac:dyDescent="0.3">
      <c r="A7" s="433" t="s">
        <v>493</v>
      </c>
      <c r="B7" s="434" t="s">
        <v>499</v>
      </c>
      <c r="C7" s="434" t="s">
        <v>5</v>
      </c>
      <c r="D7" s="537" t="s">
        <v>126</v>
      </c>
      <c r="E7" s="537" t="s">
        <v>6</v>
      </c>
      <c r="F7" s="538">
        <v>7431987.3099999996</v>
      </c>
      <c r="G7" s="506">
        <f>G8</f>
        <v>7668127.0300000003</v>
      </c>
      <c r="H7" s="368">
        <v>5396024.0800000001</v>
      </c>
      <c r="I7" s="435">
        <f>I8</f>
        <v>8050477.2300000004</v>
      </c>
      <c r="J7" s="506">
        <f>J8</f>
        <v>8752491</v>
      </c>
      <c r="K7" s="602">
        <f>K8</f>
        <v>8202491</v>
      </c>
      <c r="L7" s="564">
        <f>K7-J7</f>
        <v>-550000</v>
      </c>
      <c r="M7" s="565">
        <f>J7/G7%</f>
        <v>114.14118422605213</v>
      </c>
      <c r="N7" s="565">
        <f>K7/G7*100</f>
        <v>106.96863742488105</v>
      </c>
    </row>
    <row r="8" spans="1:14" outlineLevel="1" x14ac:dyDescent="0.3">
      <c r="A8" s="438" t="s">
        <v>7</v>
      </c>
      <c r="B8" s="439" t="s">
        <v>499</v>
      </c>
      <c r="C8" s="439" t="s">
        <v>8</v>
      </c>
      <c r="D8" s="539" t="s">
        <v>126</v>
      </c>
      <c r="E8" s="539" t="s">
        <v>6</v>
      </c>
      <c r="F8" s="540">
        <v>7431987.3099999996</v>
      </c>
      <c r="G8" s="465">
        <f>G9+G18</f>
        <v>7668127.0300000003</v>
      </c>
      <c r="H8" s="367">
        <v>5396024.0800000001</v>
      </c>
      <c r="I8" s="440">
        <f>I9+I18</f>
        <v>8050477.2300000004</v>
      </c>
      <c r="J8" s="465">
        <f>J9+J18</f>
        <v>8752491</v>
      </c>
      <c r="K8" s="603">
        <f>K9+K18</f>
        <v>8202491</v>
      </c>
      <c r="L8" s="564">
        <f t="shared" ref="L8:L71" si="0">K8-J8</f>
        <v>-550000</v>
      </c>
      <c r="M8" s="565">
        <f t="shared" ref="M8:M71" si="1">J8/G8%</f>
        <v>114.14118422605213</v>
      </c>
      <c r="N8" s="565">
        <f t="shared" ref="N8:N71" si="2">K8/G8*100</f>
        <v>106.96863742488105</v>
      </c>
    </row>
    <row r="9" spans="1:14" ht="39.25" customHeight="1" outlineLevel="2" x14ac:dyDescent="0.3">
      <c r="A9" s="438" t="s">
        <v>9</v>
      </c>
      <c r="B9" s="439" t="s">
        <v>499</v>
      </c>
      <c r="C9" s="439" t="s">
        <v>10</v>
      </c>
      <c r="D9" s="539" t="s">
        <v>126</v>
      </c>
      <c r="E9" s="539" t="s">
        <v>6</v>
      </c>
      <c r="F9" s="540">
        <v>6921278.3099999996</v>
      </c>
      <c r="G9" s="465">
        <f t="shared" ref="G9:K10" si="3">G10</f>
        <v>7132671.0300000003</v>
      </c>
      <c r="H9" s="367">
        <v>5352630.08</v>
      </c>
      <c r="I9" s="440">
        <f t="shared" si="3"/>
        <v>7515021.2300000004</v>
      </c>
      <c r="J9" s="465">
        <f t="shared" si="3"/>
        <v>7594704</v>
      </c>
      <c r="K9" s="603">
        <f t="shared" si="3"/>
        <v>7594704</v>
      </c>
      <c r="L9" s="564">
        <f t="shared" si="0"/>
        <v>0</v>
      </c>
      <c r="M9" s="565">
        <f t="shared" si="1"/>
        <v>106.47769914042986</v>
      </c>
      <c r="N9" s="565">
        <f t="shared" si="2"/>
        <v>106.47769914042986</v>
      </c>
    </row>
    <row r="10" spans="1:14" ht="34" outlineLevel="4" x14ac:dyDescent="0.3">
      <c r="A10" s="438" t="s">
        <v>132</v>
      </c>
      <c r="B10" s="439" t="s">
        <v>499</v>
      </c>
      <c r="C10" s="439" t="s">
        <v>10</v>
      </c>
      <c r="D10" s="539" t="s">
        <v>127</v>
      </c>
      <c r="E10" s="539" t="s">
        <v>6</v>
      </c>
      <c r="F10" s="540">
        <v>6921278.3099999996</v>
      </c>
      <c r="G10" s="465">
        <f t="shared" si="3"/>
        <v>7132671.0300000003</v>
      </c>
      <c r="H10" s="441">
        <f t="shared" si="3"/>
        <v>5352630.08</v>
      </c>
      <c r="I10" s="440">
        <f t="shared" si="3"/>
        <v>7515021.2300000004</v>
      </c>
      <c r="J10" s="465">
        <f t="shared" si="3"/>
        <v>7594704</v>
      </c>
      <c r="K10" s="603">
        <f t="shared" si="3"/>
        <v>7594704</v>
      </c>
      <c r="L10" s="564">
        <f t="shared" si="0"/>
        <v>0</v>
      </c>
      <c r="M10" s="565">
        <f t="shared" si="1"/>
        <v>106.47769914042986</v>
      </c>
      <c r="N10" s="565">
        <f t="shared" si="2"/>
        <v>106.47769914042986</v>
      </c>
    </row>
    <row r="11" spans="1:14" ht="40.75" customHeight="1" outlineLevel="5" x14ac:dyDescent="0.3">
      <c r="A11" s="438" t="s">
        <v>494</v>
      </c>
      <c r="B11" s="439" t="s">
        <v>499</v>
      </c>
      <c r="C11" s="439" t="s">
        <v>10</v>
      </c>
      <c r="D11" s="539" t="s">
        <v>495</v>
      </c>
      <c r="E11" s="539" t="s">
        <v>6</v>
      </c>
      <c r="F11" s="540">
        <v>6921278.3099999996</v>
      </c>
      <c r="G11" s="465">
        <f>G12+G14+G16</f>
        <v>7132671.0300000003</v>
      </c>
      <c r="H11" s="441">
        <f>H12+H14+H16</f>
        <v>5352630.08</v>
      </c>
      <c r="I11" s="440">
        <f>I12+I14+I16</f>
        <v>7515021.2300000004</v>
      </c>
      <c r="J11" s="465">
        <f>J12+J14+J16</f>
        <v>7594704</v>
      </c>
      <c r="K11" s="603">
        <f>K12+K14+K16</f>
        <v>7594704</v>
      </c>
      <c r="L11" s="564">
        <f t="shared" si="0"/>
        <v>0</v>
      </c>
      <c r="M11" s="565">
        <f t="shared" si="1"/>
        <v>106.47769914042986</v>
      </c>
      <c r="N11" s="565">
        <f t="shared" si="2"/>
        <v>106.47769914042986</v>
      </c>
    </row>
    <row r="12" spans="1:14" ht="76.75" customHeight="1" outlineLevel="6" x14ac:dyDescent="0.3">
      <c r="A12" s="438" t="s">
        <v>11</v>
      </c>
      <c r="B12" s="439" t="s">
        <v>499</v>
      </c>
      <c r="C12" s="439" t="s">
        <v>10</v>
      </c>
      <c r="D12" s="539" t="s">
        <v>495</v>
      </c>
      <c r="E12" s="539" t="s">
        <v>12</v>
      </c>
      <c r="F12" s="540">
        <v>6756822.3099999996</v>
      </c>
      <c r="G12" s="465">
        <f>G13</f>
        <v>6786101.0300000003</v>
      </c>
      <c r="H12" s="367">
        <v>5151988.76</v>
      </c>
      <c r="I12" s="440">
        <f>I13</f>
        <v>7264821.2300000004</v>
      </c>
      <c r="J12" s="466">
        <f>J13</f>
        <v>7311140</v>
      </c>
      <c r="K12" s="604">
        <f>K13</f>
        <v>7311140</v>
      </c>
      <c r="L12" s="564">
        <f t="shared" si="0"/>
        <v>0</v>
      </c>
      <c r="M12" s="565">
        <f t="shared" si="1"/>
        <v>107.7369754396362</v>
      </c>
      <c r="N12" s="565">
        <f t="shared" si="2"/>
        <v>107.73697543963621</v>
      </c>
    </row>
    <row r="13" spans="1:14" ht="34" outlineLevel="7" x14ac:dyDescent="0.3">
      <c r="A13" s="438" t="s">
        <v>13</v>
      </c>
      <c r="B13" s="439" t="s">
        <v>499</v>
      </c>
      <c r="C13" s="439" t="s">
        <v>10</v>
      </c>
      <c r="D13" s="539" t="s">
        <v>495</v>
      </c>
      <c r="E13" s="539" t="s">
        <v>14</v>
      </c>
      <c r="F13" s="540">
        <v>6756822.3099999996</v>
      </c>
      <c r="G13" s="466">
        <f>[2]потребность!I20-199304</f>
        <v>6786101.0300000003</v>
      </c>
      <c r="H13" s="367">
        <v>5151988.76</v>
      </c>
      <c r="I13" s="442">
        <f>'[2]прил 12'!F20</f>
        <v>7264821.2300000004</v>
      </c>
      <c r="J13" s="466">
        <f>7457647-146507</f>
        <v>7311140</v>
      </c>
      <c r="K13" s="604">
        <f>7457647-146507</f>
        <v>7311140</v>
      </c>
      <c r="L13" s="564">
        <f t="shared" si="0"/>
        <v>0</v>
      </c>
      <c r="M13" s="565">
        <f t="shared" si="1"/>
        <v>107.7369754396362</v>
      </c>
      <c r="N13" s="565">
        <f t="shared" si="2"/>
        <v>107.73697543963621</v>
      </c>
    </row>
    <row r="14" spans="1:14" ht="34" outlineLevel="6" x14ac:dyDescent="0.3">
      <c r="A14" s="438" t="s">
        <v>15</v>
      </c>
      <c r="B14" s="439" t="s">
        <v>499</v>
      </c>
      <c r="C14" s="439" t="s">
        <v>10</v>
      </c>
      <c r="D14" s="539" t="s">
        <v>495</v>
      </c>
      <c r="E14" s="539" t="s">
        <v>16</v>
      </c>
      <c r="F14" s="540">
        <v>164456</v>
      </c>
      <c r="G14" s="465">
        <f>G15</f>
        <v>346570</v>
      </c>
      <c r="H14" s="367">
        <v>200641.32</v>
      </c>
      <c r="I14" s="440">
        <f>I15</f>
        <v>250200</v>
      </c>
      <c r="J14" s="466">
        <f>J15</f>
        <v>282564</v>
      </c>
      <c r="K14" s="604">
        <f>K15</f>
        <v>282564</v>
      </c>
      <c r="L14" s="564">
        <f t="shared" si="0"/>
        <v>0</v>
      </c>
      <c r="M14" s="565">
        <f t="shared" si="1"/>
        <v>81.531580921603137</v>
      </c>
      <c r="N14" s="565">
        <f t="shared" si="2"/>
        <v>81.531580921603137</v>
      </c>
    </row>
    <row r="15" spans="1:14" ht="22.75" customHeight="1" outlineLevel="7" x14ac:dyDescent="0.3">
      <c r="A15" s="438" t="s">
        <v>17</v>
      </c>
      <c r="B15" s="439" t="s">
        <v>499</v>
      </c>
      <c r="C15" s="439" t="s">
        <v>10</v>
      </c>
      <c r="D15" s="539" t="s">
        <v>495</v>
      </c>
      <c r="E15" s="539" t="s">
        <v>18</v>
      </c>
      <c r="F15" s="540">
        <v>164456</v>
      </c>
      <c r="G15" s="466">
        <f>250200+53570+42800</f>
        <v>346570</v>
      </c>
      <c r="H15" s="367">
        <v>200641.32</v>
      </c>
      <c r="I15" s="442">
        <f>'[2]прил 12'!F22</f>
        <v>250200</v>
      </c>
      <c r="J15" s="466">
        <v>282564</v>
      </c>
      <c r="K15" s="604">
        <v>282564</v>
      </c>
      <c r="L15" s="564">
        <f t="shared" si="0"/>
        <v>0</v>
      </c>
      <c r="M15" s="565">
        <f t="shared" si="1"/>
        <v>81.531580921603137</v>
      </c>
      <c r="N15" s="565">
        <f t="shared" si="2"/>
        <v>81.531580921603137</v>
      </c>
    </row>
    <row r="16" spans="1:14" outlineLevel="6" x14ac:dyDescent="0.3">
      <c r="A16" s="438" t="s">
        <v>19</v>
      </c>
      <c r="B16" s="439" t="s">
        <v>499</v>
      </c>
      <c r="C16" s="439" t="s">
        <v>10</v>
      </c>
      <c r="D16" s="539" t="s">
        <v>495</v>
      </c>
      <c r="E16" s="539" t="s">
        <v>20</v>
      </c>
      <c r="F16" s="539" t="s">
        <v>976</v>
      </c>
      <c r="G16" s="465">
        <f>G17</f>
        <v>0</v>
      </c>
      <c r="H16" s="441">
        <f>H17</f>
        <v>0</v>
      </c>
      <c r="I16" s="440">
        <v>0</v>
      </c>
      <c r="J16" s="466">
        <f>J17</f>
        <v>1000</v>
      </c>
      <c r="K16" s="604">
        <f>K17</f>
        <v>1000</v>
      </c>
      <c r="L16" s="564">
        <f t="shared" si="0"/>
        <v>0</v>
      </c>
      <c r="M16" s="565"/>
      <c r="N16" s="565"/>
    </row>
    <row r="17" spans="1:14" outlineLevel="7" x14ac:dyDescent="0.3">
      <c r="A17" s="438" t="s">
        <v>21</v>
      </c>
      <c r="B17" s="439" t="s">
        <v>499</v>
      </c>
      <c r="C17" s="439" t="s">
        <v>10</v>
      </c>
      <c r="D17" s="539" t="s">
        <v>495</v>
      </c>
      <c r="E17" s="539" t="s">
        <v>22</v>
      </c>
      <c r="F17" s="539" t="s">
        <v>976</v>
      </c>
      <c r="G17" s="466">
        <v>0</v>
      </c>
      <c r="H17" s="443">
        <v>0</v>
      </c>
      <c r="I17" s="442">
        <v>0</v>
      </c>
      <c r="J17" s="466">
        <v>1000</v>
      </c>
      <c r="K17" s="604">
        <v>1000</v>
      </c>
      <c r="L17" s="564">
        <f t="shared" si="0"/>
        <v>0</v>
      </c>
      <c r="M17" s="565"/>
      <c r="N17" s="565"/>
    </row>
    <row r="18" spans="1:14" outlineLevel="2" x14ac:dyDescent="0.3">
      <c r="A18" s="438" t="s">
        <v>23</v>
      </c>
      <c r="B18" s="439" t="s">
        <v>499</v>
      </c>
      <c r="C18" s="439" t="s">
        <v>24</v>
      </c>
      <c r="D18" s="539" t="s">
        <v>126</v>
      </c>
      <c r="E18" s="539" t="s">
        <v>6</v>
      </c>
      <c r="F18" s="540">
        <v>510709</v>
      </c>
      <c r="G18" s="465">
        <f>G19+G24</f>
        <v>535456</v>
      </c>
      <c r="H18" s="367">
        <v>43394</v>
      </c>
      <c r="I18" s="440">
        <f>I19+I24</f>
        <v>535456</v>
      </c>
      <c r="J18" s="465">
        <f>J19+J24</f>
        <v>1157787</v>
      </c>
      <c r="K18" s="603">
        <f>K19+K24</f>
        <v>607787</v>
      </c>
      <c r="L18" s="564">
        <f t="shared" si="0"/>
        <v>-550000</v>
      </c>
      <c r="M18" s="565">
        <f t="shared" si="1"/>
        <v>216.22448903364608</v>
      </c>
      <c r="N18" s="565">
        <f t="shared" si="2"/>
        <v>113.50829946811689</v>
      </c>
    </row>
    <row r="19" spans="1:14" s="449" customFormat="1" ht="39.75" customHeight="1" outlineLevel="3" x14ac:dyDescent="0.3">
      <c r="A19" s="444" t="s">
        <v>830</v>
      </c>
      <c r="B19" s="445" t="s">
        <v>499</v>
      </c>
      <c r="C19" s="445" t="s">
        <v>24</v>
      </c>
      <c r="D19" s="541" t="s">
        <v>128</v>
      </c>
      <c r="E19" s="541" t="s">
        <v>6</v>
      </c>
      <c r="F19" s="542">
        <v>37620</v>
      </c>
      <c r="G19" s="508">
        <f t="shared" ref="G19:K22" si="4">G20</f>
        <v>58240</v>
      </c>
      <c r="H19" s="447">
        <f t="shared" si="4"/>
        <v>850</v>
      </c>
      <c r="I19" s="446">
        <f t="shared" si="4"/>
        <v>58240</v>
      </c>
      <c r="J19" s="507">
        <f t="shared" si="4"/>
        <v>60571</v>
      </c>
      <c r="K19" s="605">
        <f t="shared" si="4"/>
        <v>60571</v>
      </c>
      <c r="L19" s="564">
        <f t="shared" si="0"/>
        <v>0</v>
      </c>
      <c r="M19" s="565">
        <f t="shared" si="1"/>
        <v>104.00240384615385</v>
      </c>
      <c r="N19" s="565">
        <f t="shared" si="2"/>
        <v>104.00240384615384</v>
      </c>
    </row>
    <row r="20" spans="1:14" ht="39.25" customHeight="1" outlineLevel="4" x14ac:dyDescent="0.3">
      <c r="A20" s="438" t="s">
        <v>854</v>
      </c>
      <c r="B20" s="439" t="s">
        <v>499</v>
      </c>
      <c r="C20" s="439" t="s">
        <v>24</v>
      </c>
      <c r="D20" s="539" t="s">
        <v>315</v>
      </c>
      <c r="E20" s="539" t="s">
        <v>6</v>
      </c>
      <c r="F20" s="540">
        <v>37620</v>
      </c>
      <c r="G20" s="465">
        <f t="shared" si="4"/>
        <v>58240</v>
      </c>
      <c r="H20" s="441">
        <f t="shared" si="4"/>
        <v>850</v>
      </c>
      <c r="I20" s="440">
        <f t="shared" si="4"/>
        <v>58240</v>
      </c>
      <c r="J20" s="466">
        <f t="shared" si="4"/>
        <v>60571</v>
      </c>
      <c r="K20" s="604">
        <f t="shared" si="4"/>
        <v>60571</v>
      </c>
      <c r="L20" s="564">
        <f t="shared" si="0"/>
        <v>0</v>
      </c>
      <c r="M20" s="565">
        <f t="shared" si="1"/>
        <v>104.00240384615385</v>
      </c>
      <c r="N20" s="565">
        <f t="shared" si="2"/>
        <v>104.00240384615384</v>
      </c>
    </row>
    <row r="21" spans="1:14" outlineLevel="5" x14ac:dyDescent="0.3">
      <c r="A21" s="450" t="s">
        <v>321</v>
      </c>
      <c r="B21" s="439" t="s">
        <v>499</v>
      </c>
      <c r="C21" s="439" t="s">
        <v>24</v>
      </c>
      <c r="D21" s="539" t="s">
        <v>316</v>
      </c>
      <c r="E21" s="539" t="s">
        <v>6</v>
      </c>
      <c r="F21" s="540">
        <v>37620</v>
      </c>
      <c r="G21" s="465">
        <f t="shared" si="4"/>
        <v>58240</v>
      </c>
      <c r="H21" s="441">
        <f t="shared" si="4"/>
        <v>850</v>
      </c>
      <c r="I21" s="440">
        <f t="shared" si="4"/>
        <v>58240</v>
      </c>
      <c r="J21" s="466">
        <f t="shared" si="4"/>
        <v>60571</v>
      </c>
      <c r="K21" s="604">
        <f t="shared" si="4"/>
        <v>60571</v>
      </c>
      <c r="L21" s="564">
        <f t="shared" si="0"/>
        <v>0</v>
      </c>
      <c r="M21" s="565">
        <f t="shared" si="1"/>
        <v>104.00240384615385</v>
      </c>
      <c r="N21" s="565">
        <f t="shared" si="2"/>
        <v>104.00240384615384</v>
      </c>
    </row>
    <row r="22" spans="1:14" ht="34" outlineLevel="6" x14ac:dyDescent="0.3">
      <c r="A22" s="438" t="s">
        <v>15</v>
      </c>
      <c r="B22" s="439" t="s">
        <v>499</v>
      </c>
      <c r="C22" s="439" t="s">
        <v>24</v>
      </c>
      <c r="D22" s="539" t="s">
        <v>316</v>
      </c>
      <c r="E22" s="539" t="s">
        <v>16</v>
      </c>
      <c r="F22" s="540">
        <v>37620</v>
      </c>
      <c r="G22" s="465">
        <f t="shared" si="4"/>
        <v>58240</v>
      </c>
      <c r="H22" s="441">
        <f t="shared" si="4"/>
        <v>850</v>
      </c>
      <c r="I22" s="440">
        <f t="shared" si="4"/>
        <v>58240</v>
      </c>
      <c r="J22" s="466">
        <f t="shared" si="4"/>
        <v>60571</v>
      </c>
      <c r="K22" s="604">
        <f t="shared" si="4"/>
        <v>60571</v>
      </c>
      <c r="L22" s="564">
        <f t="shared" si="0"/>
        <v>0</v>
      </c>
      <c r="M22" s="565">
        <f t="shared" si="1"/>
        <v>104.00240384615385</v>
      </c>
      <c r="N22" s="565">
        <f t="shared" si="2"/>
        <v>104.00240384615384</v>
      </c>
    </row>
    <row r="23" spans="1:14" ht="19.55" customHeight="1" outlineLevel="7" x14ac:dyDescent="0.3">
      <c r="A23" s="438" t="s">
        <v>17</v>
      </c>
      <c r="B23" s="439" t="s">
        <v>499</v>
      </c>
      <c r="C23" s="439" t="s">
        <v>24</v>
      </c>
      <c r="D23" s="539" t="s">
        <v>316</v>
      </c>
      <c r="E23" s="539" t="s">
        <v>18</v>
      </c>
      <c r="F23" s="540">
        <v>37620</v>
      </c>
      <c r="G23" s="466">
        <v>58240</v>
      </c>
      <c r="H23" s="367">
        <v>850</v>
      </c>
      <c r="I23" s="442">
        <f>'[2]прил 12'!F30</f>
        <v>58240</v>
      </c>
      <c r="J23" s="466">
        <v>60571</v>
      </c>
      <c r="K23" s="604">
        <v>60571</v>
      </c>
      <c r="L23" s="564">
        <f t="shared" si="0"/>
        <v>0</v>
      </c>
      <c r="M23" s="565">
        <f t="shared" si="1"/>
        <v>104.00240384615385</v>
      </c>
      <c r="N23" s="565">
        <f t="shared" si="2"/>
        <v>104.00240384615384</v>
      </c>
    </row>
    <row r="24" spans="1:14" s="449" customFormat="1" ht="36.700000000000003" customHeight="1" outlineLevel="7" x14ac:dyDescent="0.3">
      <c r="A24" s="451" t="s">
        <v>829</v>
      </c>
      <c r="B24" s="445" t="s">
        <v>499</v>
      </c>
      <c r="C24" s="439" t="s">
        <v>24</v>
      </c>
      <c r="D24" s="541" t="s">
        <v>317</v>
      </c>
      <c r="E24" s="541" t="s">
        <v>6</v>
      </c>
      <c r="F24" s="542">
        <v>473089</v>
      </c>
      <c r="G24" s="507">
        <f t="shared" ref="G24:K27" si="5">G25</f>
        <v>477216</v>
      </c>
      <c r="H24" s="452">
        <f t="shared" si="5"/>
        <v>42544</v>
      </c>
      <c r="I24" s="448">
        <f t="shared" si="5"/>
        <v>477216</v>
      </c>
      <c r="J24" s="507">
        <f t="shared" si="5"/>
        <v>1097216</v>
      </c>
      <c r="K24" s="605">
        <f t="shared" si="5"/>
        <v>547216</v>
      </c>
      <c r="L24" s="564">
        <f t="shared" si="0"/>
        <v>-550000</v>
      </c>
      <c r="M24" s="565">
        <f t="shared" si="1"/>
        <v>229.92020384899081</v>
      </c>
      <c r="N24" s="565">
        <f t="shared" si="2"/>
        <v>114.66841011198284</v>
      </c>
    </row>
    <row r="25" spans="1:14" ht="34" outlineLevel="7" x14ac:dyDescent="0.3">
      <c r="A25" s="450" t="s">
        <v>249</v>
      </c>
      <c r="B25" s="439" t="s">
        <v>499</v>
      </c>
      <c r="C25" s="439" t="s">
        <v>24</v>
      </c>
      <c r="D25" s="539" t="s">
        <v>318</v>
      </c>
      <c r="E25" s="539" t="s">
        <v>6</v>
      </c>
      <c r="F25" s="540">
        <v>473089</v>
      </c>
      <c r="G25" s="466">
        <f t="shared" si="5"/>
        <v>477216</v>
      </c>
      <c r="H25" s="443">
        <f t="shared" si="5"/>
        <v>42544</v>
      </c>
      <c r="I25" s="442">
        <f t="shared" si="5"/>
        <v>477216</v>
      </c>
      <c r="J25" s="466">
        <f t="shared" si="5"/>
        <v>1097216</v>
      </c>
      <c r="K25" s="604">
        <f t="shared" si="5"/>
        <v>547216</v>
      </c>
      <c r="L25" s="564">
        <f t="shared" si="0"/>
        <v>-550000</v>
      </c>
      <c r="M25" s="565">
        <f t="shared" si="1"/>
        <v>229.92020384899081</v>
      </c>
      <c r="N25" s="565">
        <f t="shared" si="2"/>
        <v>114.66841011198284</v>
      </c>
    </row>
    <row r="26" spans="1:14" ht="39.75" customHeight="1" outlineLevel="5" x14ac:dyDescent="0.3">
      <c r="A26" s="438" t="s">
        <v>25</v>
      </c>
      <c r="B26" s="439" t="s">
        <v>499</v>
      </c>
      <c r="C26" s="439" t="s">
        <v>24</v>
      </c>
      <c r="D26" s="539" t="s">
        <v>329</v>
      </c>
      <c r="E26" s="539" t="s">
        <v>6</v>
      </c>
      <c r="F26" s="540">
        <v>473089</v>
      </c>
      <c r="G26" s="465">
        <f t="shared" si="5"/>
        <v>477216</v>
      </c>
      <c r="H26" s="441">
        <f t="shared" si="5"/>
        <v>42544</v>
      </c>
      <c r="I26" s="440">
        <f t="shared" si="5"/>
        <v>477216</v>
      </c>
      <c r="J26" s="466">
        <f t="shared" si="5"/>
        <v>1097216</v>
      </c>
      <c r="K26" s="604">
        <f t="shared" si="5"/>
        <v>547216</v>
      </c>
      <c r="L26" s="564">
        <f t="shared" si="0"/>
        <v>-550000</v>
      </c>
      <c r="M26" s="565">
        <f t="shared" si="1"/>
        <v>229.92020384899081</v>
      </c>
      <c r="N26" s="565">
        <f t="shared" si="2"/>
        <v>114.66841011198284</v>
      </c>
    </row>
    <row r="27" spans="1:14" ht="34" outlineLevel="6" x14ac:dyDescent="0.3">
      <c r="A27" s="438" t="s">
        <v>15</v>
      </c>
      <c r="B27" s="439" t="s">
        <v>499</v>
      </c>
      <c r="C27" s="439" t="s">
        <v>24</v>
      </c>
      <c r="D27" s="539" t="s">
        <v>329</v>
      </c>
      <c r="E27" s="539" t="s">
        <v>16</v>
      </c>
      <c r="F27" s="540">
        <v>473089</v>
      </c>
      <c r="G27" s="465">
        <f t="shared" si="5"/>
        <v>477216</v>
      </c>
      <c r="H27" s="441">
        <f t="shared" si="5"/>
        <v>42544</v>
      </c>
      <c r="I27" s="440">
        <f t="shared" si="5"/>
        <v>477216</v>
      </c>
      <c r="J27" s="466">
        <f t="shared" si="5"/>
        <v>1097216</v>
      </c>
      <c r="K27" s="604">
        <f t="shared" si="5"/>
        <v>547216</v>
      </c>
      <c r="L27" s="564">
        <f t="shared" si="0"/>
        <v>-550000</v>
      </c>
      <c r="M27" s="565">
        <f t="shared" si="1"/>
        <v>229.92020384899081</v>
      </c>
      <c r="N27" s="565">
        <f t="shared" si="2"/>
        <v>114.66841011198284</v>
      </c>
    </row>
    <row r="28" spans="1:14" ht="21.25" customHeight="1" outlineLevel="7" x14ac:dyDescent="0.3">
      <c r="A28" s="438" t="s">
        <v>17</v>
      </c>
      <c r="B28" s="439" t="s">
        <v>499</v>
      </c>
      <c r="C28" s="439" t="s">
        <v>24</v>
      </c>
      <c r="D28" s="539" t="s">
        <v>329</v>
      </c>
      <c r="E28" s="539" t="s">
        <v>18</v>
      </c>
      <c r="F28" s="540">
        <v>473089</v>
      </c>
      <c r="G28" s="465">
        <v>477216</v>
      </c>
      <c r="H28" s="367">
        <v>42544</v>
      </c>
      <c r="I28" s="440">
        <f>'[2]прил 12'!F35</f>
        <v>477216</v>
      </c>
      <c r="J28" s="466">
        <v>1097216</v>
      </c>
      <c r="K28" s="604">
        <f>1097216-550000</f>
        <v>547216</v>
      </c>
      <c r="L28" s="564">
        <f t="shared" si="0"/>
        <v>-550000</v>
      </c>
      <c r="M28" s="565">
        <f t="shared" si="1"/>
        <v>229.92020384899081</v>
      </c>
      <c r="N28" s="565">
        <f t="shared" si="2"/>
        <v>114.66841011198284</v>
      </c>
    </row>
    <row r="29" spans="1:14" s="437" customFormat="1" ht="34" x14ac:dyDescent="0.3">
      <c r="A29" s="433" t="s">
        <v>27</v>
      </c>
      <c r="B29" s="434" t="s">
        <v>500</v>
      </c>
      <c r="C29" s="434" t="s">
        <v>5</v>
      </c>
      <c r="D29" s="537" t="s">
        <v>126</v>
      </c>
      <c r="E29" s="537" t="s">
        <v>6</v>
      </c>
      <c r="F29" s="538">
        <v>434475577.67000002</v>
      </c>
      <c r="G29" s="506">
        <f>G30+G162+G172+G228+G333+G349+G370+G421+G505+G457+G183</f>
        <v>397058855.15000004</v>
      </c>
      <c r="H29" s="368">
        <v>262532003.14999998</v>
      </c>
      <c r="I29" s="435">
        <f>I30+I162+I172+I228+I333+I349+I370+I421+I505+I457+I183</f>
        <v>297512184.63</v>
      </c>
      <c r="J29" s="506">
        <f>J30+J162+J172+J228+J333+J349+J370+J421+J505+J457+J183</f>
        <v>372952838.86000001</v>
      </c>
      <c r="K29" s="602">
        <f>K30+K162+K172+K228+K333+K349+K370+K421+K505+K457+K183</f>
        <v>360024254.41000003</v>
      </c>
      <c r="L29" s="564">
        <f t="shared" si="0"/>
        <v>-12928584.449999988</v>
      </c>
      <c r="M29" s="565">
        <f t="shared" si="1"/>
        <v>93.928855640080528</v>
      </c>
      <c r="N29" s="565">
        <f t="shared" si="2"/>
        <v>90.672767963830154</v>
      </c>
    </row>
    <row r="30" spans="1:14" s="449" customFormat="1" outlineLevel="1" x14ac:dyDescent="0.3">
      <c r="A30" s="444" t="s">
        <v>7</v>
      </c>
      <c r="B30" s="445" t="s">
        <v>500</v>
      </c>
      <c r="C30" s="445" t="s">
        <v>8</v>
      </c>
      <c r="D30" s="541" t="s">
        <v>126</v>
      </c>
      <c r="E30" s="541" t="s">
        <v>6</v>
      </c>
      <c r="F30" s="540">
        <v>94220120.439999998</v>
      </c>
      <c r="G30" s="508">
        <f>G31+G36+G43+G49+G59+G54</f>
        <v>109419536.78</v>
      </c>
      <c r="H30" s="367">
        <v>77521805.720000014</v>
      </c>
      <c r="I30" s="446">
        <f>I31+I36+I43+I49+I59+I54</f>
        <v>98730538.969999999</v>
      </c>
      <c r="J30" s="508">
        <f>J31+J36+J43+J49+J59+J54</f>
        <v>123081897</v>
      </c>
      <c r="K30" s="606">
        <f>K31+K36+K43+K49+K59+K54</f>
        <v>114949289</v>
      </c>
      <c r="L30" s="564">
        <f t="shared" si="0"/>
        <v>-8132608</v>
      </c>
      <c r="M30" s="565">
        <f t="shared" si="1"/>
        <v>112.48621646742086</v>
      </c>
      <c r="N30" s="565">
        <f t="shared" si="2"/>
        <v>105.05371561855372</v>
      </c>
    </row>
    <row r="31" spans="1:14" ht="38.9" customHeight="1" outlineLevel="2" x14ac:dyDescent="0.3">
      <c r="A31" s="438" t="s">
        <v>28</v>
      </c>
      <c r="B31" s="439" t="s">
        <v>500</v>
      </c>
      <c r="C31" s="439" t="s">
        <v>29</v>
      </c>
      <c r="D31" s="539" t="s">
        <v>126</v>
      </c>
      <c r="E31" s="539" t="s">
        <v>6</v>
      </c>
      <c r="F31" s="540">
        <v>2580816.7200000002</v>
      </c>
      <c r="G31" s="465">
        <f t="shared" ref="G31:K34" si="6">G32</f>
        <v>2681000</v>
      </c>
      <c r="H31" s="367">
        <v>2133514.06</v>
      </c>
      <c r="I31" s="440">
        <f t="shared" si="6"/>
        <v>2846266</v>
      </c>
      <c r="J31" s="465">
        <f t="shared" si="6"/>
        <v>3046120</v>
      </c>
      <c r="K31" s="603">
        <f t="shared" si="6"/>
        <v>3046120</v>
      </c>
      <c r="L31" s="564">
        <f t="shared" si="0"/>
        <v>0</v>
      </c>
      <c r="M31" s="565">
        <f t="shared" si="1"/>
        <v>113.61879895561357</v>
      </c>
      <c r="N31" s="565">
        <f t="shared" si="2"/>
        <v>113.61879895561357</v>
      </c>
    </row>
    <row r="32" spans="1:14" ht="34" outlineLevel="3" x14ac:dyDescent="0.3">
      <c r="A32" s="438" t="s">
        <v>132</v>
      </c>
      <c r="B32" s="439" t="s">
        <v>500</v>
      </c>
      <c r="C32" s="439" t="s">
        <v>29</v>
      </c>
      <c r="D32" s="539" t="s">
        <v>127</v>
      </c>
      <c r="E32" s="539" t="s">
        <v>6</v>
      </c>
      <c r="F32" s="540">
        <v>2580816.7200000002</v>
      </c>
      <c r="G32" s="465">
        <f t="shared" si="6"/>
        <v>2681000</v>
      </c>
      <c r="H32" s="441">
        <f t="shared" si="6"/>
        <v>2133514.06</v>
      </c>
      <c r="I32" s="440">
        <f t="shared" si="6"/>
        <v>2846266</v>
      </c>
      <c r="J32" s="465">
        <f t="shared" si="6"/>
        <v>3046120</v>
      </c>
      <c r="K32" s="603">
        <f t="shared" si="6"/>
        <v>3046120</v>
      </c>
      <c r="L32" s="564">
        <f t="shared" si="0"/>
        <v>0</v>
      </c>
      <c r="M32" s="565">
        <f t="shared" si="1"/>
        <v>113.61879895561357</v>
      </c>
      <c r="N32" s="565">
        <f t="shared" si="2"/>
        <v>113.61879895561357</v>
      </c>
    </row>
    <row r="33" spans="1:14" outlineLevel="5" x14ac:dyDescent="0.3">
      <c r="A33" s="438" t="s">
        <v>496</v>
      </c>
      <c r="B33" s="439" t="s">
        <v>500</v>
      </c>
      <c r="C33" s="439" t="s">
        <v>29</v>
      </c>
      <c r="D33" s="539" t="s">
        <v>497</v>
      </c>
      <c r="E33" s="539" t="s">
        <v>6</v>
      </c>
      <c r="F33" s="540">
        <v>2580816.7200000002</v>
      </c>
      <c r="G33" s="465">
        <f t="shared" si="6"/>
        <v>2681000</v>
      </c>
      <c r="H33" s="441">
        <f t="shared" si="6"/>
        <v>2133514.06</v>
      </c>
      <c r="I33" s="440">
        <f t="shared" si="6"/>
        <v>2846266</v>
      </c>
      <c r="J33" s="465">
        <f t="shared" si="6"/>
        <v>3046120</v>
      </c>
      <c r="K33" s="603">
        <f t="shared" si="6"/>
        <v>3046120</v>
      </c>
      <c r="L33" s="564">
        <f t="shared" si="0"/>
        <v>0</v>
      </c>
      <c r="M33" s="565">
        <f t="shared" si="1"/>
        <v>113.61879895561357</v>
      </c>
      <c r="N33" s="565">
        <f t="shared" si="2"/>
        <v>113.61879895561357</v>
      </c>
    </row>
    <row r="34" spans="1:14" ht="69.45" customHeight="1" outlineLevel="6" x14ac:dyDescent="0.3">
      <c r="A34" s="438" t="s">
        <v>11</v>
      </c>
      <c r="B34" s="439" t="s">
        <v>500</v>
      </c>
      <c r="C34" s="439" t="s">
        <v>29</v>
      </c>
      <c r="D34" s="539" t="s">
        <v>497</v>
      </c>
      <c r="E34" s="539" t="s">
        <v>12</v>
      </c>
      <c r="F34" s="540">
        <v>2580816.7200000002</v>
      </c>
      <c r="G34" s="465">
        <f t="shared" si="6"/>
        <v>2681000</v>
      </c>
      <c r="H34" s="367">
        <v>2133514.06</v>
      </c>
      <c r="I34" s="440">
        <f t="shared" si="6"/>
        <v>2846266</v>
      </c>
      <c r="J34" s="465">
        <f t="shared" si="6"/>
        <v>3046120</v>
      </c>
      <c r="K34" s="603">
        <f t="shared" si="6"/>
        <v>3046120</v>
      </c>
      <c r="L34" s="564">
        <f t="shared" si="0"/>
        <v>0</v>
      </c>
      <c r="M34" s="565">
        <f t="shared" si="1"/>
        <v>113.61879895561357</v>
      </c>
      <c r="N34" s="565">
        <f t="shared" si="2"/>
        <v>113.61879895561357</v>
      </c>
    </row>
    <row r="35" spans="1:14" ht="34" outlineLevel="7" x14ac:dyDescent="0.3">
      <c r="A35" s="438" t="s">
        <v>13</v>
      </c>
      <c r="B35" s="439" t="s">
        <v>500</v>
      </c>
      <c r="C35" s="439" t="s">
        <v>29</v>
      </c>
      <c r="D35" s="539" t="s">
        <v>497</v>
      </c>
      <c r="E35" s="539" t="s">
        <v>14</v>
      </c>
      <c r="F35" s="540">
        <v>2580816.7200000002</v>
      </c>
      <c r="G35" s="465">
        <f>2846266-165266</f>
        <v>2681000</v>
      </c>
      <c r="H35" s="367">
        <v>2133514.06</v>
      </c>
      <c r="I35" s="440">
        <f>'[2]прил 12'!F42</f>
        <v>2846266</v>
      </c>
      <c r="J35" s="466">
        <v>3046120</v>
      </c>
      <c r="K35" s="604">
        <v>3046120</v>
      </c>
      <c r="L35" s="564">
        <f t="shared" si="0"/>
        <v>0</v>
      </c>
      <c r="M35" s="565">
        <f t="shared" si="1"/>
        <v>113.61879895561357</v>
      </c>
      <c r="N35" s="565">
        <f t="shared" si="2"/>
        <v>113.61879895561357</v>
      </c>
    </row>
    <row r="36" spans="1:14" ht="57.75" customHeight="1" outlineLevel="2" x14ac:dyDescent="0.3">
      <c r="A36" s="438" t="s">
        <v>30</v>
      </c>
      <c r="B36" s="439" t="s">
        <v>500</v>
      </c>
      <c r="C36" s="439" t="s">
        <v>31</v>
      </c>
      <c r="D36" s="539" t="s">
        <v>126</v>
      </c>
      <c r="E36" s="539" t="s">
        <v>6</v>
      </c>
      <c r="F36" s="540">
        <v>20028152.170000002</v>
      </c>
      <c r="G36" s="465">
        <f t="shared" ref="G36:K37" si="7">G37</f>
        <v>21208806</v>
      </c>
      <c r="H36" s="367">
        <v>14506752.189999999</v>
      </c>
      <c r="I36" s="440">
        <f t="shared" si="7"/>
        <v>22524109.440000001</v>
      </c>
      <c r="J36" s="465">
        <f t="shared" si="7"/>
        <v>23294985</v>
      </c>
      <c r="K36" s="603">
        <f t="shared" si="7"/>
        <v>23294985</v>
      </c>
      <c r="L36" s="564">
        <f t="shared" si="0"/>
        <v>0</v>
      </c>
      <c r="M36" s="565">
        <f t="shared" si="1"/>
        <v>109.83638117110412</v>
      </c>
      <c r="N36" s="565">
        <f t="shared" si="2"/>
        <v>109.83638117110412</v>
      </c>
    </row>
    <row r="37" spans="1:14" ht="34" outlineLevel="3" x14ac:dyDescent="0.3">
      <c r="A37" s="438" t="s">
        <v>132</v>
      </c>
      <c r="B37" s="439" t="s">
        <v>500</v>
      </c>
      <c r="C37" s="439" t="s">
        <v>31</v>
      </c>
      <c r="D37" s="539" t="s">
        <v>127</v>
      </c>
      <c r="E37" s="539" t="s">
        <v>6</v>
      </c>
      <c r="F37" s="540">
        <v>20028152.170000002</v>
      </c>
      <c r="G37" s="465">
        <f t="shared" si="7"/>
        <v>21208806</v>
      </c>
      <c r="H37" s="367">
        <v>14506752.189999999</v>
      </c>
      <c r="I37" s="440">
        <f t="shared" si="7"/>
        <v>22524109.440000001</v>
      </c>
      <c r="J37" s="465">
        <f t="shared" si="7"/>
        <v>23294985</v>
      </c>
      <c r="K37" s="603">
        <f t="shared" si="7"/>
        <v>23294985</v>
      </c>
      <c r="L37" s="564">
        <f t="shared" si="0"/>
        <v>0</v>
      </c>
      <c r="M37" s="565">
        <f t="shared" si="1"/>
        <v>109.83638117110412</v>
      </c>
      <c r="N37" s="565">
        <f t="shared" si="2"/>
        <v>109.83638117110412</v>
      </c>
    </row>
    <row r="38" spans="1:14" ht="57.25" customHeight="1" outlineLevel="5" x14ac:dyDescent="0.3">
      <c r="A38" s="438" t="s">
        <v>494</v>
      </c>
      <c r="B38" s="439" t="s">
        <v>500</v>
      </c>
      <c r="C38" s="439" t="s">
        <v>31</v>
      </c>
      <c r="D38" s="539" t="s">
        <v>495</v>
      </c>
      <c r="E38" s="539" t="s">
        <v>6</v>
      </c>
      <c r="F38" s="540">
        <v>20028152.170000002</v>
      </c>
      <c r="G38" s="465">
        <f>G39+G41</f>
        <v>21208806</v>
      </c>
      <c r="H38" s="367">
        <v>14506752.189999999</v>
      </c>
      <c r="I38" s="440">
        <f>I39+I41</f>
        <v>22524109.440000001</v>
      </c>
      <c r="J38" s="465">
        <f>J39+J41</f>
        <v>23294985</v>
      </c>
      <c r="K38" s="603">
        <f>K39+K41</f>
        <v>23294985</v>
      </c>
      <c r="L38" s="564">
        <f t="shared" si="0"/>
        <v>0</v>
      </c>
      <c r="M38" s="565">
        <f t="shared" si="1"/>
        <v>109.83638117110412</v>
      </c>
      <c r="N38" s="565">
        <f t="shared" si="2"/>
        <v>109.83638117110412</v>
      </c>
    </row>
    <row r="39" spans="1:14" ht="76.099999999999994" customHeight="1" outlineLevel="6" x14ac:dyDescent="0.3">
      <c r="A39" s="438" t="s">
        <v>11</v>
      </c>
      <c r="B39" s="439" t="s">
        <v>500</v>
      </c>
      <c r="C39" s="439" t="s">
        <v>31</v>
      </c>
      <c r="D39" s="539" t="s">
        <v>495</v>
      </c>
      <c r="E39" s="539" t="s">
        <v>12</v>
      </c>
      <c r="F39" s="540">
        <v>19944570.670000002</v>
      </c>
      <c r="G39" s="465">
        <f>G40</f>
        <v>21116806</v>
      </c>
      <c r="H39" s="367">
        <v>14437454.199999999</v>
      </c>
      <c r="I39" s="440">
        <f>I40</f>
        <v>22432109.440000001</v>
      </c>
      <c r="J39" s="465">
        <f>J40</f>
        <v>23192985</v>
      </c>
      <c r="K39" s="603">
        <f>K40</f>
        <v>23192985</v>
      </c>
      <c r="L39" s="564">
        <f t="shared" si="0"/>
        <v>0</v>
      </c>
      <c r="M39" s="565">
        <f t="shared" si="1"/>
        <v>109.83187987804595</v>
      </c>
      <c r="N39" s="565">
        <f t="shared" si="2"/>
        <v>109.83187987804595</v>
      </c>
    </row>
    <row r="40" spans="1:14" ht="34" outlineLevel="7" x14ac:dyDescent="0.3">
      <c r="A40" s="438" t="s">
        <v>13</v>
      </c>
      <c r="B40" s="439" t="s">
        <v>500</v>
      </c>
      <c r="C40" s="439" t="s">
        <v>31</v>
      </c>
      <c r="D40" s="539" t="s">
        <v>495</v>
      </c>
      <c r="E40" s="539" t="s">
        <v>14</v>
      </c>
      <c r="F40" s="540">
        <v>19944570.670000002</v>
      </c>
      <c r="G40" s="466">
        <f>[2]потребность!I47+165266-617796</f>
        <v>21116806</v>
      </c>
      <c r="H40" s="367">
        <v>14437454.199999999</v>
      </c>
      <c r="I40" s="442">
        <f>'[2]прил 12'!F47</f>
        <v>22432109.440000001</v>
      </c>
      <c r="J40" s="466">
        <f>23192985</f>
        <v>23192985</v>
      </c>
      <c r="K40" s="604">
        <f>23192985+683511-683511</f>
        <v>23192985</v>
      </c>
      <c r="L40" s="564">
        <f t="shared" si="0"/>
        <v>0</v>
      </c>
      <c r="M40" s="565">
        <f t="shared" si="1"/>
        <v>109.83187987804595</v>
      </c>
      <c r="N40" s="565">
        <f t="shared" si="2"/>
        <v>109.83187987804595</v>
      </c>
    </row>
    <row r="41" spans="1:14" ht="34" outlineLevel="6" x14ac:dyDescent="0.3">
      <c r="A41" s="438" t="s">
        <v>15</v>
      </c>
      <c r="B41" s="439" t="s">
        <v>500</v>
      </c>
      <c r="C41" s="439" t="s">
        <v>31</v>
      </c>
      <c r="D41" s="539" t="s">
        <v>495</v>
      </c>
      <c r="E41" s="539" t="s">
        <v>16</v>
      </c>
      <c r="F41" s="540">
        <v>83581.5</v>
      </c>
      <c r="G41" s="465">
        <f>G42</f>
        <v>92000</v>
      </c>
      <c r="H41" s="367">
        <v>69297.990000000005</v>
      </c>
      <c r="I41" s="440">
        <f>I42</f>
        <v>92000</v>
      </c>
      <c r="J41" s="465">
        <f>J42</f>
        <v>102000</v>
      </c>
      <c r="K41" s="603">
        <f>K42</f>
        <v>102000</v>
      </c>
      <c r="L41" s="564">
        <f t="shared" si="0"/>
        <v>0</v>
      </c>
      <c r="M41" s="565">
        <f t="shared" si="1"/>
        <v>110.8695652173913</v>
      </c>
      <c r="N41" s="565">
        <f t="shared" si="2"/>
        <v>110.86956521739131</v>
      </c>
    </row>
    <row r="42" spans="1:14" ht="21.25" customHeight="1" outlineLevel="7" x14ac:dyDescent="0.3">
      <c r="A42" s="438" t="s">
        <v>17</v>
      </c>
      <c r="B42" s="439" t="s">
        <v>500</v>
      </c>
      <c r="C42" s="439" t="s">
        <v>31</v>
      </c>
      <c r="D42" s="539" t="s">
        <v>495</v>
      </c>
      <c r="E42" s="539" t="s">
        <v>18</v>
      </c>
      <c r="F42" s="540">
        <v>83581.5</v>
      </c>
      <c r="G42" s="466">
        <v>92000</v>
      </c>
      <c r="H42" s="367">
        <v>69297.990000000005</v>
      </c>
      <c r="I42" s="442">
        <f>'[2]прил 12'!F49</f>
        <v>92000</v>
      </c>
      <c r="J42" s="466">
        <v>102000</v>
      </c>
      <c r="K42" s="604">
        <v>102000</v>
      </c>
      <c r="L42" s="564">
        <f t="shared" si="0"/>
        <v>0</v>
      </c>
      <c r="M42" s="565">
        <f t="shared" si="1"/>
        <v>110.8695652173913</v>
      </c>
      <c r="N42" s="565">
        <f t="shared" si="2"/>
        <v>110.86956521739131</v>
      </c>
    </row>
    <row r="43" spans="1:14" outlineLevel="7" x14ac:dyDescent="0.3">
      <c r="A43" s="438" t="s">
        <v>260</v>
      </c>
      <c r="B43" s="439" t="s">
        <v>500</v>
      </c>
      <c r="C43" s="439" t="s">
        <v>261</v>
      </c>
      <c r="D43" s="539" t="s">
        <v>126</v>
      </c>
      <c r="E43" s="539" t="s">
        <v>6</v>
      </c>
      <c r="F43" s="540">
        <v>5100</v>
      </c>
      <c r="G43" s="466">
        <f>G44</f>
        <v>219244</v>
      </c>
      <c r="H43" s="367">
        <v>183414</v>
      </c>
      <c r="I43" s="442">
        <f>I44</f>
        <v>13010</v>
      </c>
      <c r="J43" s="466">
        <f>J44</f>
        <v>12402</v>
      </c>
      <c r="K43" s="604">
        <f>K44</f>
        <v>12402</v>
      </c>
      <c r="L43" s="564">
        <f t="shared" si="0"/>
        <v>0</v>
      </c>
      <c r="M43" s="565">
        <f t="shared" si="1"/>
        <v>5.6567112440933389</v>
      </c>
      <c r="N43" s="565">
        <f t="shared" si="2"/>
        <v>5.6567112440933389</v>
      </c>
    </row>
    <row r="44" spans="1:14" ht="34" outlineLevel="7" x14ac:dyDescent="0.3">
      <c r="A44" s="438" t="s">
        <v>132</v>
      </c>
      <c r="B44" s="439" t="s">
        <v>500</v>
      </c>
      <c r="C44" s="439" t="s">
        <v>261</v>
      </c>
      <c r="D44" s="539" t="s">
        <v>127</v>
      </c>
      <c r="E44" s="539" t="s">
        <v>6</v>
      </c>
      <c r="F44" s="540">
        <v>5100</v>
      </c>
      <c r="G44" s="466">
        <f>G46</f>
        <v>219244</v>
      </c>
      <c r="H44" s="367">
        <v>183414</v>
      </c>
      <c r="I44" s="442">
        <f t="shared" ref="I44:K47" si="8">I45</f>
        <v>13010</v>
      </c>
      <c r="J44" s="466">
        <f t="shared" si="8"/>
        <v>12402</v>
      </c>
      <c r="K44" s="604">
        <f t="shared" si="8"/>
        <v>12402</v>
      </c>
      <c r="L44" s="564">
        <f t="shared" si="0"/>
        <v>0</v>
      </c>
      <c r="M44" s="565">
        <f t="shared" si="1"/>
        <v>5.6567112440933389</v>
      </c>
      <c r="N44" s="565">
        <f t="shared" si="2"/>
        <v>5.6567112440933389</v>
      </c>
    </row>
    <row r="45" spans="1:14" outlineLevel="7" x14ac:dyDescent="0.3">
      <c r="A45" s="438" t="s">
        <v>277</v>
      </c>
      <c r="B45" s="439" t="s">
        <v>500</v>
      </c>
      <c r="C45" s="439" t="s">
        <v>261</v>
      </c>
      <c r="D45" s="539" t="s">
        <v>276</v>
      </c>
      <c r="E45" s="539" t="s">
        <v>6</v>
      </c>
      <c r="F45" s="540">
        <v>5100</v>
      </c>
      <c r="G45" s="466">
        <f>G46</f>
        <v>219244</v>
      </c>
      <c r="H45" s="367">
        <v>183414</v>
      </c>
      <c r="I45" s="442">
        <f t="shared" si="8"/>
        <v>13010</v>
      </c>
      <c r="J45" s="466">
        <f t="shared" si="8"/>
        <v>12402</v>
      </c>
      <c r="K45" s="604">
        <f t="shared" si="8"/>
        <v>12402</v>
      </c>
      <c r="L45" s="564">
        <f t="shared" si="0"/>
        <v>0</v>
      </c>
      <c r="M45" s="565">
        <f t="shared" si="1"/>
        <v>5.6567112440933389</v>
      </c>
      <c r="N45" s="565">
        <f t="shared" si="2"/>
        <v>5.6567112440933389</v>
      </c>
    </row>
    <row r="46" spans="1:14" ht="95.3" customHeight="1" outlineLevel="7" x14ac:dyDescent="0.3">
      <c r="A46" s="453" t="s">
        <v>410</v>
      </c>
      <c r="B46" s="439" t="s">
        <v>500</v>
      </c>
      <c r="C46" s="439" t="s">
        <v>261</v>
      </c>
      <c r="D46" s="539" t="s">
        <v>285</v>
      </c>
      <c r="E46" s="539" t="s">
        <v>6</v>
      </c>
      <c r="F46" s="540">
        <v>5100</v>
      </c>
      <c r="G46" s="466">
        <f>G47</f>
        <v>219244</v>
      </c>
      <c r="H46" s="367">
        <v>183414</v>
      </c>
      <c r="I46" s="442">
        <f t="shared" si="8"/>
        <v>13010</v>
      </c>
      <c r="J46" s="466">
        <f t="shared" si="8"/>
        <v>12402</v>
      </c>
      <c r="K46" s="604">
        <f t="shared" si="8"/>
        <v>12402</v>
      </c>
      <c r="L46" s="564">
        <f t="shared" si="0"/>
        <v>0</v>
      </c>
      <c r="M46" s="565">
        <f t="shared" si="1"/>
        <v>5.6567112440933389</v>
      </c>
      <c r="N46" s="565">
        <f t="shared" si="2"/>
        <v>5.6567112440933389</v>
      </c>
    </row>
    <row r="47" spans="1:14" ht="34" outlineLevel="7" x14ac:dyDescent="0.3">
      <c r="A47" s="438" t="s">
        <v>15</v>
      </c>
      <c r="B47" s="439" t="s">
        <v>500</v>
      </c>
      <c r="C47" s="439" t="s">
        <v>261</v>
      </c>
      <c r="D47" s="539" t="s">
        <v>285</v>
      </c>
      <c r="E47" s="539" t="s">
        <v>16</v>
      </c>
      <c r="F47" s="540">
        <v>5100</v>
      </c>
      <c r="G47" s="466">
        <f>G48</f>
        <v>219244</v>
      </c>
      <c r="H47" s="367">
        <v>183414</v>
      </c>
      <c r="I47" s="442">
        <f t="shared" si="8"/>
        <v>13010</v>
      </c>
      <c r="J47" s="466">
        <f t="shared" si="8"/>
        <v>12402</v>
      </c>
      <c r="K47" s="604">
        <f t="shared" si="8"/>
        <v>12402</v>
      </c>
      <c r="L47" s="564">
        <f t="shared" si="0"/>
        <v>0</v>
      </c>
      <c r="M47" s="565">
        <f t="shared" si="1"/>
        <v>5.6567112440933389</v>
      </c>
      <c r="N47" s="565">
        <f t="shared" si="2"/>
        <v>5.6567112440933389</v>
      </c>
    </row>
    <row r="48" spans="1:14" ht="19.55" customHeight="1" outlineLevel="7" x14ac:dyDescent="0.3">
      <c r="A48" s="438" t="s">
        <v>17</v>
      </c>
      <c r="B48" s="439" t="s">
        <v>500</v>
      </c>
      <c r="C48" s="439" t="s">
        <v>261</v>
      </c>
      <c r="D48" s="539" t="s">
        <v>285</v>
      </c>
      <c r="E48" s="539" t="s">
        <v>18</v>
      </c>
      <c r="F48" s="540">
        <v>5100</v>
      </c>
      <c r="G48" s="465">
        <v>219244</v>
      </c>
      <c r="H48" s="367">
        <v>183414</v>
      </c>
      <c r="I48" s="440">
        <v>13010</v>
      </c>
      <c r="J48" s="466">
        <v>12402</v>
      </c>
      <c r="K48" s="604">
        <v>12402</v>
      </c>
      <c r="L48" s="564">
        <f t="shared" si="0"/>
        <v>0</v>
      </c>
      <c r="M48" s="565">
        <f t="shared" si="1"/>
        <v>5.6567112440933389</v>
      </c>
      <c r="N48" s="565">
        <f t="shared" si="2"/>
        <v>5.6567112440933389</v>
      </c>
    </row>
    <row r="49" spans="1:14" ht="36.700000000000003" customHeight="1" outlineLevel="2" x14ac:dyDescent="0.3">
      <c r="A49" s="438" t="s">
        <v>9</v>
      </c>
      <c r="B49" s="439" t="s">
        <v>500</v>
      </c>
      <c r="C49" s="439" t="s">
        <v>10</v>
      </c>
      <c r="D49" s="539" t="s">
        <v>126</v>
      </c>
      <c r="E49" s="539" t="s">
        <v>6</v>
      </c>
      <c r="F49" s="540">
        <v>703771.03</v>
      </c>
      <c r="G49" s="465">
        <f t="shared" ref="G49:K52" si="9">G50</f>
        <v>799829</v>
      </c>
      <c r="H49" s="367">
        <v>493755.27</v>
      </c>
      <c r="I49" s="440">
        <f t="shared" si="9"/>
        <v>825175</v>
      </c>
      <c r="J49" s="465">
        <f t="shared" si="9"/>
        <v>845370</v>
      </c>
      <c r="K49" s="603">
        <f t="shared" si="9"/>
        <v>845370</v>
      </c>
      <c r="L49" s="564">
        <f t="shared" si="0"/>
        <v>0</v>
      </c>
      <c r="M49" s="565">
        <f t="shared" si="1"/>
        <v>105.69384205874006</v>
      </c>
      <c r="N49" s="565">
        <f t="shared" si="2"/>
        <v>105.69384205874006</v>
      </c>
    </row>
    <row r="50" spans="1:14" ht="34" outlineLevel="4" x14ac:dyDescent="0.3">
      <c r="A50" s="438" t="s">
        <v>132</v>
      </c>
      <c r="B50" s="439" t="s">
        <v>500</v>
      </c>
      <c r="C50" s="439" t="s">
        <v>10</v>
      </c>
      <c r="D50" s="539" t="s">
        <v>127</v>
      </c>
      <c r="E50" s="539" t="s">
        <v>6</v>
      </c>
      <c r="F50" s="540">
        <v>703771.03</v>
      </c>
      <c r="G50" s="465">
        <f t="shared" si="9"/>
        <v>799829</v>
      </c>
      <c r="H50" s="367">
        <v>493755.27</v>
      </c>
      <c r="I50" s="440">
        <f t="shared" si="9"/>
        <v>825175</v>
      </c>
      <c r="J50" s="465">
        <f t="shared" si="9"/>
        <v>845370</v>
      </c>
      <c r="K50" s="603">
        <f t="shared" si="9"/>
        <v>845370</v>
      </c>
      <c r="L50" s="564">
        <f t="shared" si="0"/>
        <v>0</v>
      </c>
      <c r="M50" s="565">
        <f t="shared" si="1"/>
        <v>105.69384205874006</v>
      </c>
      <c r="N50" s="565">
        <f t="shared" si="2"/>
        <v>105.69384205874006</v>
      </c>
    </row>
    <row r="51" spans="1:14" ht="34" outlineLevel="5" x14ac:dyDescent="0.3">
      <c r="A51" s="438" t="s">
        <v>498</v>
      </c>
      <c r="B51" s="439" t="s">
        <v>500</v>
      </c>
      <c r="C51" s="439" t="s">
        <v>10</v>
      </c>
      <c r="D51" s="539" t="s">
        <v>537</v>
      </c>
      <c r="E51" s="539" t="s">
        <v>6</v>
      </c>
      <c r="F51" s="540">
        <v>703771.03</v>
      </c>
      <c r="G51" s="465">
        <f t="shared" si="9"/>
        <v>799829</v>
      </c>
      <c r="H51" s="367">
        <v>493755.27</v>
      </c>
      <c r="I51" s="440">
        <f t="shared" si="9"/>
        <v>825175</v>
      </c>
      <c r="J51" s="465">
        <f t="shared" si="9"/>
        <v>845370</v>
      </c>
      <c r="K51" s="603">
        <f t="shared" si="9"/>
        <v>845370</v>
      </c>
      <c r="L51" s="564">
        <f t="shared" si="0"/>
        <v>0</v>
      </c>
      <c r="M51" s="565">
        <f t="shared" si="1"/>
        <v>105.69384205874006</v>
      </c>
      <c r="N51" s="565">
        <f t="shared" si="2"/>
        <v>105.69384205874006</v>
      </c>
    </row>
    <row r="52" spans="1:14" ht="84.9" outlineLevel="6" x14ac:dyDescent="0.3">
      <c r="A52" s="438" t="s">
        <v>11</v>
      </c>
      <c r="B52" s="439" t="s">
        <v>500</v>
      </c>
      <c r="C52" s="439" t="s">
        <v>10</v>
      </c>
      <c r="D52" s="539" t="s">
        <v>537</v>
      </c>
      <c r="E52" s="539" t="s">
        <v>12</v>
      </c>
      <c r="F52" s="540">
        <v>703771.03</v>
      </c>
      <c r="G52" s="465">
        <f t="shared" si="9"/>
        <v>799829</v>
      </c>
      <c r="H52" s="367">
        <v>493755.27</v>
      </c>
      <c r="I52" s="440">
        <f t="shared" si="9"/>
        <v>825175</v>
      </c>
      <c r="J52" s="465">
        <f t="shared" si="9"/>
        <v>845370</v>
      </c>
      <c r="K52" s="603">
        <f t="shared" si="9"/>
        <v>845370</v>
      </c>
      <c r="L52" s="564">
        <f t="shared" si="0"/>
        <v>0</v>
      </c>
      <c r="M52" s="565">
        <f t="shared" si="1"/>
        <v>105.69384205874006</v>
      </c>
      <c r="N52" s="565">
        <f t="shared" si="2"/>
        <v>105.69384205874006</v>
      </c>
    </row>
    <row r="53" spans="1:14" ht="34" outlineLevel="7" x14ac:dyDescent="0.3">
      <c r="A53" s="438" t="s">
        <v>13</v>
      </c>
      <c r="B53" s="439" t="s">
        <v>500</v>
      </c>
      <c r="C53" s="439" t="s">
        <v>10</v>
      </c>
      <c r="D53" s="539" t="s">
        <v>537</v>
      </c>
      <c r="E53" s="539" t="s">
        <v>14</v>
      </c>
      <c r="F53" s="540">
        <v>703771.03</v>
      </c>
      <c r="G53" s="465">
        <f>825175-25346</f>
        <v>799829</v>
      </c>
      <c r="H53" s="367">
        <v>493755.27</v>
      </c>
      <c r="I53" s="440">
        <f>'[2]прил 12'!F60</f>
        <v>825175</v>
      </c>
      <c r="J53" s="466">
        <v>845370</v>
      </c>
      <c r="K53" s="604">
        <v>845370</v>
      </c>
      <c r="L53" s="564">
        <f t="shared" si="0"/>
        <v>0</v>
      </c>
      <c r="M53" s="565">
        <f t="shared" si="1"/>
        <v>105.69384205874006</v>
      </c>
      <c r="N53" s="565">
        <f t="shared" si="2"/>
        <v>105.69384205874006</v>
      </c>
    </row>
    <row r="54" spans="1:14" outlineLevel="7" x14ac:dyDescent="0.3">
      <c r="A54" s="438" t="s">
        <v>698</v>
      </c>
      <c r="B54" s="439" t="s">
        <v>500</v>
      </c>
      <c r="C54" s="439" t="s">
        <v>695</v>
      </c>
      <c r="D54" s="539" t="s">
        <v>126</v>
      </c>
      <c r="E54" s="539" t="s">
        <v>6</v>
      </c>
      <c r="F54" s="540">
        <v>0</v>
      </c>
      <c r="G54" s="465">
        <f t="shared" ref="G54:K57" si="10">G55</f>
        <v>2187954.4500000002</v>
      </c>
      <c r="H54" s="367"/>
      <c r="I54" s="440">
        <f t="shared" si="10"/>
        <v>0</v>
      </c>
      <c r="J54" s="465">
        <f t="shared" si="10"/>
        <v>12000000</v>
      </c>
      <c r="K54" s="603">
        <f t="shared" si="10"/>
        <v>12000000</v>
      </c>
      <c r="L54" s="564">
        <f t="shared" si="0"/>
        <v>0</v>
      </c>
      <c r="M54" s="565">
        <f t="shared" si="1"/>
        <v>548.4574873119501</v>
      </c>
      <c r="N54" s="565">
        <f t="shared" si="2"/>
        <v>548.4574873119501</v>
      </c>
    </row>
    <row r="55" spans="1:14" ht="34" outlineLevel="7" x14ac:dyDescent="0.3">
      <c r="A55" s="438" t="s">
        <v>132</v>
      </c>
      <c r="B55" s="439" t="s">
        <v>500</v>
      </c>
      <c r="C55" s="439" t="s">
        <v>695</v>
      </c>
      <c r="D55" s="539" t="s">
        <v>127</v>
      </c>
      <c r="E55" s="539" t="s">
        <v>6</v>
      </c>
      <c r="F55" s="540">
        <v>0</v>
      </c>
      <c r="G55" s="465">
        <f t="shared" si="10"/>
        <v>2187954.4500000002</v>
      </c>
      <c r="H55" s="441"/>
      <c r="I55" s="440">
        <f t="shared" si="10"/>
        <v>0</v>
      </c>
      <c r="J55" s="465">
        <f t="shared" si="10"/>
        <v>12000000</v>
      </c>
      <c r="K55" s="603">
        <f t="shared" si="10"/>
        <v>12000000</v>
      </c>
      <c r="L55" s="564">
        <f t="shared" si="0"/>
        <v>0</v>
      </c>
      <c r="M55" s="565">
        <f t="shared" si="1"/>
        <v>548.4574873119501</v>
      </c>
      <c r="N55" s="565">
        <f t="shared" si="2"/>
        <v>548.4574873119501</v>
      </c>
    </row>
    <row r="56" spans="1:14" ht="34" outlineLevel="7" x14ac:dyDescent="0.3">
      <c r="A56" s="438" t="s">
        <v>526</v>
      </c>
      <c r="B56" s="439" t="s">
        <v>500</v>
      </c>
      <c r="C56" s="439" t="s">
        <v>695</v>
      </c>
      <c r="D56" s="539" t="s">
        <v>539</v>
      </c>
      <c r="E56" s="539" t="s">
        <v>6</v>
      </c>
      <c r="F56" s="540">
        <v>0</v>
      </c>
      <c r="G56" s="465">
        <f t="shared" si="10"/>
        <v>2187954.4500000002</v>
      </c>
      <c r="H56" s="441"/>
      <c r="I56" s="440">
        <f t="shared" si="10"/>
        <v>0</v>
      </c>
      <c r="J56" s="465">
        <f t="shared" si="10"/>
        <v>12000000</v>
      </c>
      <c r="K56" s="603">
        <f t="shared" si="10"/>
        <v>12000000</v>
      </c>
      <c r="L56" s="564">
        <f t="shared" si="0"/>
        <v>0</v>
      </c>
      <c r="M56" s="565">
        <f t="shared" si="1"/>
        <v>548.4574873119501</v>
      </c>
      <c r="N56" s="565">
        <f t="shared" si="2"/>
        <v>548.4574873119501</v>
      </c>
    </row>
    <row r="57" spans="1:14" outlineLevel="7" x14ac:dyDescent="0.3">
      <c r="A57" s="438" t="s">
        <v>19</v>
      </c>
      <c r="B57" s="439" t="s">
        <v>500</v>
      </c>
      <c r="C57" s="439" t="s">
        <v>695</v>
      </c>
      <c r="D57" s="539" t="s">
        <v>539</v>
      </c>
      <c r="E57" s="539" t="s">
        <v>20</v>
      </c>
      <c r="F57" s="540">
        <v>0</v>
      </c>
      <c r="G57" s="465">
        <f t="shared" si="10"/>
        <v>2187954.4500000002</v>
      </c>
      <c r="H57" s="441"/>
      <c r="I57" s="440">
        <f t="shared" si="10"/>
        <v>0</v>
      </c>
      <c r="J57" s="465">
        <f t="shared" si="10"/>
        <v>12000000</v>
      </c>
      <c r="K57" s="603">
        <f t="shared" si="10"/>
        <v>12000000</v>
      </c>
      <c r="L57" s="564">
        <f t="shared" si="0"/>
        <v>0</v>
      </c>
      <c r="M57" s="565">
        <f t="shared" si="1"/>
        <v>548.4574873119501</v>
      </c>
      <c r="N57" s="565">
        <f t="shared" si="2"/>
        <v>548.4574873119501</v>
      </c>
    </row>
    <row r="58" spans="1:14" outlineLevel="7" x14ac:dyDescent="0.3">
      <c r="A58" s="438" t="s">
        <v>696</v>
      </c>
      <c r="B58" s="439" t="s">
        <v>500</v>
      </c>
      <c r="C58" s="439" t="s">
        <v>695</v>
      </c>
      <c r="D58" s="539" t="s">
        <v>539</v>
      </c>
      <c r="E58" s="539" t="s">
        <v>694</v>
      </c>
      <c r="F58" s="540">
        <v>0</v>
      </c>
      <c r="G58" s="465">
        <v>2187954.4500000002</v>
      </c>
      <c r="H58" s="441"/>
      <c r="I58" s="440">
        <v>0</v>
      </c>
      <c r="J58" s="465">
        <v>12000000</v>
      </c>
      <c r="K58" s="603">
        <v>12000000</v>
      </c>
      <c r="L58" s="564">
        <f t="shared" si="0"/>
        <v>0</v>
      </c>
      <c r="M58" s="565">
        <f t="shared" si="1"/>
        <v>548.4574873119501</v>
      </c>
      <c r="N58" s="565">
        <f t="shared" si="2"/>
        <v>548.4574873119501</v>
      </c>
    </row>
    <row r="59" spans="1:14" outlineLevel="2" x14ac:dyDescent="0.3">
      <c r="A59" s="438" t="s">
        <v>23</v>
      </c>
      <c r="B59" s="439" t="s">
        <v>500</v>
      </c>
      <c r="C59" s="439" t="s">
        <v>24</v>
      </c>
      <c r="D59" s="539" t="s">
        <v>126</v>
      </c>
      <c r="E59" s="539" t="s">
        <v>6</v>
      </c>
      <c r="F59" s="540">
        <v>70902280.519999996</v>
      </c>
      <c r="G59" s="465">
        <f>G60+G85+G98+G90+G110+G105</f>
        <v>82322703.329999998</v>
      </c>
      <c r="H59" s="369">
        <v>60204370.20000001</v>
      </c>
      <c r="I59" s="440">
        <f>I60+I85+I98+I90+I110+I105</f>
        <v>72521978.530000001</v>
      </c>
      <c r="J59" s="465">
        <f>J60+J85+J98+J90+J110+J105</f>
        <v>83883020</v>
      </c>
      <c r="K59" s="603">
        <f>K60+K85+K98+K90+K110+K105</f>
        <v>75750412</v>
      </c>
      <c r="L59" s="564">
        <f t="shared" si="0"/>
        <v>-8132608</v>
      </c>
      <c r="M59" s="565">
        <f t="shared" si="1"/>
        <v>101.89536617103704</v>
      </c>
      <c r="N59" s="565">
        <f t="shared" si="2"/>
        <v>92.016429169418529</v>
      </c>
    </row>
    <row r="60" spans="1:14" s="449" customFormat="1" ht="37.549999999999997" customHeight="1" outlineLevel="3" x14ac:dyDescent="0.3">
      <c r="A60" s="444" t="s">
        <v>853</v>
      </c>
      <c r="B60" s="445" t="s">
        <v>500</v>
      </c>
      <c r="C60" s="445" t="s">
        <v>24</v>
      </c>
      <c r="D60" s="541" t="s">
        <v>128</v>
      </c>
      <c r="E60" s="541" t="s">
        <v>6</v>
      </c>
      <c r="F60" s="542">
        <v>22886854.309999999</v>
      </c>
      <c r="G60" s="508">
        <f>G61+G68+G76</f>
        <v>23474335</v>
      </c>
      <c r="H60" s="447">
        <f>H61+H68+H76</f>
        <v>14784021.529999999</v>
      </c>
      <c r="I60" s="446">
        <f>I61+I68+I76</f>
        <v>25030881.030000001</v>
      </c>
      <c r="J60" s="508">
        <f>J61+J68+J76</f>
        <v>26583813</v>
      </c>
      <c r="K60" s="606">
        <f>K61+K68+K76</f>
        <v>24712813</v>
      </c>
      <c r="L60" s="564">
        <f t="shared" si="0"/>
        <v>-1871000</v>
      </c>
      <c r="M60" s="565">
        <f t="shared" si="1"/>
        <v>113.24628791401332</v>
      </c>
      <c r="N60" s="565">
        <f t="shared" si="2"/>
        <v>105.27588108459729</v>
      </c>
    </row>
    <row r="61" spans="1:14" ht="39.25" customHeight="1" outlineLevel="7" x14ac:dyDescent="0.3">
      <c r="A61" s="438" t="s">
        <v>835</v>
      </c>
      <c r="B61" s="439" t="s">
        <v>500</v>
      </c>
      <c r="C61" s="439" t="s">
        <v>24</v>
      </c>
      <c r="D61" s="539" t="s">
        <v>315</v>
      </c>
      <c r="E61" s="539" t="s">
        <v>6</v>
      </c>
      <c r="F61" s="540">
        <v>796387</v>
      </c>
      <c r="G61" s="466">
        <f>G62+G65</f>
        <v>845385</v>
      </c>
      <c r="H61" s="442">
        <f>H62+H65</f>
        <v>20900</v>
      </c>
      <c r="I61" s="442">
        <f>I62+I65</f>
        <v>795385</v>
      </c>
      <c r="J61" s="466">
        <f>J62+J65</f>
        <v>845385</v>
      </c>
      <c r="K61" s="604">
        <f>K62+K65</f>
        <v>845385</v>
      </c>
      <c r="L61" s="564">
        <f t="shared" si="0"/>
        <v>0</v>
      </c>
      <c r="M61" s="565">
        <f t="shared" si="1"/>
        <v>100</v>
      </c>
      <c r="N61" s="565">
        <f t="shared" si="2"/>
        <v>100</v>
      </c>
    </row>
    <row r="62" spans="1:14" outlineLevel="7" x14ac:dyDescent="0.3">
      <c r="A62" s="438" t="s">
        <v>321</v>
      </c>
      <c r="B62" s="439" t="s">
        <v>500</v>
      </c>
      <c r="C62" s="439" t="s">
        <v>24</v>
      </c>
      <c r="D62" s="539" t="s">
        <v>316</v>
      </c>
      <c r="E62" s="539" t="s">
        <v>6</v>
      </c>
      <c r="F62" s="540">
        <v>628897</v>
      </c>
      <c r="G62" s="466">
        <f t="shared" ref="G62:K63" si="11">G63</f>
        <v>745385</v>
      </c>
      <c r="H62" s="442">
        <v>5100</v>
      </c>
      <c r="I62" s="442">
        <f t="shared" si="11"/>
        <v>745385</v>
      </c>
      <c r="J62" s="466">
        <f t="shared" si="11"/>
        <v>745385</v>
      </c>
      <c r="K62" s="604">
        <f t="shared" si="11"/>
        <v>745385</v>
      </c>
      <c r="L62" s="564">
        <f t="shared" si="0"/>
        <v>0</v>
      </c>
      <c r="M62" s="565">
        <f t="shared" si="1"/>
        <v>100</v>
      </c>
      <c r="N62" s="565">
        <f t="shared" si="2"/>
        <v>100</v>
      </c>
    </row>
    <row r="63" spans="1:14" ht="34" outlineLevel="7" x14ac:dyDescent="0.3">
      <c r="A63" s="438" t="s">
        <v>15</v>
      </c>
      <c r="B63" s="439" t="s">
        <v>500</v>
      </c>
      <c r="C63" s="439" t="s">
        <v>24</v>
      </c>
      <c r="D63" s="539" t="s">
        <v>316</v>
      </c>
      <c r="E63" s="539" t="s">
        <v>16</v>
      </c>
      <c r="F63" s="540">
        <v>628897</v>
      </c>
      <c r="G63" s="465">
        <f t="shared" si="11"/>
        <v>745385</v>
      </c>
      <c r="H63" s="370">
        <v>5100</v>
      </c>
      <c r="I63" s="440">
        <f t="shared" si="11"/>
        <v>745385</v>
      </c>
      <c r="J63" s="465">
        <f t="shared" si="11"/>
        <v>745385</v>
      </c>
      <c r="K63" s="603">
        <f t="shared" si="11"/>
        <v>745385</v>
      </c>
      <c r="L63" s="564">
        <f t="shared" si="0"/>
        <v>0</v>
      </c>
      <c r="M63" s="565">
        <f t="shared" si="1"/>
        <v>100</v>
      </c>
      <c r="N63" s="565">
        <f t="shared" si="2"/>
        <v>100</v>
      </c>
    </row>
    <row r="64" spans="1:14" ht="21.25" customHeight="1" outlineLevel="7" x14ac:dyDescent="0.3">
      <c r="A64" s="438" t="s">
        <v>17</v>
      </c>
      <c r="B64" s="439" t="s">
        <v>500</v>
      </c>
      <c r="C64" s="439" t="s">
        <v>24</v>
      </c>
      <c r="D64" s="539" t="s">
        <v>316</v>
      </c>
      <c r="E64" s="539" t="s">
        <v>18</v>
      </c>
      <c r="F64" s="540">
        <v>628897</v>
      </c>
      <c r="G64" s="466">
        <v>745385</v>
      </c>
      <c r="H64" s="370">
        <v>5100</v>
      </c>
      <c r="I64" s="442">
        <f>'[2]прил 12'!F71</f>
        <v>745385</v>
      </c>
      <c r="J64" s="466">
        <v>745385</v>
      </c>
      <c r="K64" s="604">
        <v>745385</v>
      </c>
      <c r="L64" s="564">
        <f t="shared" si="0"/>
        <v>0</v>
      </c>
      <c r="M64" s="565">
        <f t="shared" si="1"/>
        <v>100</v>
      </c>
      <c r="N64" s="565">
        <f t="shared" si="2"/>
        <v>100</v>
      </c>
    </row>
    <row r="65" spans="1:14" outlineLevel="7" x14ac:dyDescent="0.3">
      <c r="A65" s="438" t="s">
        <v>322</v>
      </c>
      <c r="B65" s="439" t="s">
        <v>500</v>
      </c>
      <c r="C65" s="439" t="s">
        <v>24</v>
      </c>
      <c r="D65" s="539" t="s">
        <v>323</v>
      </c>
      <c r="E65" s="539" t="s">
        <v>6</v>
      </c>
      <c r="F65" s="540">
        <v>167490</v>
      </c>
      <c r="G65" s="466">
        <f t="shared" ref="G65:K66" si="12">G66</f>
        <v>100000</v>
      </c>
      <c r="H65" s="370">
        <v>15800</v>
      </c>
      <c r="I65" s="442">
        <f t="shared" si="12"/>
        <v>50000</v>
      </c>
      <c r="J65" s="466">
        <f t="shared" si="12"/>
        <v>100000</v>
      </c>
      <c r="K65" s="604">
        <f t="shared" si="12"/>
        <v>100000</v>
      </c>
      <c r="L65" s="564">
        <f t="shared" si="0"/>
        <v>0</v>
      </c>
      <c r="M65" s="565">
        <f t="shared" si="1"/>
        <v>100</v>
      </c>
      <c r="N65" s="565">
        <f t="shared" si="2"/>
        <v>100</v>
      </c>
    </row>
    <row r="66" spans="1:14" ht="34" outlineLevel="7" x14ac:dyDescent="0.3">
      <c r="A66" s="438" t="s">
        <v>15</v>
      </c>
      <c r="B66" s="439" t="s">
        <v>500</v>
      </c>
      <c r="C66" s="439" t="s">
        <v>24</v>
      </c>
      <c r="D66" s="539" t="s">
        <v>323</v>
      </c>
      <c r="E66" s="539" t="s">
        <v>16</v>
      </c>
      <c r="F66" s="540">
        <v>167490</v>
      </c>
      <c r="G66" s="465">
        <f t="shared" si="12"/>
        <v>100000</v>
      </c>
      <c r="H66" s="370">
        <v>15800</v>
      </c>
      <c r="I66" s="440">
        <f t="shared" si="12"/>
        <v>50000</v>
      </c>
      <c r="J66" s="465">
        <f t="shared" si="12"/>
        <v>100000</v>
      </c>
      <c r="K66" s="603">
        <f t="shared" si="12"/>
        <v>100000</v>
      </c>
      <c r="L66" s="564">
        <f t="shared" si="0"/>
        <v>0</v>
      </c>
      <c r="M66" s="565">
        <f t="shared" si="1"/>
        <v>100</v>
      </c>
      <c r="N66" s="565">
        <f t="shared" si="2"/>
        <v>100</v>
      </c>
    </row>
    <row r="67" spans="1:14" ht="19.55" customHeight="1" outlineLevel="7" x14ac:dyDescent="0.3">
      <c r="A67" s="438" t="s">
        <v>17</v>
      </c>
      <c r="B67" s="439" t="s">
        <v>500</v>
      </c>
      <c r="C67" s="439" t="s">
        <v>24</v>
      </c>
      <c r="D67" s="539" t="s">
        <v>323</v>
      </c>
      <c r="E67" s="539" t="s">
        <v>18</v>
      </c>
      <c r="F67" s="540">
        <v>167490</v>
      </c>
      <c r="G67" s="465">
        <f>50000+50000</f>
        <v>100000</v>
      </c>
      <c r="H67" s="440">
        <v>15800</v>
      </c>
      <c r="I67" s="440">
        <f>'[2]прил 12'!F74</f>
        <v>50000</v>
      </c>
      <c r="J67" s="465">
        <f>50000+50000</f>
        <v>100000</v>
      </c>
      <c r="K67" s="603">
        <f>50000+50000</f>
        <v>100000</v>
      </c>
      <c r="L67" s="564">
        <f t="shared" si="0"/>
        <v>0</v>
      </c>
      <c r="M67" s="565">
        <f t="shared" si="1"/>
        <v>100</v>
      </c>
      <c r="N67" s="565">
        <f t="shared" si="2"/>
        <v>100</v>
      </c>
    </row>
    <row r="68" spans="1:14" ht="42.45" customHeight="1" outlineLevel="7" x14ac:dyDescent="0.3">
      <c r="A68" s="438" t="s">
        <v>216</v>
      </c>
      <c r="B68" s="439" t="s">
        <v>500</v>
      </c>
      <c r="C68" s="439" t="s">
        <v>24</v>
      </c>
      <c r="D68" s="539" t="s">
        <v>231</v>
      </c>
      <c r="E68" s="539" t="s">
        <v>6</v>
      </c>
      <c r="F68" s="540">
        <v>19431974.879999999</v>
      </c>
      <c r="G68" s="466">
        <f>G69</f>
        <v>21177850</v>
      </c>
      <c r="H68" s="443">
        <f>H69</f>
        <v>13917675.359999999</v>
      </c>
      <c r="I68" s="442">
        <f>I69</f>
        <v>22135496.030000001</v>
      </c>
      <c r="J68" s="466">
        <f>J69</f>
        <v>24287328</v>
      </c>
      <c r="K68" s="604">
        <f>K69</f>
        <v>22416328</v>
      </c>
      <c r="L68" s="564">
        <f t="shared" si="0"/>
        <v>-1871000</v>
      </c>
      <c r="M68" s="565">
        <f t="shared" si="1"/>
        <v>114.68268969701835</v>
      </c>
      <c r="N68" s="565">
        <f t="shared" si="2"/>
        <v>105.84798740193173</v>
      </c>
    </row>
    <row r="69" spans="1:14" ht="34" outlineLevel="5" x14ac:dyDescent="0.3">
      <c r="A69" s="438" t="s">
        <v>33</v>
      </c>
      <c r="B69" s="439" t="s">
        <v>500</v>
      </c>
      <c r="C69" s="439" t="s">
        <v>24</v>
      </c>
      <c r="D69" s="539" t="s">
        <v>130</v>
      </c>
      <c r="E69" s="539" t="s">
        <v>6</v>
      </c>
      <c r="F69" s="540">
        <v>19431974.879999999</v>
      </c>
      <c r="G69" s="465">
        <f>G70+G72+G74</f>
        <v>21177850</v>
      </c>
      <c r="H69" s="441">
        <f>H70+H72+H74</f>
        <v>13917675.359999999</v>
      </c>
      <c r="I69" s="440">
        <f>I70+I72+I74</f>
        <v>22135496.030000001</v>
      </c>
      <c r="J69" s="465">
        <f>J70+J72+J74</f>
        <v>24287328</v>
      </c>
      <c r="K69" s="603">
        <f>K70+K72+K74</f>
        <v>22416328</v>
      </c>
      <c r="L69" s="564">
        <f t="shared" si="0"/>
        <v>-1871000</v>
      </c>
      <c r="M69" s="565">
        <f t="shared" si="1"/>
        <v>114.68268969701835</v>
      </c>
      <c r="N69" s="565">
        <f t="shared" si="2"/>
        <v>105.84798740193173</v>
      </c>
    </row>
    <row r="70" spans="1:14" ht="72.7" customHeight="1" outlineLevel="6" x14ac:dyDescent="0.3">
      <c r="A70" s="438" t="s">
        <v>11</v>
      </c>
      <c r="B70" s="439" t="s">
        <v>500</v>
      </c>
      <c r="C70" s="439" t="s">
        <v>24</v>
      </c>
      <c r="D70" s="539" t="s">
        <v>130</v>
      </c>
      <c r="E70" s="539" t="s">
        <v>12</v>
      </c>
      <c r="F70" s="540">
        <v>9763033.2200000007</v>
      </c>
      <c r="G70" s="465">
        <f>G71</f>
        <v>11340000</v>
      </c>
      <c r="H70" s="370">
        <v>8110814.9500000002</v>
      </c>
      <c r="I70" s="440">
        <f>I71</f>
        <v>11334046.030000001</v>
      </c>
      <c r="J70" s="465">
        <f>J71</f>
        <v>11899000</v>
      </c>
      <c r="K70" s="603">
        <f>K71</f>
        <v>11899000</v>
      </c>
      <c r="L70" s="564">
        <f t="shared" si="0"/>
        <v>0</v>
      </c>
      <c r="M70" s="565">
        <f t="shared" si="1"/>
        <v>104.92945326278659</v>
      </c>
      <c r="N70" s="565">
        <f t="shared" si="2"/>
        <v>104.92945326278659</v>
      </c>
    </row>
    <row r="71" spans="1:14" outlineLevel="7" x14ac:dyDescent="0.3">
      <c r="A71" s="438" t="s">
        <v>34</v>
      </c>
      <c r="B71" s="439" t="s">
        <v>500</v>
      </c>
      <c r="C71" s="439" t="s">
        <v>24</v>
      </c>
      <c r="D71" s="539" t="s">
        <v>130</v>
      </c>
      <c r="E71" s="539" t="s">
        <v>35</v>
      </c>
      <c r="F71" s="540">
        <v>9763033.2200000007</v>
      </c>
      <c r="G71" s="466">
        <f>[2]потребность!I78+340000</f>
        <v>11340000</v>
      </c>
      <c r="H71" s="370">
        <v>8110814.9500000002</v>
      </c>
      <c r="I71" s="442">
        <f>'[2]прил 12'!F78</f>
        <v>11334046.030000001</v>
      </c>
      <c r="J71" s="466">
        <v>11899000</v>
      </c>
      <c r="K71" s="604">
        <v>11899000</v>
      </c>
      <c r="L71" s="564">
        <f t="shared" si="0"/>
        <v>0</v>
      </c>
      <c r="M71" s="565">
        <f t="shared" si="1"/>
        <v>104.92945326278659</v>
      </c>
      <c r="N71" s="565">
        <f t="shared" si="2"/>
        <v>104.92945326278659</v>
      </c>
    </row>
    <row r="72" spans="1:14" ht="34" outlineLevel="6" x14ac:dyDescent="0.3">
      <c r="A72" s="438" t="s">
        <v>15</v>
      </c>
      <c r="B72" s="439" t="s">
        <v>500</v>
      </c>
      <c r="C72" s="439" t="s">
        <v>24</v>
      </c>
      <c r="D72" s="539" t="s">
        <v>130</v>
      </c>
      <c r="E72" s="539" t="s">
        <v>16</v>
      </c>
      <c r="F72" s="540">
        <v>8912074.9000000004</v>
      </c>
      <c r="G72" s="465">
        <f>G73</f>
        <v>9036400</v>
      </c>
      <c r="H72" s="370">
        <v>5501055.75</v>
      </c>
      <c r="I72" s="440">
        <f>I73</f>
        <v>10000000</v>
      </c>
      <c r="J72" s="465">
        <f>J73</f>
        <v>11619820</v>
      </c>
      <c r="K72" s="603">
        <f>K73</f>
        <v>9748820</v>
      </c>
      <c r="L72" s="564">
        <f t="shared" ref="L72:L135" si="13">K72-J72</f>
        <v>-1871000</v>
      </c>
      <c r="M72" s="565">
        <f t="shared" ref="M72:M135" si="14">J72/G72%</f>
        <v>128.58903988313929</v>
      </c>
      <c r="N72" s="565">
        <f t="shared" ref="N72:N135" si="15">K72/G72*100</f>
        <v>107.88389181532469</v>
      </c>
    </row>
    <row r="73" spans="1:14" ht="21.25" customHeight="1" outlineLevel="7" x14ac:dyDescent="0.3">
      <c r="A73" s="438" t="s">
        <v>17</v>
      </c>
      <c r="B73" s="439" t="s">
        <v>500</v>
      </c>
      <c r="C73" s="439" t="s">
        <v>24</v>
      </c>
      <c r="D73" s="539" t="s">
        <v>130</v>
      </c>
      <c r="E73" s="539" t="s">
        <v>18</v>
      </c>
      <c r="F73" s="540">
        <v>8912074.9000000004</v>
      </c>
      <c r="G73" s="466">
        <f>[2]потребность!I80+36400</f>
        <v>9036400</v>
      </c>
      <c r="H73" s="370">
        <v>5501055.75</v>
      </c>
      <c r="I73" s="442">
        <f>'[2]прил 12'!F80</f>
        <v>10000000</v>
      </c>
      <c r="J73" s="465">
        <v>11619820</v>
      </c>
      <c r="K73" s="603">
        <f>J73-1871000</f>
        <v>9748820</v>
      </c>
      <c r="L73" s="564">
        <f t="shared" si="13"/>
        <v>-1871000</v>
      </c>
      <c r="M73" s="565">
        <f t="shared" si="14"/>
        <v>128.58903988313929</v>
      </c>
      <c r="N73" s="565">
        <f t="shared" si="15"/>
        <v>107.88389181532469</v>
      </c>
    </row>
    <row r="74" spans="1:14" outlineLevel="6" x14ac:dyDescent="0.3">
      <c r="A74" s="438" t="s">
        <v>19</v>
      </c>
      <c r="B74" s="439" t="s">
        <v>500</v>
      </c>
      <c r="C74" s="439" t="s">
        <v>24</v>
      </c>
      <c r="D74" s="539" t="s">
        <v>130</v>
      </c>
      <c r="E74" s="539" t="s">
        <v>20</v>
      </c>
      <c r="F74" s="540">
        <v>756866.76</v>
      </c>
      <c r="G74" s="465">
        <f>G75</f>
        <v>801450</v>
      </c>
      <c r="H74" s="370">
        <v>305804.65999999997</v>
      </c>
      <c r="I74" s="440">
        <f>I75</f>
        <v>801450</v>
      </c>
      <c r="J74" s="466">
        <v>768508</v>
      </c>
      <c r="K74" s="604">
        <v>768508</v>
      </c>
      <c r="L74" s="564">
        <f t="shared" si="13"/>
        <v>0</v>
      </c>
      <c r="M74" s="565">
        <f t="shared" si="14"/>
        <v>95.889699918896994</v>
      </c>
      <c r="N74" s="565">
        <f t="shared" si="15"/>
        <v>95.889699918896994</v>
      </c>
    </row>
    <row r="75" spans="1:14" outlineLevel="7" x14ac:dyDescent="0.3">
      <c r="A75" s="438" t="s">
        <v>21</v>
      </c>
      <c r="B75" s="439" t="s">
        <v>500</v>
      </c>
      <c r="C75" s="439" t="s">
        <v>24</v>
      </c>
      <c r="D75" s="539" t="s">
        <v>130</v>
      </c>
      <c r="E75" s="539" t="s">
        <v>22</v>
      </c>
      <c r="F75" s="543">
        <v>756866.76</v>
      </c>
      <c r="G75" s="466">
        <v>801450</v>
      </c>
      <c r="H75" s="370">
        <v>305804.65999999997</v>
      </c>
      <c r="I75" s="442">
        <f>'[2]прил 12'!F82</f>
        <v>801450</v>
      </c>
      <c r="J75" s="466">
        <v>768508</v>
      </c>
      <c r="K75" s="604">
        <v>768508</v>
      </c>
      <c r="L75" s="564">
        <f t="shared" si="13"/>
        <v>0</v>
      </c>
      <c r="M75" s="565">
        <f t="shared" si="14"/>
        <v>95.889699918896994</v>
      </c>
      <c r="N75" s="565">
        <f t="shared" si="15"/>
        <v>95.889699918896994</v>
      </c>
    </row>
    <row r="76" spans="1:14" ht="17.5" customHeight="1" outlineLevel="7" x14ac:dyDescent="0.3">
      <c r="A76" s="438" t="s">
        <v>748</v>
      </c>
      <c r="B76" s="439" t="s">
        <v>500</v>
      </c>
      <c r="C76" s="439" t="s">
        <v>24</v>
      </c>
      <c r="D76" s="539" t="s">
        <v>692</v>
      </c>
      <c r="E76" s="539" t="s">
        <v>6</v>
      </c>
      <c r="F76" s="540">
        <v>2692560</v>
      </c>
      <c r="G76" s="465">
        <f>G77+G80</f>
        <v>1451100</v>
      </c>
      <c r="H76" s="441">
        <f>H77+H80</f>
        <v>845446.17</v>
      </c>
      <c r="I76" s="440">
        <f>I77+I80</f>
        <v>2100000</v>
      </c>
      <c r="J76" s="465">
        <f>J77+J80</f>
        <v>1451100</v>
      </c>
      <c r="K76" s="603">
        <f>K77+K80</f>
        <v>1451100</v>
      </c>
      <c r="L76" s="564">
        <f t="shared" si="13"/>
        <v>0</v>
      </c>
      <c r="M76" s="565">
        <f t="shared" si="14"/>
        <v>100</v>
      </c>
      <c r="N76" s="565">
        <f t="shared" si="15"/>
        <v>100</v>
      </c>
    </row>
    <row r="77" spans="1:14" ht="34" outlineLevel="7" x14ac:dyDescent="0.3">
      <c r="A77" s="397" t="s">
        <v>717</v>
      </c>
      <c r="B77" s="439" t="s">
        <v>500</v>
      </c>
      <c r="C77" s="439" t="s">
        <v>24</v>
      </c>
      <c r="D77" s="539" t="s">
        <v>691</v>
      </c>
      <c r="E77" s="539" t="s">
        <v>6</v>
      </c>
      <c r="F77" s="540">
        <v>1601460</v>
      </c>
      <c r="G77" s="465">
        <f t="shared" ref="G77:K78" si="16">G78</f>
        <v>0</v>
      </c>
      <c r="H77" s="441">
        <f t="shared" si="16"/>
        <v>0</v>
      </c>
      <c r="I77" s="440">
        <f t="shared" si="16"/>
        <v>500000</v>
      </c>
      <c r="J77" s="465">
        <f t="shared" si="16"/>
        <v>0</v>
      </c>
      <c r="K77" s="603">
        <f t="shared" si="16"/>
        <v>0</v>
      </c>
      <c r="L77" s="564">
        <f t="shared" si="13"/>
        <v>0</v>
      </c>
      <c r="M77" s="565"/>
      <c r="N77" s="565"/>
    </row>
    <row r="78" spans="1:14" ht="34" outlineLevel="7" x14ac:dyDescent="0.3">
      <c r="A78" s="438" t="s">
        <v>15</v>
      </c>
      <c r="B78" s="439" t="s">
        <v>500</v>
      </c>
      <c r="C78" s="439" t="s">
        <v>24</v>
      </c>
      <c r="D78" s="539" t="s">
        <v>691</v>
      </c>
      <c r="E78" s="539" t="s">
        <v>16</v>
      </c>
      <c r="F78" s="540">
        <v>1601460</v>
      </c>
      <c r="G78" s="465">
        <f t="shared" si="16"/>
        <v>0</v>
      </c>
      <c r="H78" s="441">
        <f t="shared" si="16"/>
        <v>0</v>
      </c>
      <c r="I78" s="440">
        <f t="shared" si="16"/>
        <v>500000</v>
      </c>
      <c r="J78" s="465">
        <f t="shared" si="16"/>
        <v>0</v>
      </c>
      <c r="K78" s="603">
        <f t="shared" si="16"/>
        <v>0</v>
      </c>
      <c r="L78" s="564">
        <f t="shared" si="13"/>
        <v>0</v>
      </c>
      <c r="M78" s="565"/>
      <c r="N78" s="565"/>
    </row>
    <row r="79" spans="1:14" ht="34" outlineLevel="7" x14ac:dyDescent="0.3">
      <c r="A79" s="438" t="s">
        <v>17</v>
      </c>
      <c r="B79" s="439" t="s">
        <v>500</v>
      </c>
      <c r="C79" s="439" t="s">
        <v>24</v>
      </c>
      <c r="D79" s="539" t="s">
        <v>691</v>
      </c>
      <c r="E79" s="539" t="s">
        <v>18</v>
      </c>
      <c r="F79" s="540">
        <v>1601460</v>
      </c>
      <c r="G79" s="466">
        <v>0</v>
      </c>
      <c r="H79" s="443">
        <v>0</v>
      </c>
      <c r="I79" s="442">
        <f>'[2]прил 12'!F86</f>
        <v>500000</v>
      </c>
      <c r="J79" s="466">
        <v>0</v>
      </c>
      <c r="K79" s="604">
        <v>0</v>
      </c>
      <c r="L79" s="564">
        <f t="shared" si="13"/>
        <v>0</v>
      </c>
      <c r="M79" s="565"/>
      <c r="N79" s="565"/>
    </row>
    <row r="80" spans="1:14" ht="34" outlineLevel="7" x14ac:dyDescent="0.3">
      <c r="A80" s="438" t="s">
        <v>690</v>
      </c>
      <c r="B80" s="439" t="s">
        <v>500</v>
      </c>
      <c r="C80" s="439" t="s">
        <v>24</v>
      </c>
      <c r="D80" s="539" t="s">
        <v>689</v>
      </c>
      <c r="E80" s="539" t="s">
        <v>6</v>
      </c>
      <c r="F80" s="540">
        <v>1091100</v>
      </c>
      <c r="G80" s="465">
        <f>G83+G81</f>
        <v>1451100</v>
      </c>
      <c r="H80" s="441">
        <f>H83+H81</f>
        <v>845446.17</v>
      </c>
      <c r="I80" s="440">
        <f>I83+I81</f>
        <v>1600000</v>
      </c>
      <c r="J80" s="465">
        <f>J83+J81</f>
        <v>1451100</v>
      </c>
      <c r="K80" s="603">
        <f>K83+K81</f>
        <v>1451100</v>
      </c>
      <c r="L80" s="564">
        <f t="shared" si="13"/>
        <v>0</v>
      </c>
      <c r="M80" s="565">
        <f t="shared" si="14"/>
        <v>100</v>
      </c>
      <c r="N80" s="565">
        <f t="shared" si="15"/>
        <v>100</v>
      </c>
    </row>
    <row r="81" spans="1:14" ht="75.400000000000006" customHeight="1" outlineLevel="7" x14ac:dyDescent="0.3">
      <c r="A81" s="438" t="s">
        <v>11</v>
      </c>
      <c r="B81" s="439" t="s">
        <v>500</v>
      </c>
      <c r="C81" s="439" t="s">
        <v>24</v>
      </c>
      <c r="D81" s="539" t="s">
        <v>689</v>
      </c>
      <c r="E81" s="539" t="s">
        <v>12</v>
      </c>
      <c r="F81" s="540">
        <v>29000</v>
      </c>
      <c r="G81" s="465">
        <f>G82</f>
        <v>116000</v>
      </c>
      <c r="H81" s="370">
        <v>58000</v>
      </c>
      <c r="I81" s="440">
        <v>0</v>
      </c>
      <c r="J81" s="465">
        <f>J82</f>
        <v>116000</v>
      </c>
      <c r="K81" s="603">
        <f>K82</f>
        <v>116000</v>
      </c>
      <c r="L81" s="564">
        <f t="shared" si="13"/>
        <v>0</v>
      </c>
      <c r="M81" s="565">
        <f t="shared" si="14"/>
        <v>100</v>
      </c>
      <c r="N81" s="565">
        <f t="shared" si="15"/>
        <v>100</v>
      </c>
    </row>
    <row r="82" spans="1:14" ht="34" outlineLevel="7" x14ac:dyDescent="0.3">
      <c r="A82" s="438" t="s">
        <v>13</v>
      </c>
      <c r="B82" s="439" t="s">
        <v>500</v>
      </c>
      <c r="C82" s="439" t="s">
        <v>24</v>
      </c>
      <c r="D82" s="539" t="s">
        <v>689</v>
      </c>
      <c r="E82" s="539" t="s">
        <v>14</v>
      </c>
      <c r="F82" s="540">
        <v>29000</v>
      </c>
      <c r="G82" s="465">
        <v>116000</v>
      </c>
      <c r="H82" s="370">
        <v>58000</v>
      </c>
      <c r="I82" s="440">
        <v>0</v>
      </c>
      <c r="J82" s="465">
        <v>116000</v>
      </c>
      <c r="K82" s="603">
        <v>116000</v>
      </c>
      <c r="L82" s="564">
        <f t="shared" si="13"/>
        <v>0</v>
      </c>
      <c r="M82" s="565">
        <f t="shared" si="14"/>
        <v>100</v>
      </c>
      <c r="N82" s="565">
        <f t="shared" si="15"/>
        <v>100</v>
      </c>
    </row>
    <row r="83" spans="1:14" ht="34" outlineLevel="7" x14ac:dyDescent="0.3">
      <c r="A83" s="438" t="s">
        <v>15</v>
      </c>
      <c r="B83" s="439" t="s">
        <v>500</v>
      </c>
      <c r="C83" s="439" t="s">
        <v>24</v>
      </c>
      <c r="D83" s="539" t="s">
        <v>689</v>
      </c>
      <c r="E83" s="539" t="s">
        <v>16</v>
      </c>
      <c r="F83" s="540">
        <v>1062100</v>
      </c>
      <c r="G83" s="465">
        <f>G84</f>
        <v>1335100</v>
      </c>
      <c r="H83" s="370">
        <v>787446.17</v>
      </c>
      <c r="I83" s="440">
        <f>I84</f>
        <v>1600000</v>
      </c>
      <c r="J83" s="465">
        <f>J84</f>
        <v>1335100</v>
      </c>
      <c r="K83" s="603">
        <f>K84</f>
        <v>1335100</v>
      </c>
      <c r="L83" s="564">
        <f t="shared" si="13"/>
        <v>0</v>
      </c>
      <c r="M83" s="565">
        <f t="shared" si="14"/>
        <v>100</v>
      </c>
      <c r="N83" s="565">
        <f t="shared" si="15"/>
        <v>100</v>
      </c>
    </row>
    <row r="84" spans="1:14" ht="34" outlineLevel="7" x14ac:dyDescent="0.3">
      <c r="A84" s="438" t="s">
        <v>17</v>
      </c>
      <c r="B84" s="439" t="s">
        <v>500</v>
      </c>
      <c r="C84" s="439" t="s">
        <v>24</v>
      </c>
      <c r="D84" s="539" t="s">
        <v>689</v>
      </c>
      <c r="E84" s="539" t="s">
        <v>18</v>
      </c>
      <c r="F84" s="540">
        <v>1062100</v>
      </c>
      <c r="G84" s="466">
        <f>1451100-116000</f>
        <v>1335100</v>
      </c>
      <c r="H84" s="370">
        <v>787446.17</v>
      </c>
      <c r="I84" s="442">
        <f>'[2]прил 12'!F89</f>
        <v>1600000</v>
      </c>
      <c r="J84" s="466">
        <v>1335100</v>
      </c>
      <c r="K84" s="604">
        <v>1335100</v>
      </c>
      <c r="L84" s="564">
        <f t="shared" si="13"/>
        <v>0</v>
      </c>
      <c r="M84" s="565">
        <f t="shared" si="14"/>
        <v>100</v>
      </c>
      <c r="N84" s="565">
        <f t="shared" si="15"/>
        <v>100</v>
      </c>
    </row>
    <row r="85" spans="1:14" s="449" customFormat="1" ht="34" outlineLevel="7" x14ac:dyDescent="0.3">
      <c r="A85" s="444" t="s">
        <v>852</v>
      </c>
      <c r="B85" s="445" t="s">
        <v>500</v>
      </c>
      <c r="C85" s="445" t="s">
        <v>24</v>
      </c>
      <c r="D85" s="541" t="s">
        <v>131</v>
      </c>
      <c r="E85" s="541" t="s">
        <v>6</v>
      </c>
      <c r="F85" s="542">
        <v>64753.57</v>
      </c>
      <c r="G85" s="508">
        <f t="shared" ref="G85:K88" si="17">G86</f>
        <v>50000</v>
      </c>
      <c r="H85" s="446">
        <f t="shared" si="17"/>
        <v>49993.440000000002</v>
      </c>
      <c r="I85" s="446">
        <f t="shared" si="17"/>
        <v>50000</v>
      </c>
      <c r="J85" s="508">
        <f t="shared" si="17"/>
        <v>50000</v>
      </c>
      <c r="K85" s="606">
        <f t="shared" si="17"/>
        <v>50000</v>
      </c>
      <c r="L85" s="564">
        <f t="shared" si="13"/>
        <v>0</v>
      </c>
      <c r="M85" s="565">
        <f t="shared" si="14"/>
        <v>100</v>
      </c>
      <c r="N85" s="565">
        <f t="shared" si="15"/>
        <v>100</v>
      </c>
    </row>
    <row r="86" spans="1:14" outlineLevel="7" x14ac:dyDescent="0.3">
      <c r="A86" s="438" t="s">
        <v>324</v>
      </c>
      <c r="B86" s="439" t="s">
        <v>500</v>
      </c>
      <c r="C86" s="439" t="s">
        <v>24</v>
      </c>
      <c r="D86" s="539" t="s">
        <v>233</v>
      </c>
      <c r="E86" s="539" t="s">
        <v>6</v>
      </c>
      <c r="F86" s="540">
        <v>64753.57</v>
      </c>
      <c r="G86" s="465">
        <f t="shared" si="17"/>
        <v>50000</v>
      </c>
      <c r="H86" s="440">
        <f t="shared" si="17"/>
        <v>49993.440000000002</v>
      </c>
      <c r="I86" s="440">
        <f t="shared" si="17"/>
        <v>50000</v>
      </c>
      <c r="J86" s="465">
        <f t="shared" si="17"/>
        <v>50000</v>
      </c>
      <c r="K86" s="603">
        <f t="shared" si="17"/>
        <v>50000</v>
      </c>
      <c r="L86" s="564">
        <f t="shared" si="13"/>
        <v>0</v>
      </c>
      <c r="M86" s="565">
        <f t="shared" si="14"/>
        <v>100</v>
      </c>
      <c r="N86" s="565">
        <f t="shared" si="15"/>
        <v>100</v>
      </c>
    </row>
    <row r="87" spans="1:14" ht="34" outlineLevel="7" x14ac:dyDescent="0.3">
      <c r="A87" s="438" t="s">
        <v>325</v>
      </c>
      <c r="B87" s="439" t="s">
        <v>500</v>
      </c>
      <c r="C87" s="439" t="s">
        <v>24</v>
      </c>
      <c r="D87" s="539" t="s">
        <v>326</v>
      </c>
      <c r="E87" s="539" t="s">
        <v>6</v>
      </c>
      <c r="F87" s="540">
        <v>64753.57</v>
      </c>
      <c r="G87" s="465">
        <f t="shared" si="17"/>
        <v>50000</v>
      </c>
      <c r="H87" s="440">
        <f t="shared" si="17"/>
        <v>49993.440000000002</v>
      </c>
      <c r="I87" s="440">
        <f t="shared" si="17"/>
        <v>50000</v>
      </c>
      <c r="J87" s="465">
        <f t="shared" si="17"/>
        <v>50000</v>
      </c>
      <c r="K87" s="603">
        <f t="shared" si="17"/>
        <v>50000</v>
      </c>
      <c r="L87" s="564">
        <f t="shared" si="13"/>
        <v>0</v>
      </c>
      <c r="M87" s="565">
        <f t="shared" si="14"/>
        <v>100</v>
      </c>
      <c r="N87" s="565">
        <f t="shared" si="15"/>
        <v>100</v>
      </c>
    </row>
    <row r="88" spans="1:14" ht="34" outlineLevel="7" x14ac:dyDescent="0.3">
      <c r="A88" s="438" t="s">
        <v>15</v>
      </c>
      <c r="B88" s="439" t="s">
        <v>500</v>
      </c>
      <c r="C88" s="439" t="s">
        <v>24</v>
      </c>
      <c r="D88" s="539" t="s">
        <v>326</v>
      </c>
      <c r="E88" s="539" t="s">
        <v>16</v>
      </c>
      <c r="F88" s="540">
        <v>64753.57</v>
      </c>
      <c r="G88" s="465">
        <f t="shared" si="17"/>
        <v>50000</v>
      </c>
      <c r="H88" s="370">
        <v>49993.440000000002</v>
      </c>
      <c r="I88" s="440">
        <f t="shared" si="17"/>
        <v>50000</v>
      </c>
      <c r="J88" s="465">
        <f t="shared" si="17"/>
        <v>50000</v>
      </c>
      <c r="K88" s="603">
        <f t="shared" si="17"/>
        <v>50000</v>
      </c>
      <c r="L88" s="564">
        <f t="shared" si="13"/>
        <v>0</v>
      </c>
      <c r="M88" s="565">
        <f t="shared" si="14"/>
        <v>100</v>
      </c>
      <c r="N88" s="565">
        <f t="shared" si="15"/>
        <v>100</v>
      </c>
    </row>
    <row r="89" spans="1:14" ht="21.25" customHeight="1" outlineLevel="7" x14ac:dyDescent="0.3">
      <c r="A89" s="438" t="s">
        <v>17</v>
      </c>
      <c r="B89" s="439" t="s">
        <v>500</v>
      </c>
      <c r="C89" s="439" t="s">
        <v>24</v>
      </c>
      <c r="D89" s="539" t="s">
        <v>326</v>
      </c>
      <c r="E89" s="539" t="s">
        <v>18</v>
      </c>
      <c r="F89" s="540">
        <v>64753.57</v>
      </c>
      <c r="G89" s="466">
        <v>50000</v>
      </c>
      <c r="H89" s="370">
        <v>49993.440000000002</v>
      </c>
      <c r="I89" s="442">
        <f>'[2]прил 12'!F94</f>
        <v>50000</v>
      </c>
      <c r="J89" s="466">
        <f>'[2]прил 12'!G94</f>
        <v>50000</v>
      </c>
      <c r="K89" s="604">
        <v>50000</v>
      </c>
      <c r="L89" s="564">
        <f t="shared" si="13"/>
        <v>0</v>
      </c>
      <c r="M89" s="565">
        <f t="shared" si="14"/>
        <v>100</v>
      </c>
      <c r="N89" s="565">
        <f t="shared" si="15"/>
        <v>100</v>
      </c>
    </row>
    <row r="90" spans="1:14" s="449" customFormat="1" ht="38.25" customHeight="1" outlineLevel="7" x14ac:dyDescent="0.3">
      <c r="A90" s="444" t="s">
        <v>829</v>
      </c>
      <c r="B90" s="445" t="s">
        <v>500</v>
      </c>
      <c r="C90" s="445" t="s">
        <v>24</v>
      </c>
      <c r="D90" s="541" t="s">
        <v>317</v>
      </c>
      <c r="E90" s="541" t="s">
        <v>6</v>
      </c>
      <c r="F90" s="542">
        <v>1741444.5</v>
      </c>
      <c r="G90" s="508">
        <f>G91</f>
        <v>2144838</v>
      </c>
      <c r="H90" s="447">
        <f>H91</f>
        <v>1516751.94</v>
      </c>
      <c r="I90" s="446">
        <f>I91</f>
        <v>1544157.5</v>
      </c>
      <c r="J90" s="508">
        <f>J91</f>
        <v>6596010</v>
      </c>
      <c r="K90" s="606">
        <f>K91</f>
        <v>1291402</v>
      </c>
      <c r="L90" s="564">
        <f t="shared" si="13"/>
        <v>-5304608</v>
      </c>
      <c r="M90" s="565">
        <f t="shared" si="14"/>
        <v>307.52951971197825</v>
      </c>
      <c r="N90" s="565">
        <f t="shared" si="15"/>
        <v>60.209768756428225</v>
      </c>
    </row>
    <row r="91" spans="1:14" ht="21.25" customHeight="1" outlineLevel="7" x14ac:dyDescent="0.3">
      <c r="A91" s="450" t="s">
        <v>327</v>
      </c>
      <c r="B91" s="439" t="s">
        <v>500</v>
      </c>
      <c r="C91" s="439" t="s">
        <v>24</v>
      </c>
      <c r="D91" s="539" t="s">
        <v>318</v>
      </c>
      <c r="E91" s="539" t="s">
        <v>6</v>
      </c>
      <c r="F91" s="540">
        <v>1741444.5</v>
      </c>
      <c r="G91" s="465">
        <f>G92+G95</f>
        <v>2144838</v>
      </c>
      <c r="H91" s="441">
        <f>H92+H95</f>
        <v>1516751.94</v>
      </c>
      <c r="I91" s="440">
        <f>I92+I95</f>
        <v>1544157.5</v>
      </c>
      <c r="J91" s="465">
        <f>J92+J95</f>
        <v>6596010</v>
      </c>
      <c r="K91" s="603">
        <f>K92+K95</f>
        <v>1291402</v>
      </c>
      <c r="L91" s="564">
        <f t="shared" si="13"/>
        <v>-5304608</v>
      </c>
      <c r="M91" s="565">
        <f t="shared" si="14"/>
        <v>307.52951971197825</v>
      </c>
      <c r="N91" s="565">
        <f t="shared" si="15"/>
        <v>60.209768756428225</v>
      </c>
    </row>
    <row r="92" spans="1:14" ht="37.549999999999997" customHeight="1" outlineLevel="7" x14ac:dyDescent="0.3">
      <c r="A92" s="450" t="s">
        <v>328</v>
      </c>
      <c r="B92" s="439" t="s">
        <v>500</v>
      </c>
      <c r="C92" s="439" t="s">
        <v>24</v>
      </c>
      <c r="D92" s="539" t="s">
        <v>329</v>
      </c>
      <c r="E92" s="539" t="s">
        <v>6</v>
      </c>
      <c r="F92" s="540">
        <v>1700874.5</v>
      </c>
      <c r="G92" s="465">
        <f t="shared" ref="G92:K93" si="18">G93</f>
        <v>2100680.5</v>
      </c>
      <c r="H92" s="441">
        <f t="shared" si="18"/>
        <v>1496951.94</v>
      </c>
      <c r="I92" s="440">
        <f t="shared" si="18"/>
        <v>1500000</v>
      </c>
      <c r="J92" s="465">
        <f t="shared" si="18"/>
        <v>6550080</v>
      </c>
      <c r="K92" s="603">
        <f t="shared" si="18"/>
        <v>1245472</v>
      </c>
      <c r="L92" s="564">
        <f t="shared" si="13"/>
        <v>-5304608</v>
      </c>
      <c r="M92" s="565">
        <f t="shared" si="14"/>
        <v>311.80753094056899</v>
      </c>
      <c r="N92" s="565">
        <f t="shared" si="15"/>
        <v>59.288978024026029</v>
      </c>
    </row>
    <row r="93" spans="1:14" ht="34" outlineLevel="7" x14ac:dyDescent="0.3">
      <c r="A93" s="438" t="s">
        <v>15</v>
      </c>
      <c r="B93" s="439" t="s">
        <v>500</v>
      </c>
      <c r="C93" s="439" t="s">
        <v>24</v>
      </c>
      <c r="D93" s="539" t="s">
        <v>329</v>
      </c>
      <c r="E93" s="539" t="s">
        <v>16</v>
      </c>
      <c r="F93" s="540">
        <v>1700874.5</v>
      </c>
      <c r="G93" s="465">
        <f t="shared" si="18"/>
        <v>2100680.5</v>
      </c>
      <c r="H93" s="370">
        <v>1496951.94</v>
      </c>
      <c r="I93" s="440">
        <f t="shared" si="18"/>
        <v>1500000</v>
      </c>
      <c r="J93" s="465">
        <f t="shared" si="18"/>
        <v>6550080</v>
      </c>
      <c r="K93" s="603">
        <f t="shared" si="18"/>
        <v>1245472</v>
      </c>
      <c r="L93" s="564">
        <f t="shared" si="13"/>
        <v>-5304608</v>
      </c>
      <c r="M93" s="565">
        <f t="shared" si="14"/>
        <v>311.80753094056899</v>
      </c>
      <c r="N93" s="565">
        <f t="shared" si="15"/>
        <v>59.288978024026029</v>
      </c>
    </row>
    <row r="94" spans="1:14" ht="18.7" customHeight="1" outlineLevel="7" x14ac:dyDescent="0.3">
      <c r="A94" s="438" t="s">
        <v>17</v>
      </c>
      <c r="B94" s="439" t="s">
        <v>500</v>
      </c>
      <c r="C94" s="439" t="s">
        <v>24</v>
      </c>
      <c r="D94" s="539" t="s">
        <v>329</v>
      </c>
      <c r="E94" s="539" t="s">
        <v>18</v>
      </c>
      <c r="F94" s="540">
        <v>1700874.5</v>
      </c>
      <c r="G94" s="466">
        <f>[2]потребность!I99+659300+149040</f>
        <v>2100680.5</v>
      </c>
      <c r="H94" s="370">
        <v>1496951.94</v>
      </c>
      <c r="I94" s="442">
        <f>'[2]прил 12'!F99</f>
        <v>1500000</v>
      </c>
      <c r="J94" s="466">
        <v>6550080</v>
      </c>
      <c r="K94" s="604">
        <f>J94-5304608</f>
        <v>1245472</v>
      </c>
      <c r="L94" s="564">
        <f t="shared" si="13"/>
        <v>-5304608</v>
      </c>
      <c r="M94" s="565">
        <f t="shared" si="14"/>
        <v>311.80753094056899</v>
      </c>
      <c r="N94" s="565">
        <f t="shared" si="15"/>
        <v>59.288978024026029</v>
      </c>
    </row>
    <row r="95" spans="1:14" ht="34" outlineLevel="7" x14ac:dyDescent="0.3">
      <c r="A95" s="450" t="s">
        <v>330</v>
      </c>
      <c r="B95" s="439" t="s">
        <v>500</v>
      </c>
      <c r="C95" s="439" t="s">
        <v>24</v>
      </c>
      <c r="D95" s="539" t="s">
        <v>319</v>
      </c>
      <c r="E95" s="539" t="s">
        <v>6</v>
      </c>
      <c r="F95" s="540">
        <v>40570</v>
      </c>
      <c r="G95" s="465">
        <f t="shared" ref="G95:K96" si="19">G96</f>
        <v>44157.5</v>
      </c>
      <c r="H95" s="440">
        <f t="shared" si="19"/>
        <v>19800</v>
      </c>
      <c r="I95" s="440">
        <f t="shared" si="19"/>
        <v>44157.5</v>
      </c>
      <c r="J95" s="465">
        <f t="shared" si="19"/>
        <v>45930</v>
      </c>
      <c r="K95" s="603">
        <f t="shared" si="19"/>
        <v>45930</v>
      </c>
      <c r="L95" s="564">
        <f t="shared" si="13"/>
        <v>0</v>
      </c>
      <c r="M95" s="565">
        <f t="shared" si="14"/>
        <v>104.01404064994622</v>
      </c>
      <c r="N95" s="565">
        <f t="shared" si="15"/>
        <v>104.01404064994621</v>
      </c>
    </row>
    <row r="96" spans="1:14" ht="34" outlineLevel="7" x14ac:dyDescent="0.3">
      <c r="A96" s="438" t="s">
        <v>15</v>
      </c>
      <c r="B96" s="439" t="s">
        <v>500</v>
      </c>
      <c r="C96" s="439" t="s">
        <v>24</v>
      </c>
      <c r="D96" s="539" t="s">
        <v>319</v>
      </c>
      <c r="E96" s="539" t="s">
        <v>16</v>
      </c>
      <c r="F96" s="540">
        <v>40570</v>
      </c>
      <c r="G96" s="465">
        <f t="shared" si="19"/>
        <v>44157.5</v>
      </c>
      <c r="H96" s="370">
        <v>19800</v>
      </c>
      <c r="I96" s="440">
        <f t="shared" si="19"/>
        <v>44157.5</v>
      </c>
      <c r="J96" s="465">
        <f t="shared" si="19"/>
        <v>45930</v>
      </c>
      <c r="K96" s="603">
        <f t="shared" si="19"/>
        <v>45930</v>
      </c>
      <c r="L96" s="564">
        <f t="shared" si="13"/>
        <v>0</v>
      </c>
      <c r="M96" s="565">
        <f t="shared" si="14"/>
        <v>104.01404064994622</v>
      </c>
      <c r="N96" s="565">
        <f t="shared" si="15"/>
        <v>104.01404064994621</v>
      </c>
    </row>
    <row r="97" spans="1:14" ht="19.55" customHeight="1" outlineLevel="7" x14ac:dyDescent="0.3">
      <c r="A97" s="438" t="s">
        <v>17</v>
      </c>
      <c r="B97" s="439" t="s">
        <v>500</v>
      </c>
      <c r="C97" s="439" t="s">
        <v>24</v>
      </c>
      <c r="D97" s="539" t="s">
        <v>319</v>
      </c>
      <c r="E97" s="539" t="s">
        <v>18</v>
      </c>
      <c r="F97" s="540">
        <v>40570</v>
      </c>
      <c r="G97" s="465">
        <v>44157.5</v>
      </c>
      <c r="H97" s="370">
        <v>19800</v>
      </c>
      <c r="I97" s="440">
        <f>'[2]прил 12'!F102</f>
        <v>44157.5</v>
      </c>
      <c r="J97" s="466">
        <v>45930</v>
      </c>
      <c r="K97" s="604">
        <v>45930</v>
      </c>
      <c r="L97" s="564">
        <f t="shared" si="13"/>
        <v>0</v>
      </c>
      <c r="M97" s="565">
        <f t="shared" si="14"/>
        <v>104.01404064994622</v>
      </c>
      <c r="N97" s="565">
        <f t="shared" si="15"/>
        <v>104.01404064994621</v>
      </c>
    </row>
    <row r="98" spans="1:14" s="449" customFormat="1" ht="50.95" outlineLevel="7" x14ac:dyDescent="0.3">
      <c r="A98" s="444" t="s">
        <v>851</v>
      </c>
      <c r="B98" s="445" t="s">
        <v>500</v>
      </c>
      <c r="C98" s="445" t="s">
        <v>24</v>
      </c>
      <c r="D98" s="541" t="s">
        <v>331</v>
      </c>
      <c r="E98" s="541" t="s">
        <v>6</v>
      </c>
      <c r="F98" s="542">
        <v>4246490.3</v>
      </c>
      <c r="G98" s="508">
        <f t="shared" ref="G98:K99" si="20">G99</f>
        <v>3440000</v>
      </c>
      <c r="H98" s="447">
        <f t="shared" si="20"/>
        <v>2212084.09</v>
      </c>
      <c r="I98" s="446">
        <f t="shared" si="20"/>
        <v>1600000</v>
      </c>
      <c r="J98" s="508">
        <f t="shared" si="20"/>
        <v>3717000</v>
      </c>
      <c r="K98" s="606">
        <f t="shared" si="20"/>
        <v>2760000</v>
      </c>
      <c r="L98" s="564">
        <f t="shared" si="13"/>
        <v>-957000</v>
      </c>
      <c r="M98" s="565">
        <f t="shared" si="14"/>
        <v>108.05232558139535</v>
      </c>
      <c r="N98" s="565">
        <f t="shared" si="15"/>
        <v>80.232558139534888</v>
      </c>
    </row>
    <row r="99" spans="1:14" ht="34" outlineLevel="7" x14ac:dyDescent="0.3">
      <c r="A99" s="438" t="s">
        <v>215</v>
      </c>
      <c r="B99" s="439" t="s">
        <v>500</v>
      </c>
      <c r="C99" s="439" t="s">
        <v>24</v>
      </c>
      <c r="D99" s="539" t="s">
        <v>332</v>
      </c>
      <c r="E99" s="539" t="s">
        <v>6</v>
      </c>
      <c r="F99" s="540">
        <v>4246490.3</v>
      </c>
      <c r="G99" s="465">
        <f t="shared" si="20"/>
        <v>3440000</v>
      </c>
      <c r="H99" s="441">
        <f t="shared" si="20"/>
        <v>2212084.09</v>
      </c>
      <c r="I99" s="440">
        <f t="shared" si="20"/>
        <v>1600000</v>
      </c>
      <c r="J99" s="465">
        <f t="shared" si="20"/>
        <v>3717000</v>
      </c>
      <c r="K99" s="603">
        <f t="shared" si="20"/>
        <v>2760000</v>
      </c>
      <c r="L99" s="564">
        <f t="shared" si="13"/>
        <v>-957000</v>
      </c>
      <c r="M99" s="565">
        <f t="shared" si="14"/>
        <v>108.05232558139535</v>
      </c>
      <c r="N99" s="565">
        <f t="shared" si="15"/>
        <v>80.232558139534888</v>
      </c>
    </row>
    <row r="100" spans="1:14" ht="50.95" outlineLevel="5" x14ac:dyDescent="0.3">
      <c r="A100" s="438" t="s">
        <v>32</v>
      </c>
      <c r="B100" s="439" t="s">
        <v>500</v>
      </c>
      <c r="C100" s="439" t="s">
        <v>24</v>
      </c>
      <c r="D100" s="539" t="s">
        <v>333</v>
      </c>
      <c r="E100" s="539" t="s">
        <v>6</v>
      </c>
      <c r="F100" s="540">
        <v>4246490.3</v>
      </c>
      <c r="G100" s="465">
        <f>G101+G103</f>
        <v>3440000</v>
      </c>
      <c r="H100" s="441">
        <f>H101+H103</f>
        <v>2212084.09</v>
      </c>
      <c r="I100" s="440">
        <f>I101+I103</f>
        <v>1600000</v>
      </c>
      <c r="J100" s="465">
        <f>J101+J103</f>
        <v>3717000</v>
      </c>
      <c r="K100" s="603">
        <f>K101+K103</f>
        <v>2760000</v>
      </c>
      <c r="L100" s="564">
        <f t="shared" si="13"/>
        <v>-957000</v>
      </c>
      <c r="M100" s="565">
        <f t="shared" si="14"/>
        <v>108.05232558139535</v>
      </c>
      <c r="N100" s="565">
        <f t="shared" si="15"/>
        <v>80.232558139534888</v>
      </c>
    </row>
    <row r="101" spans="1:14" ht="34" outlineLevel="6" x14ac:dyDescent="0.3">
      <c r="A101" s="438" t="s">
        <v>15</v>
      </c>
      <c r="B101" s="439" t="s">
        <v>500</v>
      </c>
      <c r="C101" s="439" t="s">
        <v>24</v>
      </c>
      <c r="D101" s="539" t="s">
        <v>333</v>
      </c>
      <c r="E101" s="539" t="s">
        <v>16</v>
      </c>
      <c r="F101" s="540">
        <v>4146490.3</v>
      </c>
      <c r="G101" s="465">
        <f>G102</f>
        <v>3300000</v>
      </c>
      <c r="H101" s="367">
        <v>2212084.09</v>
      </c>
      <c r="I101" s="440">
        <f>I102</f>
        <v>1460000</v>
      </c>
      <c r="J101" s="465">
        <f>J102</f>
        <v>3577000</v>
      </c>
      <c r="K101" s="603">
        <f>K102</f>
        <v>2620000</v>
      </c>
      <c r="L101" s="564">
        <f t="shared" si="13"/>
        <v>-957000</v>
      </c>
      <c r="M101" s="565">
        <f t="shared" si="14"/>
        <v>108.39393939393939</v>
      </c>
      <c r="N101" s="565">
        <f t="shared" si="15"/>
        <v>79.393939393939391</v>
      </c>
    </row>
    <row r="102" spans="1:14" ht="20.25" customHeight="1" outlineLevel="7" x14ac:dyDescent="0.3">
      <c r="A102" s="438" t="s">
        <v>17</v>
      </c>
      <c r="B102" s="439" t="s">
        <v>500</v>
      </c>
      <c r="C102" s="439" t="s">
        <v>24</v>
      </c>
      <c r="D102" s="539" t="s">
        <v>333</v>
      </c>
      <c r="E102" s="539" t="s">
        <v>18</v>
      </c>
      <c r="F102" s="540">
        <v>4146490.3</v>
      </c>
      <c r="G102" s="465">
        <f>2460000+315000+220000+305000</f>
        <v>3300000</v>
      </c>
      <c r="H102" s="367">
        <v>2212084.09</v>
      </c>
      <c r="I102" s="440">
        <f>'[2]прил 12'!F107</f>
        <v>1460000</v>
      </c>
      <c r="J102" s="466">
        <v>3577000</v>
      </c>
      <c r="K102" s="604">
        <f>3577000-532000-425000</f>
        <v>2620000</v>
      </c>
      <c r="L102" s="564">
        <f t="shared" si="13"/>
        <v>-957000</v>
      </c>
      <c r="M102" s="565">
        <f t="shared" si="14"/>
        <v>108.39393939393939</v>
      </c>
      <c r="N102" s="565">
        <f t="shared" si="15"/>
        <v>79.393939393939391</v>
      </c>
    </row>
    <row r="103" spans="1:14" outlineLevel="6" x14ac:dyDescent="0.3">
      <c r="A103" s="438" t="s">
        <v>19</v>
      </c>
      <c r="B103" s="439" t="s">
        <v>500</v>
      </c>
      <c r="C103" s="439" t="s">
        <v>24</v>
      </c>
      <c r="D103" s="539" t="s">
        <v>333</v>
      </c>
      <c r="E103" s="539" t="s">
        <v>20</v>
      </c>
      <c r="F103" s="540">
        <v>100000</v>
      </c>
      <c r="G103" s="465">
        <f>G104</f>
        <v>140000</v>
      </c>
      <c r="H103" s="441">
        <v>0</v>
      </c>
      <c r="I103" s="440">
        <f>I104</f>
        <v>140000</v>
      </c>
      <c r="J103" s="465">
        <f>J104</f>
        <v>140000</v>
      </c>
      <c r="K103" s="603">
        <f>K104</f>
        <v>140000</v>
      </c>
      <c r="L103" s="564">
        <f t="shared" si="13"/>
        <v>0</v>
      </c>
      <c r="M103" s="565">
        <f t="shared" si="14"/>
        <v>100</v>
      </c>
      <c r="N103" s="565">
        <f t="shared" si="15"/>
        <v>100</v>
      </c>
    </row>
    <row r="104" spans="1:14" outlineLevel="7" x14ac:dyDescent="0.3">
      <c r="A104" s="438" t="s">
        <v>21</v>
      </c>
      <c r="B104" s="439" t="s">
        <v>500</v>
      </c>
      <c r="C104" s="439" t="s">
        <v>24</v>
      </c>
      <c r="D104" s="539" t="s">
        <v>333</v>
      </c>
      <c r="E104" s="539" t="s">
        <v>22</v>
      </c>
      <c r="F104" s="540">
        <v>100000</v>
      </c>
      <c r="G104" s="466">
        <v>140000</v>
      </c>
      <c r="H104" s="443">
        <v>0</v>
      </c>
      <c r="I104" s="442">
        <f>'[2]прил 12'!F109</f>
        <v>140000</v>
      </c>
      <c r="J104" s="466">
        <f>'[2]прил 12'!G109</f>
        <v>140000</v>
      </c>
      <c r="K104" s="604">
        <v>140000</v>
      </c>
      <c r="L104" s="564">
        <f t="shared" si="13"/>
        <v>0</v>
      </c>
      <c r="M104" s="565">
        <f t="shared" si="14"/>
        <v>100</v>
      </c>
      <c r="N104" s="565">
        <f t="shared" si="15"/>
        <v>100</v>
      </c>
    </row>
    <row r="105" spans="1:14" ht="50.95" outlineLevel="7" x14ac:dyDescent="0.3">
      <c r="A105" s="444" t="s">
        <v>950</v>
      </c>
      <c r="B105" s="445" t="s">
        <v>500</v>
      </c>
      <c r="C105" s="445" t="s">
        <v>24</v>
      </c>
      <c r="D105" s="541" t="s">
        <v>952</v>
      </c>
      <c r="E105" s="541" t="s">
        <v>6</v>
      </c>
      <c r="F105" s="541" t="s">
        <v>976</v>
      </c>
      <c r="G105" s="466">
        <f t="shared" ref="G105:K108" si="21">G106</f>
        <v>50000</v>
      </c>
      <c r="H105" s="443"/>
      <c r="I105" s="442">
        <f t="shared" si="21"/>
        <v>0</v>
      </c>
      <c r="J105" s="466">
        <f t="shared" si="21"/>
        <v>100000</v>
      </c>
      <c r="K105" s="604">
        <f t="shared" si="21"/>
        <v>100000</v>
      </c>
      <c r="L105" s="564">
        <f t="shared" si="13"/>
        <v>0</v>
      </c>
      <c r="M105" s="565">
        <f t="shared" si="14"/>
        <v>200</v>
      </c>
      <c r="N105" s="565">
        <f t="shared" si="15"/>
        <v>200</v>
      </c>
    </row>
    <row r="106" spans="1:14" ht="34" outlineLevel="7" x14ac:dyDescent="0.3">
      <c r="A106" s="438" t="s">
        <v>951</v>
      </c>
      <c r="B106" s="439" t="s">
        <v>500</v>
      </c>
      <c r="C106" s="439" t="s">
        <v>24</v>
      </c>
      <c r="D106" s="539" t="s">
        <v>953</v>
      </c>
      <c r="E106" s="539" t="s">
        <v>6</v>
      </c>
      <c r="F106" s="539" t="s">
        <v>976</v>
      </c>
      <c r="G106" s="466">
        <f t="shared" si="21"/>
        <v>50000</v>
      </c>
      <c r="H106" s="443"/>
      <c r="I106" s="442">
        <f t="shared" si="21"/>
        <v>0</v>
      </c>
      <c r="J106" s="466">
        <f t="shared" si="21"/>
        <v>100000</v>
      </c>
      <c r="K106" s="604">
        <f t="shared" si="21"/>
        <v>100000</v>
      </c>
      <c r="L106" s="564">
        <f t="shared" si="13"/>
        <v>0</v>
      </c>
      <c r="M106" s="565">
        <f t="shared" si="14"/>
        <v>200</v>
      </c>
      <c r="N106" s="565">
        <f t="shared" si="15"/>
        <v>200</v>
      </c>
    </row>
    <row r="107" spans="1:14" outlineLevel="7" x14ac:dyDescent="0.3">
      <c r="A107" s="438" t="s">
        <v>322</v>
      </c>
      <c r="B107" s="439" t="s">
        <v>500</v>
      </c>
      <c r="C107" s="439" t="s">
        <v>24</v>
      </c>
      <c r="D107" s="539" t="s">
        <v>954</v>
      </c>
      <c r="E107" s="539" t="s">
        <v>6</v>
      </c>
      <c r="F107" s="539" t="s">
        <v>976</v>
      </c>
      <c r="G107" s="466">
        <f t="shared" si="21"/>
        <v>50000</v>
      </c>
      <c r="H107" s="443"/>
      <c r="I107" s="442">
        <f t="shared" si="21"/>
        <v>0</v>
      </c>
      <c r="J107" s="466">
        <v>100000</v>
      </c>
      <c r="K107" s="604">
        <f>100000</f>
        <v>100000</v>
      </c>
      <c r="L107" s="564">
        <f t="shared" si="13"/>
        <v>0</v>
      </c>
      <c r="M107" s="565">
        <f t="shared" si="14"/>
        <v>200</v>
      </c>
      <c r="N107" s="565">
        <f t="shared" si="15"/>
        <v>200</v>
      </c>
    </row>
    <row r="108" spans="1:14" ht="34" outlineLevel="7" x14ac:dyDescent="0.3">
      <c r="A108" s="438" t="s">
        <v>15</v>
      </c>
      <c r="B108" s="439" t="s">
        <v>500</v>
      </c>
      <c r="C108" s="439" t="s">
        <v>24</v>
      </c>
      <c r="D108" s="539" t="s">
        <v>954</v>
      </c>
      <c r="E108" s="539" t="s">
        <v>16</v>
      </c>
      <c r="F108" s="539" t="s">
        <v>976</v>
      </c>
      <c r="G108" s="466">
        <f t="shared" si="21"/>
        <v>50000</v>
      </c>
      <c r="H108" s="443"/>
      <c r="I108" s="442">
        <f t="shared" si="21"/>
        <v>0</v>
      </c>
      <c r="J108" s="466">
        <f t="shared" si="21"/>
        <v>100000</v>
      </c>
      <c r="K108" s="604">
        <f t="shared" si="21"/>
        <v>100000</v>
      </c>
      <c r="L108" s="564">
        <f t="shared" si="13"/>
        <v>0</v>
      </c>
      <c r="M108" s="565">
        <f t="shared" si="14"/>
        <v>200</v>
      </c>
      <c r="N108" s="565">
        <f t="shared" si="15"/>
        <v>200</v>
      </c>
    </row>
    <row r="109" spans="1:14" ht="34" outlineLevel="7" x14ac:dyDescent="0.3">
      <c r="A109" s="438" t="s">
        <v>17</v>
      </c>
      <c r="B109" s="439" t="s">
        <v>500</v>
      </c>
      <c r="C109" s="439" t="s">
        <v>24</v>
      </c>
      <c r="D109" s="539" t="s">
        <v>954</v>
      </c>
      <c r="E109" s="539" t="s">
        <v>18</v>
      </c>
      <c r="F109" s="539" t="s">
        <v>976</v>
      </c>
      <c r="G109" s="466">
        <v>50000</v>
      </c>
      <c r="H109" s="443"/>
      <c r="I109" s="442">
        <v>0</v>
      </c>
      <c r="J109" s="466">
        <v>100000</v>
      </c>
      <c r="K109" s="604">
        <v>100000</v>
      </c>
      <c r="L109" s="564">
        <f t="shared" si="13"/>
        <v>0</v>
      </c>
      <c r="M109" s="565">
        <f t="shared" si="14"/>
        <v>200</v>
      </c>
      <c r="N109" s="565">
        <f t="shared" si="15"/>
        <v>200</v>
      </c>
    </row>
    <row r="110" spans="1:14" ht="34" outlineLevel="3" x14ac:dyDescent="0.3">
      <c r="A110" s="438" t="s">
        <v>132</v>
      </c>
      <c r="B110" s="439" t="s">
        <v>500</v>
      </c>
      <c r="C110" s="439" t="s">
        <v>24</v>
      </c>
      <c r="D110" s="539" t="s">
        <v>127</v>
      </c>
      <c r="E110" s="539" t="s">
        <v>6</v>
      </c>
      <c r="F110" s="540">
        <v>41962737.840000004</v>
      </c>
      <c r="G110" s="465">
        <f>G133+G114+G130+G119+G112</f>
        <v>53163530.329999998</v>
      </c>
      <c r="H110" s="441">
        <f>H133+H114+H130+H119+H112</f>
        <v>41641519.200000003</v>
      </c>
      <c r="I110" s="440">
        <f>I133+I114+I130+I119+I112</f>
        <v>44296940</v>
      </c>
      <c r="J110" s="465">
        <f>J133+J114+J130+J119+J112</f>
        <v>46836197</v>
      </c>
      <c r="K110" s="603">
        <f>K133+K114+K130+K119+K112</f>
        <v>46836197</v>
      </c>
      <c r="L110" s="564">
        <f t="shared" si="13"/>
        <v>0</v>
      </c>
      <c r="M110" s="565">
        <f t="shared" si="14"/>
        <v>88.098357481671016</v>
      </c>
      <c r="N110" s="565">
        <f t="shared" si="15"/>
        <v>88.09835748167103</v>
      </c>
    </row>
    <row r="111" spans="1:14" ht="82.9" customHeight="1" outlineLevel="3" x14ac:dyDescent="0.3">
      <c r="A111" s="454" t="s">
        <v>1035</v>
      </c>
      <c r="B111" s="439" t="s">
        <v>500</v>
      </c>
      <c r="C111" s="439" t="s">
        <v>24</v>
      </c>
      <c r="D111" s="539" t="s">
        <v>942</v>
      </c>
      <c r="E111" s="539" t="s">
        <v>6</v>
      </c>
      <c r="F111" s="539" t="s">
        <v>976</v>
      </c>
      <c r="G111" s="465">
        <f>G112</f>
        <v>570000</v>
      </c>
      <c r="H111" s="440">
        <f>H112</f>
        <v>298793.59999999998</v>
      </c>
      <c r="I111" s="440">
        <v>0</v>
      </c>
      <c r="J111" s="465">
        <f>J112</f>
        <v>1600000</v>
      </c>
      <c r="K111" s="603">
        <f>K112</f>
        <v>1600000</v>
      </c>
      <c r="L111" s="564">
        <f t="shared" si="13"/>
        <v>0</v>
      </c>
      <c r="M111" s="565">
        <f t="shared" si="14"/>
        <v>280.70175438596493</v>
      </c>
      <c r="N111" s="565">
        <f t="shared" si="15"/>
        <v>280.70175438596488</v>
      </c>
    </row>
    <row r="112" spans="1:14" ht="40.1" customHeight="1" outlineLevel="3" x14ac:dyDescent="0.3">
      <c r="A112" s="438" t="s">
        <v>15</v>
      </c>
      <c r="B112" s="439" t="s">
        <v>500</v>
      </c>
      <c r="C112" s="439" t="s">
        <v>24</v>
      </c>
      <c r="D112" s="539" t="s">
        <v>942</v>
      </c>
      <c r="E112" s="539" t="s">
        <v>16</v>
      </c>
      <c r="F112" s="539" t="s">
        <v>976</v>
      </c>
      <c r="G112" s="465">
        <f>G113</f>
        <v>570000</v>
      </c>
      <c r="H112" s="370">
        <v>298793.59999999998</v>
      </c>
      <c r="I112" s="440">
        <v>0</v>
      </c>
      <c r="J112" s="465">
        <v>1600000</v>
      </c>
      <c r="K112" s="603">
        <f>K113</f>
        <v>1600000</v>
      </c>
      <c r="L112" s="564">
        <f t="shared" si="13"/>
        <v>0</v>
      </c>
      <c r="M112" s="565">
        <f t="shared" si="14"/>
        <v>280.70175438596493</v>
      </c>
      <c r="N112" s="565">
        <f t="shared" si="15"/>
        <v>280.70175438596488</v>
      </c>
    </row>
    <row r="113" spans="1:14" ht="45.7" customHeight="1" outlineLevel="3" x14ac:dyDescent="0.3">
      <c r="A113" s="438" t="s">
        <v>17</v>
      </c>
      <c r="B113" s="439" t="s">
        <v>500</v>
      </c>
      <c r="C113" s="439" t="s">
        <v>24</v>
      </c>
      <c r="D113" s="539" t="s">
        <v>942</v>
      </c>
      <c r="E113" s="539" t="s">
        <v>18</v>
      </c>
      <c r="F113" s="539" t="s">
        <v>976</v>
      </c>
      <c r="G113" s="465">
        <v>570000</v>
      </c>
      <c r="H113" s="370">
        <v>298793.59999999998</v>
      </c>
      <c r="I113" s="440">
        <v>0</v>
      </c>
      <c r="J113" s="465">
        <f>1000000+600000</f>
        <v>1600000</v>
      </c>
      <c r="K113" s="603">
        <f>1000000+600000</f>
        <v>1600000</v>
      </c>
      <c r="L113" s="564">
        <f t="shared" si="13"/>
        <v>0</v>
      </c>
      <c r="M113" s="565">
        <f t="shared" si="14"/>
        <v>280.70175438596493</v>
      </c>
      <c r="N113" s="565">
        <f t="shared" si="15"/>
        <v>280.70175438596488</v>
      </c>
    </row>
    <row r="114" spans="1:14" ht="58.75" customHeight="1" outlineLevel="5" x14ac:dyDescent="0.3">
      <c r="A114" s="438" t="s">
        <v>494</v>
      </c>
      <c r="B114" s="439" t="s">
        <v>500</v>
      </c>
      <c r="C114" s="439" t="s">
        <v>24</v>
      </c>
      <c r="D114" s="539" t="s">
        <v>495</v>
      </c>
      <c r="E114" s="539" t="s">
        <v>6</v>
      </c>
      <c r="F114" s="540">
        <v>33020267.399999999</v>
      </c>
      <c r="G114" s="465">
        <f>G115+G117</f>
        <v>33848058.490000002</v>
      </c>
      <c r="H114" s="441">
        <f>H115+H117</f>
        <v>25868402.309999999</v>
      </c>
      <c r="I114" s="440">
        <f>I115+I117</f>
        <v>36378471</v>
      </c>
      <c r="J114" s="465">
        <f>J115+J117</f>
        <v>37225780</v>
      </c>
      <c r="K114" s="603">
        <f>K115+K117</f>
        <v>37225780</v>
      </c>
      <c r="L114" s="564">
        <f t="shared" si="13"/>
        <v>0</v>
      </c>
      <c r="M114" s="565">
        <f t="shared" si="14"/>
        <v>109.97907017620496</v>
      </c>
      <c r="N114" s="565">
        <f t="shared" si="15"/>
        <v>109.97907017620494</v>
      </c>
    </row>
    <row r="115" spans="1:14" ht="53.15" customHeight="1" outlineLevel="6" x14ac:dyDescent="0.3">
      <c r="A115" s="438" t="s">
        <v>11</v>
      </c>
      <c r="B115" s="439" t="s">
        <v>500</v>
      </c>
      <c r="C115" s="439" t="s">
        <v>24</v>
      </c>
      <c r="D115" s="539" t="s">
        <v>495</v>
      </c>
      <c r="E115" s="539" t="s">
        <v>12</v>
      </c>
      <c r="F115" s="540">
        <v>33020267.399999999</v>
      </c>
      <c r="G115" s="465">
        <f>G116</f>
        <v>33828058.490000002</v>
      </c>
      <c r="H115" s="367">
        <v>25860302.309999999</v>
      </c>
      <c r="I115" s="440">
        <f>I116</f>
        <v>36358471</v>
      </c>
      <c r="J115" s="465">
        <f>J116</f>
        <v>37205780</v>
      </c>
      <c r="K115" s="603">
        <f>K116</f>
        <v>37205780</v>
      </c>
      <c r="L115" s="564">
        <f t="shared" si="13"/>
        <v>0</v>
      </c>
      <c r="M115" s="565">
        <f t="shared" si="14"/>
        <v>109.98497005377502</v>
      </c>
      <c r="N115" s="565">
        <f t="shared" si="15"/>
        <v>109.98497005377502</v>
      </c>
    </row>
    <row r="116" spans="1:14" ht="39.4" customHeight="1" outlineLevel="7" x14ac:dyDescent="0.3">
      <c r="A116" s="438" t="s">
        <v>13</v>
      </c>
      <c r="B116" s="439" t="s">
        <v>500</v>
      </c>
      <c r="C116" s="439" t="s">
        <v>24</v>
      </c>
      <c r="D116" s="539" t="s">
        <v>495</v>
      </c>
      <c r="E116" s="539" t="s">
        <v>14</v>
      </c>
      <c r="F116" s="540">
        <v>33020267.399999999</v>
      </c>
      <c r="G116" s="465">
        <f>[2]потребность!I113-1157082</f>
        <v>33828058.490000002</v>
      </c>
      <c r="H116" s="370">
        <v>25860302.309999999</v>
      </c>
      <c r="I116" s="440">
        <f>'[2]прил 12'!F113</f>
        <v>36358471</v>
      </c>
      <c r="J116" s="466">
        <f>37205780+1200670-1200670</f>
        <v>37205780</v>
      </c>
      <c r="K116" s="604">
        <f>37205780+1200670-1200670</f>
        <v>37205780</v>
      </c>
      <c r="L116" s="564">
        <f t="shared" si="13"/>
        <v>0</v>
      </c>
      <c r="M116" s="565">
        <f t="shared" si="14"/>
        <v>109.98497005377502</v>
      </c>
      <c r="N116" s="565">
        <f t="shared" si="15"/>
        <v>109.98497005377502</v>
      </c>
    </row>
    <row r="117" spans="1:14" ht="42.8" customHeight="1" outlineLevel="7" x14ac:dyDescent="0.3">
      <c r="A117" s="438" t="s">
        <v>15</v>
      </c>
      <c r="B117" s="439" t="s">
        <v>500</v>
      </c>
      <c r="C117" s="439" t="s">
        <v>24</v>
      </c>
      <c r="D117" s="539" t="s">
        <v>495</v>
      </c>
      <c r="E117" s="539" t="s">
        <v>16</v>
      </c>
      <c r="F117" s="540">
        <v>0</v>
      </c>
      <c r="G117" s="466">
        <f>G118</f>
        <v>20000</v>
      </c>
      <c r="H117" s="370">
        <v>8100</v>
      </c>
      <c r="I117" s="442">
        <f>I118</f>
        <v>20000</v>
      </c>
      <c r="J117" s="466">
        <f>J118</f>
        <v>20000</v>
      </c>
      <c r="K117" s="604">
        <f>K118</f>
        <v>20000</v>
      </c>
      <c r="L117" s="564">
        <f t="shared" si="13"/>
        <v>0</v>
      </c>
      <c r="M117" s="565">
        <f t="shared" si="14"/>
        <v>100</v>
      </c>
      <c r="N117" s="565">
        <f t="shared" si="15"/>
        <v>100</v>
      </c>
    </row>
    <row r="118" spans="1:14" ht="53.15" customHeight="1" outlineLevel="7" x14ac:dyDescent="0.3">
      <c r="A118" s="438" t="s">
        <v>17</v>
      </c>
      <c r="B118" s="439" t="s">
        <v>500</v>
      </c>
      <c r="C118" s="439" t="s">
        <v>24</v>
      </c>
      <c r="D118" s="539" t="s">
        <v>495</v>
      </c>
      <c r="E118" s="539" t="s">
        <v>18</v>
      </c>
      <c r="F118" s="540">
        <v>0</v>
      </c>
      <c r="G118" s="465">
        <v>20000</v>
      </c>
      <c r="H118" s="370">
        <v>8100</v>
      </c>
      <c r="I118" s="440">
        <f>'[2]прил 12'!F115</f>
        <v>20000</v>
      </c>
      <c r="J118" s="465">
        <f>'[2]прил 12'!G115</f>
        <v>20000</v>
      </c>
      <c r="K118" s="603">
        <v>20000</v>
      </c>
      <c r="L118" s="564">
        <f t="shared" si="13"/>
        <v>0</v>
      </c>
      <c r="M118" s="565">
        <f t="shared" si="14"/>
        <v>100</v>
      </c>
      <c r="N118" s="565">
        <f t="shared" si="15"/>
        <v>100</v>
      </c>
    </row>
    <row r="119" spans="1:14" ht="33.450000000000003" customHeight="1" outlineLevel="7" x14ac:dyDescent="0.3">
      <c r="A119" s="438" t="s">
        <v>688</v>
      </c>
      <c r="B119" s="439" t="s">
        <v>500</v>
      </c>
      <c r="C119" s="439" t="s">
        <v>24</v>
      </c>
      <c r="D119" s="539" t="s">
        <v>686</v>
      </c>
      <c r="E119" s="539" t="s">
        <v>6</v>
      </c>
      <c r="F119" s="540">
        <v>454002.59</v>
      </c>
      <c r="G119" s="465">
        <f>G122+G120</f>
        <v>9824855.6199999992</v>
      </c>
      <c r="H119" s="440">
        <f>H122+H120</f>
        <v>9442891.7400000002</v>
      </c>
      <c r="I119" s="440">
        <f>I120+I122</f>
        <v>150000</v>
      </c>
      <c r="J119" s="465">
        <f>J120+J122</f>
        <v>0</v>
      </c>
      <c r="K119" s="603">
        <f>K120+K122</f>
        <v>0</v>
      </c>
      <c r="L119" s="564">
        <f t="shared" si="13"/>
        <v>0</v>
      </c>
      <c r="M119" s="565">
        <f t="shared" si="14"/>
        <v>0</v>
      </c>
      <c r="N119" s="565">
        <f t="shared" si="15"/>
        <v>0</v>
      </c>
    </row>
    <row r="120" spans="1:14" ht="55.7" customHeight="1" outlineLevel="7" x14ac:dyDescent="0.3">
      <c r="A120" s="438" t="s">
        <v>15</v>
      </c>
      <c r="B120" s="439" t="s">
        <v>500</v>
      </c>
      <c r="C120" s="439" t="s">
        <v>24</v>
      </c>
      <c r="D120" s="539" t="s">
        <v>686</v>
      </c>
      <c r="E120" s="539" t="s">
        <v>16</v>
      </c>
      <c r="F120" s="539" t="s">
        <v>976</v>
      </c>
      <c r="G120" s="465">
        <f>G121</f>
        <v>7162347.4199999999</v>
      </c>
      <c r="H120" s="370">
        <v>6805031.04</v>
      </c>
      <c r="I120" s="440">
        <f>I121</f>
        <v>0</v>
      </c>
      <c r="J120" s="465">
        <f>J121</f>
        <v>0</v>
      </c>
      <c r="K120" s="603">
        <f>K121</f>
        <v>0</v>
      </c>
      <c r="L120" s="564">
        <f t="shared" si="13"/>
        <v>0</v>
      </c>
      <c r="M120" s="565">
        <f t="shared" si="14"/>
        <v>0</v>
      </c>
      <c r="N120" s="565">
        <f t="shared" si="15"/>
        <v>0</v>
      </c>
    </row>
    <row r="121" spans="1:14" ht="44.85" customHeight="1" outlineLevel="7" x14ac:dyDescent="0.3">
      <c r="A121" s="438" t="s">
        <v>17</v>
      </c>
      <c r="B121" s="439" t="s">
        <v>500</v>
      </c>
      <c r="C121" s="439" t="s">
        <v>24</v>
      </c>
      <c r="D121" s="539" t="s">
        <v>686</v>
      </c>
      <c r="E121" s="539" t="s">
        <v>18</v>
      </c>
      <c r="F121" s="539" t="s">
        <v>976</v>
      </c>
      <c r="G121" s="465">
        <f>6135390+465000+392879.31+169078.11</f>
        <v>7162347.4199999999</v>
      </c>
      <c r="H121" s="370">
        <v>6805031.04</v>
      </c>
      <c r="I121" s="440">
        <v>0</v>
      </c>
      <c r="J121" s="465">
        <v>0</v>
      </c>
      <c r="K121" s="603">
        <v>0</v>
      </c>
      <c r="L121" s="564">
        <f t="shared" si="13"/>
        <v>0</v>
      </c>
      <c r="M121" s="565">
        <f t="shared" si="14"/>
        <v>0</v>
      </c>
      <c r="N121" s="565">
        <f t="shared" si="15"/>
        <v>0</v>
      </c>
    </row>
    <row r="122" spans="1:14" ht="47.9" customHeight="1" outlineLevel="7" x14ac:dyDescent="0.3">
      <c r="A122" s="438" t="s">
        <v>19</v>
      </c>
      <c r="B122" s="439" t="s">
        <v>500</v>
      </c>
      <c r="C122" s="439" t="s">
        <v>24</v>
      </c>
      <c r="D122" s="539" t="s">
        <v>686</v>
      </c>
      <c r="E122" s="539" t="s">
        <v>20</v>
      </c>
      <c r="F122" s="540">
        <v>454002.59</v>
      </c>
      <c r="G122" s="465">
        <f>G123+G124</f>
        <v>2662508.1999999997</v>
      </c>
      <c r="H122" s="370">
        <v>2637860.7000000002</v>
      </c>
      <c r="I122" s="440">
        <f>I123+I124</f>
        <v>150000</v>
      </c>
      <c r="J122" s="465">
        <f>J123+J124</f>
        <v>0</v>
      </c>
      <c r="K122" s="603">
        <f>K123+K124</f>
        <v>0</v>
      </c>
      <c r="L122" s="564">
        <f t="shared" si="13"/>
        <v>0</v>
      </c>
      <c r="M122" s="565">
        <f t="shared" si="14"/>
        <v>0</v>
      </c>
      <c r="N122" s="565">
        <f t="shared" si="15"/>
        <v>0</v>
      </c>
    </row>
    <row r="123" spans="1:14" ht="52.3" customHeight="1" outlineLevel="7" x14ac:dyDescent="0.3">
      <c r="A123" s="438" t="s">
        <v>715</v>
      </c>
      <c r="B123" s="439" t="s">
        <v>500</v>
      </c>
      <c r="C123" s="439" t="s">
        <v>24</v>
      </c>
      <c r="D123" s="539" t="s">
        <v>686</v>
      </c>
      <c r="E123" s="544" t="s">
        <v>716</v>
      </c>
      <c r="F123" s="540">
        <v>61000</v>
      </c>
      <c r="G123" s="465">
        <f>2463068.53+60000+61951.78+77487.89</f>
        <v>2662508.1999999997</v>
      </c>
      <c r="H123" s="370">
        <v>2637860.7000000002</v>
      </c>
      <c r="I123" s="440">
        <f>'[2]прил 12'!F118</f>
        <v>0</v>
      </c>
      <c r="J123" s="465">
        <f>'[2]прил 12'!G118</f>
        <v>0</v>
      </c>
      <c r="K123" s="603">
        <f>'[2]прил 12'!H118</f>
        <v>0</v>
      </c>
      <c r="L123" s="564">
        <f t="shared" si="13"/>
        <v>0</v>
      </c>
      <c r="M123" s="565">
        <f t="shared" si="14"/>
        <v>0</v>
      </c>
      <c r="N123" s="565">
        <f t="shared" si="15"/>
        <v>0</v>
      </c>
    </row>
    <row r="124" spans="1:14" ht="57.75" customHeight="1" outlineLevel="7" x14ac:dyDescent="0.3">
      <c r="A124" s="438" t="s">
        <v>687</v>
      </c>
      <c r="B124" s="439" t="s">
        <v>500</v>
      </c>
      <c r="C124" s="439" t="s">
        <v>24</v>
      </c>
      <c r="D124" s="539" t="s">
        <v>686</v>
      </c>
      <c r="E124" s="539" t="s">
        <v>22</v>
      </c>
      <c r="F124" s="540">
        <v>393002.59</v>
      </c>
      <c r="G124" s="465">
        <f>795959.09-525000-270959.09</f>
        <v>0</v>
      </c>
      <c r="H124" s="440">
        <v>0</v>
      </c>
      <c r="I124" s="440">
        <f>'[2]прил 12'!F119</f>
        <v>150000</v>
      </c>
      <c r="J124" s="466">
        <v>0</v>
      </c>
      <c r="K124" s="604">
        <v>0</v>
      </c>
      <c r="L124" s="564">
        <f t="shared" si="13"/>
        <v>0</v>
      </c>
      <c r="M124" s="565"/>
      <c r="N124" s="565"/>
    </row>
    <row r="125" spans="1:14" ht="36" customHeight="1" outlineLevel="7" x14ac:dyDescent="0.3">
      <c r="A125" s="397" t="s">
        <v>600</v>
      </c>
      <c r="B125" s="439" t="s">
        <v>500</v>
      </c>
      <c r="C125" s="439" t="s">
        <v>24</v>
      </c>
      <c r="D125" s="539" t="s">
        <v>601</v>
      </c>
      <c r="E125" s="539" t="s">
        <v>6</v>
      </c>
      <c r="F125" s="540">
        <v>1317671.32</v>
      </c>
      <c r="G125" s="465">
        <f>G126</f>
        <v>0</v>
      </c>
      <c r="H125" s="440">
        <f>H126</f>
        <v>0</v>
      </c>
      <c r="I125" s="440">
        <v>0</v>
      </c>
      <c r="J125" s="465">
        <v>0</v>
      </c>
      <c r="K125" s="603">
        <v>0</v>
      </c>
      <c r="L125" s="564">
        <f t="shared" si="13"/>
        <v>0</v>
      </c>
      <c r="M125" s="565"/>
      <c r="N125" s="565"/>
    </row>
    <row r="126" spans="1:14" ht="18.7" customHeight="1" outlineLevel="7" x14ac:dyDescent="0.3">
      <c r="A126" s="438" t="s">
        <v>15</v>
      </c>
      <c r="B126" s="439" t="s">
        <v>500</v>
      </c>
      <c r="C126" s="439" t="s">
        <v>24</v>
      </c>
      <c r="D126" s="539" t="s">
        <v>601</v>
      </c>
      <c r="E126" s="539" t="s">
        <v>16</v>
      </c>
      <c r="F126" s="540">
        <v>134942.99</v>
      </c>
      <c r="G126" s="465">
        <f>G127</f>
        <v>0</v>
      </c>
      <c r="H126" s="440">
        <f>H127</f>
        <v>0</v>
      </c>
      <c r="I126" s="440">
        <v>0</v>
      </c>
      <c r="J126" s="465">
        <v>0</v>
      </c>
      <c r="K126" s="603">
        <v>0</v>
      </c>
      <c r="L126" s="564">
        <f t="shared" si="13"/>
        <v>0</v>
      </c>
      <c r="M126" s="565"/>
      <c r="N126" s="565"/>
    </row>
    <row r="127" spans="1:14" ht="18.7" customHeight="1" outlineLevel="7" x14ac:dyDescent="0.3">
      <c r="A127" s="438" t="s">
        <v>17</v>
      </c>
      <c r="B127" s="439" t="s">
        <v>500</v>
      </c>
      <c r="C127" s="439" t="s">
        <v>24</v>
      </c>
      <c r="D127" s="539" t="s">
        <v>601</v>
      </c>
      <c r="E127" s="539" t="s">
        <v>18</v>
      </c>
      <c r="F127" s="540">
        <v>134942.99</v>
      </c>
      <c r="G127" s="465">
        <v>0</v>
      </c>
      <c r="H127" s="440">
        <v>0</v>
      </c>
      <c r="I127" s="440">
        <v>0</v>
      </c>
      <c r="J127" s="465">
        <v>0</v>
      </c>
      <c r="K127" s="603">
        <v>0</v>
      </c>
      <c r="L127" s="564">
        <f t="shared" si="13"/>
        <v>0</v>
      </c>
      <c r="M127" s="565"/>
      <c r="N127" s="565"/>
    </row>
    <row r="128" spans="1:14" ht="18.7" customHeight="1" outlineLevel="7" x14ac:dyDescent="0.3">
      <c r="A128" s="438" t="s">
        <v>90</v>
      </c>
      <c r="B128" s="439" t="s">
        <v>500</v>
      </c>
      <c r="C128" s="439" t="s">
        <v>24</v>
      </c>
      <c r="D128" s="539" t="s">
        <v>601</v>
      </c>
      <c r="E128" s="539" t="s">
        <v>91</v>
      </c>
      <c r="F128" s="540">
        <v>1182728.33</v>
      </c>
      <c r="G128" s="465">
        <f>G129</f>
        <v>0</v>
      </c>
      <c r="H128" s="440">
        <f>H129</f>
        <v>0</v>
      </c>
      <c r="I128" s="440">
        <v>0</v>
      </c>
      <c r="J128" s="465">
        <v>0</v>
      </c>
      <c r="K128" s="603">
        <v>0</v>
      </c>
      <c r="L128" s="564">
        <f t="shared" si="13"/>
        <v>0</v>
      </c>
      <c r="M128" s="565"/>
      <c r="N128" s="565"/>
    </row>
    <row r="129" spans="1:14" ht="20.25" customHeight="1" outlineLevel="7" x14ac:dyDescent="0.3">
      <c r="A129" s="438" t="s">
        <v>97</v>
      </c>
      <c r="B129" s="439" t="s">
        <v>500</v>
      </c>
      <c r="C129" s="439" t="s">
        <v>24</v>
      </c>
      <c r="D129" s="539" t="s">
        <v>601</v>
      </c>
      <c r="E129" s="539" t="s">
        <v>98</v>
      </c>
      <c r="F129" s="540">
        <v>1182728.33</v>
      </c>
      <c r="G129" s="465">
        <v>0</v>
      </c>
      <c r="H129" s="440">
        <v>0</v>
      </c>
      <c r="I129" s="440">
        <v>0</v>
      </c>
      <c r="J129" s="465">
        <v>0</v>
      </c>
      <c r="K129" s="603">
        <v>0</v>
      </c>
      <c r="L129" s="564">
        <f t="shared" si="13"/>
        <v>0</v>
      </c>
      <c r="M129" s="565"/>
      <c r="N129" s="565"/>
    </row>
    <row r="130" spans="1:14" ht="19.55" customHeight="1" outlineLevel="7" x14ac:dyDescent="0.3">
      <c r="A130" s="438" t="s">
        <v>503</v>
      </c>
      <c r="B130" s="439" t="s">
        <v>500</v>
      </c>
      <c r="C130" s="439" t="s">
        <v>24</v>
      </c>
      <c r="D130" s="539" t="s">
        <v>502</v>
      </c>
      <c r="E130" s="539" t="s">
        <v>6</v>
      </c>
      <c r="F130" s="540">
        <v>86999</v>
      </c>
      <c r="G130" s="466">
        <f t="shared" ref="G130:K131" si="22">G131</f>
        <v>200000</v>
      </c>
      <c r="H130" s="442">
        <f t="shared" si="22"/>
        <v>138434.92000000001</v>
      </c>
      <c r="I130" s="442">
        <f t="shared" si="22"/>
        <v>200000</v>
      </c>
      <c r="J130" s="466">
        <f t="shared" si="22"/>
        <v>200000</v>
      </c>
      <c r="K130" s="604">
        <f t="shared" si="22"/>
        <v>200000</v>
      </c>
      <c r="L130" s="564">
        <f t="shared" si="13"/>
        <v>0</v>
      </c>
      <c r="M130" s="565">
        <f t="shared" si="14"/>
        <v>100</v>
      </c>
      <c r="N130" s="565">
        <f t="shared" si="15"/>
        <v>100</v>
      </c>
    </row>
    <row r="131" spans="1:14" ht="34" outlineLevel="7" x14ac:dyDescent="0.3">
      <c r="A131" s="438" t="s">
        <v>15</v>
      </c>
      <c r="B131" s="439" t="s">
        <v>500</v>
      </c>
      <c r="C131" s="439" t="s">
        <v>24</v>
      </c>
      <c r="D131" s="539" t="s">
        <v>502</v>
      </c>
      <c r="E131" s="539" t="s">
        <v>16</v>
      </c>
      <c r="F131" s="540">
        <v>86999</v>
      </c>
      <c r="G131" s="466">
        <f t="shared" si="22"/>
        <v>200000</v>
      </c>
      <c r="H131" s="370">
        <v>138434.92000000001</v>
      </c>
      <c r="I131" s="442">
        <f t="shared" si="22"/>
        <v>200000</v>
      </c>
      <c r="J131" s="466">
        <f t="shared" si="22"/>
        <v>200000</v>
      </c>
      <c r="K131" s="604">
        <f t="shared" si="22"/>
        <v>200000</v>
      </c>
      <c r="L131" s="564">
        <f t="shared" si="13"/>
        <v>0</v>
      </c>
      <c r="M131" s="565">
        <f t="shared" si="14"/>
        <v>100</v>
      </c>
      <c r="N131" s="565">
        <f t="shared" si="15"/>
        <v>100</v>
      </c>
    </row>
    <row r="132" spans="1:14" ht="20.25" customHeight="1" outlineLevel="7" x14ac:dyDescent="0.3">
      <c r="A132" s="438" t="s">
        <v>17</v>
      </c>
      <c r="B132" s="439" t="s">
        <v>500</v>
      </c>
      <c r="C132" s="439" t="s">
        <v>24</v>
      </c>
      <c r="D132" s="539" t="s">
        <v>502</v>
      </c>
      <c r="E132" s="539" t="s">
        <v>18</v>
      </c>
      <c r="F132" s="540">
        <v>86999</v>
      </c>
      <c r="G132" s="465">
        <v>200000</v>
      </c>
      <c r="H132" s="370">
        <v>138434.92000000001</v>
      </c>
      <c r="I132" s="440">
        <f>'[2]прил 12'!G127</f>
        <v>200000</v>
      </c>
      <c r="J132" s="465">
        <v>200000</v>
      </c>
      <c r="K132" s="603">
        <v>200000</v>
      </c>
      <c r="L132" s="564">
        <f t="shared" si="13"/>
        <v>0</v>
      </c>
      <c r="M132" s="565">
        <f t="shared" si="14"/>
        <v>100</v>
      </c>
      <c r="N132" s="565">
        <f t="shared" si="15"/>
        <v>100</v>
      </c>
    </row>
    <row r="133" spans="1:14" outlineLevel="3" x14ac:dyDescent="0.3">
      <c r="A133" s="438" t="s">
        <v>277</v>
      </c>
      <c r="B133" s="439" t="s">
        <v>500</v>
      </c>
      <c r="C133" s="439" t="s">
        <v>24</v>
      </c>
      <c r="D133" s="539" t="s">
        <v>276</v>
      </c>
      <c r="E133" s="539" t="s">
        <v>6</v>
      </c>
      <c r="F133" s="540">
        <v>7083797.5300000003</v>
      </c>
      <c r="G133" s="465">
        <f>G157+G134+G142+G147+G152+G139</f>
        <v>8720616.2199999988</v>
      </c>
      <c r="H133" s="440">
        <f>H157+H134+H142+H147+H152+H139</f>
        <v>5892996.6299999999</v>
      </c>
      <c r="I133" s="440">
        <f>I157+I134+I142+I147+I152+I139</f>
        <v>7568469</v>
      </c>
      <c r="J133" s="465">
        <f>J157+J134+J142+J147+J152+J139</f>
        <v>7810417</v>
      </c>
      <c r="K133" s="603">
        <f>K157+K134+K142+K147+K152+K139</f>
        <v>7810417</v>
      </c>
      <c r="L133" s="564">
        <f t="shared" si="13"/>
        <v>0</v>
      </c>
      <c r="M133" s="565">
        <f t="shared" si="14"/>
        <v>89.562673129537174</v>
      </c>
      <c r="N133" s="565">
        <f t="shared" si="15"/>
        <v>89.562673129537188</v>
      </c>
    </row>
    <row r="134" spans="1:14" ht="77.45" customHeight="1" outlineLevel="3" x14ac:dyDescent="0.3">
      <c r="A134" s="393" t="s">
        <v>438</v>
      </c>
      <c r="B134" s="439" t="s">
        <v>500</v>
      </c>
      <c r="C134" s="439" t="s">
        <v>24</v>
      </c>
      <c r="D134" s="539" t="s">
        <v>278</v>
      </c>
      <c r="E134" s="539" t="s">
        <v>6</v>
      </c>
      <c r="F134" s="540">
        <v>1395192</v>
      </c>
      <c r="G134" s="465">
        <f>G135+G137</f>
        <v>1503968</v>
      </c>
      <c r="H134" s="440">
        <f>H135+H137</f>
        <v>1197590.32</v>
      </c>
      <c r="I134" s="440">
        <f>I135+I137</f>
        <v>1442603</v>
      </c>
      <c r="J134" s="465">
        <f>J135+J137</f>
        <v>1490622</v>
      </c>
      <c r="K134" s="603">
        <f>K135+K137</f>
        <v>1490622</v>
      </c>
      <c r="L134" s="564">
        <f t="shared" si="13"/>
        <v>0</v>
      </c>
      <c r="M134" s="565">
        <f t="shared" si="14"/>
        <v>99.112614098172301</v>
      </c>
      <c r="N134" s="565">
        <f t="shared" si="15"/>
        <v>99.112614098172301</v>
      </c>
    </row>
    <row r="135" spans="1:14" ht="84.9" outlineLevel="3" x14ac:dyDescent="0.3">
      <c r="A135" s="438" t="s">
        <v>11</v>
      </c>
      <c r="B135" s="439" t="s">
        <v>500</v>
      </c>
      <c r="C135" s="439" t="s">
        <v>24</v>
      </c>
      <c r="D135" s="539" t="s">
        <v>278</v>
      </c>
      <c r="E135" s="539" t="s">
        <v>12</v>
      </c>
      <c r="F135" s="540">
        <v>1380328.42</v>
      </c>
      <c r="G135" s="465">
        <f>G136</f>
        <v>1487018</v>
      </c>
      <c r="H135" s="370">
        <v>1187789.1000000001</v>
      </c>
      <c r="I135" s="440">
        <f>I136</f>
        <v>1427603</v>
      </c>
      <c r="J135" s="465">
        <f>J136</f>
        <v>1475622</v>
      </c>
      <c r="K135" s="603">
        <f>K136</f>
        <v>1475622</v>
      </c>
      <c r="L135" s="564">
        <f t="shared" si="13"/>
        <v>0</v>
      </c>
      <c r="M135" s="565">
        <f t="shared" si="14"/>
        <v>99.233634024604939</v>
      </c>
      <c r="N135" s="565">
        <f t="shared" si="15"/>
        <v>99.233634024604939</v>
      </c>
    </row>
    <row r="136" spans="1:14" ht="34" outlineLevel="3" x14ac:dyDescent="0.3">
      <c r="A136" s="438" t="s">
        <v>13</v>
      </c>
      <c r="B136" s="439" t="s">
        <v>500</v>
      </c>
      <c r="C136" s="439" t="s">
        <v>24</v>
      </c>
      <c r="D136" s="539" t="s">
        <v>278</v>
      </c>
      <c r="E136" s="539" t="s">
        <v>14</v>
      </c>
      <c r="F136" s="540">
        <v>1380328.42</v>
      </c>
      <c r="G136" s="465">
        <f>1399316+28287-1950+61365</f>
        <v>1487018</v>
      </c>
      <c r="H136" s="370">
        <v>1187789.1000000001</v>
      </c>
      <c r="I136" s="440">
        <f>'[2]прил 12'!F131</f>
        <v>1427603</v>
      </c>
      <c r="J136" s="466">
        <f>1490622-15000</f>
        <v>1475622</v>
      </c>
      <c r="K136" s="604">
        <f>1490622-15000</f>
        <v>1475622</v>
      </c>
      <c r="L136" s="564">
        <f t="shared" ref="L136:L199" si="23">K136-J136</f>
        <v>0</v>
      </c>
      <c r="M136" s="565">
        <f t="shared" ref="M136:M199" si="24">J136/G136%</f>
        <v>99.233634024604939</v>
      </c>
      <c r="N136" s="565">
        <f t="shared" ref="N136:N199" si="25">K136/G136*100</f>
        <v>99.233634024604939</v>
      </c>
    </row>
    <row r="137" spans="1:14" ht="41.3" customHeight="1" outlineLevel="7" x14ac:dyDescent="0.3">
      <c r="A137" s="438" t="s">
        <v>15</v>
      </c>
      <c r="B137" s="439" t="s">
        <v>500</v>
      </c>
      <c r="C137" s="439" t="s">
        <v>24</v>
      </c>
      <c r="D137" s="539" t="s">
        <v>278</v>
      </c>
      <c r="E137" s="539" t="s">
        <v>16</v>
      </c>
      <c r="F137" s="540">
        <v>14863.58</v>
      </c>
      <c r="G137" s="465">
        <f>G138</f>
        <v>16950</v>
      </c>
      <c r="H137" s="370">
        <v>9801.2199999999993</v>
      </c>
      <c r="I137" s="440">
        <f>I138</f>
        <v>15000</v>
      </c>
      <c r="J137" s="465">
        <f>J138</f>
        <v>15000</v>
      </c>
      <c r="K137" s="603">
        <f>K138</f>
        <v>15000</v>
      </c>
      <c r="L137" s="564">
        <f t="shared" si="23"/>
        <v>0</v>
      </c>
      <c r="M137" s="565">
        <f t="shared" si="24"/>
        <v>88.495575221238937</v>
      </c>
      <c r="N137" s="565">
        <f t="shared" si="25"/>
        <v>88.495575221238937</v>
      </c>
    </row>
    <row r="138" spans="1:14" ht="34" outlineLevel="7" x14ac:dyDescent="0.3">
      <c r="A138" s="438" t="s">
        <v>17</v>
      </c>
      <c r="B138" s="439" t="s">
        <v>500</v>
      </c>
      <c r="C138" s="439" t="s">
        <v>24</v>
      </c>
      <c r="D138" s="539" t="s">
        <v>278</v>
      </c>
      <c r="E138" s="539" t="s">
        <v>18</v>
      </c>
      <c r="F138" s="540">
        <v>14863.58</v>
      </c>
      <c r="G138" s="465">
        <f>15000+1950</f>
        <v>16950</v>
      </c>
      <c r="H138" s="370">
        <v>9801.2199999999993</v>
      </c>
      <c r="I138" s="440">
        <f>'[2]прил 12'!F133</f>
        <v>15000</v>
      </c>
      <c r="J138" s="466">
        <v>15000</v>
      </c>
      <c r="K138" s="604">
        <v>15000</v>
      </c>
      <c r="L138" s="564">
        <f t="shared" si="23"/>
        <v>0</v>
      </c>
      <c r="M138" s="565">
        <f t="shared" si="24"/>
        <v>88.495575221238937</v>
      </c>
      <c r="N138" s="565">
        <f t="shared" si="25"/>
        <v>88.495575221238937</v>
      </c>
    </row>
    <row r="139" spans="1:14" ht="84.9" outlineLevel="7" x14ac:dyDescent="0.3">
      <c r="A139" s="438" t="s">
        <v>722</v>
      </c>
      <c r="B139" s="439" t="s">
        <v>500</v>
      </c>
      <c r="C139" s="439" t="s">
        <v>24</v>
      </c>
      <c r="D139" s="539" t="s">
        <v>721</v>
      </c>
      <c r="E139" s="539" t="s">
        <v>6</v>
      </c>
      <c r="F139" s="540">
        <v>272232</v>
      </c>
      <c r="G139" s="465">
        <f t="shared" ref="G139:K140" si="26">G140</f>
        <v>353579</v>
      </c>
      <c r="H139" s="440">
        <f t="shared" si="26"/>
        <v>143160.51</v>
      </c>
      <c r="I139" s="440">
        <f t="shared" si="26"/>
        <v>353579</v>
      </c>
      <c r="J139" s="465">
        <f t="shared" si="26"/>
        <v>353579</v>
      </c>
      <c r="K139" s="603">
        <f t="shared" si="26"/>
        <v>353579</v>
      </c>
      <c r="L139" s="564">
        <f t="shared" si="23"/>
        <v>0</v>
      </c>
      <c r="M139" s="565">
        <f t="shared" si="24"/>
        <v>100</v>
      </c>
      <c r="N139" s="565">
        <f t="shared" si="25"/>
        <v>100</v>
      </c>
    </row>
    <row r="140" spans="1:14" ht="34" outlineLevel="7" x14ac:dyDescent="0.3">
      <c r="A140" s="438" t="s">
        <v>13</v>
      </c>
      <c r="B140" s="439" t="s">
        <v>500</v>
      </c>
      <c r="C140" s="439" t="s">
        <v>24</v>
      </c>
      <c r="D140" s="539" t="s">
        <v>721</v>
      </c>
      <c r="E140" s="539" t="s">
        <v>12</v>
      </c>
      <c r="F140" s="540">
        <v>272232</v>
      </c>
      <c r="G140" s="465">
        <f t="shared" si="26"/>
        <v>353579</v>
      </c>
      <c r="H140" s="370">
        <v>143160.51</v>
      </c>
      <c r="I140" s="440">
        <f t="shared" si="26"/>
        <v>353579</v>
      </c>
      <c r="J140" s="465">
        <f t="shared" si="26"/>
        <v>353579</v>
      </c>
      <c r="K140" s="603">
        <f t="shared" si="26"/>
        <v>353579</v>
      </c>
      <c r="L140" s="564">
        <f t="shared" si="23"/>
        <v>0</v>
      </c>
      <c r="M140" s="565">
        <f t="shared" si="24"/>
        <v>100</v>
      </c>
      <c r="N140" s="565">
        <f t="shared" si="25"/>
        <v>100</v>
      </c>
    </row>
    <row r="141" spans="1:14" ht="41.45" customHeight="1" outlineLevel="7" x14ac:dyDescent="0.3">
      <c r="A141" s="438" t="s">
        <v>13</v>
      </c>
      <c r="B141" s="439" t="s">
        <v>500</v>
      </c>
      <c r="C141" s="439" t="s">
        <v>24</v>
      </c>
      <c r="D141" s="539" t="s">
        <v>721</v>
      </c>
      <c r="E141" s="539" t="s">
        <v>14</v>
      </c>
      <c r="F141" s="540">
        <v>272232</v>
      </c>
      <c r="G141" s="465">
        <v>353579</v>
      </c>
      <c r="H141" s="370">
        <v>143160.51</v>
      </c>
      <c r="I141" s="440">
        <f>'[2]прил 12'!F136</f>
        <v>353579</v>
      </c>
      <c r="J141" s="466">
        <v>353579</v>
      </c>
      <c r="K141" s="604">
        <v>353579</v>
      </c>
      <c r="L141" s="564">
        <f t="shared" si="23"/>
        <v>0</v>
      </c>
      <c r="M141" s="565">
        <f t="shared" si="24"/>
        <v>100</v>
      </c>
      <c r="N141" s="565">
        <f t="shared" si="25"/>
        <v>100</v>
      </c>
    </row>
    <row r="142" spans="1:14" ht="24.8" customHeight="1" outlineLevel="7" x14ac:dyDescent="0.3">
      <c r="A142" s="393" t="s">
        <v>573</v>
      </c>
      <c r="B142" s="439" t="s">
        <v>500</v>
      </c>
      <c r="C142" s="439" t="s">
        <v>24</v>
      </c>
      <c r="D142" s="539" t="s">
        <v>580</v>
      </c>
      <c r="E142" s="539" t="s">
        <v>6</v>
      </c>
      <c r="F142" s="540">
        <v>2016764</v>
      </c>
      <c r="G142" s="465">
        <f>G143+G145</f>
        <v>2096028</v>
      </c>
      <c r="H142" s="440">
        <f>H143+H145</f>
        <v>1490075.2</v>
      </c>
      <c r="I142" s="440">
        <f>I143+I145</f>
        <v>2174817</v>
      </c>
      <c r="J142" s="465">
        <f>J143+J145</f>
        <v>2276349</v>
      </c>
      <c r="K142" s="603">
        <f>K143+K145</f>
        <v>2276349</v>
      </c>
      <c r="L142" s="564">
        <f t="shared" si="23"/>
        <v>0</v>
      </c>
      <c r="M142" s="565">
        <f t="shared" si="24"/>
        <v>108.60298621964975</v>
      </c>
      <c r="N142" s="565">
        <f t="shared" si="25"/>
        <v>108.60298621964975</v>
      </c>
    </row>
    <row r="143" spans="1:14" ht="39.75" customHeight="1" outlineLevel="7" x14ac:dyDescent="0.3">
      <c r="A143" s="438" t="s">
        <v>11</v>
      </c>
      <c r="B143" s="439" t="s">
        <v>500</v>
      </c>
      <c r="C143" s="439" t="s">
        <v>24</v>
      </c>
      <c r="D143" s="539" t="s">
        <v>580</v>
      </c>
      <c r="E143" s="539" t="s">
        <v>12</v>
      </c>
      <c r="F143" s="540">
        <v>2008305.5</v>
      </c>
      <c r="G143" s="465">
        <f>G144</f>
        <v>2081028</v>
      </c>
      <c r="H143" s="370">
        <v>1485262.04</v>
      </c>
      <c r="I143" s="440">
        <f>I144</f>
        <v>2159817</v>
      </c>
      <c r="J143" s="465">
        <f>J144</f>
        <v>2261349</v>
      </c>
      <c r="K143" s="603">
        <f>K144</f>
        <v>2261349</v>
      </c>
      <c r="L143" s="564">
        <f t="shared" si="23"/>
        <v>0</v>
      </c>
      <c r="M143" s="565">
        <f t="shared" si="24"/>
        <v>108.66499633834817</v>
      </c>
      <c r="N143" s="565">
        <f t="shared" si="25"/>
        <v>108.66499633834816</v>
      </c>
    </row>
    <row r="144" spans="1:14" ht="39.75" customHeight="1" outlineLevel="7" x14ac:dyDescent="0.3">
      <c r="A144" s="438" t="s">
        <v>13</v>
      </c>
      <c r="B144" s="439" t="s">
        <v>500</v>
      </c>
      <c r="C144" s="439" t="s">
        <v>24</v>
      </c>
      <c r="D144" s="539" t="s">
        <v>580</v>
      </c>
      <c r="E144" s="539" t="s">
        <v>14</v>
      </c>
      <c r="F144" s="540">
        <v>2008305.5</v>
      </c>
      <c r="G144" s="465">
        <v>2081028</v>
      </c>
      <c r="H144" s="370">
        <v>1485262.04</v>
      </c>
      <c r="I144" s="440">
        <f>'[2]прил 12'!F139</f>
        <v>2159817</v>
      </c>
      <c r="J144" s="466">
        <v>2261349</v>
      </c>
      <c r="K144" s="604">
        <v>2261349</v>
      </c>
      <c r="L144" s="564">
        <f t="shared" si="23"/>
        <v>0</v>
      </c>
      <c r="M144" s="565">
        <f t="shared" si="24"/>
        <v>108.66499633834817</v>
      </c>
      <c r="N144" s="565">
        <f t="shared" si="25"/>
        <v>108.66499633834816</v>
      </c>
    </row>
    <row r="145" spans="1:14" ht="34" outlineLevel="7" x14ac:dyDescent="0.3">
      <c r="A145" s="438" t="s">
        <v>15</v>
      </c>
      <c r="B145" s="439" t="s">
        <v>500</v>
      </c>
      <c r="C145" s="439" t="s">
        <v>24</v>
      </c>
      <c r="D145" s="539" t="s">
        <v>580</v>
      </c>
      <c r="E145" s="539" t="s">
        <v>16</v>
      </c>
      <c r="F145" s="540">
        <v>8458.5</v>
      </c>
      <c r="G145" s="465">
        <f>G146</f>
        <v>15000</v>
      </c>
      <c r="H145" s="370">
        <v>4813.16</v>
      </c>
      <c r="I145" s="440">
        <f>I146</f>
        <v>15000</v>
      </c>
      <c r="J145" s="465">
        <f>J146</f>
        <v>15000</v>
      </c>
      <c r="K145" s="603">
        <f>K146</f>
        <v>15000</v>
      </c>
      <c r="L145" s="564">
        <f t="shared" si="23"/>
        <v>0</v>
      </c>
      <c r="M145" s="565">
        <f t="shared" si="24"/>
        <v>100</v>
      </c>
      <c r="N145" s="565">
        <f t="shared" si="25"/>
        <v>100</v>
      </c>
    </row>
    <row r="146" spans="1:14" ht="34" outlineLevel="7" x14ac:dyDescent="0.3">
      <c r="A146" s="438" t="s">
        <v>17</v>
      </c>
      <c r="B146" s="439" t="s">
        <v>500</v>
      </c>
      <c r="C146" s="439" t="s">
        <v>24</v>
      </c>
      <c r="D146" s="539" t="s">
        <v>580</v>
      </c>
      <c r="E146" s="539" t="s">
        <v>18</v>
      </c>
      <c r="F146" s="540">
        <v>8458.5</v>
      </c>
      <c r="G146" s="465">
        <v>15000</v>
      </c>
      <c r="H146" s="370">
        <v>4813.16</v>
      </c>
      <c r="I146" s="440">
        <f>'[2]прил 12'!F141</f>
        <v>15000</v>
      </c>
      <c r="J146" s="466">
        <v>15000</v>
      </c>
      <c r="K146" s="604">
        <v>15000</v>
      </c>
      <c r="L146" s="564">
        <f t="shared" si="23"/>
        <v>0</v>
      </c>
      <c r="M146" s="565">
        <f t="shared" si="24"/>
        <v>100</v>
      </c>
      <c r="N146" s="565">
        <f t="shared" si="25"/>
        <v>100</v>
      </c>
    </row>
    <row r="147" spans="1:14" ht="74.05" customHeight="1" outlineLevel="7" x14ac:dyDescent="0.3">
      <c r="A147" s="393" t="s">
        <v>382</v>
      </c>
      <c r="B147" s="439" t="s">
        <v>500</v>
      </c>
      <c r="C147" s="439" t="s">
        <v>24</v>
      </c>
      <c r="D147" s="539" t="s">
        <v>279</v>
      </c>
      <c r="E147" s="539" t="s">
        <v>6</v>
      </c>
      <c r="F147" s="540">
        <v>764724.52</v>
      </c>
      <c r="G147" s="465">
        <f>G148+G150</f>
        <v>830909</v>
      </c>
      <c r="H147" s="440">
        <f>H148+H150</f>
        <v>587231.11</v>
      </c>
      <c r="I147" s="440">
        <f>I148+I150</f>
        <v>861546</v>
      </c>
      <c r="J147" s="465">
        <f>J148+J150</f>
        <v>946950</v>
      </c>
      <c r="K147" s="603">
        <f>K148+K150</f>
        <v>946950</v>
      </c>
      <c r="L147" s="564">
        <f t="shared" si="23"/>
        <v>0</v>
      </c>
      <c r="M147" s="565">
        <f t="shared" si="24"/>
        <v>113.96554857391122</v>
      </c>
      <c r="N147" s="565">
        <f t="shared" si="25"/>
        <v>113.96554857391121</v>
      </c>
    </row>
    <row r="148" spans="1:14" ht="86.3" customHeight="1" outlineLevel="7" x14ac:dyDescent="0.3">
      <c r="A148" s="438" t="s">
        <v>11</v>
      </c>
      <c r="B148" s="439" t="s">
        <v>500</v>
      </c>
      <c r="C148" s="439" t="s">
        <v>24</v>
      </c>
      <c r="D148" s="539" t="s">
        <v>279</v>
      </c>
      <c r="E148" s="539" t="s">
        <v>12</v>
      </c>
      <c r="F148" s="540">
        <v>751053.37</v>
      </c>
      <c r="G148" s="465">
        <f>G149</f>
        <v>785909</v>
      </c>
      <c r="H148" s="370">
        <v>560781.04</v>
      </c>
      <c r="I148" s="440">
        <f>I149</f>
        <v>816546</v>
      </c>
      <c r="J148" s="465">
        <f>J149</f>
        <v>901950</v>
      </c>
      <c r="K148" s="603">
        <f>K149</f>
        <v>901950</v>
      </c>
      <c r="L148" s="564">
        <f t="shared" si="23"/>
        <v>0</v>
      </c>
      <c r="M148" s="565">
        <f t="shared" si="24"/>
        <v>114.76519546156106</v>
      </c>
      <c r="N148" s="565">
        <f t="shared" si="25"/>
        <v>114.76519546156108</v>
      </c>
    </row>
    <row r="149" spans="1:14" ht="32.6" customHeight="1" outlineLevel="7" x14ac:dyDescent="0.3">
      <c r="A149" s="438" t="s">
        <v>13</v>
      </c>
      <c r="B149" s="439" t="s">
        <v>500</v>
      </c>
      <c r="C149" s="439" t="s">
        <v>24</v>
      </c>
      <c r="D149" s="539" t="s">
        <v>279</v>
      </c>
      <c r="E149" s="539" t="s">
        <v>14</v>
      </c>
      <c r="F149" s="540">
        <v>751053.37</v>
      </c>
      <c r="G149" s="466">
        <v>785909</v>
      </c>
      <c r="H149" s="370">
        <v>560781.04</v>
      </c>
      <c r="I149" s="442">
        <f>'[2]прил 12'!F144</f>
        <v>816546</v>
      </c>
      <c r="J149" s="466">
        <f>946950-45000</f>
        <v>901950</v>
      </c>
      <c r="K149" s="604">
        <f>946950-45000</f>
        <v>901950</v>
      </c>
      <c r="L149" s="564">
        <f t="shared" si="23"/>
        <v>0</v>
      </c>
      <c r="M149" s="565">
        <f t="shared" si="24"/>
        <v>114.76519546156106</v>
      </c>
      <c r="N149" s="565">
        <f t="shared" si="25"/>
        <v>114.76519546156108</v>
      </c>
    </row>
    <row r="150" spans="1:14" ht="45" customHeight="1" outlineLevel="7" x14ac:dyDescent="0.3">
      <c r="A150" s="438" t="s">
        <v>15</v>
      </c>
      <c r="B150" s="439" t="s">
        <v>500</v>
      </c>
      <c r="C150" s="439" t="s">
        <v>24</v>
      </c>
      <c r="D150" s="539" t="s">
        <v>279</v>
      </c>
      <c r="E150" s="539" t="s">
        <v>16</v>
      </c>
      <c r="F150" s="540">
        <v>13671.15</v>
      </c>
      <c r="G150" s="465">
        <f>G151</f>
        <v>45000</v>
      </c>
      <c r="H150" s="370">
        <v>26450.07</v>
      </c>
      <c r="I150" s="440">
        <f>I151</f>
        <v>45000</v>
      </c>
      <c r="J150" s="465">
        <f>J151</f>
        <v>45000</v>
      </c>
      <c r="K150" s="603">
        <f>K151</f>
        <v>45000</v>
      </c>
      <c r="L150" s="564">
        <f t="shared" si="23"/>
        <v>0</v>
      </c>
      <c r="M150" s="565">
        <f t="shared" si="24"/>
        <v>100</v>
      </c>
      <c r="N150" s="565">
        <f t="shared" si="25"/>
        <v>100</v>
      </c>
    </row>
    <row r="151" spans="1:14" ht="34" outlineLevel="7" x14ac:dyDescent="0.3">
      <c r="A151" s="438" t="s">
        <v>17</v>
      </c>
      <c r="B151" s="439" t="s">
        <v>500</v>
      </c>
      <c r="C151" s="439" t="s">
        <v>24</v>
      </c>
      <c r="D151" s="539" t="s">
        <v>279</v>
      </c>
      <c r="E151" s="539" t="s">
        <v>18</v>
      </c>
      <c r="F151" s="540">
        <v>13671.15</v>
      </c>
      <c r="G151" s="465">
        <v>45000</v>
      </c>
      <c r="H151" s="370">
        <v>26450.07</v>
      </c>
      <c r="I151" s="440">
        <f>'[2]прил 12'!F146</f>
        <v>45000</v>
      </c>
      <c r="J151" s="466">
        <v>45000</v>
      </c>
      <c r="K151" s="604">
        <v>45000</v>
      </c>
      <c r="L151" s="564">
        <f t="shared" si="23"/>
        <v>0</v>
      </c>
      <c r="M151" s="565">
        <f t="shared" si="24"/>
        <v>100</v>
      </c>
      <c r="N151" s="565">
        <f t="shared" si="25"/>
        <v>100</v>
      </c>
    </row>
    <row r="152" spans="1:14" ht="57.25" customHeight="1" outlineLevel="7" x14ac:dyDescent="0.3">
      <c r="A152" s="438" t="s">
        <v>406</v>
      </c>
      <c r="B152" s="439" t="s">
        <v>500</v>
      </c>
      <c r="C152" s="439" t="s">
        <v>24</v>
      </c>
      <c r="D152" s="539" t="s">
        <v>407</v>
      </c>
      <c r="E152" s="539" t="s">
        <v>6</v>
      </c>
      <c r="F152" s="540">
        <v>1791402.17</v>
      </c>
      <c r="G152" s="465">
        <f>G153+G155</f>
        <v>1950219</v>
      </c>
      <c r="H152" s="440">
        <f>H153+H155</f>
        <v>1271500</v>
      </c>
      <c r="I152" s="440">
        <f>I153+I155</f>
        <v>2021924</v>
      </c>
      <c r="J152" s="465">
        <f>J153+J155</f>
        <v>2028917</v>
      </c>
      <c r="K152" s="603">
        <f>K153+K155</f>
        <v>2028917</v>
      </c>
      <c r="L152" s="564">
        <f t="shared" si="23"/>
        <v>0</v>
      </c>
      <c r="M152" s="565">
        <f t="shared" si="24"/>
        <v>104.03534167188404</v>
      </c>
      <c r="N152" s="565">
        <f t="shared" si="25"/>
        <v>104.03534167188401</v>
      </c>
    </row>
    <row r="153" spans="1:14" ht="84.9" outlineLevel="7" x14ac:dyDescent="0.3">
      <c r="A153" s="438" t="s">
        <v>11</v>
      </c>
      <c r="B153" s="439" t="s">
        <v>500</v>
      </c>
      <c r="C153" s="439" t="s">
        <v>24</v>
      </c>
      <c r="D153" s="539" t="s">
        <v>407</v>
      </c>
      <c r="E153" s="539" t="s">
        <v>12</v>
      </c>
      <c r="F153" s="540">
        <v>1659215.56</v>
      </c>
      <c r="G153" s="465">
        <f>G154</f>
        <v>1792619</v>
      </c>
      <c r="H153" s="370">
        <v>1243138.07</v>
      </c>
      <c r="I153" s="440">
        <f>I154</f>
        <v>1864324</v>
      </c>
      <c r="J153" s="465">
        <f>J154</f>
        <v>1871317</v>
      </c>
      <c r="K153" s="603">
        <f>K154</f>
        <v>1871317</v>
      </c>
      <c r="L153" s="564">
        <f t="shared" si="23"/>
        <v>0</v>
      </c>
      <c r="M153" s="565">
        <f t="shared" si="24"/>
        <v>104.3901130134178</v>
      </c>
      <c r="N153" s="565">
        <f t="shared" si="25"/>
        <v>104.3901130134178</v>
      </c>
    </row>
    <row r="154" spans="1:14" ht="21.25" customHeight="1" outlineLevel="7" x14ac:dyDescent="0.3">
      <c r="A154" s="438" t="s">
        <v>13</v>
      </c>
      <c r="B154" s="439" t="s">
        <v>500</v>
      </c>
      <c r="C154" s="439" t="s">
        <v>24</v>
      </c>
      <c r="D154" s="539" t="s">
        <v>407</v>
      </c>
      <c r="E154" s="539" t="s">
        <v>14</v>
      </c>
      <c r="F154" s="540">
        <v>1659215.56</v>
      </c>
      <c r="G154" s="465">
        <v>1792619</v>
      </c>
      <c r="H154" s="370">
        <v>1243138.07</v>
      </c>
      <c r="I154" s="440">
        <f>'[2]прил 12'!F149</f>
        <v>1864324</v>
      </c>
      <c r="J154" s="466">
        <f>1871917-600</f>
        <v>1871317</v>
      </c>
      <c r="K154" s="604">
        <f>1871917-600</f>
        <v>1871317</v>
      </c>
      <c r="L154" s="564">
        <f t="shared" si="23"/>
        <v>0</v>
      </c>
      <c r="M154" s="565">
        <f t="shared" si="24"/>
        <v>104.3901130134178</v>
      </c>
      <c r="N154" s="565">
        <f t="shared" si="25"/>
        <v>104.3901130134178</v>
      </c>
    </row>
    <row r="155" spans="1:14" ht="38.25" customHeight="1" outlineLevel="7" x14ac:dyDescent="0.3">
      <c r="A155" s="438" t="s">
        <v>15</v>
      </c>
      <c r="B155" s="439" t="s">
        <v>500</v>
      </c>
      <c r="C155" s="439" t="s">
        <v>24</v>
      </c>
      <c r="D155" s="539" t="s">
        <v>407</v>
      </c>
      <c r="E155" s="539" t="s">
        <v>16</v>
      </c>
      <c r="F155" s="540">
        <v>132186.60999999999</v>
      </c>
      <c r="G155" s="465">
        <f>G156</f>
        <v>157600</v>
      </c>
      <c r="H155" s="370">
        <v>28361.93</v>
      </c>
      <c r="I155" s="440">
        <f>I156</f>
        <v>157600</v>
      </c>
      <c r="J155" s="465">
        <f>J156</f>
        <v>157600</v>
      </c>
      <c r="K155" s="603">
        <f>K156</f>
        <v>157600</v>
      </c>
      <c r="L155" s="564">
        <f t="shared" si="23"/>
        <v>0</v>
      </c>
      <c r="M155" s="565">
        <f t="shared" si="24"/>
        <v>100</v>
      </c>
      <c r="N155" s="565">
        <f t="shared" si="25"/>
        <v>100</v>
      </c>
    </row>
    <row r="156" spans="1:14" ht="34" outlineLevel="7" x14ac:dyDescent="0.3">
      <c r="A156" s="438" t="s">
        <v>17</v>
      </c>
      <c r="B156" s="439" t="s">
        <v>500</v>
      </c>
      <c r="C156" s="439" t="s">
        <v>24</v>
      </c>
      <c r="D156" s="539" t="s">
        <v>407</v>
      </c>
      <c r="E156" s="539" t="s">
        <v>18</v>
      </c>
      <c r="F156" s="540">
        <v>132186.60999999999</v>
      </c>
      <c r="G156" s="465">
        <v>157600</v>
      </c>
      <c r="H156" s="370">
        <v>28361.93</v>
      </c>
      <c r="I156" s="440">
        <f>'[2]прил 12'!F151</f>
        <v>157600</v>
      </c>
      <c r="J156" s="466">
        <f>157000+600</f>
        <v>157600</v>
      </c>
      <c r="K156" s="604">
        <f>157000+600</f>
        <v>157600</v>
      </c>
      <c r="L156" s="564">
        <f t="shared" si="23"/>
        <v>0</v>
      </c>
      <c r="M156" s="565">
        <f t="shared" si="24"/>
        <v>100</v>
      </c>
      <c r="N156" s="565">
        <f t="shared" si="25"/>
        <v>100</v>
      </c>
    </row>
    <row r="157" spans="1:14" ht="101.25" customHeight="1" outlineLevel="7" x14ac:dyDescent="0.3">
      <c r="A157" s="393" t="s">
        <v>656</v>
      </c>
      <c r="B157" s="439" t="s">
        <v>500</v>
      </c>
      <c r="C157" s="439" t="s">
        <v>24</v>
      </c>
      <c r="D157" s="539" t="s">
        <v>295</v>
      </c>
      <c r="E157" s="539" t="s">
        <v>6</v>
      </c>
      <c r="F157" s="540">
        <v>688357.04</v>
      </c>
      <c r="G157" s="465">
        <f>G158+G160</f>
        <v>1985913.22</v>
      </c>
      <c r="H157" s="440">
        <f>H158+H160</f>
        <v>1203439.49</v>
      </c>
      <c r="I157" s="440">
        <f>I158+I160</f>
        <v>714000</v>
      </c>
      <c r="J157" s="465">
        <f>J158+J160</f>
        <v>714000</v>
      </c>
      <c r="K157" s="603">
        <f>K158+K160</f>
        <v>714000</v>
      </c>
      <c r="L157" s="564">
        <f t="shared" si="23"/>
        <v>0</v>
      </c>
      <c r="M157" s="565">
        <f t="shared" si="24"/>
        <v>35.953232639238891</v>
      </c>
      <c r="N157" s="565">
        <f t="shared" si="25"/>
        <v>35.953232639238891</v>
      </c>
    </row>
    <row r="158" spans="1:14" ht="84.9" outlineLevel="7" x14ac:dyDescent="0.3">
      <c r="A158" s="438" t="s">
        <v>11</v>
      </c>
      <c r="B158" s="439" t="s">
        <v>500</v>
      </c>
      <c r="C158" s="439" t="s">
        <v>24</v>
      </c>
      <c r="D158" s="539" t="s">
        <v>295</v>
      </c>
      <c r="E158" s="539" t="s">
        <v>12</v>
      </c>
      <c r="F158" s="540">
        <v>687395.61</v>
      </c>
      <c r="G158" s="465">
        <f>G159</f>
        <v>760000</v>
      </c>
      <c r="H158" s="370">
        <v>429870.59</v>
      </c>
      <c r="I158" s="440">
        <f>I159</f>
        <v>654000</v>
      </c>
      <c r="J158" s="465">
        <f>J159</f>
        <v>654000</v>
      </c>
      <c r="K158" s="603">
        <f>K159</f>
        <v>654000</v>
      </c>
      <c r="L158" s="564">
        <f t="shared" si="23"/>
        <v>0</v>
      </c>
      <c r="M158" s="565">
        <f t="shared" si="24"/>
        <v>86.05263157894737</v>
      </c>
      <c r="N158" s="565">
        <f t="shared" si="25"/>
        <v>86.05263157894737</v>
      </c>
    </row>
    <row r="159" spans="1:14" ht="19.55" customHeight="1" outlineLevel="7" x14ac:dyDescent="0.3">
      <c r="A159" s="438" t="s">
        <v>13</v>
      </c>
      <c r="B159" s="439" t="s">
        <v>500</v>
      </c>
      <c r="C159" s="439" t="s">
        <v>24</v>
      </c>
      <c r="D159" s="539" t="s">
        <v>295</v>
      </c>
      <c r="E159" s="539" t="s">
        <v>14</v>
      </c>
      <c r="F159" s="540">
        <v>687395.61</v>
      </c>
      <c r="G159" s="465">
        <f>644151.93+115848.07</f>
        <v>760000</v>
      </c>
      <c r="H159" s="370">
        <v>429870.59</v>
      </c>
      <c r="I159" s="440">
        <f>'[2]прил 12'!F154</f>
        <v>654000</v>
      </c>
      <c r="J159" s="466">
        <v>654000</v>
      </c>
      <c r="K159" s="604">
        <v>654000</v>
      </c>
      <c r="L159" s="564">
        <f t="shared" si="23"/>
        <v>0</v>
      </c>
      <c r="M159" s="565">
        <f t="shared" si="24"/>
        <v>86.05263157894737</v>
      </c>
      <c r="N159" s="565">
        <f t="shared" si="25"/>
        <v>86.05263157894737</v>
      </c>
    </row>
    <row r="160" spans="1:14" ht="46.55" customHeight="1" outlineLevel="3" x14ac:dyDescent="0.3">
      <c r="A160" s="438" t="s">
        <v>15</v>
      </c>
      <c r="B160" s="439" t="s">
        <v>500</v>
      </c>
      <c r="C160" s="439" t="s">
        <v>24</v>
      </c>
      <c r="D160" s="539" t="s">
        <v>295</v>
      </c>
      <c r="E160" s="539" t="s">
        <v>16</v>
      </c>
      <c r="F160" s="540">
        <v>961.43</v>
      </c>
      <c r="G160" s="465">
        <f>G161</f>
        <v>1225913.22</v>
      </c>
      <c r="H160" s="370">
        <v>773568.9</v>
      </c>
      <c r="I160" s="440">
        <f>I161</f>
        <v>60000</v>
      </c>
      <c r="J160" s="465">
        <f>J161</f>
        <v>60000</v>
      </c>
      <c r="K160" s="603">
        <f>K161</f>
        <v>60000</v>
      </c>
      <c r="L160" s="564">
        <f t="shared" si="23"/>
        <v>0</v>
      </c>
      <c r="M160" s="565">
        <f t="shared" si="24"/>
        <v>4.8943105450808337</v>
      </c>
      <c r="N160" s="565">
        <f t="shared" si="25"/>
        <v>4.8943105450808337</v>
      </c>
    </row>
    <row r="161" spans="1:14" ht="34" outlineLevel="3" x14ac:dyDescent="0.3">
      <c r="A161" s="438" t="s">
        <v>17</v>
      </c>
      <c r="B161" s="439" t="s">
        <v>500</v>
      </c>
      <c r="C161" s="439" t="s">
        <v>24</v>
      </c>
      <c r="D161" s="539" t="s">
        <v>295</v>
      </c>
      <c r="E161" s="539" t="s">
        <v>18</v>
      </c>
      <c r="F161" s="540">
        <v>961.43</v>
      </c>
      <c r="G161" s="465">
        <f>60000+353071.62+812841.6</f>
        <v>1225913.22</v>
      </c>
      <c r="H161" s="370">
        <v>773568.9</v>
      </c>
      <c r="I161" s="440">
        <f>'[2]прил 12'!F156</f>
        <v>60000</v>
      </c>
      <c r="J161" s="466">
        <v>60000</v>
      </c>
      <c r="K161" s="604">
        <v>60000</v>
      </c>
      <c r="L161" s="564">
        <f t="shared" si="23"/>
        <v>0</v>
      </c>
      <c r="M161" s="565">
        <f t="shared" si="24"/>
        <v>4.8943105450808337</v>
      </c>
      <c r="N161" s="565">
        <f t="shared" si="25"/>
        <v>4.8943105450808337</v>
      </c>
    </row>
    <row r="162" spans="1:14" ht="23.3" customHeight="1" outlineLevel="3" x14ac:dyDescent="0.3">
      <c r="A162" s="444" t="s">
        <v>581</v>
      </c>
      <c r="B162" s="445" t="s">
        <v>500</v>
      </c>
      <c r="C162" s="445" t="s">
        <v>26</v>
      </c>
      <c r="D162" s="541" t="s">
        <v>126</v>
      </c>
      <c r="E162" s="541" t="s">
        <v>6</v>
      </c>
      <c r="F162" s="540">
        <v>1465098.76</v>
      </c>
      <c r="G162" s="465">
        <f t="shared" ref="G162:K167" si="27">G163</f>
        <v>1626656</v>
      </c>
      <c r="H162" s="440">
        <f t="shared" si="27"/>
        <v>1189929.46</v>
      </c>
      <c r="I162" s="440">
        <f t="shared" si="27"/>
        <v>1700240</v>
      </c>
      <c r="J162" s="465">
        <f t="shared" si="27"/>
        <v>1951380</v>
      </c>
      <c r="K162" s="603">
        <f t="shared" si="27"/>
        <v>1951380</v>
      </c>
      <c r="L162" s="564">
        <f t="shared" si="23"/>
        <v>0</v>
      </c>
      <c r="M162" s="565">
        <f t="shared" si="24"/>
        <v>119.96267188637303</v>
      </c>
      <c r="N162" s="565">
        <f t="shared" si="25"/>
        <v>119.96267188637302</v>
      </c>
    </row>
    <row r="163" spans="1:14" ht="23.95" customHeight="1" outlineLevel="3" x14ac:dyDescent="0.3">
      <c r="A163" s="438" t="s">
        <v>582</v>
      </c>
      <c r="B163" s="439" t="s">
        <v>500</v>
      </c>
      <c r="C163" s="439" t="s">
        <v>583</v>
      </c>
      <c r="D163" s="539" t="s">
        <v>126</v>
      </c>
      <c r="E163" s="539" t="s">
        <v>6</v>
      </c>
      <c r="F163" s="540">
        <v>1465098.76</v>
      </c>
      <c r="G163" s="465">
        <f t="shared" si="27"/>
        <v>1626656</v>
      </c>
      <c r="H163" s="440">
        <f t="shared" si="27"/>
        <v>1189929.46</v>
      </c>
      <c r="I163" s="440">
        <f t="shared" si="27"/>
        <v>1700240</v>
      </c>
      <c r="J163" s="465">
        <f t="shared" si="27"/>
        <v>1951380</v>
      </c>
      <c r="K163" s="603">
        <f t="shared" si="27"/>
        <v>1951380</v>
      </c>
      <c r="L163" s="564">
        <f t="shared" si="23"/>
        <v>0</v>
      </c>
      <c r="M163" s="565">
        <f t="shared" si="24"/>
        <v>119.96267188637303</v>
      </c>
      <c r="N163" s="565">
        <f t="shared" si="25"/>
        <v>119.96267188637302</v>
      </c>
    </row>
    <row r="164" spans="1:14" ht="34" outlineLevel="3" x14ac:dyDescent="0.3">
      <c r="A164" s="438" t="s">
        <v>132</v>
      </c>
      <c r="B164" s="439" t="s">
        <v>500</v>
      </c>
      <c r="C164" s="439" t="s">
        <v>583</v>
      </c>
      <c r="D164" s="539" t="s">
        <v>127</v>
      </c>
      <c r="E164" s="539" t="s">
        <v>6</v>
      </c>
      <c r="F164" s="540">
        <v>1465098.76</v>
      </c>
      <c r="G164" s="465">
        <f>G165+G169</f>
        <v>1626656</v>
      </c>
      <c r="H164" s="440">
        <f>H165+H169</f>
        <v>1189929.46</v>
      </c>
      <c r="I164" s="440">
        <f>I165+I169</f>
        <v>1700240</v>
      </c>
      <c r="J164" s="465">
        <f>J165+J169</f>
        <v>1951380</v>
      </c>
      <c r="K164" s="603">
        <f>K165+K169</f>
        <v>1951380</v>
      </c>
      <c r="L164" s="564">
        <f t="shared" si="23"/>
        <v>0</v>
      </c>
      <c r="M164" s="565">
        <f t="shared" si="24"/>
        <v>119.96267188637303</v>
      </c>
      <c r="N164" s="565">
        <f t="shared" si="25"/>
        <v>119.96267188637302</v>
      </c>
    </row>
    <row r="165" spans="1:14" ht="19.55" customHeight="1" outlineLevel="3" x14ac:dyDescent="0.3">
      <c r="A165" s="438" t="s">
        <v>277</v>
      </c>
      <c r="B165" s="439" t="s">
        <v>500</v>
      </c>
      <c r="C165" s="439" t="s">
        <v>583</v>
      </c>
      <c r="D165" s="539" t="s">
        <v>276</v>
      </c>
      <c r="E165" s="539" t="s">
        <v>6</v>
      </c>
      <c r="F165" s="540">
        <v>1334332</v>
      </c>
      <c r="G165" s="465">
        <f t="shared" si="27"/>
        <v>1383656</v>
      </c>
      <c r="H165" s="440">
        <f t="shared" si="27"/>
        <v>968820.64</v>
      </c>
      <c r="I165" s="440">
        <f t="shared" si="27"/>
        <v>1430240</v>
      </c>
      <c r="J165" s="465">
        <f t="shared" si="27"/>
        <v>1681380</v>
      </c>
      <c r="K165" s="603">
        <f t="shared" si="27"/>
        <v>1681380</v>
      </c>
      <c r="L165" s="564">
        <f t="shared" si="23"/>
        <v>0</v>
      </c>
      <c r="M165" s="565">
        <f t="shared" si="24"/>
        <v>121.51719791624508</v>
      </c>
      <c r="N165" s="565">
        <f t="shared" si="25"/>
        <v>121.51719791624507</v>
      </c>
    </row>
    <row r="166" spans="1:14" ht="19.55" customHeight="1" outlineLevel="3" x14ac:dyDescent="0.3">
      <c r="A166" s="450" t="s">
        <v>584</v>
      </c>
      <c r="B166" s="439" t="s">
        <v>500</v>
      </c>
      <c r="C166" s="439" t="s">
        <v>583</v>
      </c>
      <c r="D166" s="539" t="s">
        <v>585</v>
      </c>
      <c r="E166" s="539" t="s">
        <v>6</v>
      </c>
      <c r="F166" s="540">
        <v>1334332</v>
      </c>
      <c r="G166" s="465">
        <f t="shared" si="27"/>
        <v>1383656</v>
      </c>
      <c r="H166" s="440">
        <f t="shared" si="27"/>
        <v>968820.64</v>
      </c>
      <c r="I166" s="440">
        <f t="shared" si="27"/>
        <v>1430240</v>
      </c>
      <c r="J166" s="465">
        <f t="shared" si="27"/>
        <v>1681380</v>
      </c>
      <c r="K166" s="603">
        <f t="shared" si="27"/>
        <v>1681380</v>
      </c>
      <c r="L166" s="564">
        <f t="shared" si="23"/>
        <v>0</v>
      </c>
      <c r="M166" s="565">
        <f t="shared" si="24"/>
        <v>121.51719791624508</v>
      </c>
      <c r="N166" s="565">
        <f t="shared" si="25"/>
        <v>121.51719791624507</v>
      </c>
    </row>
    <row r="167" spans="1:14" ht="84.9" outlineLevel="3" x14ac:dyDescent="0.3">
      <c r="A167" s="438" t="s">
        <v>11</v>
      </c>
      <c r="B167" s="439" t="s">
        <v>500</v>
      </c>
      <c r="C167" s="439" t="s">
        <v>583</v>
      </c>
      <c r="D167" s="539" t="s">
        <v>585</v>
      </c>
      <c r="E167" s="539" t="s">
        <v>12</v>
      </c>
      <c r="F167" s="540">
        <v>1334332</v>
      </c>
      <c r="G167" s="465">
        <f t="shared" si="27"/>
        <v>1383656</v>
      </c>
      <c r="H167" s="370">
        <v>968820.64</v>
      </c>
      <c r="I167" s="440">
        <f>I168</f>
        <v>1430240</v>
      </c>
      <c r="J167" s="465">
        <f>J168</f>
        <v>1681380</v>
      </c>
      <c r="K167" s="603">
        <f>K168</f>
        <v>1681380</v>
      </c>
      <c r="L167" s="564">
        <f t="shared" si="23"/>
        <v>0</v>
      </c>
      <c r="M167" s="565">
        <f t="shared" si="24"/>
        <v>121.51719791624508</v>
      </c>
      <c r="N167" s="565">
        <f t="shared" si="25"/>
        <v>121.51719791624507</v>
      </c>
    </row>
    <row r="168" spans="1:14" ht="34" outlineLevel="3" x14ac:dyDescent="0.3">
      <c r="A168" s="438" t="s">
        <v>13</v>
      </c>
      <c r="B168" s="439" t="s">
        <v>500</v>
      </c>
      <c r="C168" s="439" t="s">
        <v>583</v>
      </c>
      <c r="D168" s="539" t="s">
        <v>585</v>
      </c>
      <c r="E168" s="539" t="s">
        <v>14</v>
      </c>
      <c r="F168" s="540">
        <v>1334332</v>
      </c>
      <c r="G168" s="465">
        <v>1383656</v>
      </c>
      <c r="H168" s="370">
        <v>968820.64</v>
      </c>
      <c r="I168" s="440">
        <f>'[2]прил 12'!F163</f>
        <v>1430240</v>
      </c>
      <c r="J168" s="466">
        <v>1681380</v>
      </c>
      <c r="K168" s="604">
        <v>1681380</v>
      </c>
      <c r="L168" s="564">
        <f t="shared" si="23"/>
        <v>0</v>
      </c>
      <c r="M168" s="565">
        <f t="shared" si="24"/>
        <v>121.51719791624508</v>
      </c>
      <c r="N168" s="565">
        <f t="shared" si="25"/>
        <v>121.51719791624507</v>
      </c>
    </row>
    <row r="169" spans="1:14" ht="50.95" outlineLevel="3" x14ac:dyDescent="0.3">
      <c r="A169" s="450" t="s">
        <v>723</v>
      </c>
      <c r="B169" s="439" t="s">
        <v>500</v>
      </c>
      <c r="C169" s="439" t="s">
        <v>583</v>
      </c>
      <c r="D169" s="539" t="s">
        <v>728</v>
      </c>
      <c r="E169" s="539" t="s">
        <v>6</v>
      </c>
      <c r="F169" s="540">
        <v>130766.76</v>
      </c>
      <c r="G169" s="465">
        <f t="shared" ref="G169:K170" si="28">G170</f>
        <v>243000</v>
      </c>
      <c r="H169" s="440">
        <f t="shared" si="28"/>
        <v>221108.82</v>
      </c>
      <c r="I169" s="440">
        <f t="shared" si="28"/>
        <v>270000</v>
      </c>
      <c r="J169" s="465">
        <f t="shared" si="28"/>
        <v>270000</v>
      </c>
      <c r="K169" s="603">
        <f t="shared" si="28"/>
        <v>270000</v>
      </c>
      <c r="L169" s="564">
        <f t="shared" si="23"/>
        <v>0</v>
      </c>
      <c r="M169" s="565">
        <f t="shared" si="24"/>
        <v>111.11111111111111</v>
      </c>
      <c r="N169" s="565">
        <f t="shared" si="25"/>
        <v>111.11111111111111</v>
      </c>
    </row>
    <row r="170" spans="1:14" ht="76.75" customHeight="1" outlineLevel="3" x14ac:dyDescent="0.3">
      <c r="A170" s="438" t="s">
        <v>11</v>
      </c>
      <c r="B170" s="439" t="s">
        <v>500</v>
      </c>
      <c r="C170" s="439" t="s">
        <v>583</v>
      </c>
      <c r="D170" s="539" t="s">
        <v>728</v>
      </c>
      <c r="E170" s="539" t="s">
        <v>12</v>
      </c>
      <c r="F170" s="540">
        <v>130766.76</v>
      </c>
      <c r="G170" s="465">
        <f t="shared" si="28"/>
        <v>243000</v>
      </c>
      <c r="H170" s="370">
        <v>221108.82</v>
      </c>
      <c r="I170" s="440">
        <f t="shared" si="28"/>
        <v>270000</v>
      </c>
      <c r="J170" s="465">
        <f t="shared" si="28"/>
        <v>270000</v>
      </c>
      <c r="K170" s="603">
        <f t="shared" si="28"/>
        <v>270000</v>
      </c>
      <c r="L170" s="564">
        <f t="shared" si="23"/>
        <v>0</v>
      </c>
      <c r="M170" s="565">
        <f t="shared" si="24"/>
        <v>111.11111111111111</v>
      </c>
      <c r="N170" s="565">
        <f t="shared" si="25"/>
        <v>111.11111111111111</v>
      </c>
    </row>
    <row r="171" spans="1:14" ht="34" outlineLevel="3" x14ac:dyDescent="0.3">
      <c r="A171" s="438" t="s">
        <v>13</v>
      </c>
      <c r="B171" s="439" t="s">
        <v>500</v>
      </c>
      <c r="C171" s="439" t="s">
        <v>583</v>
      </c>
      <c r="D171" s="539" t="s">
        <v>728</v>
      </c>
      <c r="E171" s="539" t="s">
        <v>14</v>
      </c>
      <c r="F171" s="540">
        <v>130766.76</v>
      </c>
      <c r="G171" s="465">
        <f>[2]потребность!I166</f>
        <v>243000</v>
      </c>
      <c r="H171" s="370">
        <v>221108.82</v>
      </c>
      <c r="I171" s="440">
        <f>'[2]прил 12'!F166</f>
        <v>270000</v>
      </c>
      <c r="J171" s="466">
        <v>270000</v>
      </c>
      <c r="K171" s="604">
        <v>270000</v>
      </c>
      <c r="L171" s="564">
        <f t="shared" si="23"/>
        <v>0</v>
      </c>
      <c r="M171" s="565">
        <f t="shared" si="24"/>
        <v>111.11111111111111</v>
      </c>
      <c r="N171" s="565">
        <f t="shared" si="25"/>
        <v>111.11111111111111</v>
      </c>
    </row>
    <row r="172" spans="1:14" ht="34" outlineLevel="3" x14ac:dyDescent="0.3">
      <c r="A172" s="444" t="s">
        <v>41</v>
      </c>
      <c r="B172" s="445" t="s">
        <v>500</v>
      </c>
      <c r="C172" s="445" t="s">
        <v>42</v>
      </c>
      <c r="D172" s="541" t="s">
        <v>126</v>
      </c>
      <c r="E172" s="541" t="s">
        <v>6</v>
      </c>
      <c r="F172" s="540">
        <v>11670348.939999999</v>
      </c>
      <c r="G172" s="508">
        <f>G173+G178</f>
        <v>991747.04</v>
      </c>
      <c r="H172" s="446">
        <f>H173+H178</f>
        <v>380730.4</v>
      </c>
      <c r="I172" s="446">
        <f>I173+I178</f>
        <v>400000</v>
      </c>
      <c r="J172" s="508">
        <f>J173+J178</f>
        <v>1805000</v>
      </c>
      <c r="K172" s="606">
        <f>K173+K178</f>
        <v>805000</v>
      </c>
      <c r="L172" s="564">
        <f t="shared" si="23"/>
        <v>-1000000</v>
      </c>
      <c r="M172" s="565">
        <f t="shared" si="24"/>
        <v>182.00205568549012</v>
      </c>
      <c r="N172" s="565">
        <f t="shared" si="25"/>
        <v>81.169891870814155</v>
      </c>
    </row>
    <row r="173" spans="1:14" ht="50.95" outlineLevel="3" x14ac:dyDescent="0.3">
      <c r="A173" s="438" t="s">
        <v>43</v>
      </c>
      <c r="B173" s="439" t="s">
        <v>500</v>
      </c>
      <c r="C173" s="439" t="s">
        <v>44</v>
      </c>
      <c r="D173" s="539" t="s">
        <v>126</v>
      </c>
      <c r="E173" s="539" t="s">
        <v>6</v>
      </c>
      <c r="F173" s="540">
        <v>11433943.199999999</v>
      </c>
      <c r="G173" s="465">
        <f t="shared" ref="G173:K176" si="29">G174</f>
        <v>406747.04000000004</v>
      </c>
      <c r="H173" s="440">
        <f t="shared" si="29"/>
        <v>0</v>
      </c>
      <c r="I173" s="440">
        <f t="shared" si="29"/>
        <v>200000</v>
      </c>
      <c r="J173" s="465">
        <f t="shared" si="29"/>
        <v>200000</v>
      </c>
      <c r="K173" s="603">
        <f t="shared" si="29"/>
        <v>200000</v>
      </c>
      <c r="L173" s="564">
        <f t="shared" si="23"/>
        <v>0</v>
      </c>
      <c r="M173" s="565">
        <f t="shared" si="24"/>
        <v>49.170609821770306</v>
      </c>
      <c r="N173" s="565">
        <f t="shared" si="25"/>
        <v>49.170609821770299</v>
      </c>
    </row>
    <row r="174" spans="1:14" ht="34" outlineLevel="3" x14ac:dyDescent="0.3">
      <c r="A174" s="438" t="s">
        <v>132</v>
      </c>
      <c r="B174" s="439" t="s">
        <v>500</v>
      </c>
      <c r="C174" s="439" t="s">
        <v>44</v>
      </c>
      <c r="D174" s="539" t="s">
        <v>127</v>
      </c>
      <c r="E174" s="539" t="s">
        <v>6</v>
      </c>
      <c r="F174" s="540">
        <v>11433943.199999999</v>
      </c>
      <c r="G174" s="465">
        <f t="shared" si="29"/>
        <v>406747.04000000004</v>
      </c>
      <c r="H174" s="440">
        <f t="shared" si="29"/>
        <v>0</v>
      </c>
      <c r="I174" s="440">
        <f t="shared" si="29"/>
        <v>200000</v>
      </c>
      <c r="J174" s="465">
        <f t="shared" si="29"/>
        <v>200000</v>
      </c>
      <c r="K174" s="603">
        <f t="shared" si="29"/>
        <v>200000</v>
      </c>
      <c r="L174" s="564">
        <f t="shared" si="23"/>
        <v>0</v>
      </c>
      <c r="M174" s="565">
        <f t="shared" si="24"/>
        <v>49.170609821770306</v>
      </c>
      <c r="N174" s="565">
        <f t="shared" si="25"/>
        <v>49.170609821770299</v>
      </c>
    </row>
    <row r="175" spans="1:14" s="449" customFormat="1" ht="34" outlineLevel="1" x14ac:dyDescent="0.3">
      <c r="A175" s="438" t="s">
        <v>45</v>
      </c>
      <c r="B175" s="439" t="s">
        <v>500</v>
      </c>
      <c r="C175" s="439" t="s">
        <v>44</v>
      </c>
      <c r="D175" s="539" t="s">
        <v>133</v>
      </c>
      <c r="E175" s="539" t="s">
        <v>6</v>
      </c>
      <c r="F175" s="540">
        <v>11433943.199999999</v>
      </c>
      <c r="G175" s="465">
        <f t="shared" si="29"/>
        <v>406747.04000000004</v>
      </c>
      <c r="H175" s="440">
        <f t="shared" si="29"/>
        <v>0</v>
      </c>
      <c r="I175" s="440">
        <f t="shared" si="29"/>
        <v>200000</v>
      </c>
      <c r="J175" s="465">
        <f t="shared" si="29"/>
        <v>200000</v>
      </c>
      <c r="K175" s="603">
        <f t="shared" si="29"/>
        <v>200000</v>
      </c>
      <c r="L175" s="564">
        <f t="shared" si="23"/>
        <v>0</v>
      </c>
      <c r="M175" s="565">
        <f t="shared" si="24"/>
        <v>49.170609821770306</v>
      </c>
      <c r="N175" s="565">
        <f t="shared" si="25"/>
        <v>49.170609821770299</v>
      </c>
    </row>
    <row r="176" spans="1:14" ht="34" outlineLevel="2" x14ac:dyDescent="0.3">
      <c r="A176" s="438" t="s">
        <v>15</v>
      </c>
      <c r="B176" s="439" t="s">
        <v>500</v>
      </c>
      <c r="C176" s="439" t="s">
        <v>44</v>
      </c>
      <c r="D176" s="539" t="s">
        <v>133</v>
      </c>
      <c r="E176" s="539" t="s">
        <v>16</v>
      </c>
      <c r="F176" s="540">
        <v>11433943.199999999</v>
      </c>
      <c r="G176" s="465">
        <f t="shared" si="29"/>
        <v>406747.04000000004</v>
      </c>
      <c r="H176" s="440">
        <v>0</v>
      </c>
      <c r="I176" s="440">
        <f t="shared" si="29"/>
        <v>200000</v>
      </c>
      <c r="J176" s="465">
        <f t="shared" si="29"/>
        <v>200000</v>
      </c>
      <c r="K176" s="603">
        <f t="shared" si="29"/>
        <v>200000</v>
      </c>
      <c r="L176" s="564">
        <f t="shared" si="23"/>
        <v>0</v>
      </c>
      <c r="M176" s="565">
        <f t="shared" si="24"/>
        <v>49.170609821770306</v>
      </c>
      <c r="N176" s="565">
        <f t="shared" si="25"/>
        <v>49.170609821770299</v>
      </c>
    </row>
    <row r="177" spans="1:14" ht="34" outlineLevel="4" x14ac:dyDescent="0.3">
      <c r="A177" s="438" t="s">
        <v>17</v>
      </c>
      <c r="B177" s="439" t="s">
        <v>500</v>
      </c>
      <c r="C177" s="439" t="s">
        <v>44</v>
      </c>
      <c r="D177" s="539" t="s">
        <v>133</v>
      </c>
      <c r="E177" s="539" t="s">
        <v>18</v>
      </c>
      <c r="F177" s="540">
        <v>11433943.199999999</v>
      </c>
      <c r="G177" s="465">
        <f>[2]потребность!I172</f>
        <v>406747.04000000004</v>
      </c>
      <c r="H177" s="440">
        <v>0</v>
      </c>
      <c r="I177" s="440">
        <f>'[2]прил 12'!F172</f>
        <v>200000</v>
      </c>
      <c r="J177" s="466">
        <v>200000</v>
      </c>
      <c r="K177" s="604">
        <v>200000</v>
      </c>
      <c r="L177" s="564">
        <f t="shared" si="23"/>
        <v>0</v>
      </c>
      <c r="M177" s="565">
        <f t="shared" si="24"/>
        <v>49.170609821770306</v>
      </c>
      <c r="N177" s="565">
        <f t="shared" si="25"/>
        <v>49.170609821770299</v>
      </c>
    </row>
    <row r="178" spans="1:14" outlineLevel="5" x14ac:dyDescent="0.3">
      <c r="A178" s="438" t="s">
        <v>504</v>
      </c>
      <c r="B178" s="439" t="s">
        <v>500</v>
      </c>
      <c r="C178" s="439" t="s">
        <v>505</v>
      </c>
      <c r="D178" s="539" t="s">
        <v>126</v>
      </c>
      <c r="E178" s="539" t="s">
        <v>6</v>
      </c>
      <c r="F178" s="540">
        <v>236405.74</v>
      </c>
      <c r="G178" s="465">
        <f t="shared" ref="G178:K181" si="30">G179</f>
        <v>585000</v>
      </c>
      <c r="H178" s="440">
        <f t="shared" si="30"/>
        <v>380730.4</v>
      </c>
      <c r="I178" s="440">
        <f t="shared" si="30"/>
        <v>200000</v>
      </c>
      <c r="J178" s="465">
        <f t="shared" si="30"/>
        <v>1605000</v>
      </c>
      <c r="K178" s="603">
        <f t="shared" si="30"/>
        <v>605000</v>
      </c>
      <c r="L178" s="564">
        <f t="shared" si="23"/>
        <v>-1000000</v>
      </c>
      <c r="M178" s="565">
        <f t="shared" si="24"/>
        <v>274.35897435897436</v>
      </c>
      <c r="N178" s="565">
        <f t="shared" si="25"/>
        <v>103.41880341880344</v>
      </c>
    </row>
    <row r="179" spans="1:14" ht="34" outlineLevel="6" x14ac:dyDescent="0.3">
      <c r="A179" s="438" t="s">
        <v>132</v>
      </c>
      <c r="B179" s="439" t="s">
        <v>500</v>
      </c>
      <c r="C179" s="439" t="s">
        <v>505</v>
      </c>
      <c r="D179" s="539" t="s">
        <v>127</v>
      </c>
      <c r="E179" s="539" t="s">
        <v>6</v>
      </c>
      <c r="F179" s="540">
        <v>236405.74</v>
      </c>
      <c r="G179" s="465">
        <f t="shared" si="30"/>
        <v>585000</v>
      </c>
      <c r="H179" s="440">
        <f t="shared" si="30"/>
        <v>380730.4</v>
      </c>
      <c r="I179" s="440">
        <f t="shared" si="30"/>
        <v>200000</v>
      </c>
      <c r="J179" s="465">
        <f t="shared" si="30"/>
        <v>1605000</v>
      </c>
      <c r="K179" s="603">
        <f t="shared" si="30"/>
        <v>605000</v>
      </c>
      <c r="L179" s="564">
        <f t="shared" si="23"/>
        <v>-1000000</v>
      </c>
      <c r="M179" s="565">
        <f t="shared" si="24"/>
        <v>274.35897435897436</v>
      </c>
      <c r="N179" s="565">
        <f t="shared" si="25"/>
        <v>103.41880341880344</v>
      </c>
    </row>
    <row r="180" spans="1:14" ht="36" customHeight="1" outlineLevel="7" x14ac:dyDescent="0.3">
      <c r="A180" s="438" t="s">
        <v>506</v>
      </c>
      <c r="B180" s="439" t="s">
        <v>500</v>
      </c>
      <c r="C180" s="439" t="s">
        <v>505</v>
      </c>
      <c r="D180" s="539" t="s">
        <v>685</v>
      </c>
      <c r="E180" s="539" t="s">
        <v>6</v>
      </c>
      <c r="F180" s="540">
        <v>236405.74</v>
      </c>
      <c r="G180" s="465">
        <f t="shared" si="30"/>
        <v>585000</v>
      </c>
      <c r="H180" s="440">
        <f t="shared" si="30"/>
        <v>380730.4</v>
      </c>
      <c r="I180" s="440">
        <f t="shared" si="30"/>
        <v>200000</v>
      </c>
      <c r="J180" s="465">
        <f t="shared" si="30"/>
        <v>1605000</v>
      </c>
      <c r="K180" s="603">
        <f t="shared" si="30"/>
        <v>605000</v>
      </c>
      <c r="L180" s="564">
        <f t="shared" si="23"/>
        <v>-1000000</v>
      </c>
      <c r="M180" s="565">
        <f t="shared" si="24"/>
        <v>274.35897435897436</v>
      </c>
      <c r="N180" s="565">
        <f t="shared" si="25"/>
        <v>103.41880341880344</v>
      </c>
    </row>
    <row r="181" spans="1:14" ht="20.25" customHeight="1" outlineLevel="7" x14ac:dyDescent="0.3">
      <c r="A181" s="438" t="s">
        <v>15</v>
      </c>
      <c r="B181" s="439" t="s">
        <v>500</v>
      </c>
      <c r="C181" s="439" t="s">
        <v>505</v>
      </c>
      <c r="D181" s="539" t="s">
        <v>685</v>
      </c>
      <c r="E181" s="539" t="s">
        <v>16</v>
      </c>
      <c r="F181" s="540">
        <v>236405.74</v>
      </c>
      <c r="G181" s="465">
        <f t="shared" si="30"/>
        <v>585000</v>
      </c>
      <c r="H181" s="370">
        <v>380730.4</v>
      </c>
      <c r="I181" s="440">
        <f t="shared" si="30"/>
        <v>200000</v>
      </c>
      <c r="J181" s="465">
        <f t="shared" si="30"/>
        <v>1605000</v>
      </c>
      <c r="K181" s="603">
        <f t="shared" si="30"/>
        <v>605000</v>
      </c>
      <c r="L181" s="564">
        <f t="shared" si="23"/>
        <v>-1000000</v>
      </c>
      <c r="M181" s="565">
        <f t="shared" si="24"/>
        <v>274.35897435897436</v>
      </c>
      <c r="N181" s="565">
        <f t="shared" si="25"/>
        <v>103.41880341880344</v>
      </c>
    </row>
    <row r="182" spans="1:14" ht="34" outlineLevel="7" x14ac:dyDescent="0.3">
      <c r="A182" s="438" t="s">
        <v>17</v>
      </c>
      <c r="B182" s="439" t="s">
        <v>500</v>
      </c>
      <c r="C182" s="439" t="s">
        <v>505</v>
      </c>
      <c r="D182" s="539" t="s">
        <v>685</v>
      </c>
      <c r="E182" s="539" t="s">
        <v>18</v>
      </c>
      <c r="F182" s="540">
        <v>236405.74</v>
      </c>
      <c r="G182" s="465">
        <v>585000</v>
      </c>
      <c r="H182" s="370">
        <v>380730.4</v>
      </c>
      <c r="I182" s="440">
        <f>'[2]прил 12'!F177</f>
        <v>200000</v>
      </c>
      <c r="J182" s="466">
        <v>1605000</v>
      </c>
      <c r="K182" s="604">
        <f>J182-1000000</f>
        <v>605000</v>
      </c>
      <c r="L182" s="564">
        <f t="shared" si="23"/>
        <v>-1000000</v>
      </c>
      <c r="M182" s="565">
        <f t="shared" si="24"/>
        <v>274.35897435897436</v>
      </c>
      <c r="N182" s="565">
        <f t="shared" si="25"/>
        <v>103.41880341880344</v>
      </c>
    </row>
    <row r="183" spans="1:14" ht="20.25" customHeight="1" outlineLevel="7" x14ac:dyDescent="0.3">
      <c r="A183" s="444" t="s">
        <v>119</v>
      </c>
      <c r="B183" s="445" t="s">
        <v>500</v>
      </c>
      <c r="C183" s="445" t="s">
        <v>46</v>
      </c>
      <c r="D183" s="541" t="s">
        <v>126</v>
      </c>
      <c r="E183" s="541" t="s">
        <v>6</v>
      </c>
      <c r="F183" s="540">
        <v>46732107.039999999</v>
      </c>
      <c r="G183" s="508">
        <f>G201+G190+G213+G184</f>
        <v>29347683.93</v>
      </c>
      <c r="H183" s="446">
        <f>H201+H190+H213+H184</f>
        <v>12362901.439999999</v>
      </c>
      <c r="I183" s="446">
        <f>I201+I190+I213+I184</f>
        <v>14114514.17</v>
      </c>
      <c r="J183" s="508">
        <f>J201+J190+J213+J184</f>
        <v>16168133.93</v>
      </c>
      <c r="K183" s="606">
        <f>K201+K190+K213+K184</f>
        <v>15218133.93</v>
      </c>
      <c r="L183" s="564">
        <f t="shared" si="23"/>
        <v>-950000</v>
      </c>
      <c r="M183" s="565">
        <f t="shared" si="24"/>
        <v>55.091686173819305</v>
      </c>
      <c r="N183" s="565">
        <f t="shared" si="25"/>
        <v>51.854633456930507</v>
      </c>
    </row>
    <row r="184" spans="1:14" outlineLevel="7" x14ac:dyDescent="0.3">
      <c r="A184" s="438" t="s">
        <v>121</v>
      </c>
      <c r="B184" s="439" t="s">
        <v>500</v>
      </c>
      <c r="C184" s="439" t="s">
        <v>122</v>
      </c>
      <c r="D184" s="539" t="s">
        <v>126</v>
      </c>
      <c r="E184" s="539" t="s">
        <v>6</v>
      </c>
      <c r="F184" s="539" t="s">
        <v>976</v>
      </c>
      <c r="G184" s="465">
        <f>G185</f>
        <v>1122746.8500000001</v>
      </c>
      <c r="H184" s="440">
        <f>H185</f>
        <v>217322.94</v>
      </c>
      <c r="I184" s="440">
        <f>I185</f>
        <v>324127.09000000003</v>
      </c>
      <c r="J184" s="465">
        <f>J185</f>
        <v>1122746.8500000001</v>
      </c>
      <c r="K184" s="603">
        <f>K185</f>
        <v>1122746.8500000001</v>
      </c>
      <c r="L184" s="564">
        <f t="shared" si="23"/>
        <v>0</v>
      </c>
      <c r="M184" s="565">
        <f t="shared" si="24"/>
        <v>100</v>
      </c>
      <c r="N184" s="565">
        <f t="shared" si="25"/>
        <v>100</v>
      </c>
    </row>
    <row r="185" spans="1:14" ht="34" outlineLevel="7" x14ac:dyDescent="0.3">
      <c r="A185" s="444" t="s">
        <v>132</v>
      </c>
      <c r="B185" s="439" t="s">
        <v>500</v>
      </c>
      <c r="C185" s="445" t="s">
        <v>122</v>
      </c>
      <c r="D185" s="541" t="s">
        <v>127</v>
      </c>
      <c r="E185" s="541" t="s">
        <v>6</v>
      </c>
      <c r="F185" s="541" t="s">
        <v>976</v>
      </c>
      <c r="G185" s="508">
        <f>G187</f>
        <v>1122746.8500000001</v>
      </c>
      <c r="H185" s="446">
        <f>H187</f>
        <v>217322.94</v>
      </c>
      <c r="I185" s="446">
        <f>I187</f>
        <v>324127.09000000003</v>
      </c>
      <c r="J185" s="508">
        <f>J187</f>
        <v>1122746.8500000001</v>
      </c>
      <c r="K185" s="606">
        <f>K187</f>
        <v>1122746.8500000001</v>
      </c>
      <c r="L185" s="564">
        <f t="shared" si="23"/>
        <v>0</v>
      </c>
      <c r="M185" s="565">
        <f t="shared" si="24"/>
        <v>100</v>
      </c>
      <c r="N185" s="565">
        <f t="shared" si="25"/>
        <v>100</v>
      </c>
    </row>
    <row r="186" spans="1:14" s="449" customFormat="1" outlineLevel="7" x14ac:dyDescent="0.3">
      <c r="A186" s="438" t="s">
        <v>277</v>
      </c>
      <c r="B186" s="439" t="s">
        <v>500</v>
      </c>
      <c r="C186" s="439" t="s">
        <v>122</v>
      </c>
      <c r="D186" s="539" t="s">
        <v>276</v>
      </c>
      <c r="E186" s="539" t="s">
        <v>6</v>
      </c>
      <c r="F186" s="539" t="s">
        <v>976</v>
      </c>
      <c r="G186" s="465">
        <f t="shared" ref="G186:K188" si="31">G187</f>
        <v>1122746.8500000001</v>
      </c>
      <c r="H186" s="440">
        <f t="shared" si="31"/>
        <v>217322.94</v>
      </c>
      <c r="I186" s="440">
        <f t="shared" si="31"/>
        <v>324127.09000000003</v>
      </c>
      <c r="J186" s="465">
        <f t="shared" si="31"/>
        <v>1122746.8500000001</v>
      </c>
      <c r="K186" s="603">
        <f t="shared" si="31"/>
        <v>1122746.8500000001</v>
      </c>
      <c r="L186" s="564">
        <f t="shared" si="23"/>
        <v>0</v>
      </c>
      <c r="M186" s="565">
        <f t="shared" si="24"/>
        <v>100</v>
      </c>
      <c r="N186" s="565">
        <f t="shared" si="25"/>
        <v>100</v>
      </c>
    </row>
    <row r="187" spans="1:14" ht="84.75" customHeight="1" outlineLevel="7" x14ac:dyDescent="0.3">
      <c r="A187" s="450" t="s">
        <v>383</v>
      </c>
      <c r="B187" s="439" t="s">
        <v>500</v>
      </c>
      <c r="C187" s="439" t="s">
        <v>122</v>
      </c>
      <c r="D187" s="539" t="s">
        <v>286</v>
      </c>
      <c r="E187" s="539" t="s">
        <v>6</v>
      </c>
      <c r="F187" s="539" t="s">
        <v>976</v>
      </c>
      <c r="G187" s="465">
        <f t="shared" si="31"/>
        <v>1122746.8500000001</v>
      </c>
      <c r="H187" s="440">
        <f t="shared" si="31"/>
        <v>217322.94</v>
      </c>
      <c r="I187" s="440">
        <f t="shared" si="31"/>
        <v>324127.09000000003</v>
      </c>
      <c r="J187" s="465">
        <f t="shared" si="31"/>
        <v>1122746.8500000001</v>
      </c>
      <c r="K187" s="603">
        <f t="shared" si="31"/>
        <v>1122746.8500000001</v>
      </c>
      <c r="L187" s="564">
        <f t="shared" si="23"/>
        <v>0</v>
      </c>
      <c r="M187" s="565">
        <f t="shared" si="24"/>
        <v>100</v>
      </c>
      <c r="N187" s="565">
        <f t="shared" si="25"/>
        <v>100</v>
      </c>
    </row>
    <row r="188" spans="1:14" ht="34" outlineLevel="7" x14ac:dyDescent="0.3">
      <c r="A188" s="438" t="s">
        <v>15</v>
      </c>
      <c r="B188" s="439" t="s">
        <v>500</v>
      </c>
      <c r="C188" s="439" t="s">
        <v>122</v>
      </c>
      <c r="D188" s="539" t="s">
        <v>286</v>
      </c>
      <c r="E188" s="539" t="s">
        <v>16</v>
      </c>
      <c r="F188" s="539" t="s">
        <v>976</v>
      </c>
      <c r="G188" s="465">
        <f t="shared" si="31"/>
        <v>1122746.8500000001</v>
      </c>
      <c r="H188" s="371">
        <v>217322.94</v>
      </c>
      <c r="I188" s="440">
        <f t="shared" si="31"/>
        <v>324127.09000000003</v>
      </c>
      <c r="J188" s="465">
        <f t="shared" si="31"/>
        <v>1122746.8500000001</v>
      </c>
      <c r="K188" s="603">
        <f t="shared" si="31"/>
        <v>1122746.8500000001</v>
      </c>
      <c r="L188" s="564">
        <f t="shared" si="23"/>
        <v>0</v>
      </c>
      <c r="M188" s="565">
        <f t="shared" si="24"/>
        <v>100</v>
      </c>
      <c r="N188" s="565">
        <f t="shared" si="25"/>
        <v>100</v>
      </c>
    </row>
    <row r="189" spans="1:14" ht="34" outlineLevel="7" x14ac:dyDescent="0.3">
      <c r="A189" s="438" t="s">
        <v>17</v>
      </c>
      <c r="B189" s="439" t="s">
        <v>500</v>
      </c>
      <c r="C189" s="439" t="s">
        <v>122</v>
      </c>
      <c r="D189" s="539" t="s">
        <v>286</v>
      </c>
      <c r="E189" s="539" t="s">
        <v>18</v>
      </c>
      <c r="F189" s="539" t="s">
        <v>976</v>
      </c>
      <c r="G189" s="465">
        <f>324127.09+798619.76</f>
        <v>1122746.8500000001</v>
      </c>
      <c r="H189" s="371">
        <v>217322.94</v>
      </c>
      <c r="I189" s="440">
        <f>'[2]прил 12'!F184</f>
        <v>324127.09000000003</v>
      </c>
      <c r="J189" s="466">
        <v>1122746.8500000001</v>
      </c>
      <c r="K189" s="604">
        <v>1122746.8500000001</v>
      </c>
      <c r="L189" s="564">
        <f t="shared" si="23"/>
        <v>0</v>
      </c>
      <c r="M189" s="565">
        <f t="shared" si="24"/>
        <v>100</v>
      </c>
      <c r="N189" s="565">
        <f t="shared" si="25"/>
        <v>100</v>
      </c>
    </row>
    <row r="190" spans="1:14" outlineLevel="7" x14ac:dyDescent="0.3">
      <c r="A190" s="438" t="s">
        <v>290</v>
      </c>
      <c r="B190" s="439" t="s">
        <v>500</v>
      </c>
      <c r="C190" s="439" t="s">
        <v>291</v>
      </c>
      <c r="D190" s="539" t="s">
        <v>126</v>
      </c>
      <c r="E190" s="539" t="s">
        <v>6</v>
      </c>
      <c r="F190" s="539"/>
      <c r="G190" s="465">
        <f>G191+G198</f>
        <v>103387.08</v>
      </c>
      <c r="H190" s="440">
        <f>H191+H198</f>
        <v>0</v>
      </c>
      <c r="I190" s="440">
        <f>I191+I198</f>
        <v>103387.08</v>
      </c>
      <c r="J190" s="465">
        <f>J191+J198</f>
        <v>103387.08</v>
      </c>
      <c r="K190" s="603">
        <f>K191+K198</f>
        <v>103387.08</v>
      </c>
      <c r="L190" s="564">
        <f t="shared" si="23"/>
        <v>0</v>
      </c>
      <c r="M190" s="565">
        <f t="shared" si="24"/>
        <v>100.00000000000001</v>
      </c>
      <c r="N190" s="565">
        <f t="shared" si="25"/>
        <v>100</v>
      </c>
    </row>
    <row r="191" spans="1:14" ht="34" outlineLevel="7" x14ac:dyDescent="0.3">
      <c r="A191" s="438" t="s">
        <v>132</v>
      </c>
      <c r="B191" s="439" t="s">
        <v>500</v>
      </c>
      <c r="C191" s="439" t="s">
        <v>291</v>
      </c>
      <c r="D191" s="539" t="s">
        <v>127</v>
      </c>
      <c r="E191" s="539" t="s">
        <v>6</v>
      </c>
      <c r="F191" s="539"/>
      <c r="G191" s="465">
        <f>G193</f>
        <v>3387.08</v>
      </c>
      <c r="H191" s="440">
        <f>H193</f>
        <v>0</v>
      </c>
      <c r="I191" s="440">
        <f t="shared" ref="I191:K194" si="32">I192</f>
        <v>3387.08</v>
      </c>
      <c r="J191" s="465">
        <f t="shared" si="32"/>
        <v>3387.08</v>
      </c>
      <c r="K191" s="603">
        <f t="shared" si="32"/>
        <v>3387.08</v>
      </c>
      <c r="L191" s="564">
        <f t="shared" si="23"/>
        <v>0</v>
      </c>
      <c r="M191" s="565">
        <f t="shared" si="24"/>
        <v>99.999999999999986</v>
      </c>
      <c r="N191" s="565">
        <f t="shared" si="25"/>
        <v>100</v>
      </c>
    </row>
    <row r="192" spans="1:14" ht="20.25" customHeight="1" outlineLevel="7" x14ac:dyDescent="0.3">
      <c r="A192" s="438" t="s">
        <v>277</v>
      </c>
      <c r="B192" s="439" t="s">
        <v>500</v>
      </c>
      <c r="C192" s="439" t="s">
        <v>291</v>
      </c>
      <c r="D192" s="539" t="s">
        <v>276</v>
      </c>
      <c r="E192" s="539" t="s">
        <v>6</v>
      </c>
      <c r="F192" s="539"/>
      <c r="G192" s="465">
        <f>G193</f>
        <v>3387.08</v>
      </c>
      <c r="H192" s="440">
        <f>H193</f>
        <v>0</v>
      </c>
      <c r="I192" s="440">
        <f t="shared" si="32"/>
        <v>3387.08</v>
      </c>
      <c r="J192" s="465">
        <f t="shared" si="32"/>
        <v>3387.08</v>
      </c>
      <c r="K192" s="603">
        <f t="shared" si="32"/>
        <v>3387.08</v>
      </c>
      <c r="L192" s="564">
        <f t="shared" si="23"/>
        <v>0</v>
      </c>
      <c r="M192" s="565">
        <f t="shared" si="24"/>
        <v>99.999999999999986</v>
      </c>
      <c r="N192" s="565">
        <f t="shared" si="25"/>
        <v>100</v>
      </c>
    </row>
    <row r="193" spans="1:14" ht="118.9" outlineLevel="7" x14ac:dyDescent="0.3">
      <c r="A193" s="393" t="s">
        <v>385</v>
      </c>
      <c r="B193" s="439" t="s">
        <v>500</v>
      </c>
      <c r="C193" s="439" t="s">
        <v>291</v>
      </c>
      <c r="D193" s="539" t="s">
        <v>384</v>
      </c>
      <c r="E193" s="539" t="s">
        <v>6</v>
      </c>
      <c r="F193" s="539"/>
      <c r="G193" s="465">
        <f>G194</f>
        <v>3387.08</v>
      </c>
      <c r="H193" s="440">
        <f>H194</f>
        <v>0</v>
      </c>
      <c r="I193" s="440">
        <f t="shared" si="32"/>
        <v>3387.08</v>
      </c>
      <c r="J193" s="465">
        <f t="shared" si="32"/>
        <v>3387.08</v>
      </c>
      <c r="K193" s="603">
        <f t="shared" si="32"/>
        <v>3387.08</v>
      </c>
      <c r="L193" s="564">
        <f t="shared" si="23"/>
        <v>0</v>
      </c>
      <c r="M193" s="565">
        <f t="shared" si="24"/>
        <v>99.999999999999986</v>
      </c>
      <c r="N193" s="565">
        <f t="shared" si="25"/>
        <v>100</v>
      </c>
    </row>
    <row r="194" spans="1:14" ht="34" outlineLevel="7" x14ac:dyDescent="0.3">
      <c r="A194" s="438" t="s">
        <v>15</v>
      </c>
      <c r="B194" s="439" t="s">
        <v>500</v>
      </c>
      <c r="C194" s="439" t="s">
        <v>291</v>
      </c>
      <c r="D194" s="539" t="s">
        <v>384</v>
      </c>
      <c r="E194" s="539" t="s">
        <v>16</v>
      </c>
      <c r="F194" s="539"/>
      <c r="G194" s="465">
        <f>G195</f>
        <v>3387.08</v>
      </c>
      <c r="H194" s="440">
        <v>0</v>
      </c>
      <c r="I194" s="440">
        <f t="shared" si="32"/>
        <v>3387.08</v>
      </c>
      <c r="J194" s="465">
        <f t="shared" si="32"/>
        <v>3387.08</v>
      </c>
      <c r="K194" s="603">
        <f t="shared" si="32"/>
        <v>3387.08</v>
      </c>
      <c r="L194" s="564">
        <f t="shared" si="23"/>
        <v>0</v>
      </c>
      <c r="M194" s="565">
        <f t="shared" si="24"/>
        <v>99.999999999999986</v>
      </c>
      <c r="N194" s="565">
        <f t="shared" si="25"/>
        <v>100</v>
      </c>
    </row>
    <row r="195" spans="1:14" s="449" customFormat="1" ht="34" outlineLevel="7" x14ac:dyDescent="0.3">
      <c r="A195" s="438" t="s">
        <v>17</v>
      </c>
      <c r="B195" s="439" t="s">
        <v>500</v>
      </c>
      <c r="C195" s="439" t="s">
        <v>291</v>
      </c>
      <c r="D195" s="539" t="s">
        <v>384</v>
      </c>
      <c r="E195" s="539" t="s">
        <v>18</v>
      </c>
      <c r="F195" s="539"/>
      <c r="G195" s="466">
        <v>3387.08</v>
      </c>
      <c r="H195" s="442">
        <v>0</v>
      </c>
      <c r="I195" s="442">
        <f>'[2]прил 12'!F190</f>
        <v>3387.08</v>
      </c>
      <c r="J195" s="507">
        <v>3387.08</v>
      </c>
      <c r="K195" s="605">
        <v>3387.08</v>
      </c>
      <c r="L195" s="564">
        <f t="shared" si="23"/>
        <v>0</v>
      </c>
      <c r="M195" s="565">
        <f t="shared" si="24"/>
        <v>99.999999999999986</v>
      </c>
      <c r="N195" s="565">
        <f t="shared" si="25"/>
        <v>100</v>
      </c>
    </row>
    <row r="196" spans="1:14" s="449" customFormat="1" ht="67.95" outlineLevel="7" x14ac:dyDescent="0.3">
      <c r="A196" s="451" t="s">
        <v>821</v>
      </c>
      <c r="B196" s="439" t="s">
        <v>500</v>
      </c>
      <c r="C196" s="439" t="s">
        <v>291</v>
      </c>
      <c r="D196" s="539" t="s">
        <v>320</v>
      </c>
      <c r="E196" s="539" t="s">
        <v>6</v>
      </c>
      <c r="F196" s="539"/>
      <c r="G196" s="466">
        <f t="shared" ref="G196:K199" si="33">G197</f>
        <v>100000</v>
      </c>
      <c r="H196" s="442">
        <f t="shared" si="33"/>
        <v>0</v>
      </c>
      <c r="I196" s="442">
        <f t="shared" si="33"/>
        <v>100000</v>
      </c>
      <c r="J196" s="466">
        <f t="shared" si="33"/>
        <v>100000</v>
      </c>
      <c r="K196" s="604">
        <f t="shared" si="33"/>
        <v>100000</v>
      </c>
      <c r="L196" s="564">
        <f t="shared" si="23"/>
        <v>0</v>
      </c>
      <c r="M196" s="565">
        <f t="shared" si="24"/>
        <v>100</v>
      </c>
      <c r="N196" s="565">
        <f t="shared" si="25"/>
        <v>100</v>
      </c>
    </row>
    <row r="197" spans="1:14" s="449" customFormat="1" ht="34" outlineLevel="7" x14ac:dyDescent="0.3">
      <c r="A197" s="455" t="s">
        <v>808</v>
      </c>
      <c r="B197" s="439" t="s">
        <v>500</v>
      </c>
      <c r="C197" s="439" t="s">
        <v>291</v>
      </c>
      <c r="D197" s="539" t="s">
        <v>809</v>
      </c>
      <c r="E197" s="539" t="s">
        <v>6</v>
      </c>
      <c r="F197" s="539"/>
      <c r="G197" s="466">
        <f t="shared" si="33"/>
        <v>100000</v>
      </c>
      <c r="H197" s="442">
        <f t="shared" si="33"/>
        <v>0</v>
      </c>
      <c r="I197" s="442">
        <f t="shared" si="33"/>
        <v>100000</v>
      </c>
      <c r="J197" s="466">
        <f t="shared" si="33"/>
        <v>100000</v>
      </c>
      <c r="K197" s="604">
        <f t="shared" si="33"/>
        <v>100000</v>
      </c>
      <c r="L197" s="564">
        <f t="shared" si="23"/>
        <v>0</v>
      </c>
      <c r="M197" s="565">
        <f t="shared" si="24"/>
        <v>100</v>
      </c>
      <c r="N197" s="565">
        <f t="shared" si="25"/>
        <v>100</v>
      </c>
    </row>
    <row r="198" spans="1:14" s="449" customFormat="1" ht="101.9" outlineLevel="7" x14ac:dyDescent="0.3">
      <c r="A198" s="450" t="s">
        <v>811</v>
      </c>
      <c r="B198" s="439" t="s">
        <v>500</v>
      </c>
      <c r="C198" s="439" t="s">
        <v>291</v>
      </c>
      <c r="D198" s="539" t="s">
        <v>810</v>
      </c>
      <c r="E198" s="539" t="s">
        <v>6</v>
      </c>
      <c r="F198" s="539"/>
      <c r="G198" s="466">
        <f t="shared" si="33"/>
        <v>100000</v>
      </c>
      <c r="H198" s="442">
        <f t="shared" si="33"/>
        <v>0</v>
      </c>
      <c r="I198" s="442">
        <f t="shared" si="33"/>
        <v>100000</v>
      </c>
      <c r="J198" s="466">
        <f t="shared" si="33"/>
        <v>100000</v>
      </c>
      <c r="K198" s="604">
        <f t="shared" si="33"/>
        <v>100000</v>
      </c>
      <c r="L198" s="564">
        <f t="shared" si="23"/>
        <v>0</v>
      </c>
      <c r="M198" s="565">
        <f t="shared" si="24"/>
        <v>100</v>
      </c>
      <c r="N198" s="565">
        <f t="shared" si="25"/>
        <v>100</v>
      </c>
    </row>
    <row r="199" spans="1:14" s="449" customFormat="1" ht="34" outlineLevel="7" x14ac:dyDescent="0.3">
      <c r="A199" s="455" t="s">
        <v>772</v>
      </c>
      <c r="B199" s="439" t="s">
        <v>500</v>
      </c>
      <c r="C199" s="439" t="s">
        <v>291</v>
      </c>
      <c r="D199" s="539" t="s">
        <v>810</v>
      </c>
      <c r="E199" s="539" t="s">
        <v>20</v>
      </c>
      <c r="F199" s="539"/>
      <c r="G199" s="466">
        <f t="shared" si="33"/>
        <v>100000</v>
      </c>
      <c r="H199" s="442">
        <v>0</v>
      </c>
      <c r="I199" s="442">
        <f t="shared" si="33"/>
        <v>100000</v>
      </c>
      <c r="J199" s="466">
        <f t="shared" si="33"/>
        <v>100000</v>
      </c>
      <c r="K199" s="604">
        <f t="shared" si="33"/>
        <v>100000</v>
      </c>
      <c r="L199" s="564">
        <f t="shared" si="23"/>
        <v>0</v>
      </c>
      <c r="M199" s="565">
        <f t="shared" si="24"/>
        <v>100</v>
      </c>
      <c r="N199" s="565">
        <f t="shared" si="25"/>
        <v>100</v>
      </c>
    </row>
    <row r="200" spans="1:14" s="449" customFormat="1" ht="50.95" outlineLevel="7" x14ac:dyDescent="0.3">
      <c r="A200" s="438" t="s">
        <v>47</v>
      </c>
      <c r="B200" s="439" t="s">
        <v>500</v>
      </c>
      <c r="C200" s="439" t="s">
        <v>291</v>
      </c>
      <c r="D200" s="539" t="s">
        <v>810</v>
      </c>
      <c r="E200" s="539" t="s">
        <v>48</v>
      </c>
      <c r="F200" s="539"/>
      <c r="G200" s="466">
        <v>100000</v>
      </c>
      <c r="H200" s="442">
        <v>0</v>
      </c>
      <c r="I200" s="442">
        <f>'[2]прил 12'!F195</f>
        <v>100000</v>
      </c>
      <c r="J200" s="507">
        <v>100000</v>
      </c>
      <c r="K200" s="605">
        <v>100000</v>
      </c>
      <c r="L200" s="564">
        <f t="shared" ref="L200:L263" si="34">K200-J200</f>
        <v>0</v>
      </c>
      <c r="M200" s="565">
        <f t="shared" ref="M200:M261" si="35">J200/G200%</f>
        <v>100</v>
      </c>
      <c r="N200" s="565">
        <f t="shared" ref="N200:N261" si="36">K200/G200*100</f>
        <v>100</v>
      </c>
    </row>
    <row r="201" spans="1:14" ht="27.7" customHeight="1" outlineLevel="7" x14ac:dyDescent="0.3">
      <c r="A201" s="438" t="s">
        <v>49</v>
      </c>
      <c r="B201" s="439" t="s">
        <v>500</v>
      </c>
      <c r="C201" s="439" t="s">
        <v>50</v>
      </c>
      <c r="D201" s="539" t="s">
        <v>126</v>
      </c>
      <c r="E201" s="539" t="s">
        <v>6</v>
      </c>
      <c r="F201" s="540">
        <v>45977806.32</v>
      </c>
      <c r="G201" s="465">
        <f t="shared" ref="G201:K202" si="37">G202</f>
        <v>24051150</v>
      </c>
      <c r="H201" s="440">
        <f t="shared" si="37"/>
        <v>11934897.220000001</v>
      </c>
      <c r="I201" s="440">
        <f t="shared" si="37"/>
        <v>13157000</v>
      </c>
      <c r="J201" s="465">
        <f t="shared" si="37"/>
        <v>13057000</v>
      </c>
      <c r="K201" s="603">
        <f t="shared" si="37"/>
        <v>13057000</v>
      </c>
      <c r="L201" s="564">
        <f t="shared" si="34"/>
        <v>0</v>
      </c>
      <c r="M201" s="565">
        <f t="shared" si="35"/>
        <v>54.288464376963262</v>
      </c>
      <c r="N201" s="565">
        <f t="shared" si="36"/>
        <v>54.288464376963262</v>
      </c>
    </row>
    <row r="202" spans="1:14" ht="67.95" outlineLevel="7" x14ac:dyDescent="0.3">
      <c r="A202" s="444" t="s">
        <v>850</v>
      </c>
      <c r="B202" s="445" t="s">
        <v>500</v>
      </c>
      <c r="C202" s="445" t="s">
        <v>50</v>
      </c>
      <c r="D202" s="541" t="s">
        <v>335</v>
      </c>
      <c r="E202" s="541" t="s">
        <v>6</v>
      </c>
      <c r="F202" s="542">
        <v>45977806.32</v>
      </c>
      <c r="G202" s="508">
        <f t="shared" si="37"/>
        <v>24051150</v>
      </c>
      <c r="H202" s="446">
        <f t="shared" si="37"/>
        <v>11934897.220000001</v>
      </c>
      <c r="I202" s="446">
        <f t="shared" si="37"/>
        <v>13157000</v>
      </c>
      <c r="J202" s="508">
        <f t="shared" si="37"/>
        <v>13057000</v>
      </c>
      <c r="K202" s="606">
        <f t="shared" si="37"/>
        <v>13057000</v>
      </c>
      <c r="L202" s="564">
        <f t="shared" si="34"/>
        <v>0</v>
      </c>
      <c r="M202" s="565">
        <f t="shared" si="35"/>
        <v>54.288464376963262</v>
      </c>
      <c r="N202" s="565">
        <f t="shared" si="36"/>
        <v>54.288464376963262</v>
      </c>
    </row>
    <row r="203" spans="1:14" ht="41.45" customHeight="1" outlineLevel="7" x14ac:dyDescent="0.3">
      <c r="A203" s="438" t="s">
        <v>336</v>
      </c>
      <c r="B203" s="439" t="s">
        <v>500</v>
      </c>
      <c r="C203" s="439" t="s">
        <v>50</v>
      </c>
      <c r="D203" s="539" t="s">
        <v>337</v>
      </c>
      <c r="E203" s="539" t="s">
        <v>6</v>
      </c>
      <c r="F203" s="540">
        <v>45977806.32</v>
      </c>
      <c r="G203" s="465">
        <f>G204+G210</f>
        <v>24051150</v>
      </c>
      <c r="H203" s="440">
        <f>H204+H210</f>
        <v>11934897.220000001</v>
      </c>
      <c r="I203" s="440">
        <f>I204+I210</f>
        <v>13157000</v>
      </c>
      <c r="J203" s="465">
        <f>J204+J210</f>
        <v>13057000</v>
      </c>
      <c r="K203" s="603">
        <f>K204+K210</f>
        <v>13057000</v>
      </c>
      <c r="L203" s="564">
        <f t="shared" si="34"/>
        <v>0</v>
      </c>
      <c r="M203" s="565">
        <f t="shared" si="35"/>
        <v>54.288464376963262</v>
      </c>
      <c r="N203" s="565">
        <f t="shared" si="36"/>
        <v>54.288464376963262</v>
      </c>
    </row>
    <row r="204" spans="1:14" ht="67.95" outlineLevel="7" x14ac:dyDescent="0.3">
      <c r="A204" s="397" t="s">
        <v>822</v>
      </c>
      <c r="B204" s="439" t="s">
        <v>500</v>
      </c>
      <c r="C204" s="439" t="s">
        <v>50</v>
      </c>
      <c r="D204" s="539" t="s">
        <v>339</v>
      </c>
      <c r="E204" s="539" t="s">
        <v>6</v>
      </c>
      <c r="F204" s="540">
        <v>10511682.609999999</v>
      </c>
      <c r="G204" s="465">
        <f t="shared" ref="G204:K205" si="38">G205</f>
        <v>24051150</v>
      </c>
      <c r="H204" s="440">
        <f t="shared" si="38"/>
        <v>11934897.220000001</v>
      </c>
      <c r="I204" s="440">
        <f t="shared" si="38"/>
        <v>13057000</v>
      </c>
      <c r="J204" s="465">
        <f t="shared" si="38"/>
        <v>13057000</v>
      </c>
      <c r="K204" s="603">
        <f t="shared" si="38"/>
        <v>13057000</v>
      </c>
      <c r="L204" s="564">
        <f t="shared" si="34"/>
        <v>0</v>
      </c>
      <c r="M204" s="565">
        <f t="shared" si="35"/>
        <v>54.288464376963262</v>
      </c>
      <c r="N204" s="565">
        <f t="shared" si="36"/>
        <v>54.288464376963262</v>
      </c>
    </row>
    <row r="205" spans="1:14" s="449" customFormat="1" ht="34" outlineLevel="7" x14ac:dyDescent="0.3">
      <c r="A205" s="438" t="s">
        <v>15</v>
      </c>
      <c r="B205" s="439" t="s">
        <v>500</v>
      </c>
      <c r="C205" s="439" t="s">
        <v>50</v>
      </c>
      <c r="D205" s="539" t="s">
        <v>339</v>
      </c>
      <c r="E205" s="539" t="s">
        <v>16</v>
      </c>
      <c r="F205" s="540">
        <v>10511682.609999999</v>
      </c>
      <c r="G205" s="465">
        <f t="shared" si="38"/>
        <v>24051150</v>
      </c>
      <c r="H205" s="370">
        <v>11934897.220000001</v>
      </c>
      <c r="I205" s="440">
        <f t="shared" si="38"/>
        <v>13057000</v>
      </c>
      <c r="J205" s="465">
        <f t="shared" si="38"/>
        <v>13057000</v>
      </c>
      <c r="K205" s="603">
        <f t="shared" si="38"/>
        <v>13057000</v>
      </c>
      <c r="L205" s="564">
        <f t="shared" si="34"/>
        <v>0</v>
      </c>
      <c r="M205" s="565">
        <f t="shared" si="35"/>
        <v>54.288464376963262</v>
      </c>
      <c r="N205" s="565">
        <f t="shared" si="36"/>
        <v>54.288464376963262</v>
      </c>
    </row>
    <row r="206" spans="1:14" ht="44.5" customHeight="1" outlineLevel="7" x14ac:dyDescent="0.3">
      <c r="A206" s="438" t="s">
        <v>17</v>
      </c>
      <c r="B206" s="439" t="s">
        <v>500</v>
      </c>
      <c r="C206" s="439" t="s">
        <v>50</v>
      </c>
      <c r="D206" s="539" t="s">
        <v>339</v>
      </c>
      <c r="E206" s="539" t="s">
        <v>18</v>
      </c>
      <c r="F206" s="540">
        <v>10511682.609999999</v>
      </c>
      <c r="G206" s="465">
        <f>[2]потребность!L201-1500000-10690000</f>
        <v>24051150</v>
      </c>
      <c r="H206" s="370">
        <v>11934897.220000001</v>
      </c>
      <c r="I206" s="440">
        <f>'[2]прил 12'!F201</f>
        <v>13057000</v>
      </c>
      <c r="J206" s="466">
        <v>13057000</v>
      </c>
      <c r="K206" s="604">
        <v>13057000</v>
      </c>
      <c r="L206" s="564">
        <f t="shared" si="34"/>
        <v>0</v>
      </c>
      <c r="M206" s="565">
        <f t="shared" si="35"/>
        <v>54.288464376963262</v>
      </c>
      <c r="N206" s="565">
        <f t="shared" si="36"/>
        <v>54.288464376963262</v>
      </c>
    </row>
    <row r="207" spans="1:14" ht="57.25" customHeight="1" outlineLevel="7" x14ac:dyDescent="0.3">
      <c r="A207" s="438" t="s">
        <v>564</v>
      </c>
      <c r="B207" s="439" t="s">
        <v>500</v>
      </c>
      <c r="C207" s="439" t="s">
        <v>50</v>
      </c>
      <c r="D207" s="539" t="s">
        <v>586</v>
      </c>
      <c r="E207" s="539" t="s">
        <v>6</v>
      </c>
      <c r="F207" s="540">
        <v>34402140</v>
      </c>
      <c r="G207" s="465">
        <f>G208</f>
        <v>0</v>
      </c>
      <c r="H207" s="440">
        <f>H208</f>
        <v>0</v>
      </c>
      <c r="I207" s="440">
        <v>0</v>
      </c>
      <c r="J207" s="465">
        <f>J208</f>
        <v>0</v>
      </c>
      <c r="K207" s="603">
        <f>K208</f>
        <v>0</v>
      </c>
      <c r="L207" s="564">
        <f t="shared" si="34"/>
        <v>0</v>
      </c>
      <c r="M207" s="565"/>
      <c r="N207" s="565"/>
    </row>
    <row r="208" spans="1:14" ht="34" outlineLevel="7" x14ac:dyDescent="0.3">
      <c r="A208" s="438" t="s">
        <v>15</v>
      </c>
      <c r="B208" s="439" t="s">
        <v>500</v>
      </c>
      <c r="C208" s="439" t="s">
        <v>50</v>
      </c>
      <c r="D208" s="539" t="s">
        <v>586</v>
      </c>
      <c r="E208" s="539" t="s">
        <v>16</v>
      </c>
      <c r="F208" s="540">
        <v>34402140</v>
      </c>
      <c r="G208" s="465">
        <f>G209</f>
        <v>0</v>
      </c>
      <c r="H208" s="440">
        <f>H209</f>
        <v>0</v>
      </c>
      <c r="I208" s="440">
        <v>0</v>
      </c>
      <c r="J208" s="465">
        <f>J209</f>
        <v>0</v>
      </c>
      <c r="K208" s="603">
        <f>K209</f>
        <v>0</v>
      </c>
      <c r="L208" s="564">
        <f t="shared" si="34"/>
        <v>0</v>
      </c>
      <c r="M208" s="565"/>
      <c r="N208" s="565"/>
    </row>
    <row r="209" spans="1:14" ht="21.75" customHeight="1" outlineLevel="7" x14ac:dyDescent="0.3">
      <c r="A209" s="438" t="s">
        <v>17</v>
      </c>
      <c r="B209" s="439" t="s">
        <v>500</v>
      </c>
      <c r="C209" s="439" t="s">
        <v>50</v>
      </c>
      <c r="D209" s="539" t="s">
        <v>586</v>
      </c>
      <c r="E209" s="539" t="s">
        <v>18</v>
      </c>
      <c r="F209" s="540">
        <v>34402140</v>
      </c>
      <c r="G209" s="465">
        <v>0</v>
      </c>
      <c r="H209" s="440">
        <v>0</v>
      </c>
      <c r="I209" s="440">
        <v>0</v>
      </c>
      <c r="J209" s="466"/>
      <c r="K209" s="604"/>
      <c r="L209" s="564">
        <f t="shared" si="34"/>
        <v>0</v>
      </c>
      <c r="M209" s="565"/>
      <c r="N209" s="565"/>
    </row>
    <row r="210" spans="1:14" ht="43.5" customHeight="1" outlineLevel="7" x14ac:dyDescent="0.3">
      <c r="A210" s="438" t="s">
        <v>280</v>
      </c>
      <c r="B210" s="439" t="s">
        <v>500</v>
      </c>
      <c r="C210" s="439" t="s">
        <v>50</v>
      </c>
      <c r="D210" s="539" t="s">
        <v>409</v>
      </c>
      <c r="E210" s="539" t="s">
        <v>6</v>
      </c>
      <c r="F210" s="540">
        <v>1063983.71</v>
      </c>
      <c r="G210" s="466">
        <f t="shared" ref="G210:K211" si="39">G211</f>
        <v>0</v>
      </c>
      <c r="H210" s="442">
        <f t="shared" si="39"/>
        <v>0</v>
      </c>
      <c r="I210" s="442">
        <f t="shared" si="39"/>
        <v>100000</v>
      </c>
      <c r="J210" s="466">
        <f t="shared" si="39"/>
        <v>0</v>
      </c>
      <c r="K210" s="604">
        <f t="shared" si="39"/>
        <v>0</v>
      </c>
      <c r="L210" s="564">
        <f t="shared" si="34"/>
        <v>0</v>
      </c>
      <c r="M210" s="565"/>
      <c r="N210" s="565"/>
    </row>
    <row r="211" spans="1:14" ht="34" outlineLevel="7" x14ac:dyDescent="0.3">
      <c r="A211" s="438" t="s">
        <v>15</v>
      </c>
      <c r="B211" s="439" t="s">
        <v>500</v>
      </c>
      <c r="C211" s="439" t="s">
        <v>50</v>
      </c>
      <c r="D211" s="539" t="s">
        <v>409</v>
      </c>
      <c r="E211" s="539" t="s">
        <v>16</v>
      </c>
      <c r="F211" s="540">
        <v>1063983.71</v>
      </c>
      <c r="G211" s="466">
        <f t="shared" si="39"/>
        <v>0</v>
      </c>
      <c r="H211" s="442">
        <f t="shared" si="39"/>
        <v>0</v>
      </c>
      <c r="I211" s="442">
        <f t="shared" si="39"/>
        <v>100000</v>
      </c>
      <c r="J211" s="466">
        <f t="shared" si="39"/>
        <v>0</v>
      </c>
      <c r="K211" s="604">
        <f t="shared" si="39"/>
        <v>0</v>
      </c>
      <c r="L211" s="564">
        <f t="shared" si="34"/>
        <v>0</v>
      </c>
      <c r="M211" s="565"/>
      <c r="N211" s="565"/>
    </row>
    <row r="212" spans="1:14" ht="34" outlineLevel="7" x14ac:dyDescent="0.3">
      <c r="A212" s="438" t="s">
        <v>17</v>
      </c>
      <c r="B212" s="439" t="s">
        <v>500</v>
      </c>
      <c r="C212" s="439" t="s">
        <v>50</v>
      </c>
      <c r="D212" s="539" t="s">
        <v>409</v>
      </c>
      <c r="E212" s="539" t="s">
        <v>18</v>
      </c>
      <c r="F212" s="540">
        <v>1063983.71</v>
      </c>
      <c r="G212" s="465">
        <f>[2]потребность!I207-310000</f>
        <v>0</v>
      </c>
      <c r="H212" s="440">
        <v>0</v>
      </c>
      <c r="I212" s="440">
        <f>'[2]прил 12'!F207</f>
        <v>100000</v>
      </c>
      <c r="J212" s="466">
        <v>0</v>
      </c>
      <c r="K212" s="604">
        <v>0</v>
      </c>
      <c r="L212" s="564">
        <f t="shared" si="34"/>
        <v>0</v>
      </c>
      <c r="M212" s="565"/>
      <c r="N212" s="565"/>
    </row>
    <row r="213" spans="1:14" outlineLevel="7" x14ac:dyDescent="0.3">
      <c r="A213" s="438" t="s">
        <v>52</v>
      </c>
      <c r="B213" s="439" t="s">
        <v>500</v>
      </c>
      <c r="C213" s="439" t="s">
        <v>53</v>
      </c>
      <c r="D213" s="539" t="s">
        <v>126</v>
      </c>
      <c r="E213" s="539" t="s">
        <v>6</v>
      </c>
      <c r="F213" s="540">
        <v>754300.72</v>
      </c>
      <c r="G213" s="465">
        <f>G214+G219</f>
        <v>4070400</v>
      </c>
      <c r="H213" s="440">
        <f>H214+H219</f>
        <v>210681.28</v>
      </c>
      <c r="I213" s="440">
        <f>I214+I219</f>
        <v>530000</v>
      </c>
      <c r="J213" s="465">
        <f>J214+J219</f>
        <v>1885000</v>
      </c>
      <c r="K213" s="603">
        <f>K214+K219</f>
        <v>935000</v>
      </c>
      <c r="L213" s="564">
        <f t="shared" si="34"/>
        <v>-950000</v>
      </c>
      <c r="M213" s="565">
        <f t="shared" si="35"/>
        <v>46.309944968553459</v>
      </c>
      <c r="N213" s="565">
        <f t="shared" si="36"/>
        <v>22.970715408805031</v>
      </c>
    </row>
    <row r="214" spans="1:14" ht="39.25" customHeight="1" outlineLevel="7" x14ac:dyDescent="0.3">
      <c r="A214" s="444" t="s">
        <v>849</v>
      </c>
      <c r="B214" s="445" t="s">
        <v>500</v>
      </c>
      <c r="C214" s="445" t="s">
        <v>53</v>
      </c>
      <c r="D214" s="541" t="s">
        <v>412</v>
      </c>
      <c r="E214" s="541" t="s">
        <v>6</v>
      </c>
      <c r="F214" s="541" t="s">
        <v>976</v>
      </c>
      <c r="G214" s="465">
        <f t="shared" ref="G214:K217" si="40">G215</f>
        <v>100000</v>
      </c>
      <c r="H214" s="440">
        <f t="shared" si="40"/>
        <v>0</v>
      </c>
      <c r="I214" s="440">
        <f t="shared" si="40"/>
        <v>100000</v>
      </c>
      <c r="J214" s="465">
        <f t="shared" si="40"/>
        <v>100000</v>
      </c>
      <c r="K214" s="603">
        <f t="shared" si="40"/>
        <v>100000</v>
      </c>
      <c r="L214" s="564">
        <f t="shared" si="34"/>
        <v>0</v>
      </c>
      <c r="M214" s="565">
        <f t="shared" si="35"/>
        <v>100</v>
      </c>
      <c r="N214" s="565">
        <f t="shared" si="36"/>
        <v>100</v>
      </c>
    </row>
    <row r="215" spans="1:14" ht="34" outlineLevel="7" x14ac:dyDescent="0.3">
      <c r="A215" s="438" t="s">
        <v>780</v>
      </c>
      <c r="B215" s="439" t="s">
        <v>500</v>
      </c>
      <c r="C215" s="439" t="s">
        <v>53</v>
      </c>
      <c r="D215" s="539" t="s">
        <v>414</v>
      </c>
      <c r="E215" s="539" t="s">
        <v>6</v>
      </c>
      <c r="F215" s="539" t="s">
        <v>976</v>
      </c>
      <c r="G215" s="465">
        <f t="shared" si="40"/>
        <v>100000</v>
      </c>
      <c r="H215" s="440">
        <f t="shared" si="40"/>
        <v>0</v>
      </c>
      <c r="I215" s="440">
        <f t="shared" si="40"/>
        <v>100000</v>
      </c>
      <c r="J215" s="465">
        <f t="shared" si="40"/>
        <v>100000</v>
      </c>
      <c r="K215" s="603">
        <f t="shared" si="40"/>
        <v>100000</v>
      </c>
      <c r="L215" s="564">
        <f t="shared" si="34"/>
        <v>0</v>
      </c>
      <c r="M215" s="565">
        <f t="shared" si="35"/>
        <v>100</v>
      </c>
      <c r="N215" s="565">
        <f t="shared" si="36"/>
        <v>100</v>
      </c>
    </row>
    <row r="216" spans="1:14" ht="83.25" customHeight="1" outlineLevel="7" x14ac:dyDescent="0.3">
      <c r="A216" s="438" t="s">
        <v>781</v>
      </c>
      <c r="B216" s="439" t="s">
        <v>500</v>
      </c>
      <c r="C216" s="439" t="s">
        <v>53</v>
      </c>
      <c r="D216" s="539" t="s">
        <v>782</v>
      </c>
      <c r="E216" s="539" t="s">
        <v>6</v>
      </c>
      <c r="F216" s="539" t="s">
        <v>976</v>
      </c>
      <c r="G216" s="465">
        <f t="shared" si="40"/>
        <v>100000</v>
      </c>
      <c r="H216" s="440">
        <f t="shared" si="40"/>
        <v>0</v>
      </c>
      <c r="I216" s="440">
        <f t="shared" si="40"/>
        <v>100000</v>
      </c>
      <c r="J216" s="465">
        <f t="shared" si="40"/>
        <v>100000</v>
      </c>
      <c r="K216" s="603">
        <f t="shared" si="40"/>
        <v>100000</v>
      </c>
      <c r="L216" s="564">
        <f t="shared" si="34"/>
        <v>0</v>
      </c>
      <c r="M216" s="565">
        <f t="shared" si="35"/>
        <v>100</v>
      </c>
      <c r="N216" s="565">
        <f t="shared" si="36"/>
        <v>100</v>
      </c>
    </row>
    <row r="217" spans="1:14" outlineLevel="2" x14ac:dyDescent="0.3">
      <c r="A217" s="438" t="s">
        <v>19</v>
      </c>
      <c r="B217" s="439" t="s">
        <v>500</v>
      </c>
      <c r="C217" s="439" t="s">
        <v>53</v>
      </c>
      <c r="D217" s="539" t="s">
        <v>782</v>
      </c>
      <c r="E217" s="539" t="s">
        <v>20</v>
      </c>
      <c r="F217" s="539" t="s">
        <v>976</v>
      </c>
      <c r="G217" s="465">
        <f t="shared" si="40"/>
        <v>100000</v>
      </c>
      <c r="H217" s="440">
        <v>0</v>
      </c>
      <c r="I217" s="440">
        <f t="shared" si="40"/>
        <v>100000</v>
      </c>
      <c r="J217" s="465">
        <f t="shared" si="40"/>
        <v>100000</v>
      </c>
      <c r="K217" s="603">
        <f t="shared" si="40"/>
        <v>100000</v>
      </c>
      <c r="L217" s="564">
        <f t="shared" si="34"/>
        <v>0</v>
      </c>
      <c r="M217" s="565">
        <f t="shared" si="35"/>
        <v>100</v>
      </c>
      <c r="N217" s="565">
        <f t="shared" si="36"/>
        <v>100</v>
      </c>
    </row>
    <row r="218" spans="1:14" ht="50.95" outlineLevel="2" x14ac:dyDescent="0.3">
      <c r="A218" s="438" t="s">
        <v>47</v>
      </c>
      <c r="B218" s="439" t="s">
        <v>500</v>
      </c>
      <c r="C218" s="439" t="s">
        <v>53</v>
      </c>
      <c r="D218" s="539" t="s">
        <v>782</v>
      </c>
      <c r="E218" s="539" t="s">
        <v>48</v>
      </c>
      <c r="F218" s="539" t="s">
        <v>976</v>
      </c>
      <c r="G218" s="465">
        <v>100000</v>
      </c>
      <c r="H218" s="440">
        <v>0</v>
      </c>
      <c r="I218" s="440">
        <f>'[2]прил 12'!F213</f>
        <v>100000</v>
      </c>
      <c r="J218" s="466">
        <v>100000</v>
      </c>
      <c r="K218" s="604">
        <v>100000</v>
      </c>
      <c r="L218" s="564">
        <f t="shared" si="34"/>
        <v>0</v>
      </c>
      <c r="M218" s="565">
        <f t="shared" si="35"/>
        <v>100</v>
      </c>
      <c r="N218" s="565">
        <f t="shared" si="36"/>
        <v>100</v>
      </c>
    </row>
    <row r="219" spans="1:14" ht="60.8" customHeight="1" outlineLevel="2" x14ac:dyDescent="0.3">
      <c r="A219" s="444" t="s">
        <v>848</v>
      </c>
      <c r="B219" s="445" t="s">
        <v>500</v>
      </c>
      <c r="C219" s="445" t="s">
        <v>53</v>
      </c>
      <c r="D219" s="541" t="s">
        <v>340</v>
      </c>
      <c r="E219" s="541" t="s">
        <v>6</v>
      </c>
      <c r="F219" s="542">
        <v>464300.72</v>
      </c>
      <c r="G219" s="508">
        <f>G220+G224</f>
        <v>3970400</v>
      </c>
      <c r="H219" s="446">
        <f>H220+H224</f>
        <v>210681.28</v>
      </c>
      <c r="I219" s="446">
        <f>I220+I224</f>
        <v>430000</v>
      </c>
      <c r="J219" s="508">
        <f>J220+J224</f>
        <v>1785000</v>
      </c>
      <c r="K219" s="606">
        <f>K220+K224</f>
        <v>835000</v>
      </c>
      <c r="L219" s="564">
        <f t="shared" si="34"/>
        <v>-950000</v>
      </c>
      <c r="M219" s="565">
        <f t="shared" si="35"/>
        <v>44.957686882933707</v>
      </c>
      <c r="N219" s="565">
        <f t="shared" si="36"/>
        <v>21.030626637114651</v>
      </c>
    </row>
    <row r="220" spans="1:14" ht="34" outlineLevel="2" x14ac:dyDescent="0.3">
      <c r="A220" s="438" t="s">
        <v>386</v>
      </c>
      <c r="B220" s="439" t="s">
        <v>500</v>
      </c>
      <c r="C220" s="439" t="s">
        <v>53</v>
      </c>
      <c r="D220" s="539" t="s">
        <v>341</v>
      </c>
      <c r="E220" s="539" t="s">
        <v>6</v>
      </c>
      <c r="F220" s="540">
        <v>249600</v>
      </c>
      <c r="G220" s="466">
        <f t="shared" ref="G220:K222" si="41">G221</f>
        <v>3563600</v>
      </c>
      <c r="H220" s="442">
        <f t="shared" si="41"/>
        <v>160600</v>
      </c>
      <c r="I220" s="442">
        <f t="shared" si="41"/>
        <v>300000</v>
      </c>
      <c r="J220" s="466">
        <f t="shared" si="41"/>
        <v>235000</v>
      </c>
      <c r="K220" s="604">
        <f t="shared" si="41"/>
        <v>235000</v>
      </c>
      <c r="L220" s="564">
        <f t="shared" si="34"/>
        <v>0</v>
      </c>
      <c r="M220" s="565">
        <f t="shared" si="35"/>
        <v>6.5944550454596476</v>
      </c>
      <c r="N220" s="565">
        <f t="shared" si="36"/>
        <v>6.5944550454596476</v>
      </c>
    </row>
    <row r="221" spans="1:14" ht="34" outlineLevel="2" x14ac:dyDescent="0.3">
      <c r="A221" s="438" t="s">
        <v>342</v>
      </c>
      <c r="B221" s="439" t="s">
        <v>500</v>
      </c>
      <c r="C221" s="439" t="s">
        <v>53</v>
      </c>
      <c r="D221" s="539" t="s">
        <v>343</v>
      </c>
      <c r="E221" s="539" t="s">
        <v>6</v>
      </c>
      <c r="F221" s="540">
        <v>249600</v>
      </c>
      <c r="G221" s="466">
        <f t="shared" si="41"/>
        <v>3563600</v>
      </c>
      <c r="H221" s="442">
        <f t="shared" si="41"/>
        <v>160600</v>
      </c>
      <c r="I221" s="442">
        <f t="shared" si="41"/>
        <v>300000</v>
      </c>
      <c r="J221" s="466">
        <f t="shared" si="41"/>
        <v>235000</v>
      </c>
      <c r="K221" s="604">
        <f t="shared" si="41"/>
        <v>235000</v>
      </c>
      <c r="L221" s="564">
        <f t="shared" si="34"/>
        <v>0</v>
      </c>
      <c r="M221" s="565">
        <f t="shared" si="35"/>
        <v>6.5944550454596476</v>
      </c>
      <c r="N221" s="565">
        <f t="shared" si="36"/>
        <v>6.5944550454596476</v>
      </c>
    </row>
    <row r="222" spans="1:14" s="449" customFormat="1" ht="34" outlineLevel="3" x14ac:dyDescent="0.3">
      <c r="A222" s="438" t="s">
        <v>15</v>
      </c>
      <c r="B222" s="439" t="s">
        <v>500</v>
      </c>
      <c r="C222" s="439" t="s">
        <v>53</v>
      </c>
      <c r="D222" s="539" t="s">
        <v>343</v>
      </c>
      <c r="E222" s="539" t="s">
        <v>16</v>
      </c>
      <c r="F222" s="540">
        <v>249600</v>
      </c>
      <c r="G222" s="466">
        <f t="shared" si="41"/>
        <v>3563600</v>
      </c>
      <c r="H222" s="370">
        <v>160600</v>
      </c>
      <c r="I222" s="442">
        <f t="shared" si="41"/>
        <v>300000</v>
      </c>
      <c r="J222" s="466">
        <f t="shared" si="41"/>
        <v>235000</v>
      </c>
      <c r="K222" s="604">
        <f t="shared" si="41"/>
        <v>235000</v>
      </c>
      <c r="L222" s="564">
        <f t="shared" si="34"/>
        <v>0</v>
      </c>
      <c r="M222" s="565">
        <f t="shared" si="35"/>
        <v>6.5944550454596476</v>
      </c>
      <c r="N222" s="565">
        <f t="shared" si="36"/>
        <v>6.5944550454596476</v>
      </c>
    </row>
    <row r="223" spans="1:14" ht="34" outlineLevel="3" x14ac:dyDescent="0.3">
      <c r="A223" s="438" t="s">
        <v>17</v>
      </c>
      <c r="B223" s="439" t="s">
        <v>500</v>
      </c>
      <c r="C223" s="439" t="s">
        <v>53</v>
      </c>
      <c r="D223" s="539" t="s">
        <v>343</v>
      </c>
      <c r="E223" s="539" t="s">
        <v>18</v>
      </c>
      <c r="F223" s="540">
        <v>249600</v>
      </c>
      <c r="G223" s="465">
        <f>[2]потребность!I222+3500000-150000</f>
        <v>3563600</v>
      </c>
      <c r="H223" s="370">
        <v>160600</v>
      </c>
      <c r="I223" s="440">
        <f>'[2]прил 12'!F218</f>
        <v>300000</v>
      </c>
      <c r="J223" s="466">
        <v>235000</v>
      </c>
      <c r="K223" s="604">
        <v>235000</v>
      </c>
      <c r="L223" s="564">
        <f t="shared" si="34"/>
        <v>0</v>
      </c>
      <c r="M223" s="565">
        <f t="shared" si="35"/>
        <v>6.5944550454596476</v>
      </c>
      <c r="N223" s="565">
        <f t="shared" si="36"/>
        <v>6.5944550454596476</v>
      </c>
    </row>
    <row r="224" spans="1:14" ht="34" outlineLevel="3" x14ac:dyDescent="0.3">
      <c r="A224" s="450" t="s">
        <v>388</v>
      </c>
      <c r="B224" s="439" t="s">
        <v>500</v>
      </c>
      <c r="C224" s="439" t="s">
        <v>53</v>
      </c>
      <c r="D224" s="539" t="s">
        <v>387</v>
      </c>
      <c r="E224" s="539" t="s">
        <v>6</v>
      </c>
      <c r="F224" s="540">
        <v>214700.72</v>
      </c>
      <c r="G224" s="465">
        <f t="shared" ref="G224:K226" si="42">G225</f>
        <v>406800</v>
      </c>
      <c r="H224" s="440">
        <f t="shared" si="42"/>
        <v>50081.279999999999</v>
      </c>
      <c r="I224" s="440">
        <f t="shared" si="42"/>
        <v>130000</v>
      </c>
      <c r="J224" s="465">
        <f t="shared" si="42"/>
        <v>1550000</v>
      </c>
      <c r="K224" s="603">
        <f t="shared" si="42"/>
        <v>600000</v>
      </c>
      <c r="L224" s="564">
        <f t="shared" si="34"/>
        <v>-950000</v>
      </c>
      <c r="M224" s="565">
        <f t="shared" si="35"/>
        <v>381.02261553588988</v>
      </c>
      <c r="N224" s="565">
        <f t="shared" si="36"/>
        <v>147.49262536873155</v>
      </c>
    </row>
    <row r="225" spans="1:14" ht="34" outlineLevel="3" x14ac:dyDescent="0.3">
      <c r="A225" s="438" t="s">
        <v>344</v>
      </c>
      <c r="B225" s="439" t="s">
        <v>500</v>
      </c>
      <c r="C225" s="439" t="s">
        <v>53</v>
      </c>
      <c r="D225" s="539" t="s">
        <v>417</v>
      </c>
      <c r="E225" s="539" t="s">
        <v>6</v>
      </c>
      <c r="F225" s="540">
        <v>214700.72</v>
      </c>
      <c r="G225" s="465">
        <f t="shared" si="42"/>
        <v>406800</v>
      </c>
      <c r="H225" s="440">
        <f t="shared" si="42"/>
        <v>50081.279999999999</v>
      </c>
      <c r="I225" s="440">
        <f t="shared" si="42"/>
        <v>130000</v>
      </c>
      <c r="J225" s="465">
        <f t="shared" si="42"/>
        <v>1550000</v>
      </c>
      <c r="K225" s="603">
        <f t="shared" si="42"/>
        <v>600000</v>
      </c>
      <c r="L225" s="564">
        <f t="shared" si="34"/>
        <v>-950000</v>
      </c>
      <c r="M225" s="565">
        <f t="shared" si="35"/>
        <v>381.02261553588988</v>
      </c>
      <c r="N225" s="565">
        <f t="shared" si="36"/>
        <v>147.49262536873155</v>
      </c>
    </row>
    <row r="226" spans="1:14" ht="18.7" customHeight="1" outlineLevel="3" x14ac:dyDescent="0.3">
      <c r="A226" s="438" t="s">
        <v>15</v>
      </c>
      <c r="B226" s="439" t="s">
        <v>500</v>
      </c>
      <c r="C226" s="439" t="s">
        <v>53</v>
      </c>
      <c r="D226" s="539" t="s">
        <v>417</v>
      </c>
      <c r="E226" s="539" t="s">
        <v>16</v>
      </c>
      <c r="F226" s="540">
        <v>214700.72</v>
      </c>
      <c r="G226" s="465">
        <f t="shared" si="42"/>
        <v>406800</v>
      </c>
      <c r="H226" s="370">
        <v>50081.279999999999</v>
      </c>
      <c r="I226" s="440">
        <f t="shared" si="42"/>
        <v>130000</v>
      </c>
      <c r="J226" s="465">
        <f t="shared" si="42"/>
        <v>1550000</v>
      </c>
      <c r="K226" s="603">
        <f t="shared" si="42"/>
        <v>600000</v>
      </c>
      <c r="L226" s="564">
        <f t="shared" si="34"/>
        <v>-950000</v>
      </c>
      <c r="M226" s="565">
        <f t="shared" si="35"/>
        <v>381.02261553588988</v>
      </c>
      <c r="N226" s="565">
        <f t="shared" si="36"/>
        <v>147.49262536873155</v>
      </c>
    </row>
    <row r="227" spans="1:14" ht="19.55" customHeight="1" outlineLevel="3" x14ac:dyDescent="0.3">
      <c r="A227" s="438" t="s">
        <v>17</v>
      </c>
      <c r="B227" s="439" t="s">
        <v>500</v>
      </c>
      <c r="C227" s="439" t="s">
        <v>53</v>
      </c>
      <c r="D227" s="539" t="s">
        <v>417</v>
      </c>
      <c r="E227" s="539" t="s">
        <v>18</v>
      </c>
      <c r="F227" s="540">
        <v>214700.72</v>
      </c>
      <c r="G227" s="465">
        <f>130000+276800</f>
        <v>406800</v>
      </c>
      <c r="H227" s="370">
        <v>50081.279999999999</v>
      </c>
      <c r="I227" s="440">
        <f>'[2]прил 12'!F222</f>
        <v>130000</v>
      </c>
      <c r="J227" s="466">
        <v>1550000</v>
      </c>
      <c r="K227" s="604">
        <f>1550000-950000</f>
        <v>600000</v>
      </c>
      <c r="L227" s="564">
        <f t="shared" si="34"/>
        <v>-950000</v>
      </c>
      <c r="M227" s="565">
        <f t="shared" si="35"/>
        <v>381.02261553588988</v>
      </c>
      <c r="N227" s="565">
        <f t="shared" si="36"/>
        <v>147.49262536873155</v>
      </c>
    </row>
    <row r="228" spans="1:14" outlineLevel="5" x14ac:dyDescent="0.3">
      <c r="A228" s="444" t="s">
        <v>54</v>
      </c>
      <c r="B228" s="445" t="s">
        <v>500</v>
      </c>
      <c r="C228" s="445" t="s">
        <v>55</v>
      </c>
      <c r="D228" s="541" t="s">
        <v>126</v>
      </c>
      <c r="E228" s="541" t="s">
        <v>6</v>
      </c>
      <c r="F228" s="540">
        <v>188947675.87</v>
      </c>
      <c r="G228" s="515">
        <f>G229+G240+G272+G324</f>
        <v>125299209.63000001</v>
      </c>
      <c r="H228" s="456">
        <f>H229+H240+H272+H324</f>
        <v>91233080.129999995</v>
      </c>
      <c r="I228" s="456">
        <f>I229+I240+I272+I324</f>
        <v>48705734.209999993</v>
      </c>
      <c r="J228" s="515">
        <f>J229+J240+J272+J324</f>
        <v>62278269.760000005</v>
      </c>
      <c r="K228" s="607">
        <f>K229+K240+K272+K324</f>
        <v>60856185.18</v>
      </c>
      <c r="L228" s="564">
        <f t="shared" si="34"/>
        <v>-1422084.5800000057</v>
      </c>
      <c r="M228" s="565">
        <f t="shared" si="35"/>
        <v>49.703641342913073</v>
      </c>
      <c r="N228" s="565">
        <f t="shared" si="36"/>
        <v>48.568690384962643</v>
      </c>
    </row>
    <row r="229" spans="1:14" outlineLevel="6" x14ac:dyDescent="0.3">
      <c r="A229" s="438" t="s">
        <v>56</v>
      </c>
      <c r="B229" s="439" t="s">
        <v>500</v>
      </c>
      <c r="C229" s="439" t="s">
        <v>57</v>
      </c>
      <c r="D229" s="539" t="s">
        <v>126</v>
      </c>
      <c r="E229" s="539" t="s">
        <v>6</v>
      </c>
      <c r="F229" s="540">
        <v>3451807.53</v>
      </c>
      <c r="G229" s="465">
        <f>G230+G236</f>
        <v>4550000</v>
      </c>
      <c r="H229" s="440">
        <f>H230+H236</f>
        <v>3303727.39</v>
      </c>
      <c r="I229" s="440">
        <f>I230+I236</f>
        <v>2500000</v>
      </c>
      <c r="J229" s="465">
        <f>J230+J236</f>
        <v>2500000</v>
      </c>
      <c r="K229" s="603">
        <f>K230+K236</f>
        <v>2500000</v>
      </c>
      <c r="L229" s="564">
        <f t="shared" si="34"/>
        <v>0</v>
      </c>
      <c r="M229" s="565">
        <f t="shared" si="35"/>
        <v>54.945054945054942</v>
      </c>
      <c r="N229" s="565">
        <f t="shared" si="36"/>
        <v>54.945054945054949</v>
      </c>
    </row>
    <row r="230" spans="1:14" ht="61.5" customHeight="1" outlineLevel="7" x14ac:dyDescent="0.3">
      <c r="A230" s="444" t="s">
        <v>847</v>
      </c>
      <c r="B230" s="445" t="s">
        <v>500</v>
      </c>
      <c r="C230" s="445" t="s">
        <v>57</v>
      </c>
      <c r="D230" s="541" t="s">
        <v>331</v>
      </c>
      <c r="E230" s="541" t="s">
        <v>6</v>
      </c>
      <c r="F230" s="542">
        <v>3451807.53</v>
      </c>
      <c r="G230" s="508">
        <f t="shared" ref="G230:K233" si="43">G231</f>
        <v>4550000</v>
      </c>
      <c r="H230" s="446">
        <f t="shared" si="43"/>
        <v>3303727.39</v>
      </c>
      <c r="I230" s="446">
        <f t="shared" si="43"/>
        <v>2500000</v>
      </c>
      <c r="J230" s="508">
        <f t="shared" si="43"/>
        <v>2500000</v>
      </c>
      <c r="K230" s="606">
        <f t="shared" si="43"/>
        <v>2500000</v>
      </c>
      <c r="L230" s="564">
        <f t="shared" si="34"/>
        <v>0</v>
      </c>
      <c r="M230" s="565">
        <f t="shared" si="35"/>
        <v>54.945054945054942</v>
      </c>
      <c r="N230" s="565">
        <f t="shared" si="36"/>
        <v>54.945054945054949</v>
      </c>
    </row>
    <row r="231" spans="1:14" s="449" customFormat="1" ht="34" outlineLevel="1" x14ac:dyDescent="0.3">
      <c r="A231" s="438" t="s">
        <v>345</v>
      </c>
      <c r="B231" s="439" t="s">
        <v>500</v>
      </c>
      <c r="C231" s="439" t="s">
        <v>57</v>
      </c>
      <c r="D231" s="539" t="s">
        <v>332</v>
      </c>
      <c r="E231" s="539" t="s">
        <v>6</v>
      </c>
      <c r="F231" s="540">
        <v>3451807.53</v>
      </c>
      <c r="G231" s="465">
        <f t="shared" si="43"/>
        <v>4550000</v>
      </c>
      <c r="H231" s="440">
        <f t="shared" si="43"/>
        <v>3303727.39</v>
      </c>
      <c r="I231" s="440">
        <f t="shared" si="43"/>
        <v>2500000</v>
      </c>
      <c r="J231" s="465">
        <f t="shared" si="43"/>
        <v>2500000</v>
      </c>
      <c r="K231" s="603">
        <f t="shared" si="43"/>
        <v>2500000</v>
      </c>
      <c r="L231" s="564">
        <f t="shared" si="34"/>
        <v>0</v>
      </c>
      <c r="M231" s="565">
        <f t="shared" si="35"/>
        <v>54.945054945054942</v>
      </c>
      <c r="N231" s="565">
        <f t="shared" si="36"/>
        <v>54.945054945054949</v>
      </c>
    </row>
    <row r="232" spans="1:14" ht="34" outlineLevel="1" x14ac:dyDescent="0.3">
      <c r="A232" s="438" t="s">
        <v>346</v>
      </c>
      <c r="B232" s="439" t="s">
        <v>500</v>
      </c>
      <c r="C232" s="439" t="s">
        <v>57</v>
      </c>
      <c r="D232" s="539" t="s">
        <v>347</v>
      </c>
      <c r="E232" s="539" t="s">
        <v>6</v>
      </c>
      <c r="F232" s="540">
        <v>3451807.53</v>
      </c>
      <c r="G232" s="465">
        <f t="shared" si="43"/>
        <v>4550000</v>
      </c>
      <c r="H232" s="440">
        <f t="shared" si="43"/>
        <v>3303727.39</v>
      </c>
      <c r="I232" s="440">
        <f t="shared" si="43"/>
        <v>2500000</v>
      </c>
      <c r="J232" s="465">
        <f t="shared" si="43"/>
        <v>2500000</v>
      </c>
      <c r="K232" s="603">
        <f t="shared" si="43"/>
        <v>2500000</v>
      </c>
      <c r="L232" s="564">
        <f t="shared" si="34"/>
        <v>0</v>
      </c>
      <c r="M232" s="565">
        <f t="shared" si="35"/>
        <v>54.945054945054942</v>
      </c>
      <c r="N232" s="565">
        <f t="shared" si="36"/>
        <v>54.945054945054949</v>
      </c>
    </row>
    <row r="233" spans="1:14" s="449" customFormat="1" ht="34" outlineLevel="1" x14ac:dyDescent="0.3">
      <c r="A233" s="438" t="s">
        <v>15</v>
      </c>
      <c r="B233" s="439" t="s">
        <v>500</v>
      </c>
      <c r="C233" s="439" t="s">
        <v>57</v>
      </c>
      <c r="D233" s="539" t="s">
        <v>347</v>
      </c>
      <c r="E233" s="539" t="s">
        <v>16</v>
      </c>
      <c r="F233" s="540">
        <v>3451807.53</v>
      </c>
      <c r="G233" s="465">
        <f t="shared" si="43"/>
        <v>4550000</v>
      </c>
      <c r="H233" s="370">
        <v>3303727.39</v>
      </c>
      <c r="I233" s="440">
        <f t="shared" si="43"/>
        <v>2500000</v>
      </c>
      <c r="J233" s="465">
        <f t="shared" si="43"/>
        <v>2500000</v>
      </c>
      <c r="K233" s="603">
        <f t="shared" si="43"/>
        <v>2500000</v>
      </c>
      <c r="L233" s="564">
        <f t="shared" si="34"/>
        <v>0</v>
      </c>
      <c r="M233" s="565">
        <f t="shared" si="35"/>
        <v>54.945054945054942</v>
      </c>
      <c r="N233" s="565">
        <f t="shared" si="36"/>
        <v>54.945054945054949</v>
      </c>
    </row>
    <row r="234" spans="1:14" ht="36.700000000000003" customHeight="1" outlineLevel="1" x14ac:dyDescent="0.3">
      <c r="A234" s="438" t="s">
        <v>17</v>
      </c>
      <c r="B234" s="439" t="s">
        <v>500</v>
      </c>
      <c r="C234" s="439" t="s">
        <v>57</v>
      </c>
      <c r="D234" s="539" t="s">
        <v>347</v>
      </c>
      <c r="E234" s="539" t="s">
        <v>18</v>
      </c>
      <c r="F234" s="540">
        <v>3451807.53</v>
      </c>
      <c r="G234" s="466">
        <f>1500000+2800000+250000</f>
        <v>4550000</v>
      </c>
      <c r="H234" s="370">
        <v>3303727.39</v>
      </c>
      <c r="I234" s="442">
        <f>'[2]прил 12'!F229</f>
        <v>2500000</v>
      </c>
      <c r="J234" s="466">
        <v>2500000</v>
      </c>
      <c r="K234" s="604">
        <f>2500000</f>
        <v>2500000</v>
      </c>
      <c r="L234" s="564">
        <f t="shared" si="34"/>
        <v>0</v>
      </c>
      <c r="M234" s="565">
        <f t="shared" si="35"/>
        <v>54.945054945054942</v>
      </c>
      <c r="N234" s="565">
        <f t="shared" si="36"/>
        <v>54.945054945054949</v>
      </c>
    </row>
    <row r="235" spans="1:14" ht="34" outlineLevel="5" x14ac:dyDescent="0.3">
      <c r="A235" s="438" t="s">
        <v>132</v>
      </c>
      <c r="B235" s="439" t="s">
        <v>500</v>
      </c>
      <c r="C235" s="439" t="s">
        <v>57</v>
      </c>
      <c r="D235" s="539" t="s">
        <v>127</v>
      </c>
      <c r="E235" s="539" t="s">
        <v>6</v>
      </c>
      <c r="F235" s="539"/>
      <c r="G235" s="465">
        <f>G236</f>
        <v>0</v>
      </c>
      <c r="H235" s="441"/>
      <c r="I235" s="440"/>
      <c r="J235" s="466"/>
      <c r="K235" s="604"/>
      <c r="L235" s="564">
        <f t="shared" si="34"/>
        <v>0</v>
      </c>
      <c r="M235" s="565"/>
      <c r="N235" s="565"/>
    </row>
    <row r="236" spans="1:14" outlineLevel="6" x14ac:dyDescent="0.3">
      <c r="A236" s="438" t="s">
        <v>277</v>
      </c>
      <c r="B236" s="439" t="s">
        <v>500</v>
      </c>
      <c r="C236" s="439" t="s">
        <v>57</v>
      </c>
      <c r="D236" s="539" t="s">
        <v>276</v>
      </c>
      <c r="E236" s="539" t="s">
        <v>6</v>
      </c>
      <c r="F236" s="539"/>
      <c r="G236" s="465">
        <f>G237</f>
        <v>0</v>
      </c>
      <c r="H236" s="441"/>
      <c r="I236" s="440"/>
      <c r="J236" s="466"/>
      <c r="K236" s="604"/>
      <c r="L236" s="564">
        <f t="shared" si="34"/>
        <v>0</v>
      </c>
      <c r="M236" s="565"/>
      <c r="N236" s="565"/>
    </row>
    <row r="237" spans="1:14" ht="18" customHeight="1" outlineLevel="7" x14ac:dyDescent="0.3">
      <c r="A237" s="393" t="s">
        <v>381</v>
      </c>
      <c r="B237" s="439" t="s">
        <v>500</v>
      </c>
      <c r="C237" s="439" t="s">
        <v>57</v>
      </c>
      <c r="D237" s="539" t="s">
        <v>507</v>
      </c>
      <c r="E237" s="539" t="s">
        <v>6</v>
      </c>
      <c r="F237" s="539"/>
      <c r="G237" s="465">
        <f>G238</f>
        <v>0</v>
      </c>
      <c r="H237" s="441"/>
      <c r="I237" s="440"/>
      <c r="J237" s="466"/>
      <c r="K237" s="604"/>
      <c r="L237" s="564">
        <f t="shared" si="34"/>
        <v>0</v>
      </c>
      <c r="M237" s="565"/>
      <c r="N237" s="565"/>
    </row>
    <row r="238" spans="1:14" ht="19.55" customHeight="1" outlineLevel="7" x14ac:dyDescent="0.3">
      <c r="A238" s="438" t="s">
        <v>15</v>
      </c>
      <c r="B238" s="439" t="s">
        <v>500</v>
      </c>
      <c r="C238" s="439" t="s">
        <v>57</v>
      </c>
      <c r="D238" s="539" t="s">
        <v>507</v>
      </c>
      <c r="E238" s="539" t="s">
        <v>16</v>
      </c>
      <c r="F238" s="539"/>
      <c r="G238" s="465">
        <f>G239</f>
        <v>0</v>
      </c>
      <c r="H238" s="441"/>
      <c r="I238" s="440"/>
      <c r="J238" s="466"/>
      <c r="K238" s="604"/>
      <c r="L238" s="564">
        <f t="shared" si="34"/>
        <v>0</v>
      </c>
      <c r="M238" s="565"/>
      <c r="N238" s="565"/>
    </row>
    <row r="239" spans="1:14" ht="19.55" customHeight="1" outlineLevel="7" x14ac:dyDescent="0.3">
      <c r="A239" s="438" t="s">
        <v>17</v>
      </c>
      <c r="B239" s="439" t="s">
        <v>500</v>
      </c>
      <c r="C239" s="439" t="s">
        <v>57</v>
      </c>
      <c r="D239" s="539" t="s">
        <v>507</v>
      </c>
      <c r="E239" s="539" t="s">
        <v>18</v>
      </c>
      <c r="F239" s="539"/>
      <c r="G239" s="466">
        <v>0</v>
      </c>
      <c r="H239" s="443"/>
      <c r="I239" s="442"/>
      <c r="J239" s="466"/>
      <c r="K239" s="604"/>
      <c r="L239" s="564">
        <f t="shared" si="34"/>
        <v>0</v>
      </c>
      <c r="M239" s="565"/>
      <c r="N239" s="565"/>
    </row>
    <row r="240" spans="1:14" ht="18.7" customHeight="1" outlineLevel="7" x14ac:dyDescent="0.3">
      <c r="A240" s="438" t="s">
        <v>58</v>
      </c>
      <c r="B240" s="439" t="s">
        <v>500</v>
      </c>
      <c r="C240" s="439" t="s">
        <v>59</v>
      </c>
      <c r="D240" s="539" t="s">
        <v>126</v>
      </c>
      <c r="E240" s="539" t="s">
        <v>6</v>
      </c>
      <c r="F240" s="540">
        <v>157175808.12</v>
      </c>
      <c r="G240" s="465">
        <f>G241</f>
        <v>59022607.700000003</v>
      </c>
      <c r="H240" s="440">
        <f>H241</f>
        <v>54637654.609999999</v>
      </c>
      <c r="I240" s="440">
        <f>I241</f>
        <v>15331657.939999999</v>
      </c>
      <c r="J240" s="465">
        <f>J241</f>
        <v>33060658</v>
      </c>
      <c r="K240" s="603">
        <f>K241</f>
        <v>32060658</v>
      </c>
      <c r="L240" s="564">
        <f t="shared" si="34"/>
        <v>-1000000</v>
      </c>
      <c r="M240" s="565">
        <f t="shared" si="35"/>
        <v>56.013550211201526</v>
      </c>
      <c r="N240" s="565">
        <f t="shared" si="36"/>
        <v>54.319284168123936</v>
      </c>
    </row>
    <row r="241" spans="1:14" ht="50.95" outlineLevel="7" x14ac:dyDescent="0.3">
      <c r="A241" s="444" t="s">
        <v>845</v>
      </c>
      <c r="B241" s="445" t="s">
        <v>500</v>
      </c>
      <c r="C241" s="445" t="s">
        <v>59</v>
      </c>
      <c r="D241" s="541" t="s">
        <v>134</v>
      </c>
      <c r="E241" s="541" t="s">
        <v>6</v>
      </c>
      <c r="F241" s="540">
        <v>157175808.12</v>
      </c>
      <c r="G241" s="508">
        <f>G242+G269</f>
        <v>59022607.700000003</v>
      </c>
      <c r="H241" s="446">
        <f>H242+H269</f>
        <v>54637654.609999999</v>
      </c>
      <c r="I241" s="446">
        <f>I242+I269</f>
        <v>15331657.939999999</v>
      </c>
      <c r="J241" s="508">
        <f>J242+J269</f>
        <v>33060658</v>
      </c>
      <c r="K241" s="606">
        <f>K242+K269</f>
        <v>32060658</v>
      </c>
      <c r="L241" s="564">
        <f t="shared" si="34"/>
        <v>-1000000</v>
      </c>
      <c r="M241" s="565">
        <f t="shared" si="35"/>
        <v>56.013550211201526</v>
      </c>
      <c r="N241" s="565">
        <f t="shared" si="36"/>
        <v>54.319284168123936</v>
      </c>
    </row>
    <row r="242" spans="1:14" ht="50.95" outlineLevel="7" x14ac:dyDescent="0.3">
      <c r="A242" s="438" t="s">
        <v>846</v>
      </c>
      <c r="B242" s="439" t="s">
        <v>500</v>
      </c>
      <c r="C242" s="439" t="s">
        <v>59</v>
      </c>
      <c r="D242" s="539" t="s">
        <v>350</v>
      </c>
      <c r="E242" s="539" t="s">
        <v>6</v>
      </c>
      <c r="F242" s="540">
        <v>39215522.909999996</v>
      </c>
      <c r="G242" s="465">
        <f>G243+G250+G253+G259+G256</f>
        <v>37683628</v>
      </c>
      <c r="H242" s="440">
        <f>H243+H250+H253+H259+H256</f>
        <v>33298674.91</v>
      </c>
      <c r="I242" s="440">
        <f>I243+I250+I253+I259+I256</f>
        <v>15331657.939999999</v>
      </c>
      <c r="J242" s="465">
        <f>J243+J250+J253+J259+J256</f>
        <v>33060658</v>
      </c>
      <c r="K242" s="603">
        <f>K243+K250+K253+K259+K256</f>
        <v>32060658</v>
      </c>
      <c r="L242" s="564">
        <f t="shared" si="34"/>
        <v>-1000000</v>
      </c>
      <c r="M242" s="565">
        <f t="shared" si="35"/>
        <v>87.732152541151279</v>
      </c>
      <c r="N242" s="565">
        <f t="shared" si="36"/>
        <v>85.078480235501743</v>
      </c>
    </row>
    <row r="243" spans="1:14" ht="84.9" outlineLevel="1" x14ac:dyDescent="0.3">
      <c r="A243" s="438" t="s">
        <v>60</v>
      </c>
      <c r="B243" s="439" t="s">
        <v>500</v>
      </c>
      <c r="C243" s="439" t="s">
        <v>59</v>
      </c>
      <c r="D243" s="539" t="s">
        <v>351</v>
      </c>
      <c r="E243" s="539" t="s">
        <v>6</v>
      </c>
      <c r="F243" s="540">
        <v>18467321.710000001</v>
      </c>
      <c r="G243" s="465">
        <f>G244+G246+G248</f>
        <v>17205628</v>
      </c>
      <c r="H243" s="440">
        <f>H244+H246+H248</f>
        <v>11589414.24</v>
      </c>
      <c r="I243" s="440">
        <f>I244+I246+I248</f>
        <v>7110000</v>
      </c>
      <c r="J243" s="465">
        <f>J244+J246+J248</f>
        <v>12500000</v>
      </c>
      <c r="K243" s="603">
        <f>K244+K246+K248</f>
        <v>11500000</v>
      </c>
      <c r="L243" s="564">
        <f t="shared" si="34"/>
        <v>-1000000</v>
      </c>
      <c r="M243" s="565">
        <f t="shared" si="35"/>
        <v>72.650646637251484</v>
      </c>
      <c r="N243" s="565">
        <f t="shared" si="36"/>
        <v>66.838594906271368</v>
      </c>
    </row>
    <row r="244" spans="1:14" s="449" customFormat="1" ht="34" outlineLevel="1" x14ac:dyDescent="0.3">
      <c r="A244" s="438" t="s">
        <v>15</v>
      </c>
      <c r="B244" s="439" t="s">
        <v>500</v>
      </c>
      <c r="C244" s="439" t="s">
        <v>59</v>
      </c>
      <c r="D244" s="539" t="s">
        <v>351</v>
      </c>
      <c r="E244" s="539" t="s">
        <v>16</v>
      </c>
      <c r="F244" s="540">
        <v>5173445.33</v>
      </c>
      <c r="G244" s="465">
        <f>G245</f>
        <v>6127679.0999999996</v>
      </c>
      <c r="H244" s="370">
        <v>749716.98</v>
      </c>
      <c r="I244" s="440">
        <f>I245</f>
        <v>2110000</v>
      </c>
      <c r="J244" s="465">
        <f>J245</f>
        <v>2500000</v>
      </c>
      <c r="K244" s="603">
        <f>K245</f>
        <v>1500000</v>
      </c>
      <c r="L244" s="564">
        <f t="shared" si="34"/>
        <v>-1000000</v>
      </c>
      <c r="M244" s="565">
        <f t="shared" si="35"/>
        <v>40.798481108451</v>
      </c>
      <c r="N244" s="565">
        <f t="shared" si="36"/>
        <v>24.479088665070599</v>
      </c>
    </row>
    <row r="245" spans="1:14" ht="38.9" customHeight="1" outlineLevel="1" x14ac:dyDescent="0.3">
      <c r="A245" s="438" t="s">
        <v>17</v>
      </c>
      <c r="B245" s="439" t="s">
        <v>500</v>
      </c>
      <c r="C245" s="439" t="s">
        <v>59</v>
      </c>
      <c r="D245" s="539" t="s">
        <v>351</v>
      </c>
      <c r="E245" s="539" t="s">
        <v>18</v>
      </c>
      <c r="F245" s="540">
        <v>5173445.33</v>
      </c>
      <c r="G245" s="466">
        <f>[2]потребность!L244-482320.9+1700000</f>
        <v>6127679.0999999996</v>
      </c>
      <c r="H245" s="370">
        <v>749716.98</v>
      </c>
      <c r="I245" s="442">
        <f>'[2]прил 12'!F240</f>
        <v>2110000</v>
      </c>
      <c r="J245" s="466">
        <v>2500000</v>
      </c>
      <c r="K245" s="604">
        <f>2500000-1000000</f>
        <v>1500000</v>
      </c>
      <c r="L245" s="564">
        <f t="shared" si="34"/>
        <v>-1000000</v>
      </c>
      <c r="M245" s="565">
        <f t="shared" si="35"/>
        <v>40.798481108451</v>
      </c>
      <c r="N245" s="565">
        <f t="shared" si="36"/>
        <v>24.479088665070599</v>
      </c>
    </row>
    <row r="246" spans="1:14" ht="40.75" customHeight="1" outlineLevel="1" x14ac:dyDescent="0.3">
      <c r="A246" s="438" t="s">
        <v>264</v>
      </c>
      <c r="B246" s="439" t="s">
        <v>500</v>
      </c>
      <c r="C246" s="439" t="s">
        <v>59</v>
      </c>
      <c r="D246" s="539" t="s">
        <v>351</v>
      </c>
      <c r="E246" s="539" t="s">
        <v>265</v>
      </c>
      <c r="F246" s="540">
        <v>1362876.38</v>
      </c>
      <c r="G246" s="466">
        <f>G247</f>
        <v>1077948.8999999999</v>
      </c>
      <c r="H246" s="370">
        <v>839697.26</v>
      </c>
      <c r="I246" s="442">
        <f>I247</f>
        <v>0</v>
      </c>
      <c r="J246" s="466">
        <f>J247</f>
        <v>0</v>
      </c>
      <c r="K246" s="604">
        <f>K247</f>
        <v>0</v>
      </c>
      <c r="L246" s="564">
        <f t="shared" si="34"/>
        <v>0</v>
      </c>
      <c r="M246" s="565">
        <f t="shared" si="35"/>
        <v>0</v>
      </c>
      <c r="N246" s="565">
        <f t="shared" si="36"/>
        <v>0</v>
      </c>
    </row>
    <row r="247" spans="1:14" ht="41.3" customHeight="1" outlineLevel="1" x14ac:dyDescent="0.3">
      <c r="A247" s="438" t="s">
        <v>266</v>
      </c>
      <c r="B247" s="439" t="s">
        <v>500</v>
      </c>
      <c r="C247" s="439" t="s">
        <v>59</v>
      </c>
      <c r="D247" s="539" t="s">
        <v>351</v>
      </c>
      <c r="E247" s="539" t="s">
        <v>267</v>
      </c>
      <c r="F247" s="540">
        <v>1362876.38</v>
      </c>
      <c r="G247" s="466">
        <f>22900478.19-22304850.19+482320.9</f>
        <v>1077948.8999999999</v>
      </c>
      <c r="H247" s="370">
        <v>839697.26</v>
      </c>
      <c r="I247" s="442">
        <f>'[2]прил 12'!F242</f>
        <v>0</v>
      </c>
      <c r="J247" s="466">
        <f>'[2]прил 12'!G242</f>
        <v>0</v>
      </c>
      <c r="K247" s="604">
        <f>'[2]прил 12'!H242</f>
        <v>0</v>
      </c>
      <c r="L247" s="564">
        <f t="shared" si="34"/>
        <v>0</v>
      </c>
      <c r="M247" s="565">
        <f t="shared" si="35"/>
        <v>0</v>
      </c>
      <c r="N247" s="565">
        <f t="shared" si="36"/>
        <v>0</v>
      </c>
    </row>
    <row r="248" spans="1:14" ht="62.15" customHeight="1" outlineLevel="1" x14ac:dyDescent="0.3">
      <c r="A248" s="438" t="s">
        <v>19</v>
      </c>
      <c r="B248" s="439" t="s">
        <v>500</v>
      </c>
      <c r="C248" s="439" t="s">
        <v>59</v>
      </c>
      <c r="D248" s="539" t="s">
        <v>351</v>
      </c>
      <c r="E248" s="539" t="s">
        <v>20</v>
      </c>
      <c r="F248" s="540">
        <v>11931000</v>
      </c>
      <c r="G248" s="466">
        <f>G249</f>
        <v>10000000</v>
      </c>
      <c r="H248" s="370">
        <v>10000000</v>
      </c>
      <c r="I248" s="442">
        <f>I249</f>
        <v>5000000</v>
      </c>
      <c r="J248" s="466">
        <f>J249</f>
        <v>10000000</v>
      </c>
      <c r="K248" s="604">
        <f>K249</f>
        <v>10000000</v>
      </c>
      <c r="L248" s="564">
        <f t="shared" si="34"/>
        <v>0</v>
      </c>
      <c r="M248" s="565">
        <f t="shared" si="35"/>
        <v>100</v>
      </c>
      <c r="N248" s="565">
        <f t="shared" si="36"/>
        <v>100</v>
      </c>
    </row>
    <row r="249" spans="1:14" ht="69.45" customHeight="1" outlineLevel="1" x14ac:dyDescent="0.3">
      <c r="A249" s="438" t="s">
        <v>47</v>
      </c>
      <c r="B249" s="439" t="s">
        <v>500</v>
      </c>
      <c r="C249" s="439" t="s">
        <v>59</v>
      </c>
      <c r="D249" s="539" t="s">
        <v>351</v>
      </c>
      <c r="E249" s="539" t="s">
        <v>48</v>
      </c>
      <c r="F249" s="540">
        <v>11931000</v>
      </c>
      <c r="G249" s="466">
        <f>[2]потребность!L248</f>
        <v>10000000</v>
      </c>
      <c r="H249" s="370">
        <v>10000000</v>
      </c>
      <c r="I249" s="442">
        <f>'[2]прил 12'!F244</f>
        <v>5000000</v>
      </c>
      <c r="J249" s="466">
        <v>10000000</v>
      </c>
      <c r="K249" s="604">
        <v>10000000</v>
      </c>
      <c r="L249" s="564">
        <f t="shared" si="34"/>
        <v>0</v>
      </c>
      <c r="M249" s="565">
        <f t="shared" si="35"/>
        <v>100</v>
      </c>
      <c r="N249" s="565">
        <f t="shared" si="36"/>
        <v>100</v>
      </c>
    </row>
    <row r="250" spans="1:14" ht="21.25" customHeight="1" outlineLevel="1" x14ac:dyDescent="0.3">
      <c r="A250" s="438" t="s">
        <v>250</v>
      </c>
      <c r="B250" s="439" t="s">
        <v>500</v>
      </c>
      <c r="C250" s="439" t="s">
        <v>59</v>
      </c>
      <c r="D250" s="539" t="s">
        <v>352</v>
      </c>
      <c r="E250" s="539" t="s">
        <v>6</v>
      </c>
      <c r="F250" s="540">
        <v>1100000</v>
      </c>
      <c r="G250" s="466">
        <f t="shared" ref="G250:K251" si="44">G251</f>
        <v>4000000</v>
      </c>
      <c r="H250" s="442">
        <f t="shared" si="44"/>
        <v>2609040.7400000002</v>
      </c>
      <c r="I250" s="442">
        <f t="shared" si="44"/>
        <v>5000000</v>
      </c>
      <c r="J250" s="466">
        <f t="shared" si="44"/>
        <v>4400000</v>
      </c>
      <c r="K250" s="604">
        <f t="shared" si="44"/>
        <v>4400000</v>
      </c>
      <c r="L250" s="564">
        <f t="shared" si="34"/>
        <v>0</v>
      </c>
      <c r="M250" s="565">
        <f t="shared" si="35"/>
        <v>110</v>
      </c>
      <c r="N250" s="565">
        <f t="shared" si="36"/>
        <v>110.00000000000001</v>
      </c>
    </row>
    <row r="251" spans="1:14" ht="21.25" customHeight="1" outlineLevel="1" x14ac:dyDescent="0.3">
      <c r="A251" s="438" t="s">
        <v>19</v>
      </c>
      <c r="B251" s="439" t="s">
        <v>500</v>
      </c>
      <c r="C251" s="439" t="s">
        <v>59</v>
      </c>
      <c r="D251" s="539" t="s">
        <v>352</v>
      </c>
      <c r="E251" s="539" t="s">
        <v>20</v>
      </c>
      <c r="F251" s="540">
        <v>1100000</v>
      </c>
      <c r="G251" s="466">
        <f t="shared" si="44"/>
        <v>4000000</v>
      </c>
      <c r="H251" s="370">
        <v>2609040.7400000002</v>
      </c>
      <c r="I251" s="442">
        <f t="shared" si="44"/>
        <v>5000000</v>
      </c>
      <c r="J251" s="466">
        <f t="shared" si="44"/>
        <v>4400000</v>
      </c>
      <c r="K251" s="604">
        <f t="shared" si="44"/>
        <v>4400000</v>
      </c>
      <c r="L251" s="564">
        <f t="shared" si="34"/>
        <v>0</v>
      </c>
      <c r="M251" s="565">
        <f t="shared" si="35"/>
        <v>110</v>
      </c>
      <c r="N251" s="565">
        <f t="shared" si="36"/>
        <v>110.00000000000001</v>
      </c>
    </row>
    <row r="252" spans="1:14" ht="55.55" customHeight="1" outlineLevel="1" x14ac:dyDescent="0.3">
      <c r="A252" s="438" t="s">
        <v>47</v>
      </c>
      <c r="B252" s="439" t="s">
        <v>500</v>
      </c>
      <c r="C252" s="439" t="s">
        <v>59</v>
      </c>
      <c r="D252" s="539" t="s">
        <v>352</v>
      </c>
      <c r="E252" s="539" t="s">
        <v>48</v>
      </c>
      <c r="F252" s="540">
        <v>1100000</v>
      </c>
      <c r="G252" s="465">
        <f>[2]потребность!L251</f>
        <v>4000000</v>
      </c>
      <c r="H252" s="370">
        <v>2609040.7400000002</v>
      </c>
      <c r="I252" s="440">
        <f>'[2]прил 12'!F247</f>
        <v>5000000</v>
      </c>
      <c r="J252" s="466">
        <v>4400000</v>
      </c>
      <c r="K252" s="604">
        <v>4400000</v>
      </c>
      <c r="L252" s="564">
        <f t="shared" si="34"/>
        <v>0</v>
      </c>
      <c r="M252" s="565">
        <f t="shared" si="35"/>
        <v>110</v>
      </c>
      <c r="N252" s="565">
        <f t="shared" si="36"/>
        <v>110.00000000000001</v>
      </c>
    </row>
    <row r="253" spans="1:14" ht="36.700000000000003" customHeight="1" outlineLevel="1" x14ac:dyDescent="0.3">
      <c r="A253" s="438" t="s">
        <v>262</v>
      </c>
      <c r="B253" s="439" t="s">
        <v>500</v>
      </c>
      <c r="C253" s="439" t="s">
        <v>59</v>
      </c>
      <c r="D253" s="539" t="s">
        <v>353</v>
      </c>
      <c r="E253" s="539" t="s">
        <v>6</v>
      </c>
      <c r="F253" s="540">
        <v>13650000</v>
      </c>
      <c r="G253" s="466">
        <f t="shared" ref="G253:K254" si="45">G254</f>
        <v>15778000</v>
      </c>
      <c r="H253" s="442">
        <f t="shared" si="45"/>
        <v>19100219.93</v>
      </c>
      <c r="I253" s="442">
        <f t="shared" si="45"/>
        <v>2500000</v>
      </c>
      <c r="J253" s="466">
        <f t="shared" si="45"/>
        <v>15439000</v>
      </c>
      <c r="K253" s="604">
        <f t="shared" si="45"/>
        <v>15439000</v>
      </c>
      <c r="L253" s="564">
        <f t="shared" si="34"/>
        <v>0</v>
      </c>
      <c r="M253" s="565">
        <f t="shared" si="35"/>
        <v>97.851438712130815</v>
      </c>
      <c r="N253" s="565">
        <f t="shared" si="36"/>
        <v>97.851438712130815</v>
      </c>
    </row>
    <row r="254" spans="1:14" outlineLevel="1" x14ac:dyDescent="0.3">
      <c r="A254" s="438" t="s">
        <v>19</v>
      </c>
      <c r="B254" s="439" t="s">
        <v>500</v>
      </c>
      <c r="C254" s="439" t="s">
        <v>59</v>
      </c>
      <c r="D254" s="539" t="s">
        <v>353</v>
      </c>
      <c r="E254" s="539" t="s">
        <v>20</v>
      </c>
      <c r="F254" s="540">
        <v>13650000</v>
      </c>
      <c r="G254" s="466">
        <f t="shared" si="45"/>
        <v>15778000</v>
      </c>
      <c r="H254" s="370">
        <v>19100219.93</v>
      </c>
      <c r="I254" s="442">
        <f t="shared" si="45"/>
        <v>2500000</v>
      </c>
      <c r="J254" s="466">
        <f t="shared" si="45"/>
        <v>15439000</v>
      </c>
      <c r="K254" s="604">
        <f t="shared" si="45"/>
        <v>15439000</v>
      </c>
      <c r="L254" s="564">
        <f t="shared" si="34"/>
        <v>0</v>
      </c>
      <c r="M254" s="565">
        <f t="shared" si="35"/>
        <v>97.851438712130815</v>
      </c>
      <c r="N254" s="565">
        <f t="shared" si="36"/>
        <v>97.851438712130815</v>
      </c>
    </row>
    <row r="255" spans="1:14" ht="50.95" outlineLevel="1" x14ac:dyDescent="0.3">
      <c r="A255" s="438" t="s">
        <v>47</v>
      </c>
      <c r="B255" s="439" t="s">
        <v>500</v>
      </c>
      <c r="C255" s="439" t="s">
        <v>59</v>
      </c>
      <c r="D255" s="539" t="s">
        <v>353</v>
      </c>
      <c r="E255" s="539" t="s">
        <v>48</v>
      </c>
      <c r="F255" s="540">
        <v>13650000</v>
      </c>
      <c r="G255" s="465">
        <f>[2]потребность!L254+5000000</f>
        <v>15778000</v>
      </c>
      <c r="H255" s="370">
        <v>19100219.93</v>
      </c>
      <c r="I255" s="440">
        <f>'[2]прил 12'!F250</f>
        <v>2500000</v>
      </c>
      <c r="J255" s="466">
        <v>15439000</v>
      </c>
      <c r="K255" s="604">
        <v>15439000</v>
      </c>
      <c r="L255" s="564">
        <f t="shared" si="34"/>
        <v>0</v>
      </c>
      <c r="M255" s="565">
        <f t="shared" si="35"/>
        <v>97.851438712130815</v>
      </c>
      <c r="N255" s="565">
        <f t="shared" si="36"/>
        <v>97.851438712130815</v>
      </c>
    </row>
    <row r="256" spans="1:14" ht="50.95" outlineLevel="1" x14ac:dyDescent="0.3">
      <c r="A256" s="438" t="s">
        <v>299</v>
      </c>
      <c r="B256" s="439" t="s">
        <v>500</v>
      </c>
      <c r="C256" s="439" t="s">
        <v>59</v>
      </c>
      <c r="D256" s="539" t="s">
        <v>390</v>
      </c>
      <c r="E256" s="539" t="s">
        <v>6</v>
      </c>
      <c r="F256" s="539"/>
      <c r="G256" s="465">
        <f t="shared" ref="G256:K257" si="46">G257</f>
        <v>500000</v>
      </c>
      <c r="H256" s="440">
        <f t="shared" si="46"/>
        <v>0</v>
      </c>
      <c r="I256" s="440">
        <f t="shared" si="46"/>
        <v>521657.94</v>
      </c>
      <c r="J256" s="465">
        <f t="shared" si="46"/>
        <v>521658</v>
      </c>
      <c r="K256" s="603">
        <f t="shared" si="46"/>
        <v>521658</v>
      </c>
      <c r="L256" s="564">
        <f t="shared" si="34"/>
        <v>0</v>
      </c>
      <c r="M256" s="565">
        <f t="shared" si="35"/>
        <v>104.33159999999999</v>
      </c>
      <c r="N256" s="565">
        <f t="shared" si="36"/>
        <v>104.33159999999999</v>
      </c>
    </row>
    <row r="257" spans="1:14" ht="34" outlineLevel="1" x14ac:dyDescent="0.3">
      <c r="A257" s="438" t="s">
        <v>15</v>
      </c>
      <c r="B257" s="439" t="s">
        <v>500</v>
      </c>
      <c r="C257" s="439" t="s">
        <v>59</v>
      </c>
      <c r="D257" s="539" t="s">
        <v>390</v>
      </c>
      <c r="E257" s="539" t="s">
        <v>16</v>
      </c>
      <c r="F257" s="539"/>
      <c r="G257" s="465">
        <f t="shared" si="46"/>
        <v>500000</v>
      </c>
      <c r="H257" s="440">
        <v>0</v>
      </c>
      <c r="I257" s="440">
        <f t="shared" si="46"/>
        <v>521657.94</v>
      </c>
      <c r="J257" s="465">
        <f t="shared" si="46"/>
        <v>521658</v>
      </c>
      <c r="K257" s="603">
        <f t="shared" si="46"/>
        <v>521658</v>
      </c>
      <c r="L257" s="564">
        <f t="shared" si="34"/>
        <v>0</v>
      </c>
      <c r="M257" s="565">
        <f t="shared" si="35"/>
        <v>104.33159999999999</v>
      </c>
      <c r="N257" s="565">
        <f t="shared" si="36"/>
        <v>104.33159999999999</v>
      </c>
    </row>
    <row r="258" spans="1:14" ht="49.75" customHeight="1" outlineLevel="1" x14ac:dyDescent="0.3">
      <c r="A258" s="438" t="s">
        <v>17</v>
      </c>
      <c r="B258" s="439" t="s">
        <v>500</v>
      </c>
      <c r="C258" s="439" t="s">
        <v>59</v>
      </c>
      <c r="D258" s="539" t="s">
        <v>390</v>
      </c>
      <c r="E258" s="539" t="s">
        <v>18</v>
      </c>
      <c r="F258" s="539"/>
      <c r="G258" s="465">
        <v>500000</v>
      </c>
      <c r="H258" s="440">
        <v>0</v>
      </c>
      <c r="I258" s="440">
        <f>'[2]прил 12'!F253</f>
        <v>521657.94</v>
      </c>
      <c r="J258" s="466">
        <v>521658</v>
      </c>
      <c r="K258" s="604">
        <v>521658</v>
      </c>
      <c r="L258" s="564">
        <f t="shared" si="34"/>
        <v>0</v>
      </c>
      <c r="M258" s="565">
        <f t="shared" si="35"/>
        <v>104.33159999999999</v>
      </c>
      <c r="N258" s="565">
        <f t="shared" si="36"/>
        <v>104.33159999999999</v>
      </c>
    </row>
    <row r="259" spans="1:14" ht="56.25" customHeight="1" outlineLevel="1" x14ac:dyDescent="0.3">
      <c r="A259" s="438" t="s">
        <v>263</v>
      </c>
      <c r="B259" s="439" t="s">
        <v>500</v>
      </c>
      <c r="C259" s="439" t="s">
        <v>59</v>
      </c>
      <c r="D259" s="539" t="s">
        <v>391</v>
      </c>
      <c r="E259" s="539" t="s">
        <v>6</v>
      </c>
      <c r="F259" s="539"/>
      <c r="G259" s="465">
        <f t="shared" ref="G259:K260" si="47">G260</f>
        <v>200000</v>
      </c>
      <c r="H259" s="440">
        <f t="shared" si="47"/>
        <v>0</v>
      </c>
      <c r="I259" s="440">
        <f t="shared" si="47"/>
        <v>200000</v>
      </c>
      <c r="J259" s="465">
        <f t="shared" si="47"/>
        <v>200000</v>
      </c>
      <c r="K259" s="603">
        <f t="shared" si="47"/>
        <v>200000</v>
      </c>
      <c r="L259" s="564">
        <f t="shared" si="34"/>
        <v>0</v>
      </c>
      <c r="M259" s="565">
        <f t="shared" si="35"/>
        <v>100</v>
      </c>
      <c r="N259" s="565">
        <f t="shared" si="36"/>
        <v>100</v>
      </c>
    </row>
    <row r="260" spans="1:14" ht="37.549999999999997" customHeight="1" outlineLevel="1" x14ac:dyDescent="0.3">
      <c r="A260" s="438" t="s">
        <v>15</v>
      </c>
      <c r="B260" s="439" t="s">
        <v>500</v>
      </c>
      <c r="C260" s="439" t="s">
        <v>59</v>
      </c>
      <c r="D260" s="539" t="s">
        <v>391</v>
      </c>
      <c r="E260" s="539" t="s">
        <v>16</v>
      </c>
      <c r="F260" s="539"/>
      <c r="G260" s="465">
        <f t="shared" si="47"/>
        <v>200000</v>
      </c>
      <c r="H260" s="440">
        <v>0</v>
      </c>
      <c r="I260" s="440">
        <f t="shared" si="47"/>
        <v>200000</v>
      </c>
      <c r="J260" s="465">
        <f t="shared" si="47"/>
        <v>200000</v>
      </c>
      <c r="K260" s="603">
        <f t="shared" si="47"/>
        <v>200000</v>
      </c>
      <c r="L260" s="564">
        <f t="shared" si="34"/>
        <v>0</v>
      </c>
      <c r="M260" s="565">
        <f t="shared" si="35"/>
        <v>100</v>
      </c>
      <c r="N260" s="565">
        <f t="shared" si="36"/>
        <v>100</v>
      </c>
    </row>
    <row r="261" spans="1:14" ht="37.549999999999997" customHeight="1" outlineLevel="1" x14ac:dyDescent="0.3">
      <c r="A261" s="438" t="s">
        <v>17</v>
      </c>
      <c r="B261" s="439" t="s">
        <v>500</v>
      </c>
      <c r="C261" s="439" t="s">
        <v>59</v>
      </c>
      <c r="D261" s="539" t="s">
        <v>391</v>
      </c>
      <c r="E261" s="539" t="s">
        <v>18</v>
      </c>
      <c r="F261" s="539"/>
      <c r="G261" s="465">
        <v>200000</v>
      </c>
      <c r="H261" s="440">
        <v>0</v>
      </c>
      <c r="I261" s="440">
        <f>'[2]прил 12'!F256</f>
        <v>200000</v>
      </c>
      <c r="J261" s="466">
        <v>200000</v>
      </c>
      <c r="K261" s="604">
        <v>200000</v>
      </c>
      <c r="L261" s="564">
        <f t="shared" si="34"/>
        <v>0</v>
      </c>
      <c r="M261" s="565">
        <f t="shared" si="35"/>
        <v>100</v>
      </c>
      <c r="N261" s="565">
        <f t="shared" si="36"/>
        <v>100</v>
      </c>
    </row>
    <row r="262" spans="1:14" ht="55.7" customHeight="1" outlineLevel="1" x14ac:dyDescent="0.3">
      <c r="A262" s="438" t="s">
        <v>709</v>
      </c>
      <c r="B262" s="439" t="s">
        <v>500</v>
      </c>
      <c r="C262" s="439" t="s">
        <v>59</v>
      </c>
      <c r="D262" s="539" t="s">
        <v>708</v>
      </c>
      <c r="E262" s="539" t="s">
        <v>6</v>
      </c>
      <c r="F262" s="540">
        <v>5938219.1900000004</v>
      </c>
      <c r="G262" s="465">
        <f>G263</f>
        <v>0</v>
      </c>
      <c r="H262" s="440">
        <f>H263</f>
        <v>0</v>
      </c>
      <c r="I262" s="440">
        <v>0</v>
      </c>
      <c r="J262" s="466"/>
      <c r="K262" s="604"/>
      <c r="L262" s="564">
        <f t="shared" si="34"/>
        <v>0</v>
      </c>
      <c r="M262" s="565"/>
      <c r="N262" s="565"/>
    </row>
    <row r="263" spans="1:14" ht="37.549999999999997" customHeight="1" outlineLevel="1" x14ac:dyDescent="0.3">
      <c r="A263" s="438" t="s">
        <v>15</v>
      </c>
      <c r="B263" s="439" t="s">
        <v>500</v>
      </c>
      <c r="C263" s="439" t="s">
        <v>59</v>
      </c>
      <c r="D263" s="539" t="s">
        <v>708</v>
      </c>
      <c r="E263" s="539" t="s">
        <v>16</v>
      </c>
      <c r="F263" s="540">
        <v>5938219.1900000004</v>
      </c>
      <c r="G263" s="465">
        <f>G264</f>
        <v>0</v>
      </c>
      <c r="H263" s="440">
        <f>H264</f>
        <v>0</v>
      </c>
      <c r="I263" s="440">
        <v>0</v>
      </c>
      <c r="J263" s="466"/>
      <c r="K263" s="604"/>
      <c r="L263" s="564">
        <f t="shared" si="34"/>
        <v>0</v>
      </c>
      <c r="M263" s="565"/>
      <c r="N263" s="565"/>
    </row>
    <row r="264" spans="1:14" ht="37.549999999999997" customHeight="1" outlineLevel="1" x14ac:dyDescent="0.3">
      <c r="A264" s="438" t="s">
        <v>17</v>
      </c>
      <c r="B264" s="439" t="s">
        <v>500</v>
      </c>
      <c r="C264" s="439" t="s">
        <v>59</v>
      </c>
      <c r="D264" s="539" t="s">
        <v>708</v>
      </c>
      <c r="E264" s="539" t="s">
        <v>18</v>
      </c>
      <c r="F264" s="540">
        <v>5938219.1900000004</v>
      </c>
      <c r="G264" s="465"/>
      <c r="H264" s="440"/>
      <c r="I264" s="440">
        <v>0</v>
      </c>
      <c r="J264" s="466"/>
      <c r="K264" s="604"/>
      <c r="L264" s="564">
        <f t="shared" ref="L264:L327" si="48">K264-J264</f>
        <v>0</v>
      </c>
      <c r="M264" s="565"/>
      <c r="N264" s="565"/>
    </row>
    <row r="265" spans="1:14" ht="34" outlineLevel="1" x14ac:dyDescent="0.3">
      <c r="A265" s="438" t="s">
        <v>682</v>
      </c>
      <c r="B265" s="439" t="s">
        <v>500</v>
      </c>
      <c r="C265" s="439" t="s">
        <v>59</v>
      </c>
      <c r="D265" s="539" t="s">
        <v>681</v>
      </c>
      <c r="E265" s="539" t="s">
        <v>6</v>
      </c>
      <c r="F265" s="540">
        <v>59982.01</v>
      </c>
      <c r="G265" s="465">
        <f>G266</f>
        <v>0</v>
      </c>
      <c r="H265" s="440">
        <f>H266</f>
        <v>0</v>
      </c>
      <c r="I265" s="440">
        <v>0</v>
      </c>
      <c r="J265" s="466"/>
      <c r="K265" s="604"/>
      <c r="L265" s="564">
        <f t="shared" si="48"/>
        <v>0</v>
      </c>
      <c r="M265" s="565"/>
      <c r="N265" s="565"/>
    </row>
    <row r="266" spans="1:14" ht="34" outlineLevel="1" x14ac:dyDescent="0.3">
      <c r="A266" s="438" t="s">
        <v>15</v>
      </c>
      <c r="B266" s="439" t="s">
        <v>500</v>
      </c>
      <c r="C266" s="439" t="s">
        <v>59</v>
      </c>
      <c r="D266" s="539" t="s">
        <v>681</v>
      </c>
      <c r="E266" s="539" t="s">
        <v>16</v>
      </c>
      <c r="F266" s="540">
        <v>59982.01</v>
      </c>
      <c r="G266" s="465">
        <f>G267</f>
        <v>0</v>
      </c>
      <c r="H266" s="440">
        <f>H267</f>
        <v>0</v>
      </c>
      <c r="I266" s="440">
        <v>0</v>
      </c>
      <c r="J266" s="466"/>
      <c r="K266" s="604"/>
      <c r="L266" s="564">
        <f t="shared" si="48"/>
        <v>0</v>
      </c>
      <c r="M266" s="565"/>
      <c r="N266" s="565"/>
    </row>
    <row r="267" spans="1:14" ht="34" outlineLevel="1" x14ac:dyDescent="0.3">
      <c r="A267" s="438" t="s">
        <v>17</v>
      </c>
      <c r="B267" s="439" t="s">
        <v>500</v>
      </c>
      <c r="C267" s="439" t="s">
        <v>59</v>
      </c>
      <c r="D267" s="539" t="s">
        <v>681</v>
      </c>
      <c r="E267" s="539" t="s">
        <v>18</v>
      </c>
      <c r="F267" s="540">
        <v>59982.01</v>
      </c>
      <c r="G267" s="465">
        <v>0</v>
      </c>
      <c r="H267" s="440">
        <v>0</v>
      </c>
      <c r="I267" s="440">
        <v>0</v>
      </c>
      <c r="J267" s="466"/>
      <c r="K267" s="604"/>
      <c r="L267" s="564">
        <f t="shared" si="48"/>
        <v>0</v>
      </c>
      <c r="M267" s="565"/>
      <c r="N267" s="565"/>
    </row>
    <row r="268" spans="1:14" ht="27.7" customHeight="1" outlineLevel="1" x14ac:dyDescent="0.3">
      <c r="A268" s="450" t="s">
        <v>455</v>
      </c>
      <c r="B268" s="439" t="s">
        <v>500</v>
      </c>
      <c r="C268" s="439" t="s">
        <v>59</v>
      </c>
      <c r="D268" s="539" t="s">
        <v>700</v>
      </c>
      <c r="E268" s="539" t="s">
        <v>6</v>
      </c>
      <c r="F268" s="542">
        <v>117960285.20999999</v>
      </c>
      <c r="G268" s="465">
        <f>G269</f>
        <v>21338979.699999999</v>
      </c>
      <c r="H268" s="440">
        <f>H269</f>
        <v>21338979.699999999</v>
      </c>
      <c r="I268" s="440">
        <v>0</v>
      </c>
      <c r="J268" s="465">
        <f t="shared" ref="J268:K270" si="49">J269</f>
        <v>0</v>
      </c>
      <c r="K268" s="603">
        <f t="shared" si="49"/>
        <v>0</v>
      </c>
      <c r="L268" s="564">
        <f t="shared" si="48"/>
        <v>0</v>
      </c>
      <c r="M268" s="565">
        <f t="shared" ref="M268:M331" si="50">J268/G268%</f>
        <v>0</v>
      </c>
      <c r="N268" s="565">
        <f t="shared" ref="N268:N331" si="51">K268/G268*100</f>
        <v>0</v>
      </c>
    </row>
    <row r="269" spans="1:14" ht="41.95" customHeight="1" outlineLevel="1" x14ac:dyDescent="0.3">
      <c r="A269" s="438" t="s">
        <v>460</v>
      </c>
      <c r="B269" s="439" t="s">
        <v>500</v>
      </c>
      <c r="C269" s="439" t="s">
        <v>59</v>
      </c>
      <c r="D269" s="539" t="s">
        <v>701</v>
      </c>
      <c r="E269" s="539" t="s">
        <v>6</v>
      </c>
      <c r="F269" s="540">
        <v>117960285.20999999</v>
      </c>
      <c r="G269" s="465">
        <f>G270</f>
        <v>21338979.699999999</v>
      </c>
      <c r="H269" s="440">
        <f>H270</f>
        <v>21338979.699999999</v>
      </c>
      <c r="I269" s="440">
        <v>0</v>
      </c>
      <c r="J269" s="465">
        <f t="shared" si="49"/>
        <v>0</v>
      </c>
      <c r="K269" s="603">
        <f t="shared" si="49"/>
        <v>0</v>
      </c>
      <c r="L269" s="564">
        <f t="shared" si="48"/>
        <v>0</v>
      </c>
      <c r="M269" s="565">
        <f t="shared" si="50"/>
        <v>0</v>
      </c>
      <c r="N269" s="565">
        <f t="shared" si="51"/>
        <v>0</v>
      </c>
    </row>
    <row r="270" spans="1:14" ht="40.75" customHeight="1" outlineLevel="1" x14ac:dyDescent="0.3">
      <c r="A270" s="438" t="s">
        <v>264</v>
      </c>
      <c r="B270" s="439" t="s">
        <v>500</v>
      </c>
      <c r="C270" s="439" t="s">
        <v>59</v>
      </c>
      <c r="D270" s="539" t="s">
        <v>701</v>
      </c>
      <c r="E270" s="539" t="s">
        <v>265</v>
      </c>
      <c r="F270" s="540">
        <v>117960285.20999999</v>
      </c>
      <c r="G270" s="465">
        <f>G271</f>
        <v>21338979.699999999</v>
      </c>
      <c r="H270" s="370">
        <v>21338979.699999999</v>
      </c>
      <c r="I270" s="440">
        <v>0</v>
      </c>
      <c r="J270" s="465">
        <f t="shared" si="49"/>
        <v>0</v>
      </c>
      <c r="K270" s="603">
        <f t="shared" si="49"/>
        <v>0</v>
      </c>
      <c r="L270" s="564">
        <f t="shared" si="48"/>
        <v>0</v>
      </c>
      <c r="M270" s="565">
        <f t="shared" si="50"/>
        <v>0</v>
      </c>
      <c r="N270" s="565">
        <f t="shared" si="51"/>
        <v>0</v>
      </c>
    </row>
    <row r="271" spans="1:14" ht="23.95" customHeight="1" outlineLevel="1" x14ac:dyDescent="0.3">
      <c r="A271" s="438" t="s">
        <v>266</v>
      </c>
      <c r="B271" s="439" t="s">
        <v>500</v>
      </c>
      <c r="C271" s="439" t="s">
        <v>59</v>
      </c>
      <c r="D271" s="539" t="s">
        <v>701</v>
      </c>
      <c r="E271" s="539" t="s">
        <v>267</v>
      </c>
      <c r="F271" s="540">
        <v>117960285.20999999</v>
      </c>
      <c r="G271" s="465">
        <v>21338979.699999999</v>
      </c>
      <c r="H271" s="370">
        <v>21338979.699999999</v>
      </c>
      <c r="I271" s="440">
        <v>0</v>
      </c>
      <c r="J271" s="466"/>
      <c r="K271" s="604"/>
      <c r="L271" s="564">
        <f t="shared" si="48"/>
        <v>0</v>
      </c>
      <c r="M271" s="565">
        <f t="shared" si="50"/>
        <v>0</v>
      </c>
      <c r="N271" s="565">
        <f t="shared" si="51"/>
        <v>0</v>
      </c>
    </row>
    <row r="272" spans="1:14" ht="27.7" customHeight="1" outlineLevel="1" x14ac:dyDescent="0.3">
      <c r="A272" s="438" t="s">
        <v>61</v>
      </c>
      <c r="B272" s="439" t="s">
        <v>500</v>
      </c>
      <c r="C272" s="439" t="s">
        <v>62</v>
      </c>
      <c r="D272" s="539" t="s">
        <v>126</v>
      </c>
      <c r="E272" s="539" t="s">
        <v>6</v>
      </c>
      <c r="F272" s="540">
        <v>25901503.52</v>
      </c>
      <c r="G272" s="465">
        <f>G273+G287+G304</f>
        <v>54265733.170000002</v>
      </c>
      <c r="H272" s="440">
        <f>H273+H287+H304</f>
        <v>27271577.329999998</v>
      </c>
      <c r="I272" s="440">
        <f>I273+I287+I304</f>
        <v>30574076.27</v>
      </c>
      <c r="J272" s="465">
        <f>J273+J287+J304</f>
        <v>23657791.84</v>
      </c>
      <c r="K272" s="603">
        <f>K273+K287+K304</f>
        <v>23235707.259999998</v>
      </c>
      <c r="L272" s="564">
        <f t="shared" si="48"/>
        <v>-422084.58000000194</v>
      </c>
      <c r="M272" s="565">
        <f t="shared" si="50"/>
        <v>43.596189451428728</v>
      </c>
      <c r="N272" s="565">
        <f t="shared" si="51"/>
        <v>42.818378933919035</v>
      </c>
    </row>
    <row r="273" spans="1:14" ht="50.95" outlineLevel="1" x14ac:dyDescent="0.3">
      <c r="A273" s="444" t="s">
        <v>845</v>
      </c>
      <c r="B273" s="439" t="s">
        <v>500</v>
      </c>
      <c r="C273" s="445" t="s">
        <v>62</v>
      </c>
      <c r="D273" s="541" t="s">
        <v>134</v>
      </c>
      <c r="E273" s="541" t="s">
        <v>6</v>
      </c>
      <c r="F273" s="542">
        <v>299455.2</v>
      </c>
      <c r="G273" s="465">
        <f>G274</f>
        <v>2992316</v>
      </c>
      <c r="H273" s="440">
        <f>H274</f>
        <v>2292013.5</v>
      </c>
      <c r="I273" s="440">
        <f>I274</f>
        <v>1661631</v>
      </c>
      <c r="J273" s="465">
        <f>J274</f>
        <v>1068036.28</v>
      </c>
      <c r="K273" s="603">
        <f>K274</f>
        <v>1068036.28</v>
      </c>
      <c r="L273" s="564">
        <f t="shared" si="48"/>
        <v>0</v>
      </c>
      <c r="M273" s="565">
        <f t="shared" si="50"/>
        <v>35.692630056451257</v>
      </c>
      <c r="N273" s="565">
        <f t="shared" si="51"/>
        <v>35.692630056451257</v>
      </c>
    </row>
    <row r="274" spans="1:14" ht="23.3" customHeight="1" outlineLevel="1" x14ac:dyDescent="0.3">
      <c r="A274" s="438" t="s">
        <v>354</v>
      </c>
      <c r="B274" s="439" t="s">
        <v>500</v>
      </c>
      <c r="C274" s="439" t="s">
        <v>62</v>
      </c>
      <c r="D274" s="539" t="s">
        <v>232</v>
      </c>
      <c r="E274" s="539" t="s">
        <v>6</v>
      </c>
      <c r="F274" s="540">
        <v>299455.2</v>
      </c>
      <c r="G274" s="465">
        <f>G275+G281+G278+G284</f>
        <v>2992316</v>
      </c>
      <c r="H274" s="440">
        <f>H275+H281+H278+H284</f>
        <v>2292013.5</v>
      </c>
      <c r="I274" s="440">
        <f>I275+I281+I278+I284</f>
        <v>1661631</v>
      </c>
      <c r="J274" s="465">
        <f>J275+J281+J278+J284</f>
        <v>1068036.28</v>
      </c>
      <c r="K274" s="603">
        <f>K275+K281+K278+K284</f>
        <v>1068036.28</v>
      </c>
      <c r="L274" s="564">
        <f t="shared" si="48"/>
        <v>0</v>
      </c>
      <c r="M274" s="565">
        <f t="shared" si="50"/>
        <v>35.692630056451257</v>
      </c>
      <c r="N274" s="565">
        <f t="shared" si="51"/>
        <v>35.692630056451257</v>
      </c>
    </row>
    <row r="275" spans="1:14" ht="27.7" customHeight="1" outlineLevel="1" x14ac:dyDescent="0.3">
      <c r="A275" s="438" t="s">
        <v>360</v>
      </c>
      <c r="B275" s="439" t="s">
        <v>500</v>
      </c>
      <c r="C275" s="439" t="s">
        <v>62</v>
      </c>
      <c r="D275" s="539" t="s">
        <v>461</v>
      </c>
      <c r="E275" s="539" t="s">
        <v>6</v>
      </c>
      <c r="F275" s="540">
        <v>0</v>
      </c>
      <c r="G275" s="465">
        <f t="shared" ref="G275:K276" si="52">G276</f>
        <v>2492316</v>
      </c>
      <c r="H275" s="440">
        <f t="shared" si="52"/>
        <v>2079400</v>
      </c>
      <c r="I275" s="440">
        <f t="shared" si="52"/>
        <v>400000</v>
      </c>
      <c r="J275" s="465">
        <f t="shared" si="52"/>
        <v>400000</v>
      </c>
      <c r="K275" s="603">
        <f t="shared" si="52"/>
        <v>400000</v>
      </c>
      <c r="L275" s="564">
        <f t="shared" si="48"/>
        <v>0</v>
      </c>
      <c r="M275" s="565">
        <f t="shared" si="50"/>
        <v>16.049329218285322</v>
      </c>
      <c r="N275" s="565">
        <f t="shared" si="51"/>
        <v>16.049329218285322</v>
      </c>
    </row>
    <row r="276" spans="1:14" s="449" customFormat="1" ht="34" outlineLevel="1" x14ac:dyDescent="0.3">
      <c r="A276" s="397" t="s">
        <v>15</v>
      </c>
      <c r="B276" s="439" t="s">
        <v>500</v>
      </c>
      <c r="C276" s="439" t="s">
        <v>62</v>
      </c>
      <c r="D276" s="539" t="s">
        <v>461</v>
      </c>
      <c r="E276" s="539" t="s">
        <v>16</v>
      </c>
      <c r="F276" s="540">
        <v>0</v>
      </c>
      <c r="G276" s="465">
        <f t="shared" si="52"/>
        <v>2492316</v>
      </c>
      <c r="H276" s="373">
        <v>2079400</v>
      </c>
      <c r="I276" s="440">
        <f t="shared" si="52"/>
        <v>400000</v>
      </c>
      <c r="J276" s="465">
        <f t="shared" si="52"/>
        <v>400000</v>
      </c>
      <c r="K276" s="603">
        <f t="shared" si="52"/>
        <v>400000</v>
      </c>
      <c r="L276" s="564">
        <f t="shared" si="48"/>
        <v>0</v>
      </c>
      <c r="M276" s="565">
        <f t="shared" si="50"/>
        <v>16.049329218285322</v>
      </c>
      <c r="N276" s="565">
        <f t="shared" si="51"/>
        <v>16.049329218285322</v>
      </c>
    </row>
    <row r="277" spans="1:14" ht="34" outlineLevel="1" x14ac:dyDescent="0.3">
      <c r="A277" s="397" t="s">
        <v>17</v>
      </c>
      <c r="B277" s="439" t="s">
        <v>500</v>
      </c>
      <c r="C277" s="439" t="s">
        <v>62</v>
      </c>
      <c r="D277" s="539" t="s">
        <v>461</v>
      </c>
      <c r="E277" s="539" t="s">
        <v>18</v>
      </c>
      <c r="F277" s="540">
        <v>0</v>
      </c>
      <c r="G277" s="465">
        <f>200000+2292316</f>
        <v>2492316</v>
      </c>
      <c r="H277" s="373">
        <v>2079400</v>
      </c>
      <c r="I277" s="440">
        <f>'[2]прил 12'!F272</f>
        <v>400000</v>
      </c>
      <c r="J277" s="466">
        <v>400000</v>
      </c>
      <c r="K277" s="604">
        <v>400000</v>
      </c>
      <c r="L277" s="564">
        <f t="shared" si="48"/>
        <v>0</v>
      </c>
      <c r="M277" s="565">
        <f t="shared" si="50"/>
        <v>16.049329218285322</v>
      </c>
      <c r="N277" s="565">
        <f t="shared" si="51"/>
        <v>16.049329218285322</v>
      </c>
    </row>
    <row r="278" spans="1:14" ht="49.75" customHeight="1" outlineLevel="1" x14ac:dyDescent="0.3">
      <c r="A278" s="397" t="s">
        <v>767</v>
      </c>
      <c r="B278" s="439" t="s">
        <v>500</v>
      </c>
      <c r="C278" s="439" t="s">
        <v>62</v>
      </c>
      <c r="D278" s="539" t="s">
        <v>947</v>
      </c>
      <c r="E278" s="539" t="s">
        <v>6</v>
      </c>
      <c r="F278" s="539" t="s">
        <v>976</v>
      </c>
      <c r="G278" s="465">
        <f t="shared" ref="G278:I279" si="53">G279</f>
        <v>0</v>
      </c>
      <c r="H278" s="440">
        <f t="shared" si="53"/>
        <v>0</v>
      </c>
      <c r="I278" s="440">
        <f t="shared" si="53"/>
        <v>761631</v>
      </c>
      <c r="J278" s="466">
        <f>J279</f>
        <v>168036.28000000003</v>
      </c>
      <c r="K278" s="604">
        <f>K279</f>
        <v>168036.28000000003</v>
      </c>
      <c r="L278" s="564">
        <f t="shared" si="48"/>
        <v>0</v>
      </c>
      <c r="M278" s="565"/>
      <c r="N278" s="565"/>
    </row>
    <row r="279" spans="1:14" ht="34" outlineLevel="1" x14ac:dyDescent="0.3">
      <c r="A279" s="397" t="s">
        <v>15</v>
      </c>
      <c r="B279" s="439" t="s">
        <v>500</v>
      </c>
      <c r="C279" s="439" t="s">
        <v>62</v>
      </c>
      <c r="D279" s="539" t="s">
        <v>947</v>
      </c>
      <c r="E279" s="539" t="s">
        <v>16</v>
      </c>
      <c r="F279" s="539" t="s">
        <v>976</v>
      </c>
      <c r="G279" s="465">
        <f t="shared" si="53"/>
        <v>0</v>
      </c>
      <c r="H279" s="440">
        <f t="shared" si="53"/>
        <v>0</v>
      </c>
      <c r="I279" s="440">
        <f t="shared" si="53"/>
        <v>761631</v>
      </c>
      <c r="J279" s="466">
        <f>J280</f>
        <v>168036.28000000003</v>
      </c>
      <c r="K279" s="604">
        <f>K280</f>
        <v>168036.28000000003</v>
      </c>
      <c r="L279" s="564">
        <f t="shared" si="48"/>
        <v>0</v>
      </c>
      <c r="M279" s="565"/>
      <c r="N279" s="565"/>
    </row>
    <row r="280" spans="1:14" ht="18.7" customHeight="1" outlineLevel="1" x14ac:dyDescent="0.3">
      <c r="A280" s="397" t="s">
        <v>17</v>
      </c>
      <c r="B280" s="439" t="s">
        <v>500</v>
      </c>
      <c r="C280" s="439" t="s">
        <v>62</v>
      </c>
      <c r="D280" s="539" t="s">
        <v>947</v>
      </c>
      <c r="E280" s="539" t="s">
        <v>18</v>
      </c>
      <c r="F280" s="539" t="s">
        <v>976</v>
      </c>
      <c r="G280" s="465">
        <v>0</v>
      </c>
      <c r="H280" s="440">
        <v>0</v>
      </c>
      <c r="I280" s="440">
        <f>'[2]прил 12'!F278</f>
        <v>761631</v>
      </c>
      <c r="J280" s="466">
        <f>791631-23594.72-600000</f>
        <v>168036.28000000003</v>
      </c>
      <c r="K280" s="604">
        <f>791631-23594.72-600000</f>
        <v>168036.28000000003</v>
      </c>
      <c r="L280" s="564">
        <f t="shared" si="48"/>
        <v>0</v>
      </c>
      <c r="M280" s="565"/>
      <c r="N280" s="565"/>
    </row>
    <row r="281" spans="1:14" ht="34" outlineLevel="1" x14ac:dyDescent="0.3">
      <c r="A281" s="438" t="s">
        <v>63</v>
      </c>
      <c r="B281" s="439" t="s">
        <v>500</v>
      </c>
      <c r="C281" s="439" t="s">
        <v>62</v>
      </c>
      <c r="D281" s="539" t="s">
        <v>355</v>
      </c>
      <c r="E281" s="539" t="s">
        <v>6</v>
      </c>
      <c r="F281" s="540">
        <v>299455.2</v>
      </c>
      <c r="G281" s="465">
        <f>G282</f>
        <v>500000</v>
      </c>
      <c r="H281" s="440">
        <f>H282</f>
        <v>212613.5</v>
      </c>
      <c r="I281" s="440">
        <f>I282</f>
        <v>500000</v>
      </c>
      <c r="J281" s="466">
        <f>J282</f>
        <v>500000</v>
      </c>
      <c r="K281" s="604">
        <f>K282</f>
        <v>500000</v>
      </c>
      <c r="L281" s="564">
        <f t="shared" si="48"/>
        <v>0</v>
      </c>
      <c r="M281" s="565">
        <f t="shared" si="50"/>
        <v>100</v>
      </c>
      <c r="N281" s="565">
        <f t="shared" si="51"/>
        <v>100</v>
      </c>
    </row>
    <row r="282" spans="1:14" ht="34" outlineLevel="1" x14ac:dyDescent="0.3">
      <c r="A282" s="438" t="s">
        <v>15</v>
      </c>
      <c r="B282" s="439" t="s">
        <v>500</v>
      </c>
      <c r="C282" s="439" t="s">
        <v>62</v>
      </c>
      <c r="D282" s="539" t="s">
        <v>355</v>
      </c>
      <c r="E282" s="539" t="s">
        <v>16</v>
      </c>
      <c r="F282" s="540">
        <v>299455.2</v>
      </c>
      <c r="G282" s="465">
        <f>G283</f>
        <v>500000</v>
      </c>
      <c r="H282" s="370">
        <v>212613.5</v>
      </c>
      <c r="I282" s="440">
        <f>I283</f>
        <v>500000</v>
      </c>
      <c r="J282" s="466">
        <f>J283</f>
        <v>500000</v>
      </c>
      <c r="K282" s="604">
        <f>K283</f>
        <v>500000</v>
      </c>
      <c r="L282" s="564">
        <f t="shared" si="48"/>
        <v>0</v>
      </c>
      <c r="M282" s="565">
        <f t="shared" si="50"/>
        <v>100</v>
      </c>
      <c r="N282" s="565">
        <f t="shared" si="51"/>
        <v>100</v>
      </c>
    </row>
    <row r="283" spans="1:14" ht="22.75" customHeight="1" outlineLevel="1" x14ac:dyDescent="0.3">
      <c r="A283" s="438" t="s">
        <v>17</v>
      </c>
      <c r="B283" s="439" t="s">
        <v>500</v>
      </c>
      <c r="C283" s="439" t="s">
        <v>62</v>
      </c>
      <c r="D283" s="539" t="s">
        <v>355</v>
      </c>
      <c r="E283" s="539" t="s">
        <v>18</v>
      </c>
      <c r="F283" s="540">
        <v>299455.2</v>
      </c>
      <c r="G283" s="466">
        <v>500000</v>
      </c>
      <c r="H283" s="370">
        <v>212613.5</v>
      </c>
      <c r="I283" s="442">
        <f>'[2]прил 12'!F281</f>
        <v>500000</v>
      </c>
      <c r="J283" s="466">
        <v>500000</v>
      </c>
      <c r="K283" s="604">
        <v>500000</v>
      </c>
      <c r="L283" s="564">
        <f t="shared" si="48"/>
        <v>0</v>
      </c>
      <c r="M283" s="565">
        <f t="shared" si="50"/>
        <v>100</v>
      </c>
      <c r="N283" s="565">
        <f t="shared" si="51"/>
        <v>100</v>
      </c>
    </row>
    <row r="284" spans="1:14" ht="40.1" customHeight="1" outlineLevel="1" x14ac:dyDescent="0.3">
      <c r="A284" s="438" t="s">
        <v>948</v>
      </c>
      <c r="B284" s="439" t="s">
        <v>500</v>
      </c>
      <c r="C284" s="439" t="s">
        <v>62</v>
      </c>
      <c r="D284" s="539" t="s">
        <v>949</v>
      </c>
      <c r="E284" s="539" t="s">
        <v>6</v>
      </c>
      <c r="F284" s="539" t="s">
        <v>976</v>
      </c>
      <c r="G284" s="466">
        <f>G285</f>
        <v>0</v>
      </c>
      <c r="H284" s="442">
        <f>H285</f>
        <v>0</v>
      </c>
      <c r="I284" s="442">
        <v>0</v>
      </c>
      <c r="J284" s="466"/>
      <c r="K284" s="604"/>
      <c r="L284" s="564">
        <f t="shared" si="48"/>
        <v>0</v>
      </c>
      <c r="M284" s="565"/>
      <c r="N284" s="565"/>
    </row>
    <row r="285" spans="1:14" ht="22.75" customHeight="1" outlineLevel="1" x14ac:dyDescent="0.3">
      <c r="A285" s="438" t="s">
        <v>15</v>
      </c>
      <c r="B285" s="439" t="s">
        <v>500</v>
      </c>
      <c r="C285" s="439" t="s">
        <v>62</v>
      </c>
      <c r="D285" s="539" t="s">
        <v>949</v>
      </c>
      <c r="E285" s="539" t="s">
        <v>16</v>
      </c>
      <c r="F285" s="539" t="s">
        <v>976</v>
      </c>
      <c r="G285" s="466">
        <f>G286</f>
        <v>0</v>
      </c>
      <c r="H285" s="442">
        <f>H286</f>
        <v>0</v>
      </c>
      <c r="I285" s="442">
        <v>0</v>
      </c>
      <c r="J285" s="466"/>
      <c r="K285" s="604"/>
      <c r="L285" s="564">
        <f t="shared" si="48"/>
        <v>0</v>
      </c>
      <c r="M285" s="565"/>
      <c r="N285" s="565"/>
    </row>
    <row r="286" spans="1:14" ht="22.75" customHeight="1" outlineLevel="1" x14ac:dyDescent="0.3">
      <c r="A286" s="438" t="s">
        <v>17</v>
      </c>
      <c r="B286" s="439" t="s">
        <v>500</v>
      </c>
      <c r="C286" s="439" t="s">
        <v>62</v>
      </c>
      <c r="D286" s="539" t="s">
        <v>949</v>
      </c>
      <c r="E286" s="539" t="s">
        <v>18</v>
      </c>
      <c r="F286" s="539" t="s">
        <v>976</v>
      </c>
      <c r="G286" s="466">
        <v>0</v>
      </c>
      <c r="H286" s="442">
        <v>0</v>
      </c>
      <c r="I286" s="442">
        <v>0</v>
      </c>
      <c r="J286" s="466"/>
      <c r="K286" s="604"/>
      <c r="L286" s="564">
        <f t="shared" si="48"/>
        <v>0</v>
      </c>
      <c r="M286" s="565"/>
      <c r="N286" s="565"/>
    </row>
    <row r="287" spans="1:14" s="449" customFormat="1" ht="50.95" outlineLevel="1" x14ac:dyDescent="0.3">
      <c r="A287" s="444" t="s">
        <v>508</v>
      </c>
      <c r="B287" s="445" t="s">
        <v>500</v>
      </c>
      <c r="C287" s="445" t="s">
        <v>62</v>
      </c>
      <c r="D287" s="541" t="s">
        <v>509</v>
      </c>
      <c r="E287" s="541" t="s">
        <v>6</v>
      </c>
      <c r="F287" s="542">
        <v>9726045.7400000002</v>
      </c>
      <c r="G287" s="465">
        <f>G288</f>
        <v>35927589.960000001</v>
      </c>
      <c r="H287" s="440">
        <f>H288</f>
        <v>12620574.139999997</v>
      </c>
      <c r="I287" s="440">
        <f>I288</f>
        <v>8938369</v>
      </c>
      <c r="J287" s="465">
        <f>J288</f>
        <v>9414506.0600000005</v>
      </c>
      <c r="K287" s="603">
        <f>K288</f>
        <v>9214506.0600000005</v>
      </c>
      <c r="L287" s="564">
        <f t="shared" si="48"/>
        <v>-200000</v>
      </c>
      <c r="M287" s="565">
        <f t="shared" si="50"/>
        <v>26.204112411886367</v>
      </c>
      <c r="N287" s="565">
        <f t="shared" si="51"/>
        <v>25.647437165306592</v>
      </c>
    </row>
    <row r="288" spans="1:14" ht="34" outlineLevel="1" x14ac:dyDescent="0.3">
      <c r="A288" s="438" t="s">
        <v>510</v>
      </c>
      <c r="B288" s="439" t="s">
        <v>500</v>
      </c>
      <c r="C288" s="439" t="s">
        <v>62</v>
      </c>
      <c r="D288" s="539" t="s">
        <v>511</v>
      </c>
      <c r="E288" s="539" t="s">
        <v>6</v>
      </c>
      <c r="F288" s="540">
        <v>9726045.7400000002</v>
      </c>
      <c r="G288" s="465">
        <f>G289+G292+G295+G301+G298</f>
        <v>35927589.960000001</v>
      </c>
      <c r="H288" s="440">
        <f>H289+H292+H295+H301+H298</f>
        <v>12620574.139999997</v>
      </c>
      <c r="I288" s="440">
        <f>I289+I292+I295+I301+I298</f>
        <v>8938369</v>
      </c>
      <c r="J288" s="465">
        <f>J289+J292+J295+J301+J298</f>
        <v>9414506.0600000005</v>
      </c>
      <c r="K288" s="603">
        <f>K289+K292+K295+K301+K298</f>
        <v>9214506.0600000005</v>
      </c>
      <c r="L288" s="564">
        <f t="shared" si="48"/>
        <v>-200000</v>
      </c>
      <c r="M288" s="565">
        <f t="shared" si="50"/>
        <v>26.204112411886367</v>
      </c>
      <c r="N288" s="565">
        <f t="shared" si="51"/>
        <v>25.647437165306592</v>
      </c>
    </row>
    <row r="289" spans="1:14" ht="56.25" customHeight="1" outlineLevel="1" x14ac:dyDescent="0.3">
      <c r="A289" s="438" t="s">
        <v>512</v>
      </c>
      <c r="B289" s="439" t="s">
        <v>500</v>
      </c>
      <c r="C289" s="439" t="s">
        <v>62</v>
      </c>
      <c r="D289" s="539" t="s">
        <v>513</v>
      </c>
      <c r="E289" s="539" t="s">
        <v>6</v>
      </c>
      <c r="F289" s="540">
        <v>1296863.18</v>
      </c>
      <c r="G289" s="465">
        <f t="shared" ref="G289:K290" si="54">G290</f>
        <v>2660000</v>
      </c>
      <c r="H289" s="440">
        <f t="shared" si="54"/>
        <v>1833684.4</v>
      </c>
      <c r="I289" s="440">
        <f t="shared" si="54"/>
        <v>2738369</v>
      </c>
      <c r="J289" s="465">
        <f t="shared" si="54"/>
        <v>2170900</v>
      </c>
      <c r="K289" s="603">
        <f t="shared" si="54"/>
        <v>2170900</v>
      </c>
      <c r="L289" s="564">
        <f t="shared" si="48"/>
        <v>0</v>
      </c>
      <c r="M289" s="565">
        <f t="shared" si="50"/>
        <v>81.612781954887211</v>
      </c>
      <c r="N289" s="565">
        <f t="shared" si="51"/>
        <v>81.612781954887211</v>
      </c>
    </row>
    <row r="290" spans="1:14" ht="34" outlineLevel="1" x14ac:dyDescent="0.3">
      <c r="A290" s="438" t="s">
        <v>15</v>
      </c>
      <c r="B290" s="439" t="s">
        <v>500</v>
      </c>
      <c r="C290" s="439" t="s">
        <v>62</v>
      </c>
      <c r="D290" s="539" t="s">
        <v>513</v>
      </c>
      <c r="E290" s="539" t="s">
        <v>16</v>
      </c>
      <c r="F290" s="540">
        <v>1296863.18</v>
      </c>
      <c r="G290" s="465">
        <f t="shared" si="54"/>
        <v>2660000</v>
      </c>
      <c r="H290" s="370">
        <v>1833684.4</v>
      </c>
      <c r="I290" s="440">
        <f t="shared" si="54"/>
        <v>2738369</v>
      </c>
      <c r="J290" s="465">
        <f t="shared" si="54"/>
        <v>2170900</v>
      </c>
      <c r="K290" s="603">
        <f t="shared" si="54"/>
        <v>2170900</v>
      </c>
      <c r="L290" s="564">
        <f t="shared" si="48"/>
        <v>0</v>
      </c>
      <c r="M290" s="565">
        <f t="shared" si="50"/>
        <v>81.612781954887211</v>
      </c>
      <c r="N290" s="565">
        <f t="shared" si="51"/>
        <v>81.612781954887211</v>
      </c>
    </row>
    <row r="291" spans="1:14" ht="34" outlineLevel="1" x14ac:dyDescent="0.3">
      <c r="A291" s="438" t="s">
        <v>17</v>
      </c>
      <c r="B291" s="439" t="s">
        <v>500</v>
      </c>
      <c r="C291" s="439" t="s">
        <v>62</v>
      </c>
      <c r="D291" s="539" t="s">
        <v>513</v>
      </c>
      <c r="E291" s="539" t="s">
        <v>18</v>
      </c>
      <c r="F291" s="540">
        <v>1296863.18</v>
      </c>
      <c r="G291" s="466">
        <f>[2]потребность!L287+160000+1000000</f>
        <v>2660000</v>
      </c>
      <c r="H291" s="370">
        <v>1833684.4</v>
      </c>
      <c r="I291" s="442">
        <f>'[2]прил 12'!F286</f>
        <v>2738369</v>
      </c>
      <c r="J291" s="466">
        <v>2170900</v>
      </c>
      <c r="K291" s="604">
        <v>2170900</v>
      </c>
      <c r="L291" s="564">
        <f t="shared" si="48"/>
        <v>0</v>
      </c>
      <c r="M291" s="565">
        <f t="shared" si="50"/>
        <v>81.612781954887211</v>
      </c>
      <c r="N291" s="565">
        <f t="shared" si="51"/>
        <v>81.612781954887211</v>
      </c>
    </row>
    <row r="292" spans="1:14" ht="38.25" customHeight="1" outlineLevel="1" x14ac:dyDescent="0.3">
      <c r="A292" s="438" t="s">
        <v>514</v>
      </c>
      <c r="B292" s="439" t="s">
        <v>500</v>
      </c>
      <c r="C292" s="439" t="s">
        <v>62</v>
      </c>
      <c r="D292" s="539" t="s">
        <v>515</v>
      </c>
      <c r="E292" s="539" t="s">
        <v>6</v>
      </c>
      <c r="F292" s="540">
        <v>3750776.94</v>
      </c>
      <c r="G292" s="465">
        <f t="shared" ref="G292:K293" si="55">G293</f>
        <v>5151000</v>
      </c>
      <c r="H292" s="440">
        <f t="shared" si="55"/>
        <v>4821119.8099999996</v>
      </c>
      <c r="I292" s="440">
        <f t="shared" si="55"/>
        <v>3700000</v>
      </c>
      <c r="J292" s="465">
        <f t="shared" si="55"/>
        <v>3348000</v>
      </c>
      <c r="K292" s="603">
        <f t="shared" si="55"/>
        <v>3348000</v>
      </c>
      <c r="L292" s="564">
        <f t="shared" si="48"/>
        <v>0</v>
      </c>
      <c r="M292" s="565">
        <f t="shared" si="50"/>
        <v>64.99708794408852</v>
      </c>
      <c r="N292" s="565">
        <f t="shared" si="51"/>
        <v>64.997087944088534</v>
      </c>
    </row>
    <row r="293" spans="1:14" ht="34" outlineLevel="1" x14ac:dyDescent="0.3">
      <c r="A293" s="438" t="s">
        <v>15</v>
      </c>
      <c r="B293" s="439" t="s">
        <v>500</v>
      </c>
      <c r="C293" s="439" t="s">
        <v>62</v>
      </c>
      <c r="D293" s="539" t="s">
        <v>515</v>
      </c>
      <c r="E293" s="539" t="s">
        <v>16</v>
      </c>
      <c r="F293" s="540">
        <v>3750776.94</v>
      </c>
      <c r="G293" s="465">
        <f t="shared" si="55"/>
        <v>5151000</v>
      </c>
      <c r="H293" s="370">
        <v>4821119.8099999996</v>
      </c>
      <c r="I293" s="440">
        <f t="shared" si="55"/>
        <v>3700000</v>
      </c>
      <c r="J293" s="465">
        <f t="shared" si="55"/>
        <v>3348000</v>
      </c>
      <c r="K293" s="603">
        <f t="shared" si="55"/>
        <v>3348000</v>
      </c>
      <c r="L293" s="564">
        <f t="shared" si="48"/>
        <v>0</v>
      </c>
      <c r="M293" s="565">
        <f t="shared" si="50"/>
        <v>64.99708794408852</v>
      </c>
      <c r="N293" s="565">
        <f t="shared" si="51"/>
        <v>64.997087944088534</v>
      </c>
    </row>
    <row r="294" spans="1:14" ht="34" outlineLevel="1" x14ac:dyDescent="0.3">
      <c r="A294" s="438" t="s">
        <v>17</v>
      </c>
      <c r="B294" s="439" t="s">
        <v>500</v>
      </c>
      <c r="C294" s="439" t="s">
        <v>62</v>
      </c>
      <c r="D294" s="539" t="s">
        <v>515</v>
      </c>
      <c r="E294" s="539" t="s">
        <v>18</v>
      </c>
      <c r="F294" s="540">
        <v>3750776.94</v>
      </c>
      <c r="G294" s="466">
        <f>3621000+1530000</f>
        <v>5151000</v>
      </c>
      <c r="H294" s="370">
        <v>4821119.8099999996</v>
      </c>
      <c r="I294" s="442">
        <f>'[2]прил 12'!F289</f>
        <v>3700000</v>
      </c>
      <c r="J294" s="466">
        <v>3348000</v>
      </c>
      <c r="K294" s="604">
        <f>3348000</f>
        <v>3348000</v>
      </c>
      <c r="L294" s="564">
        <f t="shared" si="48"/>
        <v>0</v>
      </c>
      <c r="M294" s="565">
        <f t="shared" si="50"/>
        <v>64.99708794408852</v>
      </c>
      <c r="N294" s="565">
        <f t="shared" si="51"/>
        <v>64.997087944088534</v>
      </c>
    </row>
    <row r="295" spans="1:14" ht="34" outlineLevel="1" x14ac:dyDescent="0.3">
      <c r="A295" s="438" t="s">
        <v>516</v>
      </c>
      <c r="B295" s="439" t="s">
        <v>500</v>
      </c>
      <c r="C295" s="439" t="s">
        <v>62</v>
      </c>
      <c r="D295" s="539" t="s">
        <v>517</v>
      </c>
      <c r="E295" s="539" t="s">
        <v>6</v>
      </c>
      <c r="F295" s="540">
        <v>4678405.62</v>
      </c>
      <c r="G295" s="465">
        <f t="shared" ref="G295:K296" si="56">G296</f>
        <v>23198692.199999999</v>
      </c>
      <c r="H295" s="440">
        <f t="shared" si="56"/>
        <v>1843383.7</v>
      </c>
      <c r="I295" s="440">
        <f t="shared" si="56"/>
        <v>2500000</v>
      </c>
      <c r="J295" s="465">
        <f t="shared" si="56"/>
        <v>3835000</v>
      </c>
      <c r="K295" s="603">
        <f t="shared" si="56"/>
        <v>3635000</v>
      </c>
      <c r="L295" s="564">
        <f t="shared" si="48"/>
        <v>-200000</v>
      </c>
      <c r="M295" s="565">
        <f t="shared" si="50"/>
        <v>16.53110428354233</v>
      </c>
      <c r="N295" s="565">
        <f t="shared" si="51"/>
        <v>15.66898671986346</v>
      </c>
    </row>
    <row r="296" spans="1:14" ht="34" outlineLevel="1" x14ac:dyDescent="0.3">
      <c r="A296" s="438" t="s">
        <v>15</v>
      </c>
      <c r="B296" s="439" t="s">
        <v>500</v>
      </c>
      <c r="C296" s="439" t="s">
        <v>62</v>
      </c>
      <c r="D296" s="539" t="s">
        <v>517</v>
      </c>
      <c r="E296" s="539" t="s">
        <v>16</v>
      </c>
      <c r="F296" s="540">
        <v>4678405.62</v>
      </c>
      <c r="G296" s="465">
        <f t="shared" si="56"/>
        <v>23198692.199999999</v>
      </c>
      <c r="H296" s="370">
        <v>1843383.7</v>
      </c>
      <c r="I296" s="440">
        <f t="shared" si="56"/>
        <v>2500000</v>
      </c>
      <c r="J296" s="465">
        <f t="shared" si="56"/>
        <v>3835000</v>
      </c>
      <c r="K296" s="603">
        <f t="shared" si="56"/>
        <v>3635000</v>
      </c>
      <c r="L296" s="564">
        <f t="shared" si="48"/>
        <v>-200000</v>
      </c>
      <c r="M296" s="565">
        <f t="shared" si="50"/>
        <v>16.53110428354233</v>
      </c>
      <c r="N296" s="565">
        <f t="shared" si="51"/>
        <v>15.66898671986346</v>
      </c>
    </row>
    <row r="297" spans="1:14" ht="34" outlineLevel="1" x14ac:dyDescent="0.3">
      <c r="A297" s="438" t="s">
        <v>17</v>
      </c>
      <c r="B297" s="439" t="s">
        <v>500</v>
      </c>
      <c r="C297" s="439" t="s">
        <v>62</v>
      </c>
      <c r="D297" s="539" t="s">
        <v>517</v>
      </c>
      <c r="E297" s="539" t="s">
        <v>18</v>
      </c>
      <c r="F297" s="540">
        <v>4678405.62</v>
      </c>
      <c r="G297" s="466">
        <f>[2]потребность!L293-3000000+22186435-1663742.8</f>
        <v>23198692.199999999</v>
      </c>
      <c r="H297" s="370">
        <v>1843383.7</v>
      </c>
      <c r="I297" s="442">
        <f>'[2]прил 12'!F292</f>
        <v>2500000</v>
      </c>
      <c r="J297" s="466">
        <v>3835000</v>
      </c>
      <c r="K297" s="604">
        <f>3835000-200000</f>
        <v>3635000</v>
      </c>
      <c r="L297" s="564">
        <f t="shared" si="48"/>
        <v>-200000</v>
      </c>
      <c r="M297" s="565">
        <f t="shared" si="50"/>
        <v>16.53110428354233</v>
      </c>
      <c r="N297" s="565">
        <f t="shared" si="51"/>
        <v>15.66898671986346</v>
      </c>
    </row>
    <row r="298" spans="1:14" ht="34" outlineLevel="1" x14ac:dyDescent="0.3">
      <c r="A298" s="438" t="s">
        <v>706</v>
      </c>
      <c r="B298" s="439" t="s">
        <v>500</v>
      </c>
      <c r="C298" s="439" t="s">
        <v>62</v>
      </c>
      <c r="D298" s="539" t="s">
        <v>916</v>
      </c>
      <c r="E298" s="539" t="s">
        <v>6</v>
      </c>
      <c r="F298" s="539"/>
      <c r="G298" s="466">
        <f>G299</f>
        <v>4868718.79</v>
      </c>
      <c r="H298" s="442">
        <f>H299</f>
        <v>4081162.36</v>
      </c>
      <c r="I298" s="442">
        <v>0</v>
      </c>
      <c r="J298" s="466">
        <v>0</v>
      </c>
      <c r="K298" s="604">
        <v>0</v>
      </c>
      <c r="L298" s="564">
        <f t="shared" si="48"/>
        <v>0</v>
      </c>
      <c r="M298" s="565">
        <f t="shared" si="50"/>
        <v>0</v>
      </c>
      <c r="N298" s="565">
        <f t="shared" si="51"/>
        <v>0</v>
      </c>
    </row>
    <row r="299" spans="1:14" ht="34" outlineLevel="1" x14ac:dyDescent="0.3">
      <c r="A299" s="438" t="s">
        <v>15</v>
      </c>
      <c r="B299" s="439" t="s">
        <v>500</v>
      </c>
      <c r="C299" s="439" t="s">
        <v>62</v>
      </c>
      <c r="D299" s="539" t="s">
        <v>916</v>
      </c>
      <c r="E299" s="539" t="s">
        <v>16</v>
      </c>
      <c r="F299" s="539"/>
      <c r="G299" s="466">
        <f>G300</f>
        <v>4868718.79</v>
      </c>
      <c r="H299" s="373">
        <v>4081162.36</v>
      </c>
      <c r="I299" s="442">
        <v>0</v>
      </c>
      <c r="J299" s="466">
        <v>0</v>
      </c>
      <c r="K299" s="604">
        <v>0</v>
      </c>
      <c r="L299" s="564">
        <f t="shared" si="48"/>
        <v>0</v>
      </c>
      <c r="M299" s="565">
        <f t="shared" si="50"/>
        <v>0</v>
      </c>
      <c r="N299" s="565">
        <f t="shared" si="51"/>
        <v>0</v>
      </c>
    </row>
    <row r="300" spans="1:14" ht="34" outlineLevel="1" x14ac:dyDescent="0.3">
      <c r="A300" s="438" t="s">
        <v>17</v>
      </c>
      <c r="B300" s="439" t="s">
        <v>500</v>
      </c>
      <c r="C300" s="439" t="s">
        <v>62</v>
      </c>
      <c r="D300" s="539" t="s">
        <v>916</v>
      </c>
      <c r="E300" s="539" t="s">
        <v>18</v>
      </c>
      <c r="F300" s="539"/>
      <c r="G300" s="466">
        <f>6000000-1131281.21</f>
        <v>4868718.79</v>
      </c>
      <c r="H300" s="373">
        <v>4081162.36</v>
      </c>
      <c r="I300" s="442">
        <v>0</v>
      </c>
      <c r="J300" s="466"/>
      <c r="K300" s="604"/>
      <c r="L300" s="564">
        <f t="shared" si="48"/>
        <v>0</v>
      </c>
      <c r="M300" s="565">
        <f t="shared" si="50"/>
        <v>0</v>
      </c>
      <c r="N300" s="565">
        <f t="shared" si="51"/>
        <v>0</v>
      </c>
    </row>
    <row r="301" spans="1:14" ht="34" outlineLevel="1" x14ac:dyDescent="0.3">
      <c r="A301" s="438" t="s">
        <v>682</v>
      </c>
      <c r="B301" s="439" t="s">
        <v>500</v>
      </c>
      <c r="C301" s="439" t="s">
        <v>62</v>
      </c>
      <c r="D301" s="539" t="s">
        <v>874</v>
      </c>
      <c r="E301" s="539" t="s">
        <v>6</v>
      </c>
      <c r="F301" s="539"/>
      <c r="G301" s="465">
        <f>G302</f>
        <v>49178.97</v>
      </c>
      <c r="H301" s="440">
        <f>H302</f>
        <v>41223.870000000003</v>
      </c>
      <c r="I301" s="440">
        <v>0</v>
      </c>
      <c r="J301" s="465">
        <f>J302</f>
        <v>60606.06</v>
      </c>
      <c r="K301" s="603">
        <f>K302</f>
        <v>60606.06</v>
      </c>
      <c r="L301" s="564">
        <f t="shared" si="48"/>
        <v>0</v>
      </c>
      <c r="M301" s="565">
        <f t="shared" si="50"/>
        <v>123.23572453835449</v>
      </c>
      <c r="N301" s="565">
        <f t="shared" si="51"/>
        <v>123.2357245383545</v>
      </c>
    </row>
    <row r="302" spans="1:14" ht="34" outlineLevel="1" x14ac:dyDescent="0.3">
      <c r="A302" s="438" t="s">
        <v>15</v>
      </c>
      <c r="B302" s="439" t="s">
        <v>500</v>
      </c>
      <c r="C302" s="439" t="s">
        <v>62</v>
      </c>
      <c r="D302" s="539" t="s">
        <v>874</v>
      </c>
      <c r="E302" s="539" t="s">
        <v>16</v>
      </c>
      <c r="F302" s="539"/>
      <c r="G302" s="465">
        <f>G303</f>
        <v>49178.97</v>
      </c>
      <c r="H302" s="373">
        <v>41223.870000000003</v>
      </c>
      <c r="I302" s="440">
        <v>0</v>
      </c>
      <c r="J302" s="465">
        <f>J303</f>
        <v>60606.06</v>
      </c>
      <c r="K302" s="603">
        <f>K303</f>
        <v>60606.06</v>
      </c>
      <c r="L302" s="564">
        <f t="shared" si="48"/>
        <v>0</v>
      </c>
      <c r="M302" s="565">
        <f t="shared" si="50"/>
        <v>123.23572453835449</v>
      </c>
      <c r="N302" s="565">
        <f t="shared" si="51"/>
        <v>123.2357245383545</v>
      </c>
    </row>
    <row r="303" spans="1:14" ht="34" outlineLevel="1" x14ac:dyDescent="0.3">
      <c r="A303" s="438" t="s">
        <v>17</v>
      </c>
      <c r="B303" s="439" t="s">
        <v>500</v>
      </c>
      <c r="C303" s="439" t="s">
        <v>62</v>
      </c>
      <c r="D303" s="539" t="s">
        <v>874</v>
      </c>
      <c r="E303" s="539" t="s">
        <v>18</v>
      </c>
      <c r="F303" s="539"/>
      <c r="G303" s="466">
        <f>62000-1393.94-11427.09</f>
        <v>49178.97</v>
      </c>
      <c r="H303" s="373">
        <v>41223.870000000003</v>
      </c>
      <c r="I303" s="442">
        <v>0</v>
      </c>
      <c r="J303" s="466">
        <v>60606.06</v>
      </c>
      <c r="K303" s="604">
        <v>60606.06</v>
      </c>
      <c r="L303" s="564">
        <f t="shared" si="48"/>
        <v>0</v>
      </c>
      <c r="M303" s="565">
        <f t="shared" si="50"/>
        <v>123.23572453835449</v>
      </c>
      <c r="N303" s="565">
        <f t="shared" si="51"/>
        <v>123.2357245383545</v>
      </c>
    </row>
    <row r="304" spans="1:14" s="449" customFormat="1" ht="67.95" outlineLevel="1" x14ac:dyDescent="0.3">
      <c r="A304" s="444" t="s">
        <v>518</v>
      </c>
      <c r="B304" s="445" t="s">
        <v>500</v>
      </c>
      <c r="C304" s="445" t="s">
        <v>62</v>
      </c>
      <c r="D304" s="541" t="s">
        <v>519</v>
      </c>
      <c r="E304" s="541" t="s">
        <v>6</v>
      </c>
      <c r="F304" s="542">
        <v>15876002.58</v>
      </c>
      <c r="G304" s="465">
        <f>G305+G313</f>
        <v>15345827.210000001</v>
      </c>
      <c r="H304" s="440">
        <f>H305+H313</f>
        <v>12358989.689999999</v>
      </c>
      <c r="I304" s="440">
        <f>I305+I313</f>
        <v>19974076.27</v>
      </c>
      <c r="J304" s="465">
        <f>J305+J313</f>
        <v>13175249.5</v>
      </c>
      <c r="K304" s="603">
        <f>K305+K313</f>
        <v>12953164.92</v>
      </c>
      <c r="L304" s="564">
        <f t="shared" si="48"/>
        <v>-222084.58000000007</v>
      </c>
      <c r="M304" s="565">
        <f t="shared" si="50"/>
        <v>85.85558353879054</v>
      </c>
      <c r="N304" s="565">
        <f t="shared" si="51"/>
        <v>84.40838504658231</v>
      </c>
    </row>
    <row r="305" spans="1:14" s="449" customFormat="1" ht="50.95" outlineLevel="1" x14ac:dyDescent="0.3">
      <c r="A305" s="444" t="s">
        <v>550</v>
      </c>
      <c r="B305" s="445" t="s">
        <v>500</v>
      </c>
      <c r="C305" s="445" t="s">
        <v>62</v>
      </c>
      <c r="D305" s="541" t="s">
        <v>551</v>
      </c>
      <c r="E305" s="541" t="s">
        <v>6</v>
      </c>
      <c r="F305" s="540">
        <v>8247922.1500000004</v>
      </c>
      <c r="G305" s="465">
        <f>G306+G310</f>
        <v>6967934.4000000004</v>
      </c>
      <c r="H305" s="440">
        <f>H306+H310</f>
        <v>3981096.88</v>
      </c>
      <c r="I305" s="440">
        <f>I306+I310</f>
        <v>6616389.0700000003</v>
      </c>
      <c r="J305" s="465">
        <f>J306+J310</f>
        <v>6968867.6299999999</v>
      </c>
      <c r="K305" s="603">
        <f>K306+K310</f>
        <v>6970638.8700000001</v>
      </c>
      <c r="L305" s="564">
        <f t="shared" si="48"/>
        <v>1771.2400000002235</v>
      </c>
      <c r="M305" s="565">
        <f t="shared" si="50"/>
        <v>100.01339320875351</v>
      </c>
      <c r="N305" s="565">
        <f t="shared" si="51"/>
        <v>100.03881308067423</v>
      </c>
    </row>
    <row r="306" spans="1:14" ht="34" outlineLevel="1" x14ac:dyDescent="0.3">
      <c r="A306" s="438" t="s">
        <v>549</v>
      </c>
      <c r="B306" s="439" t="s">
        <v>500</v>
      </c>
      <c r="C306" s="439" t="s">
        <v>62</v>
      </c>
      <c r="D306" s="539" t="s">
        <v>552</v>
      </c>
      <c r="E306" s="539" t="s">
        <v>6</v>
      </c>
      <c r="F306" s="540">
        <v>8247922.1500000004</v>
      </c>
      <c r="G306" s="465">
        <f t="shared" ref="G306:K308" si="57">G307</f>
        <v>6616389.0600000005</v>
      </c>
      <c r="H306" s="440">
        <f t="shared" si="57"/>
        <v>3981096.88</v>
      </c>
      <c r="I306" s="440">
        <f t="shared" si="57"/>
        <v>6616389.0700000003</v>
      </c>
      <c r="J306" s="465">
        <f t="shared" si="57"/>
        <v>6968867.6299999999</v>
      </c>
      <c r="K306" s="603">
        <f t="shared" si="57"/>
        <v>6970638.8700000001</v>
      </c>
      <c r="L306" s="564">
        <f t="shared" si="48"/>
        <v>1771.2400000002235</v>
      </c>
      <c r="M306" s="565">
        <f t="shared" si="50"/>
        <v>105.32735555306054</v>
      </c>
      <c r="N306" s="565">
        <f t="shared" si="51"/>
        <v>105.35412604651154</v>
      </c>
    </row>
    <row r="307" spans="1:14" ht="34" outlineLevel="1" x14ac:dyDescent="0.3">
      <c r="A307" s="438" t="s">
        <v>548</v>
      </c>
      <c r="B307" s="439" t="s">
        <v>500</v>
      </c>
      <c r="C307" s="439" t="s">
        <v>62</v>
      </c>
      <c r="D307" s="539" t="s">
        <v>553</v>
      </c>
      <c r="E307" s="539" t="s">
        <v>6</v>
      </c>
      <c r="F307" s="540">
        <v>6850012.1100000003</v>
      </c>
      <c r="G307" s="465">
        <f t="shared" si="57"/>
        <v>6616389.0600000005</v>
      </c>
      <c r="H307" s="440">
        <f t="shared" si="57"/>
        <v>3981096.88</v>
      </c>
      <c r="I307" s="440">
        <f t="shared" si="57"/>
        <v>6616389.0700000003</v>
      </c>
      <c r="J307" s="465">
        <f t="shared" si="57"/>
        <v>6968867.6299999999</v>
      </c>
      <c r="K307" s="603">
        <f t="shared" si="57"/>
        <v>6970638.8700000001</v>
      </c>
      <c r="L307" s="564">
        <f t="shared" si="48"/>
        <v>1771.2400000002235</v>
      </c>
      <c r="M307" s="565">
        <f t="shared" si="50"/>
        <v>105.32735555306054</v>
      </c>
      <c r="N307" s="565">
        <f t="shared" si="51"/>
        <v>105.35412604651154</v>
      </c>
    </row>
    <row r="308" spans="1:14" ht="34" outlineLevel="1" x14ac:dyDescent="0.3">
      <c r="A308" s="438" t="s">
        <v>15</v>
      </c>
      <c r="B308" s="439" t="s">
        <v>500</v>
      </c>
      <c r="C308" s="439" t="s">
        <v>62</v>
      </c>
      <c r="D308" s="539" t="s">
        <v>553</v>
      </c>
      <c r="E308" s="539" t="s">
        <v>16</v>
      </c>
      <c r="F308" s="540">
        <v>6850012.1100000003</v>
      </c>
      <c r="G308" s="465">
        <f t="shared" si="57"/>
        <v>6616389.0600000005</v>
      </c>
      <c r="H308" s="370">
        <v>3981096.88</v>
      </c>
      <c r="I308" s="440">
        <f t="shared" si="57"/>
        <v>6616389.0700000003</v>
      </c>
      <c r="J308" s="465">
        <f t="shared" si="57"/>
        <v>6968867.6299999999</v>
      </c>
      <c r="K308" s="603">
        <f t="shared" si="57"/>
        <v>6970638.8700000001</v>
      </c>
      <c r="L308" s="564">
        <f t="shared" si="48"/>
        <v>1771.2400000002235</v>
      </c>
      <c r="M308" s="565">
        <f t="shared" si="50"/>
        <v>105.32735555306054</v>
      </c>
      <c r="N308" s="565">
        <f t="shared" si="51"/>
        <v>105.35412604651154</v>
      </c>
    </row>
    <row r="309" spans="1:14" ht="34" outlineLevel="1" x14ac:dyDescent="0.3">
      <c r="A309" s="438" t="s">
        <v>17</v>
      </c>
      <c r="B309" s="439" t="s">
        <v>500</v>
      </c>
      <c r="C309" s="439" t="s">
        <v>62</v>
      </c>
      <c r="D309" s="539" t="s">
        <v>553</v>
      </c>
      <c r="E309" s="539" t="s">
        <v>18</v>
      </c>
      <c r="F309" s="540">
        <v>6850012.1100000003</v>
      </c>
      <c r="G309" s="465">
        <f>6583307.11+33081.96-0.01</f>
        <v>6616389.0600000005</v>
      </c>
      <c r="H309" s="370">
        <v>3981096.88</v>
      </c>
      <c r="I309" s="440">
        <f>'[2]прил 12'!F298</f>
        <v>6616389.0700000003</v>
      </c>
      <c r="J309" s="466">
        <f>33081.95+6935785.68</f>
        <v>6968867.6299999999</v>
      </c>
      <c r="K309" s="604">
        <f>33081.95+6935785.68+1771.24</f>
        <v>6970638.8700000001</v>
      </c>
      <c r="L309" s="564">
        <f t="shared" si="48"/>
        <v>1771.2400000002235</v>
      </c>
      <c r="M309" s="565">
        <f t="shared" si="50"/>
        <v>105.32735555306054</v>
      </c>
      <c r="N309" s="565">
        <f t="shared" si="51"/>
        <v>105.35412604651154</v>
      </c>
    </row>
    <row r="310" spans="1:14" ht="50.95" outlineLevel="1" x14ac:dyDescent="0.3">
      <c r="A310" s="397" t="s">
        <v>680</v>
      </c>
      <c r="B310" s="439" t="s">
        <v>500</v>
      </c>
      <c r="C310" s="439" t="s">
        <v>62</v>
      </c>
      <c r="D310" s="539" t="s">
        <v>724</v>
      </c>
      <c r="E310" s="539" t="s">
        <v>6</v>
      </c>
      <c r="F310" s="540">
        <v>1397910.04</v>
      </c>
      <c r="G310" s="465">
        <f>G311</f>
        <v>351545.34</v>
      </c>
      <c r="H310" s="440">
        <f>H311</f>
        <v>0</v>
      </c>
      <c r="I310" s="440">
        <v>0</v>
      </c>
      <c r="J310" s="465">
        <v>0</v>
      </c>
      <c r="K310" s="603">
        <v>0</v>
      </c>
      <c r="L310" s="564">
        <f t="shared" si="48"/>
        <v>0</v>
      </c>
      <c r="M310" s="565">
        <f t="shared" si="50"/>
        <v>0</v>
      </c>
      <c r="N310" s="565">
        <f t="shared" si="51"/>
        <v>0</v>
      </c>
    </row>
    <row r="311" spans="1:14" ht="34" outlineLevel="1" x14ac:dyDescent="0.3">
      <c r="A311" s="438" t="s">
        <v>15</v>
      </c>
      <c r="B311" s="439" t="s">
        <v>500</v>
      </c>
      <c r="C311" s="439" t="s">
        <v>62</v>
      </c>
      <c r="D311" s="539" t="s">
        <v>724</v>
      </c>
      <c r="E311" s="539" t="s">
        <v>16</v>
      </c>
      <c r="F311" s="540">
        <v>1397910.04</v>
      </c>
      <c r="G311" s="465">
        <f>G312</f>
        <v>351545.34</v>
      </c>
      <c r="H311" s="442">
        <v>0</v>
      </c>
      <c r="I311" s="440">
        <v>0</v>
      </c>
      <c r="J311" s="465">
        <v>0</v>
      </c>
      <c r="K311" s="603">
        <v>0</v>
      </c>
      <c r="L311" s="564">
        <f t="shared" si="48"/>
        <v>0</v>
      </c>
      <c r="M311" s="565">
        <f t="shared" si="50"/>
        <v>0</v>
      </c>
      <c r="N311" s="565">
        <f t="shared" si="51"/>
        <v>0</v>
      </c>
    </row>
    <row r="312" spans="1:14" ht="34" outlineLevel="1" x14ac:dyDescent="0.3">
      <c r="A312" s="438" t="s">
        <v>17</v>
      </c>
      <c r="B312" s="439" t="s">
        <v>500</v>
      </c>
      <c r="C312" s="439" t="s">
        <v>62</v>
      </c>
      <c r="D312" s="539" t="s">
        <v>724</v>
      </c>
      <c r="E312" s="539" t="s">
        <v>18</v>
      </c>
      <c r="F312" s="540">
        <v>1397910.04</v>
      </c>
      <c r="G312" s="465">
        <f>215859.46+109286.29+26399.58+0.01</f>
        <v>351545.34</v>
      </c>
      <c r="H312" s="442">
        <v>0</v>
      </c>
      <c r="I312" s="440">
        <v>0</v>
      </c>
      <c r="J312" s="466">
        <v>0</v>
      </c>
      <c r="K312" s="604">
        <v>0</v>
      </c>
      <c r="L312" s="564">
        <f t="shared" si="48"/>
        <v>0</v>
      </c>
      <c r="M312" s="565">
        <f t="shared" si="50"/>
        <v>0</v>
      </c>
      <c r="N312" s="565">
        <f t="shared" si="51"/>
        <v>0</v>
      </c>
    </row>
    <row r="313" spans="1:14" s="449" customFormat="1" ht="50.95" outlineLevel="1" x14ac:dyDescent="0.3">
      <c r="A313" s="458" t="s">
        <v>554</v>
      </c>
      <c r="B313" s="439" t="s">
        <v>500</v>
      </c>
      <c r="C313" s="439" t="s">
        <v>62</v>
      </c>
      <c r="D313" s="541" t="s">
        <v>556</v>
      </c>
      <c r="E313" s="541" t="s">
        <v>6</v>
      </c>
      <c r="F313" s="541"/>
      <c r="G313" s="465">
        <f t="shared" ref="G313:K319" si="58">G314</f>
        <v>8377892.8099999996</v>
      </c>
      <c r="H313" s="440">
        <f t="shared" si="58"/>
        <v>8377892.8099999996</v>
      </c>
      <c r="I313" s="440">
        <f t="shared" si="58"/>
        <v>13357687.199999999</v>
      </c>
      <c r="J313" s="465">
        <f t="shared" si="58"/>
        <v>6206381.8700000001</v>
      </c>
      <c r="K313" s="603">
        <f t="shared" si="58"/>
        <v>5982526.0499999998</v>
      </c>
      <c r="L313" s="564">
        <f t="shared" si="48"/>
        <v>-223855.8200000003</v>
      </c>
      <c r="M313" s="565">
        <f t="shared" si="50"/>
        <v>74.080464034965388</v>
      </c>
      <c r="N313" s="565">
        <f t="shared" si="51"/>
        <v>71.408481651366458</v>
      </c>
    </row>
    <row r="314" spans="1:14" s="449" customFormat="1" ht="34" outlineLevel="1" x14ac:dyDescent="0.3">
      <c r="A314" s="458" t="s">
        <v>555</v>
      </c>
      <c r="B314" s="439" t="s">
        <v>500</v>
      </c>
      <c r="C314" s="439" t="s">
        <v>62</v>
      </c>
      <c r="D314" s="541" t="s">
        <v>557</v>
      </c>
      <c r="E314" s="541" t="s">
        <v>6</v>
      </c>
      <c r="F314" s="540">
        <v>7628080.4299999997</v>
      </c>
      <c r="G314" s="508">
        <f>G315+G318+G321</f>
        <v>8377892.8099999996</v>
      </c>
      <c r="H314" s="446">
        <f>H315+H318+H321</f>
        <v>8377892.8099999996</v>
      </c>
      <c r="I314" s="446">
        <f>I315+I318+I321</f>
        <v>13357687.199999999</v>
      </c>
      <c r="J314" s="508">
        <f>J315+J318+J321</f>
        <v>6206381.8700000001</v>
      </c>
      <c r="K314" s="606">
        <f>K315+K318+K321</f>
        <v>5982526.0499999998</v>
      </c>
      <c r="L314" s="564">
        <f t="shared" si="48"/>
        <v>-223855.8200000003</v>
      </c>
      <c r="M314" s="565">
        <f t="shared" si="50"/>
        <v>74.080464034965388</v>
      </c>
      <c r="N314" s="565">
        <f t="shared" si="51"/>
        <v>71.408481651366458</v>
      </c>
    </row>
    <row r="315" spans="1:14" s="449" customFormat="1" ht="57.25" customHeight="1" outlineLevel="1" x14ac:dyDescent="0.3">
      <c r="A315" s="397" t="s">
        <v>565</v>
      </c>
      <c r="B315" s="439" t="s">
        <v>500</v>
      </c>
      <c r="C315" s="439" t="s">
        <v>62</v>
      </c>
      <c r="D315" s="539" t="s">
        <v>587</v>
      </c>
      <c r="E315" s="539" t="s">
        <v>6</v>
      </c>
      <c r="F315" s="540">
        <v>6501429.3700000001</v>
      </c>
      <c r="G315" s="465">
        <f t="shared" ref="G315:K316" si="59">G316</f>
        <v>6855579.5599999996</v>
      </c>
      <c r="H315" s="440">
        <f t="shared" si="59"/>
        <v>6855579.5599999996</v>
      </c>
      <c r="I315" s="440">
        <f t="shared" si="59"/>
        <v>12956956.59</v>
      </c>
      <c r="J315" s="465">
        <f t="shared" si="59"/>
        <v>5803050.2599999998</v>
      </c>
      <c r="K315" s="603">
        <f t="shared" si="59"/>
        <v>5803050.2599999998</v>
      </c>
      <c r="L315" s="564">
        <f t="shared" si="48"/>
        <v>0</v>
      </c>
      <c r="M315" s="565">
        <f t="shared" si="50"/>
        <v>84.647114211303816</v>
      </c>
      <c r="N315" s="565">
        <f t="shared" si="51"/>
        <v>84.647114211303816</v>
      </c>
    </row>
    <row r="316" spans="1:14" s="449" customFormat="1" ht="34" outlineLevel="1" x14ac:dyDescent="0.3">
      <c r="A316" s="438" t="s">
        <v>15</v>
      </c>
      <c r="B316" s="439" t="s">
        <v>500</v>
      </c>
      <c r="C316" s="439" t="s">
        <v>62</v>
      </c>
      <c r="D316" s="539" t="s">
        <v>587</v>
      </c>
      <c r="E316" s="539" t="s">
        <v>16</v>
      </c>
      <c r="F316" s="540">
        <v>6501429.3700000001</v>
      </c>
      <c r="G316" s="465">
        <f t="shared" si="59"/>
        <v>6855579.5599999996</v>
      </c>
      <c r="H316" s="370">
        <v>6855579.5599999996</v>
      </c>
      <c r="I316" s="440">
        <f t="shared" si="59"/>
        <v>12956956.59</v>
      </c>
      <c r="J316" s="465">
        <f t="shared" si="59"/>
        <v>5803050.2599999998</v>
      </c>
      <c r="K316" s="603">
        <f t="shared" si="59"/>
        <v>5803050.2599999998</v>
      </c>
      <c r="L316" s="564">
        <f t="shared" si="48"/>
        <v>0</v>
      </c>
      <c r="M316" s="565">
        <f t="shared" si="50"/>
        <v>84.647114211303816</v>
      </c>
      <c r="N316" s="565">
        <f t="shared" si="51"/>
        <v>84.647114211303816</v>
      </c>
    </row>
    <row r="317" spans="1:14" s="449" customFormat="1" ht="34" outlineLevel="1" x14ac:dyDescent="0.3">
      <c r="A317" s="438" t="s">
        <v>17</v>
      </c>
      <c r="B317" s="439" t="s">
        <v>500</v>
      </c>
      <c r="C317" s="439" t="s">
        <v>62</v>
      </c>
      <c r="D317" s="539" t="s">
        <v>587</v>
      </c>
      <c r="E317" s="539" t="s">
        <v>18</v>
      </c>
      <c r="F317" s="540">
        <v>6501429.3700000001</v>
      </c>
      <c r="G317" s="465">
        <v>6855579.5599999996</v>
      </c>
      <c r="H317" s="370">
        <v>6855579.5599999996</v>
      </c>
      <c r="I317" s="440">
        <f>'[2]прил 12'!F306</f>
        <v>12956956.59</v>
      </c>
      <c r="J317" s="507">
        <v>5803050.2599999998</v>
      </c>
      <c r="K317" s="605">
        <v>5803050.2599999998</v>
      </c>
      <c r="L317" s="564">
        <f t="shared" si="48"/>
        <v>0</v>
      </c>
      <c r="M317" s="565">
        <f t="shared" si="50"/>
        <v>84.647114211303816</v>
      </c>
      <c r="N317" s="565">
        <f t="shared" si="51"/>
        <v>84.647114211303816</v>
      </c>
    </row>
    <row r="318" spans="1:14" ht="40.75" customHeight="1" outlineLevel="1" x14ac:dyDescent="0.3">
      <c r="A318" s="397" t="s">
        <v>559</v>
      </c>
      <c r="B318" s="439" t="s">
        <v>500</v>
      </c>
      <c r="C318" s="439" t="s">
        <v>62</v>
      </c>
      <c r="D318" s="539" t="s">
        <v>558</v>
      </c>
      <c r="E318" s="539" t="s">
        <v>6</v>
      </c>
      <c r="F318" s="540">
        <v>201075.14</v>
      </c>
      <c r="G318" s="465">
        <f t="shared" si="58"/>
        <v>212028.24</v>
      </c>
      <c r="H318" s="440">
        <f t="shared" si="58"/>
        <v>212028.24</v>
      </c>
      <c r="I318" s="440">
        <f t="shared" si="58"/>
        <v>400730.61</v>
      </c>
      <c r="J318" s="465">
        <f t="shared" si="58"/>
        <v>403331.61</v>
      </c>
      <c r="K318" s="603">
        <f t="shared" si="58"/>
        <v>179475.78999999998</v>
      </c>
      <c r="L318" s="564">
        <f t="shared" si="48"/>
        <v>-223855.82</v>
      </c>
      <c r="M318" s="565">
        <f t="shared" si="50"/>
        <v>190.2254199723584</v>
      </c>
      <c r="N318" s="565">
        <f t="shared" si="51"/>
        <v>84.647115874753283</v>
      </c>
    </row>
    <row r="319" spans="1:14" ht="34" outlineLevel="1" x14ac:dyDescent="0.3">
      <c r="A319" s="438" t="s">
        <v>15</v>
      </c>
      <c r="B319" s="439" t="s">
        <v>500</v>
      </c>
      <c r="C319" s="439" t="s">
        <v>62</v>
      </c>
      <c r="D319" s="539" t="s">
        <v>558</v>
      </c>
      <c r="E319" s="539" t="s">
        <v>16</v>
      </c>
      <c r="F319" s="540">
        <v>201075.14</v>
      </c>
      <c r="G319" s="465">
        <f t="shared" si="58"/>
        <v>212028.24</v>
      </c>
      <c r="H319" s="370">
        <v>212028.24</v>
      </c>
      <c r="I319" s="440">
        <f t="shared" si="58"/>
        <v>400730.61</v>
      </c>
      <c r="J319" s="465">
        <f t="shared" si="58"/>
        <v>403331.61</v>
      </c>
      <c r="K319" s="603">
        <f t="shared" si="58"/>
        <v>179475.78999999998</v>
      </c>
      <c r="L319" s="564">
        <f t="shared" si="48"/>
        <v>-223855.82</v>
      </c>
      <c r="M319" s="565">
        <f t="shared" si="50"/>
        <v>190.2254199723584</v>
      </c>
      <c r="N319" s="565">
        <f t="shared" si="51"/>
        <v>84.647115874753283</v>
      </c>
    </row>
    <row r="320" spans="1:14" ht="34" outlineLevel="1" x14ac:dyDescent="0.3">
      <c r="A320" s="438" t="s">
        <v>17</v>
      </c>
      <c r="B320" s="439" t="s">
        <v>500</v>
      </c>
      <c r="C320" s="439" t="s">
        <v>62</v>
      </c>
      <c r="D320" s="539" t="s">
        <v>558</v>
      </c>
      <c r="E320" s="539" t="s">
        <v>18</v>
      </c>
      <c r="F320" s="540">
        <v>201075.14</v>
      </c>
      <c r="G320" s="466">
        <f>403331.62-191303.38</f>
        <v>212028.24</v>
      </c>
      <c r="H320" s="370">
        <v>212028.24</v>
      </c>
      <c r="I320" s="442">
        <f>'[2]прил 12'!F309</f>
        <v>400730.61</v>
      </c>
      <c r="J320" s="466">
        <v>403331.61</v>
      </c>
      <c r="K320" s="604">
        <f>403331.61-223855.82</f>
        <v>179475.78999999998</v>
      </c>
      <c r="L320" s="564">
        <f t="shared" si="48"/>
        <v>-223855.82</v>
      </c>
      <c r="M320" s="565">
        <f t="shared" si="50"/>
        <v>190.2254199723584</v>
      </c>
      <c r="N320" s="565">
        <f t="shared" si="51"/>
        <v>84.647115874753283</v>
      </c>
    </row>
    <row r="321" spans="1:14" ht="50.95" outlineLevel="1" x14ac:dyDescent="0.3">
      <c r="A321" s="438" t="s">
        <v>680</v>
      </c>
      <c r="B321" s="439" t="s">
        <v>500</v>
      </c>
      <c r="C321" s="439" t="s">
        <v>62</v>
      </c>
      <c r="D321" s="539" t="s">
        <v>679</v>
      </c>
      <c r="E321" s="539" t="s">
        <v>6</v>
      </c>
      <c r="F321" s="540">
        <v>925575.92</v>
      </c>
      <c r="G321" s="465">
        <f>G322</f>
        <v>1310285.0099999998</v>
      </c>
      <c r="H321" s="440">
        <f>H322</f>
        <v>1310285.01</v>
      </c>
      <c r="I321" s="440">
        <v>0</v>
      </c>
      <c r="J321" s="465">
        <v>0</v>
      </c>
      <c r="K321" s="603">
        <v>0</v>
      </c>
      <c r="L321" s="564">
        <f t="shared" si="48"/>
        <v>0</v>
      </c>
      <c r="M321" s="565">
        <f t="shared" si="50"/>
        <v>0</v>
      </c>
      <c r="N321" s="565">
        <f t="shared" si="51"/>
        <v>0</v>
      </c>
    </row>
    <row r="322" spans="1:14" ht="34" outlineLevel="1" x14ac:dyDescent="0.3">
      <c r="A322" s="438" t="s">
        <v>15</v>
      </c>
      <c r="B322" s="439" t="s">
        <v>500</v>
      </c>
      <c r="C322" s="439" t="s">
        <v>62</v>
      </c>
      <c r="D322" s="539" t="s">
        <v>679</v>
      </c>
      <c r="E322" s="539" t="s">
        <v>16</v>
      </c>
      <c r="F322" s="540">
        <v>925575.92</v>
      </c>
      <c r="G322" s="465">
        <f>G323</f>
        <v>1310285.0099999998</v>
      </c>
      <c r="H322" s="370">
        <v>1310285.01</v>
      </c>
      <c r="I322" s="440">
        <v>0</v>
      </c>
      <c r="J322" s="465">
        <v>0</v>
      </c>
      <c r="K322" s="603">
        <v>0</v>
      </c>
      <c r="L322" s="564">
        <f t="shared" si="48"/>
        <v>0</v>
      </c>
      <c r="M322" s="565">
        <f t="shared" si="50"/>
        <v>0</v>
      </c>
      <c r="N322" s="565">
        <f t="shared" si="51"/>
        <v>0</v>
      </c>
    </row>
    <row r="323" spans="1:14" ht="38.25" customHeight="1" outlineLevel="1" x14ac:dyDescent="0.3">
      <c r="A323" s="438" t="s">
        <v>17</v>
      </c>
      <c r="B323" s="439" t="s">
        <v>500</v>
      </c>
      <c r="C323" s="439" t="s">
        <v>62</v>
      </c>
      <c r="D323" s="539" t="s">
        <v>679</v>
      </c>
      <c r="E323" s="539" t="s">
        <v>18</v>
      </c>
      <c r="F323" s="540">
        <v>925575.92</v>
      </c>
      <c r="G323" s="466">
        <f>[2]потребность!L313-7169178.83</f>
        <v>1310285.0099999998</v>
      </c>
      <c r="H323" s="370">
        <v>1310285.01</v>
      </c>
      <c r="I323" s="442">
        <v>0</v>
      </c>
      <c r="J323" s="466">
        <v>0</v>
      </c>
      <c r="K323" s="604">
        <v>0</v>
      </c>
      <c r="L323" s="564">
        <f t="shared" si="48"/>
        <v>0</v>
      </c>
      <c r="M323" s="565">
        <f t="shared" si="50"/>
        <v>0</v>
      </c>
      <c r="N323" s="565">
        <f t="shared" si="51"/>
        <v>0</v>
      </c>
    </row>
    <row r="324" spans="1:14" ht="34" outlineLevel="1" x14ac:dyDescent="0.3">
      <c r="A324" s="438" t="s">
        <v>292</v>
      </c>
      <c r="B324" s="439" t="s">
        <v>500</v>
      </c>
      <c r="C324" s="439" t="s">
        <v>293</v>
      </c>
      <c r="D324" s="539" t="s">
        <v>126</v>
      </c>
      <c r="E324" s="539" t="s">
        <v>6</v>
      </c>
      <c r="F324" s="540">
        <v>2418556.7000000002</v>
      </c>
      <c r="G324" s="466">
        <f t="shared" ref="G324:K325" si="60">G325</f>
        <v>7460868.7599999998</v>
      </c>
      <c r="H324" s="442">
        <f t="shared" si="60"/>
        <v>6020120.7999999998</v>
      </c>
      <c r="I324" s="442">
        <f t="shared" si="60"/>
        <v>300000</v>
      </c>
      <c r="J324" s="466">
        <f t="shared" si="60"/>
        <v>3059819.92</v>
      </c>
      <c r="K324" s="604">
        <f t="shared" si="60"/>
        <v>3059819.92</v>
      </c>
      <c r="L324" s="564">
        <f t="shared" si="48"/>
        <v>0</v>
      </c>
      <c r="M324" s="565">
        <f t="shared" si="50"/>
        <v>41.011576780503503</v>
      </c>
      <c r="N324" s="565">
        <f t="shared" si="51"/>
        <v>41.011576780503503</v>
      </c>
    </row>
    <row r="325" spans="1:14" ht="50.95" outlineLevel="1" x14ac:dyDescent="0.3">
      <c r="A325" s="444" t="s">
        <v>843</v>
      </c>
      <c r="B325" s="445" t="s">
        <v>500</v>
      </c>
      <c r="C325" s="445" t="s">
        <v>293</v>
      </c>
      <c r="D325" s="541" t="s">
        <v>134</v>
      </c>
      <c r="E325" s="541" t="s">
        <v>6</v>
      </c>
      <c r="F325" s="542">
        <v>2418556.7000000002</v>
      </c>
      <c r="G325" s="507">
        <f t="shared" si="60"/>
        <v>7460868.7599999998</v>
      </c>
      <c r="H325" s="448">
        <f t="shared" si="60"/>
        <v>6020120.7999999998</v>
      </c>
      <c r="I325" s="448">
        <f t="shared" si="60"/>
        <v>300000</v>
      </c>
      <c r="J325" s="507">
        <f t="shared" si="60"/>
        <v>3059819.92</v>
      </c>
      <c r="K325" s="605">
        <f t="shared" si="60"/>
        <v>3059819.92</v>
      </c>
      <c r="L325" s="564">
        <f t="shared" si="48"/>
        <v>0</v>
      </c>
      <c r="M325" s="565">
        <f t="shared" si="50"/>
        <v>41.011576780503503</v>
      </c>
      <c r="N325" s="565">
        <f t="shared" si="51"/>
        <v>41.011576780503503</v>
      </c>
    </row>
    <row r="326" spans="1:14" ht="50.95" outlineLevel="1" x14ac:dyDescent="0.3">
      <c r="A326" s="438" t="s">
        <v>844</v>
      </c>
      <c r="B326" s="439" t="s">
        <v>500</v>
      </c>
      <c r="C326" s="439" t="s">
        <v>293</v>
      </c>
      <c r="D326" s="539" t="s">
        <v>350</v>
      </c>
      <c r="E326" s="539" t="s">
        <v>6</v>
      </c>
      <c r="F326" s="540">
        <v>2418556.7000000002</v>
      </c>
      <c r="G326" s="466">
        <f>G327+G330</f>
        <v>7460868.7599999998</v>
      </c>
      <c r="H326" s="442">
        <f>H327+H330</f>
        <v>6020120.7999999998</v>
      </c>
      <c r="I326" s="442">
        <f>I327+I330</f>
        <v>300000</v>
      </c>
      <c r="J326" s="466">
        <f>J330+J327</f>
        <v>3059819.92</v>
      </c>
      <c r="K326" s="604">
        <f>K330+K327</f>
        <v>3059819.92</v>
      </c>
      <c r="L326" s="564">
        <f t="shared" si="48"/>
        <v>0</v>
      </c>
      <c r="M326" s="565">
        <f t="shared" si="50"/>
        <v>41.011576780503503</v>
      </c>
      <c r="N326" s="565">
        <f t="shared" si="51"/>
        <v>41.011576780503503</v>
      </c>
    </row>
    <row r="327" spans="1:14" ht="37.549999999999997" customHeight="1" outlineLevel="1" x14ac:dyDescent="0.3">
      <c r="A327" s="393" t="s">
        <v>563</v>
      </c>
      <c r="B327" s="439" t="s">
        <v>500</v>
      </c>
      <c r="C327" s="439" t="s">
        <v>293</v>
      </c>
      <c r="D327" s="539" t="s">
        <v>588</v>
      </c>
      <c r="E327" s="539" t="s">
        <v>6</v>
      </c>
      <c r="F327" s="540">
        <v>2346000</v>
      </c>
      <c r="G327" s="466">
        <f>G328</f>
        <v>7160868.7599999998</v>
      </c>
      <c r="H327" s="442">
        <f>H328</f>
        <v>5839517.1600000001</v>
      </c>
      <c r="I327" s="442">
        <v>0</v>
      </c>
      <c r="J327" s="466">
        <f>J328</f>
        <v>2759819.92</v>
      </c>
      <c r="K327" s="604">
        <f>K328</f>
        <v>2759819.92</v>
      </c>
      <c r="L327" s="564">
        <f t="shared" si="48"/>
        <v>0</v>
      </c>
      <c r="M327" s="565">
        <f t="shared" si="50"/>
        <v>38.540294655532826</v>
      </c>
      <c r="N327" s="565">
        <f t="shared" si="51"/>
        <v>38.540294655532833</v>
      </c>
    </row>
    <row r="328" spans="1:14" outlineLevel="1" x14ac:dyDescent="0.3">
      <c r="A328" s="438" t="s">
        <v>19</v>
      </c>
      <c r="B328" s="439" t="s">
        <v>500</v>
      </c>
      <c r="C328" s="439" t="s">
        <v>293</v>
      </c>
      <c r="D328" s="539" t="s">
        <v>588</v>
      </c>
      <c r="E328" s="539" t="s">
        <v>20</v>
      </c>
      <c r="F328" s="540">
        <v>2346000</v>
      </c>
      <c r="G328" s="466">
        <f>G329</f>
        <v>7160868.7599999998</v>
      </c>
      <c r="H328" s="370">
        <v>5839517.1600000001</v>
      </c>
      <c r="I328" s="442">
        <v>0</v>
      </c>
      <c r="J328" s="466">
        <f>J329</f>
        <v>2759819.92</v>
      </c>
      <c r="K328" s="604">
        <f>K329</f>
        <v>2759819.92</v>
      </c>
      <c r="L328" s="564">
        <f t="shared" ref="L328:L391" si="61">K328-J328</f>
        <v>0</v>
      </c>
      <c r="M328" s="565">
        <f t="shared" si="50"/>
        <v>38.540294655532826</v>
      </c>
      <c r="N328" s="565">
        <f t="shared" si="51"/>
        <v>38.540294655532833</v>
      </c>
    </row>
    <row r="329" spans="1:14" ht="50.95" outlineLevel="1" x14ac:dyDescent="0.3">
      <c r="A329" s="438" t="s">
        <v>47</v>
      </c>
      <c r="B329" s="439" t="s">
        <v>500</v>
      </c>
      <c r="C329" s="439" t="s">
        <v>293</v>
      </c>
      <c r="D329" s="539" t="s">
        <v>588</v>
      </c>
      <c r="E329" s="539" t="s">
        <v>48</v>
      </c>
      <c r="F329" s="540">
        <v>2346000</v>
      </c>
      <c r="G329" s="466">
        <v>7160868.7599999998</v>
      </c>
      <c r="H329" s="370">
        <v>5839517.1600000001</v>
      </c>
      <c r="I329" s="442">
        <v>0</v>
      </c>
      <c r="J329" s="466">
        <v>2759819.92</v>
      </c>
      <c r="K329" s="604">
        <v>2759819.92</v>
      </c>
      <c r="L329" s="564">
        <f t="shared" si="61"/>
        <v>0</v>
      </c>
      <c r="M329" s="565">
        <f t="shared" si="50"/>
        <v>38.540294655532826</v>
      </c>
      <c r="N329" s="565">
        <f t="shared" si="51"/>
        <v>38.540294655532833</v>
      </c>
    </row>
    <row r="330" spans="1:14" s="449" customFormat="1" ht="39.4" customHeight="1" outlineLevel="1" x14ac:dyDescent="0.3">
      <c r="A330" s="438" t="s">
        <v>306</v>
      </c>
      <c r="B330" s="439" t="s">
        <v>500</v>
      </c>
      <c r="C330" s="439" t="s">
        <v>293</v>
      </c>
      <c r="D330" s="539" t="s">
        <v>357</v>
      </c>
      <c r="E330" s="539" t="s">
        <v>6</v>
      </c>
      <c r="F330" s="540">
        <v>72556.7</v>
      </c>
      <c r="G330" s="466">
        <f t="shared" ref="G330:K331" si="62">G331</f>
        <v>300000</v>
      </c>
      <c r="H330" s="442">
        <f t="shared" si="62"/>
        <v>180603.64</v>
      </c>
      <c r="I330" s="442">
        <f t="shared" si="62"/>
        <v>300000</v>
      </c>
      <c r="J330" s="466">
        <f t="shared" si="62"/>
        <v>300000</v>
      </c>
      <c r="K330" s="604">
        <f t="shared" si="62"/>
        <v>300000</v>
      </c>
      <c r="L330" s="564">
        <f t="shared" si="61"/>
        <v>0</v>
      </c>
      <c r="M330" s="565">
        <f t="shared" si="50"/>
        <v>100</v>
      </c>
      <c r="N330" s="565">
        <f t="shared" si="51"/>
        <v>100</v>
      </c>
    </row>
    <row r="331" spans="1:14" outlineLevel="2" x14ac:dyDescent="0.3">
      <c r="A331" s="438" t="s">
        <v>19</v>
      </c>
      <c r="B331" s="439" t="s">
        <v>500</v>
      </c>
      <c r="C331" s="439" t="s">
        <v>293</v>
      </c>
      <c r="D331" s="539" t="s">
        <v>357</v>
      </c>
      <c r="E331" s="539" t="s">
        <v>20</v>
      </c>
      <c r="F331" s="540">
        <v>72556.7</v>
      </c>
      <c r="G331" s="466">
        <f t="shared" si="62"/>
        <v>300000</v>
      </c>
      <c r="H331" s="370">
        <v>180603.64</v>
      </c>
      <c r="I331" s="442">
        <f t="shared" si="62"/>
        <v>300000</v>
      </c>
      <c r="J331" s="466">
        <f t="shared" si="62"/>
        <v>300000</v>
      </c>
      <c r="K331" s="604">
        <f t="shared" si="62"/>
        <v>300000</v>
      </c>
      <c r="L331" s="564">
        <f t="shared" si="61"/>
        <v>0</v>
      </c>
      <c r="M331" s="565">
        <f t="shared" si="50"/>
        <v>100</v>
      </c>
      <c r="N331" s="565">
        <f t="shared" si="51"/>
        <v>100</v>
      </c>
    </row>
    <row r="332" spans="1:14" s="449" customFormat="1" ht="59.3" customHeight="1" outlineLevel="3" x14ac:dyDescent="0.3">
      <c r="A332" s="438" t="s">
        <v>47</v>
      </c>
      <c r="B332" s="439" t="s">
        <v>500</v>
      </c>
      <c r="C332" s="439" t="s">
        <v>293</v>
      </c>
      <c r="D332" s="539" t="s">
        <v>357</v>
      </c>
      <c r="E332" s="539" t="s">
        <v>48</v>
      </c>
      <c r="F332" s="540">
        <v>72556.7</v>
      </c>
      <c r="G332" s="466">
        <v>300000</v>
      </c>
      <c r="H332" s="370">
        <v>180603.64</v>
      </c>
      <c r="I332" s="442">
        <v>300000</v>
      </c>
      <c r="J332" s="507">
        <v>300000</v>
      </c>
      <c r="K332" s="605">
        <v>300000</v>
      </c>
      <c r="L332" s="564">
        <f t="shared" si="61"/>
        <v>0</v>
      </c>
      <c r="M332" s="565">
        <f t="shared" ref="M332:M395" si="63">J332/G332%</f>
        <v>100</v>
      </c>
      <c r="N332" s="565">
        <f t="shared" ref="N332:N395" si="64">K332/G332*100</f>
        <v>100</v>
      </c>
    </row>
    <row r="333" spans="1:14" ht="27" customHeight="1" outlineLevel="3" x14ac:dyDescent="0.3">
      <c r="A333" s="444" t="s">
        <v>64</v>
      </c>
      <c r="B333" s="439" t="s">
        <v>500</v>
      </c>
      <c r="C333" s="445" t="s">
        <v>65</v>
      </c>
      <c r="D333" s="541" t="s">
        <v>126</v>
      </c>
      <c r="E333" s="541" t="s">
        <v>6</v>
      </c>
      <c r="F333" s="540">
        <v>514749.4</v>
      </c>
      <c r="G333" s="508">
        <f>G334</f>
        <v>555000</v>
      </c>
      <c r="H333" s="446">
        <f>H334</f>
        <v>53200</v>
      </c>
      <c r="I333" s="446">
        <f>I334</f>
        <v>515000</v>
      </c>
      <c r="J333" s="508">
        <f>J334</f>
        <v>515000</v>
      </c>
      <c r="K333" s="606">
        <f>K334</f>
        <v>515000</v>
      </c>
      <c r="L333" s="564">
        <f t="shared" si="61"/>
        <v>0</v>
      </c>
      <c r="M333" s="565">
        <f t="shared" si="63"/>
        <v>92.792792792792795</v>
      </c>
      <c r="N333" s="565">
        <f t="shared" si="64"/>
        <v>92.792792792792795</v>
      </c>
    </row>
    <row r="334" spans="1:14" ht="23.3" customHeight="1" outlineLevel="3" x14ac:dyDescent="0.3">
      <c r="A334" s="438" t="s">
        <v>66</v>
      </c>
      <c r="B334" s="439" t="s">
        <v>500</v>
      </c>
      <c r="C334" s="439" t="s">
        <v>67</v>
      </c>
      <c r="D334" s="539" t="s">
        <v>126</v>
      </c>
      <c r="E334" s="539" t="s">
        <v>6</v>
      </c>
      <c r="F334" s="540">
        <v>514749.4</v>
      </c>
      <c r="G334" s="465">
        <f>G335+G344</f>
        <v>555000</v>
      </c>
      <c r="H334" s="440">
        <f>H335+H344</f>
        <v>53200</v>
      </c>
      <c r="I334" s="440">
        <f>I335+I344</f>
        <v>515000</v>
      </c>
      <c r="J334" s="465">
        <f>J335+J344</f>
        <v>515000</v>
      </c>
      <c r="K334" s="603">
        <f>K335+K344</f>
        <v>515000</v>
      </c>
      <c r="L334" s="564">
        <f t="shared" si="61"/>
        <v>0</v>
      </c>
      <c r="M334" s="565">
        <f t="shared" si="63"/>
        <v>92.792792792792795</v>
      </c>
      <c r="N334" s="565">
        <f t="shared" si="64"/>
        <v>92.792792792792795</v>
      </c>
    </row>
    <row r="335" spans="1:14" ht="43.5" customHeight="1" outlineLevel="3" x14ac:dyDescent="0.3">
      <c r="A335" s="444" t="s">
        <v>841</v>
      </c>
      <c r="B335" s="445" t="s">
        <v>500</v>
      </c>
      <c r="C335" s="445" t="s">
        <v>67</v>
      </c>
      <c r="D335" s="541" t="s">
        <v>135</v>
      </c>
      <c r="E335" s="541" t="s">
        <v>6</v>
      </c>
      <c r="F335" s="542">
        <v>469935.4</v>
      </c>
      <c r="G335" s="508">
        <f>G336+G340</f>
        <v>470000</v>
      </c>
      <c r="H335" s="446">
        <f>H336+H340</f>
        <v>8200</v>
      </c>
      <c r="I335" s="446">
        <f>I336+I340</f>
        <v>470000</v>
      </c>
      <c r="J335" s="508">
        <f>J336+J340</f>
        <v>470000</v>
      </c>
      <c r="K335" s="606">
        <f>K336+K340</f>
        <v>470000</v>
      </c>
      <c r="L335" s="564">
        <f t="shared" si="61"/>
        <v>0</v>
      </c>
      <c r="M335" s="565">
        <f t="shared" si="63"/>
        <v>100</v>
      </c>
      <c r="N335" s="565">
        <f t="shared" si="64"/>
        <v>100</v>
      </c>
    </row>
    <row r="336" spans="1:14" ht="62.5" customHeight="1" outlineLevel="3" x14ac:dyDescent="0.3">
      <c r="A336" s="438" t="s">
        <v>842</v>
      </c>
      <c r="B336" s="439" t="s">
        <v>500</v>
      </c>
      <c r="C336" s="439" t="s">
        <v>67</v>
      </c>
      <c r="D336" s="539" t="s">
        <v>392</v>
      </c>
      <c r="E336" s="539" t="s">
        <v>6</v>
      </c>
      <c r="F336" s="540">
        <v>439940.4</v>
      </c>
      <c r="G336" s="465">
        <f t="shared" ref="G336:K338" si="65">G337</f>
        <v>440000</v>
      </c>
      <c r="H336" s="440">
        <f t="shared" si="65"/>
        <v>0</v>
      </c>
      <c r="I336" s="440">
        <f t="shared" si="65"/>
        <v>440000</v>
      </c>
      <c r="J336" s="465">
        <f t="shared" si="65"/>
        <v>440000</v>
      </c>
      <c r="K336" s="603">
        <f t="shared" si="65"/>
        <v>440000</v>
      </c>
      <c r="L336" s="564">
        <f t="shared" si="61"/>
        <v>0</v>
      </c>
      <c r="M336" s="565">
        <f t="shared" si="63"/>
        <v>100</v>
      </c>
      <c r="N336" s="565">
        <f t="shared" si="64"/>
        <v>100</v>
      </c>
    </row>
    <row r="337" spans="1:14" ht="30.25" customHeight="1" outlineLevel="7" x14ac:dyDescent="0.3">
      <c r="A337" s="438" t="s">
        <v>244</v>
      </c>
      <c r="B337" s="439" t="s">
        <v>500</v>
      </c>
      <c r="C337" s="439" t="s">
        <v>67</v>
      </c>
      <c r="D337" s="539" t="s">
        <v>361</v>
      </c>
      <c r="E337" s="539" t="s">
        <v>6</v>
      </c>
      <c r="F337" s="540">
        <v>439940.4</v>
      </c>
      <c r="G337" s="465">
        <f t="shared" si="65"/>
        <v>440000</v>
      </c>
      <c r="H337" s="440">
        <f t="shared" si="65"/>
        <v>0</v>
      </c>
      <c r="I337" s="440">
        <f t="shared" si="65"/>
        <v>440000</v>
      </c>
      <c r="J337" s="465">
        <f t="shared" si="65"/>
        <v>440000</v>
      </c>
      <c r="K337" s="603">
        <f t="shared" si="65"/>
        <v>440000</v>
      </c>
      <c r="L337" s="564">
        <f t="shared" si="61"/>
        <v>0</v>
      </c>
      <c r="M337" s="565">
        <f t="shared" si="63"/>
        <v>100</v>
      </c>
      <c r="N337" s="565">
        <f t="shared" si="64"/>
        <v>100</v>
      </c>
    </row>
    <row r="338" spans="1:14" ht="25.5" customHeight="1" outlineLevel="5" x14ac:dyDescent="0.3">
      <c r="A338" s="438" t="s">
        <v>15</v>
      </c>
      <c r="B338" s="439" t="s">
        <v>500</v>
      </c>
      <c r="C338" s="439" t="s">
        <v>67</v>
      </c>
      <c r="D338" s="539" t="s">
        <v>361</v>
      </c>
      <c r="E338" s="539" t="s">
        <v>16</v>
      </c>
      <c r="F338" s="540">
        <v>439940.4</v>
      </c>
      <c r="G338" s="465">
        <f t="shared" si="65"/>
        <v>440000</v>
      </c>
      <c r="H338" s="440">
        <v>0</v>
      </c>
      <c r="I338" s="440">
        <f t="shared" si="65"/>
        <v>440000</v>
      </c>
      <c r="J338" s="465">
        <f t="shared" si="65"/>
        <v>440000</v>
      </c>
      <c r="K338" s="603">
        <f t="shared" si="65"/>
        <v>440000</v>
      </c>
      <c r="L338" s="564">
        <f t="shared" si="61"/>
        <v>0</v>
      </c>
      <c r="M338" s="565">
        <f t="shared" si="63"/>
        <v>100</v>
      </c>
      <c r="N338" s="565">
        <f t="shared" si="64"/>
        <v>100</v>
      </c>
    </row>
    <row r="339" spans="1:14" ht="34" outlineLevel="6" x14ac:dyDescent="0.3">
      <c r="A339" s="438" t="s">
        <v>17</v>
      </c>
      <c r="B339" s="439" t="s">
        <v>500</v>
      </c>
      <c r="C339" s="439" t="s">
        <v>67</v>
      </c>
      <c r="D339" s="539" t="s">
        <v>361</v>
      </c>
      <c r="E339" s="539" t="s">
        <v>18</v>
      </c>
      <c r="F339" s="540">
        <v>439940.4</v>
      </c>
      <c r="G339" s="465">
        <v>440000</v>
      </c>
      <c r="H339" s="440">
        <v>0</v>
      </c>
      <c r="I339" s="440">
        <f>'[2]прил 12'!F331</f>
        <v>440000</v>
      </c>
      <c r="J339" s="466">
        <v>440000</v>
      </c>
      <c r="K339" s="604">
        <v>440000</v>
      </c>
      <c r="L339" s="564">
        <f t="shared" si="61"/>
        <v>0</v>
      </c>
      <c r="M339" s="565">
        <f t="shared" si="63"/>
        <v>100</v>
      </c>
      <c r="N339" s="565">
        <f t="shared" si="64"/>
        <v>100</v>
      </c>
    </row>
    <row r="340" spans="1:14" ht="44.5" customHeight="1" outlineLevel="7" x14ac:dyDescent="0.3">
      <c r="A340" s="438" t="s">
        <v>362</v>
      </c>
      <c r="B340" s="439" t="s">
        <v>500</v>
      </c>
      <c r="C340" s="439" t="s">
        <v>67</v>
      </c>
      <c r="D340" s="539" t="s">
        <v>246</v>
      </c>
      <c r="E340" s="539" t="s">
        <v>6</v>
      </c>
      <c r="F340" s="540">
        <v>29995</v>
      </c>
      <c r="G340" s="466">
        <f t="shared" ref="G340:K342" si="66">G341</f>
        <v>30000</v>
      </c>
      <c r="H340" s="442">
        <f t="shared" si="66"/>
        <v>8200</v>
      </c>
      <c r="I340" s="442">
        <f t="shared" si="66"/>
        <v>30000</v>
      </c>
      <c r="J340" s="466">
        <f t="shared" si="66"/>
        <v>30000</v>
      </c>
      <c r="K340" s="604">
        <f t="shared" si="66"/>
        <v>30000</v>
      </c>
      <c r="L340" s="564">
        <f t="shared" si="61"/>
        <v>0</v>
      </c>
      <c r="M340" s="565">
        <f t="shared" si="63"/>
        <v>100</v>
      </c>
      <c r="N340" s="565">
        <f t="shared" si="64"/>
        <v>100</v>
      </c>
    </row>
    <row r="341" spans="1:14" s="449" customFormat="1" ht="27" customHeight="1" outlineLevel="3" x14ac:dyDescent="0.3">
      <c r="A341" s="438" t="s">
        <v>68</v>
      </c>
      <c r="B341" s="439" t="s">
        <v>500</v>
      </c>
      <c r="C341" s="439" t="s">
        <v>67</v>
      </c>
      <c r="D341" s="539" t="s">
        <v>245</v>
      </c>
      <c r="E341" s="539" t="s">
        <v>6</v>
      </c>
      <c r="F341" s="540">
        <v>29995</v>
      </c>
      <c r="G341" s="465">
        <f t="shared" si="66"/>
        <v>30000</v>
      </c>
      <c r="H341" s="440">
        <f t="shared" si="66"/>
        <v>8200</v>
      </c>
      <c r="I341" s="440">
        <f t="shared" si="66"/>
        <v>30000</v>
      </c>
      <c r="J341" s="465">
        <f t="shared" si="66"/>
        <v>30000</v>
      </c>
      <c r="K341" s="603">
        <f t="shared" si="66"/>
        <v>30000</v>
      </c>
      <c r="L341" s="564">
        <f t="shared" si="61"/>
        <v>0</v>
      </c>
      <c r="M341" s="565">
        <f t="shared" si="63"/>
        <v>100</v>
      </c>
      <c r="N341" s="565">
        <f t="shared" si="64"/>
        <v>100</v>
      </c>
    </row>
    <row r="342" spans="1:14" ht="34" outlineLevel="5" x14ac:dyDescent="0.3">
      <c r="A342" s="438" t="s">
        <v>15</v>
      </c>
      <c r="B342" s="439" t="s">
        <v>500</v>
      </c>
      <c r="C342" s="439" t="s">
        <v>67</v>
      </c>
      <c r="D342" s="539" t="s">
        <v>245</v>
      </c>
      <c r="E342" s="539" t="s">
        <v>16</v>
      </c>
      <c r="F342" s="540">
        <v>29995</v>
      </c>
      <c r="G342" s="465">
        <f t="shared" si="66"/>
        <v>30000</v>
      </c>
      <c r="H342" s="370">
        <v>8200</v>
      </c>
      <c r="I342" s="440">
        <f t="shared" si="66"/>
        <v>30000</v>
      </c>
      <c r="J342" s="465">
        <f t="shared" si="66"/>
        <v>30000</v>
      </c>
      <c r="K342" s="603">
        <f t="shared" si="66"/>
        <v>30000</v>
      </c>
      <c r="L342" s="564">
        <f t="shared" si="61"/>
        <v>0</v>
      </c>
      <c r="M342" s="565">
        <f t="shared" si="63"/>
        <v>100</v>
      </c>
      <c r="N342" s="565">
        <f t="shared" si="64"/>
        <v>100</v>
      </c>
    </row>
    <row r="343" spans="1:14" ht="34" outlineLevel="5" x14ac:dyDescent="0.3">
      <c r="A343" s="438" t="s">
        <v>17</v>
      </c>
      <c r="B343" s="439" t="s">
        <v>500</v>
      </c>
      <c r="C343" s="439" t="s">
        <v>67</v>
      </c>
      <c r="D343" s="539" t="s">
        <v>245</v>
      </c>
      <c r="E343" s="539" t="s">
        <v>18</v>
      </c>
      <c r="F343" s="540">
        <v>29995</v>
      </c>
      <c r="G343" s="465">
        <v>30000</v>
      </c>
      <c r="H343" s="370">
        <v>8200</v>
      </c>
      <c r="I343" s="440">
        <f>'[2]прил 12'!F335</f>
        <v>30000</v>
      </c>
      <c r="J343" s="466">
        <v>30000</v>
      </c>
      <c r="K343" s="604">
        <v>30000</v>
      </c>
      <c r="L343" s="564">
        <f t="shared" si="61"/>
        <v>0</v>
      </c>
      <c r="M343" s="565">
        <f t="shared" si="63"/>
        <v>100</v>
      </c>
      <c r="N343" s="565">
        <f t="shared" si="64"/>
        <v>100</v>
      </c>
    </row>
    <row r="344" spans="1:14" ht="67.95" outlineLevel="6" x14ac:dyDescent="0.3">
      <c r="A344" s="444" t="s">
        <v>840</v>
      </c>
      <c r="B344" s="445" t="s">
        <v>500</v>
      </c>
      <c r="C344" s="445" t="s">
        <v>67</v>
      </c>
      <c r="D344" s="541" t="s">
        <v>363</v>
      </c>
      <c r="E344" s="541" t="s">
        <v>6</v>
      </c>
      <c r="F344" s="542">
        <v>44814</v>
      </c>
      <c r="G344" s="508">
        <f>G345</f>
        <v>85000</v>
      </c>
      <c r="H344" s="446">
        <f>H345</f>
        <v>45000</v>
      </c>
      <c r="I344" s="446">
        <f>I345</f>
        <v>45000</v>
      </c>
      <c r="J344" s="508">
        <f>J345</f>
        <v>45000</v>
      </c>
      <c r="K344" s="606">
        <f>K345</f>
        <v>45000</v>
      </c>
      <c r="L344" s="564">
        <f t="shared" si="61"/>
        <v>0</v>
      </c>
      <c r="M344" s="565">
        <f t="shared" si="63"/>
        <v>52.941176470588232</v>
      </c>
      <c r="N344" s="565">
        <f t="shared" si="64"/>
        <v>52.941176470588239</v>
      </c>
    </row>
    <row r="345" spans="1:14" ht="41.3" customHeight="1" outlineLevel="7" x14ac:dyDescent="0.3">
      <c r="A345" s="438" t="s">
        <v>364</v>
      </c>
      <c r="B345" s="439" t="s">
        <v>500</v>
      </c>
      <c r="C345" s="439" t="s">
        <v>67</v>
      </c>
      <c r="D345" s="539" t="s">
        <v>365</v>
      </c>
      <c r="E345" s="539" t="s">
        <v>6</v>
      </c>
      <c r="F345" s="540">
        <v>44814</v>
      </c>
      <c r="G345" s="465">
        <f>G347</f>
        <v>85000</v>
      </c>
      <c r="H345" s="440">
        <f>H347</f>
        <v>45000</v>
      </c>
      <c r="I345" s="440">
        <f t="shared" ref="I345:K347" si="67">I346</f>
        <v>45000</v>
      </c>
      <c r="J345" s="465">
        <f t="shared" si="67"/>
        <v>45000</v>
      </c>
      <c r="K345" s="603">
        <f t="shared" si="67"/>
        <v>45000</v>
      </c>
      <c r="L345" s="564">
        <f t="shared" si="61"/>
        <v>0</v>
      </c>
      <c r="M345" s="565">
        <f t="shared" si="63"/>
        <v>52.941176470588232</v>
      </c>
      <c r="N345" s="565">
        <f t="shared" si="64"/>
        <v>52.941176470588239</v>
      </c>
    </row>
    <row r="346" spans="1:14" s="449" customFormat="1" outlineLevel="1" x14ac:dyDescent="0.3">
      <c r="A346" s="438" t="s">
        <v>366</v>
      </c>
      <c r="B346" s="439" t="s">
        <v>500</v>
      </c>
      <c r="C346" s="439" t="s">
        <v>67</v>
      </c>
      <c r="D346" s="539" t="s">
        <v>367</v>
      </c>
      <c r="E346" s="539" t="s">
        <v>6</v>
      </c>
      <c r="F346" s="540">
        <v>44814</v>
      </c>
      <c r="G346" s="465">
        <f>G347</f>
        <v>85000</v>
      </c>
      <c r="H346" s="440">
        <f>H347</f>
        <v>45000</v>
      </c>
      <c r="I346" s="440">
        <f t="shared" si="67"/>
        <v>45000</v>
      </c>
      <c r="J346" s="465">
        <f t="shared" si="67"/>
        <v>45000</v>
      </c>
      <c r="K346" s="603">
        <f t="shared" si="67"/>
        <v>45000</v>
      </c>
      <c r="L346" s="564">
        <f t="shared" si="61"/>
        <v>0</v>
      </c>
      <c r="M346" s="565">
        <f t="shared" si="63"/>
        <v>52.941176470588232</v>
      </c>
      <c r="N346" s="565">
        <f t="shared" si="64"/>
        <v>52.941176470588239</v>
      </c>
    </row>
    <row r="347" spans="1:14" ht="34" outlineLevel="2" x14ac:dyDescent="0.3">
      <c r="A347" s="438" t="s">
        <v>15</v>
      </c>
      <c r="B347" s="439" t="s">
        <v>500</v>
      </c>
      <c r="C347" s="439" t="s">
        <v>67</v>
      </c>
      <c r="D347" s="539" t="s">
        <v>367</v>
      </c>
      <c r="E347" s="539" t="s">
        <v>16</v>
      </c>
      <c r="F347" s="540">
        <v>44814</v>
      </c>
      <c r="G347" s="465">
        <f>G348</f>
        <v>85000</v>
      </c>
      <c r="H347" s="371">
        <v>45000</v>
      </c>
      <c r="I347" s="440">
        <f t="shared" si="67"/>
        <v>45000</v>
      </c>
      <c r="J347" s="465">
        <f t="shared" si="67"/>
        <v>45000</v>
      </c>
      <c r="K347" s="603">
        <f t="shared" si="67"/>
        <v>45000</v>
      </c>
      <c r="L347" s="564">
        <f t="shared" si="61"/>
        <v>0</v>
      </c>
      <c r="M347" s="565">
        <f t="shared" si="63"/>
        <v>52.941176470588232</v>
      </c>
      <c r="N347" s="565">
        <f t="shared" si="64"/>
        <v>52.941176470588239</v>
      </c>
    </row>
    <row r="348" spans="1:14" s="449" customFormat="1" ht="34" outlineLevel="3" x14ac:dyDescent="0.3">
      <c r="A348" s="438" t="s">
        <v>17</v>
      </c>
      <c r="B348" s="439" t="s">
        <v>500</v>
      </c>
      <c r="C348" s="439" t="s">
        <v>67</v>
      </c>
      <c r="D348" s="539" t="s">
        <v>367</v>
      </c>
      <c r="E348" s="539" t="s">
        <v>18</v>
      </c>
      <c r="F348" s="540">
        <v>44814</v>
      </c>
      <c r="G348" s="466">
        <f>45000+40000</f>
        <v>85000</v>
      </c>
      <c r="H348" s="371">
        <v>45000</v>
      </c>
      <c r="I348" s="442">
        <f>'[2]прил 12'!F340</f>
        <v>45000</v>
      </c>
      <c r="J348" s="507">
        <v>45000</v>
      </c>
      <c r="K348" s="605">
        <v>45000</v>
      </c>
      <c r="L348" s="564">
        <f t="shared" si="61"/>
        <v>0</v>
      </c>
      <c r="M348" s="565">
        <f t="shared" si="63"/>
        <v>52.941176470588232</v>
      </c>
      <c r="N348" s="565">
        <f t="shared" si="64"/>
        <v>52.941176470588239</v>
      </c>
    </row>
    <row r="349" spans="1:14" outlineLevel="3" x14ac:dyDescent="0.3">
      <c r="A349" s="444" t="s">
        <v>69</v>
      </c>
      <c r="B349" s="445" t="s">
        <v>500</v>
      </c>
      <c r="C349" s="445" t="s">
        <v>70</v>
      </c>
      <c r="D349" s="541" t="s">
        <v>126</v>
      </c>
      <c r="E349" s="541" t="s">
        <v>6</v>
      </c>
      <c r="F349" s="540">
        <v>16476920</v>
      </c>
      <c r="G349" s="508">
        <f t="shared" ref="G349:K354" si="68">G350</f>
        <v>19483462.579999998</v>
      </c>
      <c r="H349" s="446">
        <f t="shared" si="68"/>
        <v>14464275.869999999</v>
      </c>
      <c r="I349" s="446">
        <f t="shared" si="68"/>
        <v>23510454.439999998</v>
      </c>
      <c r="J349" s="508">
        <f t="shared" si="68"/>
        <v>25296418.239999998</v>
      </c>
      <c r="K349" s="606">
        <f t="shared" si="68"/>
        <v>24429915.369999997</v>
      </c>
      <c r="L349" s="564">
        <f t="shared" si="61"/>
        <v>-866502.87000000104</v>
      </c>
      <c r="M349" s="565">
        <f t="shared" si="63"/>
        <v>129.83533155942757</v>
      </c>
      <c r="N349" s="565">
        <f t="shared" si="64"/>
        <v>125.38795539904488</v>
      </c>
    </row>
    <row r="350" spans="1:14" outlineLevel="5" x14ac:dyDescent="0.3">
      <c r="A350" s="438" t="s">
        <v>257</v>
      </c>
      <c r="B350" s="439" t="s">
        <v>500</v>
      </c>
      <c r="C350" s="439" t="s">
        <v>256</v>
      </c>
      <c r="D350" s="539" t="s">
        <v>126</v>
      </c>
      <c r="E350" s="539" t="s">
        <v>6</v>
      </c>
      <c r="F350" s="540">
        <v>16476920</v>
      </c>
      <c r="G350" s="465">
        <f t="shared" si="68"/>
        <v>19483462.579999998</v>
      </c>
      <c r="H350" s="440">
        <f t="shared" si="68"/>
        <v>14464275.869999999</v>
      </c>
      <c r="I350" s="440">
        <f t="shared" si="68"/>
        <v>23510454.439999998</v>
      </c>
      <c r="J350" s="465">
        <f t="shared" si="68"/>
        <v>25296418.239999998</v>
      </c>
      <c r="K350" s="603">
        <f t="shared" si="68"/>
        <v>24429915.369999997</v>
      </c>
      <c r="L350" s="564">
        <f t="shared" si="61"/>
        <v>-866502.87000000104</v>
      </c>
      <c r="M350" s="565">
        <f t="shared" si="63"/>
        <v>129.83533155942757</v>
      </c>
      <c r="N350" s="565">
        <f t="shared" si="64"/>
        <v>125.38795539904488</v>
      </c>
    </row>
    <row r="351" spans="1:14" ht="50.95" outlineLevel="6" x14ac:dyDescent="0.3">
      <c r="A351" s="444" t="s">
        <v>839</v>
      </c>
      <c r="B351" s="445" t="s">
        <v>500</v>
      </c>
      <c r="C351" s="445" t="s">
        <v>256</v>
      </c>
      <c r="D351" s="541" t="s">
        <v>136</v>
      </c>
      <c r="E351" s="541" t="s">
        <v>6</v>
      </c>
      <c r="F351" s="542">
        <v>16476920</v>
      </c>
      <c r="G351" s="508">
        <f>G352+G359</f>
        <v>19483462.579999998</v>
      </c>
      <c r="H351" s="446">
        <f>H352+H359</f>
        <v>14464275.869999999</v>
      </c>
      <c r="I351" s="446">
        <f>I352+I359+I366</f>
        <v>23510454.439999998</v>
      </c>
      <c r="J351" s="508">
        <f>J352+J359+J366</f>
        <v>25296418.239999998</v>
      </c>
      <c r="K351" s="606">
        <f>K352+K359+K366</f>
        <v>24429915.369999997</v>
      </c>
      <c r="L351" s="564">
        <f t="shared" si="61"/>
        <v>-866502.87000000104</v>
      </c>
      <c r="M351" s="565">
        <f t="shared" si="63"/>
        <v>129.83533155942757</v>
      </c>
      <c r="N351" s="565">
        <f t="shared" si="64"/>
        <v>125.38795539904488</v>
      </c>
    </row>
    <row r="352" spans="1:14" ht="34" outlineLevel="7" x14ac:dyDescent="0.3">
      <c r="A352" s="438" t="s">
        <v>368</v>
      </c>
      <c r="B352" s="439" t="s">
        <v>500</v>
      </c>
      <c r="C352" s="439" t="s">
        <v>256</v>
      </c>
      <c r="D352" s="539" t="s">
        <v>228</v>
      </c>
      <c r="E352" s="539" t="s">
        <v>6</v>
      </c>
      <c r="F352" s="540">
        <v>16476920</v>
      </c>
      <c r="G352" s="465">
        <f>G353+G356+G363</f>
        <v>19483462.579999998</v>
      </c>
      <c r="H352" s="440">
        <f>H353+H356+H363</f>
        <v>14464275.869999999</v>
      </c>
      <c r="I352" s="440">
        <f>I353+I356+I363</f>
        <v>19052341.359999999</v>
      </c>
      <c r="J352" s="465">
        <f>J353+J356+J363</f>
        <v>20792637.34</v>
      </c>
      <c r="K352" s="603">
        <f>K353+K356+K363</f>
        <v>19926134.469999999</v>
      </c>
      <c r="L352" s="564">
        <f t="shared" si="61"/>
        <v>-866502.87000000104</v>
      </c>
      <c r="M352" s="565">
        <f t="shared" si="63"/>
        <v>106.71941527141016</v>
      </c>
      <c r="N352" s="565">
        <f t="shared" si="64"/>
        <v>102.27203911102747</v>
      </c>
    </row>
    <row r="353" spans="1:14" ht="50.95" outlineLevel="7" x14ac:dyDescent="0.3">
      <c r="A353" s="438" t="s">
        <v>73</v>
      </c>
      <c r="B353" s="439" t="s">
        <v>500</v>
      </c>
      <c r="C353" s="439" t="s">
        <v>256</v>
      </c>
      <c r="D353" s="539" t="s">
        <v>137</v>
      </c>
      <c r="E353" s="539" t="s">
        <v>6</v>
      </c>
      <c r="F353" s="540">
        <v>16476920</v>
      </c>
      <c r="G353" s="465">
        <f t="shared" si="68"/>
        <v>18193102.579999998</v>
      </c>
      <c r="H353" s="440">
        <f t="shared" si="68"/>
        <v>13952527.77</v>
      </c>
      <c r="I353" s="440">
        <f t="shared" si="68"/>
        <v>18953228.359999999</v>
      </c>
      <c r="J353" s="465">
        <f t="shared" si="68"/>
        <v>20693524.34</v>
      </c>
      <c r="K353" s="603">
        <f t="shared" si="68"/>
        <v>19827021.469999999</v>
      </c>
      <c r="L353" s="564">
        <f t="shared" si="61"/>
        <v>-866502.87000000104</v>
      </c>
      <c r="M353" s="565">
        <f t="shared" si="63"/>
        <v>113.74378970824229</v>
      </c>
      <c r="N353" s="565">
        <f t="shared" si="64"/>
        <v>108.980979922557</v>
      </c>
    </row>
    <row r="354" spans="1:14" ht="34" outlineLevel="7" x14ac:dyDescent="0.3">
      <c r="A354" s="438" t="s">
        <v>37</v>
      </c>
      <c r="B354" s="439" t="s">
        <v>500</v>
      </c>
      <c r="C354" s="439" t="s">
        <v>256</v>
      </c>
      <c r="D354" s="539" t="s">
        <v>137</v>
      </c>
      <c r="E354" s="539" t="s">
        <v>38</v>
      </c>
      <c r="F354" s="540">
        <v>16476920</v>
      </c>
      <c r="G354" s="465">
        <f t="shared" si="68"/>
        <v>18193102.579999998</v>
      </c>
      <c r="H354" s="370">
        <v>13952527.77</v>
      </c>
      <c r="I354" s="440">
        <f t="shared" si="68"/>
        <v>18953228.359999999</v>
      </c>
      <c r="J354" s="465">
        <f t="shared" si="68"/>
        <v>20693524.34</v>
      </c>
      <c r="K354" s="603">
        <f t="shared" si="68"/>
        <v>19827021.469999999</v>
      </c>
      <c r="L354" s="564">
        <f t="shared" si="61"/>
        <v>-866502.87000000104</v>
      </c>
      <c r="M354" s="565">
        <f t="shared" si="63"/>
        <v>113.74378970824229</v>
      </c>
      <c r="N354" s="565">
        <f t="shared" si="64"/>
        <v>108.980979922557</v>
      </c>
    </row>
    <row r="355" spans="1:14" outlineLevel="7" x14ac:dyDescent="0.3">
      <c r="A355" s="438" t="s">
        <v>74</v>
      </c>
      <c r="B355" s="439" t="s">
        <v>500</v>
      </c>
      <c r="C355" s="439" t="s">
        <v>256</v>
      </c>
      <c r="D355" s="539" t="s">
        <v>137</v>
      </c>
      <c r="E355" s="539" t="s">
        <v>75</v>
      </c>
      <c r="F355" s="540">
        <v>16476920</v>
      </c>
      <c r="G355" s="465">
        <f>[2]потребность!I348</f>
        <v>18193102.579999998</v>
      </c>
      <c r="H355" s="370">
        <v>13952527.77</v>
      </c>
      <c r="I355" s="440">
        <f>'[2]прил 12'!F347</f>
        <v>18953228.359999999</v>
      </c>
      <c r="J355" s="466">
        <v>20693524.34</v>
      </c>
      <c r="K355" s="604">
        <f>20693524.34-310402.87-556100</f>
        <v>19827021.469999999</v>
      </c>
      <c r="L355" s="564">
        <f t="shared" si="61"/>
        <v>-866502.87000000104</v>
      </c>
      <c r="M355" s="565">
        <f t="shared" si="63"/>
        <v>113.74378970824229</v>
      </c>
      <c r="N355" s="565">
        <f t="shared" si="64"/>
        <v>108.980979922557</v>
      </c>
    </row>
    <row r="356" spans="1:14" ht="77.95" customHeight="1" outlineLevel="7" x14ac:dyDescent="0.3">
      <c r="A356" s="438" t="s">
        <v>710</v>
      </c>
      <c r="B356" s="439" t="s">
        <v>500</v>
      </c>
      <c r="C356" s="439" t="s">
        <v>256</v>
      </c>
      <c r="D356" s="539" t="s">
        <v>711</v>
      </c>
      <c r="E356" s="539" t="s">
        <v>6</v>
      </c>
      <c r="F356" s="539" t="s">
        <v>976</v>
      </c>
      <c r="G356" s="465">
        <f t="shared" ref="G356:K357" si="69">G357</f>
        <v>98360</v>
      </c>
      <c r="H356" s="440">
        <f t="shared" si="69"/>
        <v>0</v>
      </c>
      <c r="I356" s="440">
        <f t="shared" si="69"/>
        <v>99113</v>
      </c>
      <c r="J356" s="465">
        <f t="shared" si="69"/>
        <v>99113</v>
      </c>
      <c r="K356" s="603">
        <f t="shared" si="69"/>
        <v>99113</v>
      </c>
      <c r="L356" s="564">
        <f t="shared" si="61"/>
        <v>0</v>
      </c>
      <c r="M356" s="565">
        <f t="shared" si="63"/>
        <v>100.76555510370069</v>
      </c>
      <c r="N356" s="565">
        <f t="shared" si="64"/>
        <v>100.76555510370069</v>
      </c>
    </row>
    <row r="357" spans="1:14" s="449" customFormat="1" ht="34" outlineLevel="1" x14ac:dyDescent="0.3">
      <c r="A357" s="438" t="s">
        <v>37</v>
      </c>
      <c r="B357" s="439" t="s">
        <v>500</v>
      </c>
      <c r="C357" s="439" t="s">
        <v>256</v>
      </c>
      <c r="D357" s="539" t="s">
        <v>711</v>
      </c>
      <c r="E357" s="539" t="s">
        <v>38</v>
      </c>
      <c r="F357" s="539" t="s">
        <v>976</v>
      </c>
      <c r="G357" s="465">
        <f t="shared" si="69"/>
        <v>98360</v>
      </c>
      <c r="H357" s="440">
        <v>0</v>
      </c>
      <c r="I357" s="440">
        <f t="shared" si="69"/>
        <v>99113</v>
      </c>
      <c r="J357" s="465">
        <f t="shared" si="69"/>
        <v>99113</v>
      </c>
      <c r="K357" s="603">
        <f t="shared" si="69"/>
        <v>99113</v>
      </c>
      <c r="L357" s="564">
        <f t="shared" si="61"/>
        <v>0</v>
      </c>
      <c r="M357" s="565">
        <f t="shared" si="63"/>
        <v>100.76555510370069</v>
      </c>
      <c r="N357" s="565">
        <f t="shared" si="64"/>
        <v>100.76555510370069</v>
      </c>
    </row>
    <row r="358" spans="1:14" ht="16.5" customHeight="1" outlineLevel="2" x14ac:dyDescent="0.3">
      <c r="A358" s="438" t="s">
        <v>74</v>
      </c>
      <c r="B358" s="439" t="s">
        <v>500</v>
      </c>
      <c r="C358" s="439" t="s">
        <v>256</v>
      </c>
      <c r="D358" s="539" t="s">
        <v>711</v>
      </c>
      <c r="E358" s="539" t="s">
        <v>75</v>
      </c>
      <c r="F358" s="539" t="s">
        <v>976</v>
      </c>
      <c r="G358" s="465">
        <v>98360</v>
      </c>
      <c r="H358" s="440">
        <v>0</v>
      </c>
      <c r="I358" s="440">
        <v>99113</v>
      </c>
      <c r="J358" s="466">
        <v>99113</v>
      </c>
      <c r="K358" s="604">
        <v>99113</v>
      </c>
      <c r="L358" s="564">
        <f t="shared" si="61"/>
        <v>0</v>
      </c>
      <c r="M358" s="565">
        <f t="shared" si="63"/>
        <v>100.76555510370069</v>
      </c>
      <c r="N358" s="565">
        <f t="shared" si="64"/>
        <v>100.76555510370069</v>
      </c>
    </row>
    <row r="359" spans="1:14" s="449" customFormat="1" ht="31.75" customHeight="1" outlineLevel="3" x14ac:dyDescent="0.3">
      <c r="A359" s="458" t="s">
        <v>597</v>
      </c>
      <c r="B359" s="445" t="s">
        <v>500</v>
      </c>
      <c r="C359" s="445" t="s">
        <v>256</v>
      </c>
      <c r="D359" s="539" t="s">
        <v>1008</v>
      </c>
      <c r="E359" s="541" t="s">
        <v>6</v>
      </c>
      <c r="F359" s="541"/>
      <c r="G359" s="465">
        <f>G360</f>
        <v>0</v>
      </c>
      <c r="H359" s="440">
        <v>0</v>
      </c>
      <c r="I359" s="440">
        <v>0</v>
      </c>
      <c r="J359" s="507"/>
      <c r="K359" s="605"/>
      <c r="L359" s="564">
        <f t="shared" si="61"/>
        <v>0</v>
      </c>
      <c r="M359" s="565"/>
      <c r="N359" s="565"/>
    </row>
    <row r="360" spans="1:14" ht="93.75" customHeight="1" outlineLevel="3" x14ac:dyDescent="0.3">
      <c r="A360" s="438" t="s">
        <v>1009</v>
      </c>
      <c r="B360" s="439" t="s">
        <v>500</v>
      </c>
      <c r="C360" s="439" t="s">
        <v>256</v>
      </c>
      <c r="D360" s="539" t="s">
        <v>1008</v>
      </c>
      <c r="E360" s="539" t="s">
        <v>6</v>
      </c>
      <c r="F360" s="539"/>
      <c r="G360" s="465">
        <f>G361</f>
        <v>0</v>
      </c>
      <c r="H360" s="440">
        <v>0</v>
      </c>
      <c r="I360" s="440">
        <v>0</v>
      </c>
      <c r="J360" s="466"/>
      <c r="K360" s="604"/>
      <c r="L360" s="564">
        <f t="shared" si="61"/>
        <v>0</v>
      </c>
      <c r="M360" s="565"/>
      <c r="N360" s="565"/>
    </row>
    <row r="361" spans="1:14" ht="34" outlineLevel="7" x14ac:dyDescent="0.3">
      <c r="A361" s="438" t="s">
        <v>37</v>
      </c>
      <c r="B361" s="439" t="s">
        <v>500</v>
      </c>
      <c r="C361" s="439" t="s">
        <v>256</v>
      </c>
      <c r="D361" s="539" t="s">
        <v>1008</v>
      </c>
      <c r="E361" s="539" t="s">
        <v>38</v>
      </c>
      <c r="F361" s="539"/>
      <c r="G361" s="465">
        <f>G362</f>
        <v>0</v>
      </c>
      <c r="H361" s="440">
        <v>0</v>
      </c>
      <c r="I361" s="440">
        <v>0</v>
      </c>
      <c r="J361" s="466"/>
      <c r="K361" s="604"/>
      <c r="L361" s="564">
        <f t="shared" si="61"/>
        <v>0</v>
      </c>
      <c r="M361" s="565"/>
      <c r="N361" s="565"/>
    </row>
    <row r="362" spans="1:14" outlineLevel="7" x14ac:dyDescent="0.3">
      <c r="A362" s="438" t="s">
        <v>74</v>
      </c>
      <c r="B362" s="439" t="s">
        <v>500</v>
      </c>
      <c r="C362" s="439" t="s">
        <v>256</v>
      </c>
      <c r="D362" s="539" t="s">
        <v>521</v>
      </c>
      <c r="E362" s="539" t="s">
        <v>75</v>
      </c>
      <c r="F362" s="539" t="s">
        <v>976</v>
      </c>
      <c r="G362" s="465">
        <v>0</v>
      </c>
      <c r="H362" s="440">
        <v>0</v>
      </c>
      <c r="I362" s="440">
        <v>0</v>
      </c>
      <c r="J362" s="466"/>
      <c r="K362" s="604"/>
      <c r="L362" s="564">
        <f t="shared" si="61"/>
        <v>0</v>
      </c>
      <c r="M362" s="565"/>
      <c r="N362" s="565"/>
    </row>
    <row r="363" spans="1:14" ht="50.95" outlineLevel="7" x14ac:dyDescent="0.3">
      <c r="A363" s="462" t="s">
        <v>937</v>
      </c>
      <c r="B363" s="439" t="s">
        <v>500</v>
      </c>
      <c r="C363" s="439" t="s">
        <v>256</v>
      </c>
      <c r="D363" s="578">
        <v>292270100</v>
      </c>
      <c r="E363" s="539" t="s">
        <v>6</v>
      </c>
      <c r="F363" s="539" t="s">
        <v>976</v>
      </c>
      <c r="G363" s="465">
        <f>G364</f>
        <v>1192000</v>
      </c>
      <c r="H363" s="440">
        <f>H364</f>
        <v>511748.1</v>
      </c>
      <c r="I363" s="440">
        <v>0</v>
      </c>
      <c r="J363" s="465">
        <v>0</v>
      </c>
      <c r="K363" s="603">
        <v>0</v>
      </c>
      <c r="L363" s="564">
        <f t="shared" si="61"/>
        <v>0</v>
      </c>
      <c r="M363" s="565">
        <f t="shared" si="63"/>
        <v>0</v>
      </c>
      <c r="N363" s="565">
        <f t="shared" si="64"/>
        <v>0</v>
      </c>
    </row>
    <row r="364" spans="1:14" ht="34" outlineLevel="7" x14ac:dyDescent="0.3">
      <c r="A364" s="438" t="s">
        <v>37</v>
      </c>
      <c r="B364" s="439" t="s">
        <v>500</v>
      </c>
      <c r="C364" s="439" t="s">
        <v>256</v>
      </c>
      <c r="D364" s="578">
        <v>292270100</v>
      </c>
      <c r="E364" s="539" t="s">
        <v>38</v>
      </c>
      <c r="F364" s="539" t="s">
        <v>976</v>
      </c>
      <c r="G364" s="465">
        <f>G365</f>
        <v>1192000</v>
      </c>
      <c r="H364" s="370">
        <v>511748.1</v>
      </c>
      <c r="I364" s="440">
        <v>0</v>
      </c>
      <c r="J364" s="465">
        <v>0</v>
      </c>
      <c r="K364" s="603">
        <v>0</v>
      </c>
      <c r="L364" s="564">
        <f t="shared" si="61"/>
        <v>0</v>
      </c>
      <c r="M364" s="565">
        <f t="shared" si="63"/>
        <v>0</v>
      </c>
      <c r="N364" s="565">
        <f t="shared" si="64"/>
        <v>0</v>
      </c>
    </row>
    <row r="365" spans="1:14" outlineLevel="7" x14ac:dyDescent="0.3">
      <c r="A365" s="438" t="s">
        <v>74</v>
      </c>
      <c r="B365" s="439" t="s">
        <v>500</v>
      </c>
      <c r="C365" s="439" t="s">
        <v>256</v>
      </c>
      <c r="D365" s="578">
        <v>292270100</v>
      </c>
      <c r="E365" s="539" t="s">
        <v>75</v>
      </c>
      <c r="F365" s="539" t="s">
        <v>976</v>
      </c>
      <c r="G365" s="465">
        <f>500000+300000+392000</f>
        <v>1192000</v>
      </c>
      <c r="H365" s="370">
        <v>511748.1</v>
      </c>
      <c r="I365" s="440">
        <v>0</v>
      </c>
      <c r="J365" s="465">
        <v>0</v>
      </c>
      <c r="K365" s="603">
        <v>0</v>
      </c>
      <c r="L365" s="564">
        <f t="shared" si="61"/>
        <v>0</v>
      </c>
      <c r="M365" s="565">
        <f t="shared" si="63"/>
        <v>0</v>
      </c>
      <c r="N365" s="565">
        <f t="shared" si="64"/>
        <v>0</v>
      </c>
    </row>
    <row r="366" spans="1:14" outlineLevel="7" x14ac:dyDescent="0.3">
      <c r="A366" s="458" t="s">
        <v>597</v>
      </c>
      <c r="B366" s="445" t="s">
        <v>500</v>
      </c>
      <c r="C366" s="445" t="s">
        <v>256</v>
      </c>
      <c r="D366" s="541" t="s">
        <v>598</v>
      </c>
      <c r="E366" s="547" t="s">
        <v>6</v>
      </c>
      <c r="F366" s="547" t="s">
        <v>976</v>
      </c>
      <c r="G366" s="466">
        <v>0</v>
      </c>
      <c r="H366" s="442">
        <v>0</v>
      </c>
      <c r="I366" s="440">
        <f t="shared" ref="I366:K368" si="70">I367</f>
        <v>4458113.08</v>
      </c>
      <c r="J366" s="465">
        <f t="shared" si="70"/>
        <v>4503780.8999999994</v>
      </c>
      <c r="K366" s="603">
        <f t="shared" si="70"/>
        <v>4503780.8999999994</v>
      </c>
      <c r="L366" s="564">
        <f t="shared" si="61"/>
        <v>0</v>
      </c>
      <c r="M366" s="565"/>
      <c r="N366" s="565"/>
    </row>
    <row r="367" spans="1:14" ht="84.9" outlineLevel="7" x14ac:dyDescent="0.3">
      <c r="A367" s="438" t="s">
        <v>575</v>
      </c>
      <c r="B367" s="439" t="s">
        <v>500</v>
      </c>
      <c r="C367" s="439" t="s">
        <v>256</v>
      </c>
      <c r="D367" s="539" t="s">
        <v>599</v>
      </c>
      <c r="E367" s="548" t="s">
        <v>6</v>
      </c>
      <c r="F367" s="548" t="s">
        <v>976</v>
      </c>
      <c r="G367" s="466">
        <v>0</v>
      </c>
      <c r="H367" s="442">
        <v>0</v>
      </c>
      <c r="I367" s="440">
        <f t="shared" si="70"/>
        <v>4458113.08</v>
      </c>
      <c r="J367" s="465">
        <f t="shared" si="70"/>
        <v>4503780.8999999994</v>
      </c>
      <c r="K367" s="603">
        <f t="shared" si="70"/>
        <v>4503780.8999999994</v>
      </c>
      <c r="L367" s="564">
        <f t="shared" si="61"/>
        <v>0</v>
      </c>
      <c r="M367" s="565"/>
      <c r="N367" s="565"/>
    </row>
    <row r="368" spans="1:14" ht="34" outlineLevel="7" x14ac:dyDescent="0.3">
      <c r="A368" s="438" t="s">
        <v>37</v>
      </c>
      <c r="B368" s="439" t="s">
        <v>500</v>
      </c>
      <c r="C368" s="439" t="s">
        <v>256</v>
      </c>
      <c r="D368" s="539" t="s">
        <v>599</v>
      </c>
      <c r="E368" s="548" t="s">
        <v>38</v>
      </c>
      <c r="F368" s="548" t="s">
        <v>976</v>
      </c>
      <c r="G368" s="466">
        <v>0</v>
      </c>
      <c r="H368" s="442">
        <v>0</v>
      </c>
      <c r="I368" s="440">
        <f t="shared" si="70"/>
        <v>4458113.08</v>
      </c>
      <c r="J368" s="465">
        <f t="shared" si="70"/>
        <v>4503780.8999999994</v>
      </c>
      <c r="K368" s="603">
        <f t="shared" si="70"/>
        <v>4503780.8999999994</v>
      </c>
      <c r="L368" s="564">
        <f t="shared" si="61"/>
        <v>0</v>
      </c>
      <c r="M368" s="565"/>
      <c r="N368" s="565"/>
    </row>
    <row r="369" spans="1:14" outlineLevel="7" x14ac:dyDescent="0.3">
      <c r="A369" s="438" t="s">
        <v>74</v>
      </c>
      <c r="B369" s="439" t="s">
        <v>500</v>
      </c>
      <c r="C369" s="439" t="s">
        <v>256</v>
      </c>
      <c r="D369" s="539" t="s">
        <v>599</v>
      </c>
      <c r="E369" s="548" t="s">
        <v>75</v>
      </c>
      <c r="F369" s="548" t="s">
        <v>976</v>
      </c>
      <c r="G369" s="466">
        <v>0</v>
      </c>
      <c r="H369" s="442">
        <v>0</v>
      </c>
      <c r="I369" s="440">
        <f>4368667.47+89445.61</f>
        <v>4458113.08</v>
      </c>
      <c r="J369" s="466">
        <f>4368667.47+135113.43</f>
        <v>4503780.8999999994</v>
      </c>
      <c r="K369" s="604">
        <f>4368667.47+135113.43</f>
        <v>4503780.8999999994</v>
      </c>
      <c r="L369" s="564">
        <f t="shared" si="61"/>
        <v>0</v>
      </c>
      <c r="M369" s="565"/>
      <c r="N369" s="565"/>
    </row>
    <row r="370" spans="1:14" outlineLevel="7" x14ac:dyDescent="0.3">
      <c r="A370" s="444" t="s">
        <v>79</v>
      </c>
      <c r="B370" s="445" t="s">
        <v>500</v>
      </c>
      <c r="C370" s="445" t="s">
        <v>80</v>
      </c>
      <c r="D370" s="541" t="s">
        <v>126</v>
      </c>
      <c r="E370" s="541" t="s">
        <v>6</v>
      </c>
      <c r="F370" s="540">
        <v>33822841.700000003</v>
      </c>
      <c r="G370" s="508">
        <f>G371+G401</f>
        <v>41452318.13000001</v>
      </c>
      <c r="H370" s="446">
        <f>H371+H401</f>
        <v>27370092.920000002</v>
      </c>
      <c r="I370" s="446">
        <f>I371+I401</f>
        <v>39865848.490000002</v>
      </c>
      <c r="J370" s="508">
        <f>J371+J401</f>
        <v>43751559.600000001</v>
      </c>
      <c r="K370" s="606">
        <f>K371+K401</f>
        <v>43194170.600000001</v>
      </c>
      <c r="L370" s="564">
        <f t="shared" si="61"/>
        <v>-557389</v>
      </c>
      <c r="M370" s="565">
        <f t="shared" si="63"/>
        <v>105.54671384791861</v>
      </c>
      <c r="N370" s="565">
        <f t="shared" si="64"/>
        <v>104.20206287266566</v>
      </c>
    </row>
    <row r="371" spans="1:14" outlineLevel="7" x14ac:dyDescent="0.3">
      <c r="A371" s="438" t="s">
        <v>81</v>
      </c>
      <c r="B371" s="439" t="s">
        <v>500</v>
      </c>
      <c r="C371" s="439" t="s">
        <v>82</v>
      </c>
      <c r="D371" s="539" t="s">
        <v>126</v>
      </c>
      <c r="E371" s="539" t="s">
        <v>6</v>
      </c>
      <c r="F371" s="540">
        <v>33822841.700000003</v>
      </c>
      <c r="G371" s="465">
        <f>G372</f>
        <v>39083239.790000007</v>
      </c>
      <c r="H371" s="440">
        <f>H372</f>
        <v>25298078.920000002</v>
      </c>
      <c r="I371" s="440">
        <f>I372</f>
        <v>36253940.93</v>
      </c>
      <c r="J371" s="465">
        <f>J372</f>
        <v>38078949.649999999</v>
      </c>
      <c r="K371" s="603">
        <f>K372</f>
        <v>37521560.649999999</v>
      </c>
      <c r="L371" s="564">
        <f t="shared" si="61"/>
        <v>-557389</v>
      </c>
      <c r="M371" s="565">
        <f t="shared" si="63"/>
        <v>97.430381551283347</v>
      </c>
      <c r="N371" s="565">
        <f t="shared" si="64"/>
        <v>96.004222913987832</v>
      </c>
    </row>
    <row r="372" spans="1:14" ht="50.95" outlineLevel="7" x14ac:dyDescent="0.3">
      <c r="A372" s="444" t="s">
        <v>839</v>
      </c>
      <c r="B372" s="445" t="s">
        <v>500</v>
      </c>
      <c r="C372" s="445" t="s">
        <v>82</v>
      </c>
      <c r="D372" s="541" t="s">
        <v>136</v>
      </c>
      <c r="E372" s="541" t="s">
        <v>6</v>
      </c>
      <c r="F372" s="542">
        <v>33822841.700000003</v>
      </c>
      <c r="G372" s="508">
        <f>G373+G393+G383</f>
        <v>39083239.790000007</v>
      </c>
      <c r="H372" s="446">
        <f>H373+H393+H383</f>
        <v>25298078.920000002</v>
      </c>
      <c r="I372" s="446">
        <f>I373+I393+I383</f>
        <v>36253940.93</v>
      </c>
      <c r="J372" s="508">
        <f>J373+J393+J383</f>
        <v>38078949.649999999</v>
      </c>
      <c r="K372" s="606">
        <f>K373+K393+K383</f>
        <v>37521560.649999999</v>
      </c>
      <c r="L372" s="564">
        <f t="shared" si="61"/>
        <v>-557389</v>
      </c>
      <c r="M372" s="565">
        <f t="shared" si="63"/>
        <v>97.430381551283347</v>
      </c>
      <c r="N372" s="565">
        <f t="shared" si="64"/>
        <v>96.004222913987832</v>
      </c>
    </row>
    <row r="373" spans="1:14" ht="34" outlineLevel="7" x14ac:dyDescent="0.3">
      <c r="A373" s="438" t="s">
        <v>370</v>
      </c>
      <c r="B373" s="439" t="s">
        <v>500</v>
      </c>
      <c r="C373" s="439" t="s">
        <v>82</v>
      </c>
      <c r="D373" s="539" t="s">
        <v>227</v>
      </c>
      <c r="E373" s="539" t="s">
        <v>6</v>
      </c>
      <c r="F373" s="540">
        <v>8468322.4199999999</v>
      </c>
      <c r="G373" s="465">
        <f>G387+G374</f>
        <v>10660454.050000001</v>
      </c>
      <c r="H373" s="440">
        <f>H387+H374</f>
        <v>7987098.5700000003</v>
      </c>
      <c r="I373" s="440">
        <f>I377+I387+I374+I380</f>
        <v>9978834.7300000004</v>
      </c>
      <c r="J373" s="465">
        <f>J377+J387+J374+J380</f>
        <v>10667747.949999999</v>
      </c>
      <c r="K373" s="603">
        <f>K377+K387+K374+K380</f>
        <v>10510329.949999999</v>
      </c>
      <c r="L373" s="564">
        <f t="shared" si="61"/>
        <v>-157418</v>
      </c>
      <c r="M373" s="565">
        <f t="shared" si="63"/>
        <v>100.06842016264775</v>
      </c>
      <c r="N373" s="565">
        <f t="shared" si="64"/>
        <v>98.591766361020987</v>
      </c>
    </row>
    <row r="374" spans="1:14" ht="50.95" outlineLevel="7" x14ac:dyDescent="0.3">
      <c r="A374" s="397" t="s">
        <v>84</v>
      </c>
      <c r="B374" s="439" t="s">
        <v>500</v>
      </c>
      <c r="C374" s="439" t="s">
        <v>82</v>
      </c>
      <c r="D374" s="539" t="s">
        <v>141</v>
      </c>
      <c r="E374" s="539" t="s">
        <v>6</v>
      </c>
      <c r="F374" s="540">
        <v>8234876.1399999997</v>
      </c>
      <c r="G374" s="465">
        <f t="shared" ref="G374:K375" si="71">G375</f>
        <v>9380236.4600000009</v>
      </c>
      <c r="H374" s="440">
        <f t="shared" si="71"/>
        <v>6706880.9800000004</v>
      </c>
      <c r="I374" s="440">
        <f t="shared" si="71"/>
        <v>9805789.5800000001</v>
      </c>
      <c r="J374" s="465">
        <f t="shared" si="71"/>
        <v>10494546.92</v>
      </c>
      <c r="K374" s="603">
        <f t="shared" si="71"/>
        <v>10337128.92</v>
      </c>
      <c r="L374" s="564">
        <f t="shared" si="61"/>
        <v>-157418</v>
      </c>
      <c r="M374" s="565">
        <f t="shared" si="63"/>
        <v>111.87934296487872</v>
      </c>
      <c r="N374" s="565">
        <f t="shared" si="64"/>
        <v>110.20115499305867</v>
      </c>
    </row>
    <row r="375" spans="1:14" ht="34" outlineLevel="7" x14ac:dyDescent="0.3">
      <c r="A375" s="438" t="s">
        <v>37</v>
      </c>
      <c r="B375" s="439" t="s">
        <v>500</v>
      </c>
      <c r="C375" s="439" t="s">
        <v>82</v>
      </c>
      <c r="D375" s="539" t="s">
        <v>141</v>
      </c>
      <c r="E375" s="539" t="s">
        <v>38</v>
      </c>
      <c r="F375" s="540">
        <v>8234876.1399999997</v>
      </c>
      <c r="G375" s="465">
        <f t="shared" si="71"/>
        <v>9380236.4600000009</v>
      </c>
      <c r="H375" s="370">
        <v>6706880.9800000004</v>
      </c>
      <c r="I375" s="440">
        <f t="shared" si="71"/>
        <v>9805789.5800000001</v>
      </c>
      <c r="J375" s="465">
        <f t="shared" si="71"/>
        <v>10494546.92</v>
      </c>
      <c r="K375" s="603">
        <f t="shared" si="71"/>
        <v>10337128.92</v>
      </c>
      <c r="L375" s="564">
        <f t="shared" si="61"/>
        <v>-157418</v>
      </c>
      <c r="M375" s="565">
        <f t="shared" si="63"/>
        <v>111.87934296487872</v>
      </c>
      <c r="N375" s="565">
        <f t="shared" si="64"/>
        <v>110.20115499305867</v>
      </c>
    </row>
    <row r="376" spans="1:14" outlineLevel="7" x14ac:dyDescent="0.3">
      <c r="A376" s="438" t="s">
        <v>74</v>
      </c>
      <c r="B376" s="439" t="s">
        <v>500</v>
      </c>
      <c r="C376" s="439" t="s">
        <v>82</v>
      </c>
      <c r="D376" s="539" t="s">
        <v>141</v>
      </c>
      <c r="E376" s="539" t="s">
        <v>75</v>
      </c>
      <c r="F376" s="540">
        <v>8234876.1399999997</v>
      </c>
      <c r="G376" s="466">
        <f>[2]потребность!I362+85565.85-34359.85</f>
        <v>9380236.4600000009</v>
      </c>
      <c r="H376" s="370">
        <v>6706880.9800000004</v>
      </c>
      <c r="I376" s="442">
        <f>'[2]прил 12'!F361</f>
        <v>9805789.5800000001</v>
      </c>
      <c r="J376" s="466">
        <v>10494546.92</v>
      </c>
      <c r="K376" s="604">
        <f>10494546.92-157418</f>
        <v>10337128.92</v>
      </c>
      <c r="L376" s="564">
        <f t="shared" si="61"/>
        <v>-157418</v>
      </c>
      <c r="M376" s="565">
        <f t="shared" si="63"/>
        <v>111.87934296487872</v>
      </c>
      <c r="N376" s="565">
        <f t="shared" si="64"/>
        <v>110.20115499305867</v>
      </c>
    </row>
    <row r="377" spans="1:14" ht="75.400000000000006" customHeight="1" outlineLevel="7" x14ac:dyDescent="0.3">
      <c r="A377" s="393" t="s">
        <v>393</v>
      </c>
      <c r="B377" s="439" t="s">
        <v>500</v>
      </c>
      <c r="C377" s="439" t="s">
        <v>82</v>
      </c>
      <c r="D377" s="539" t="s">
        <v>294</v>
      </c>
      <c r="E377" s="548" t="s">
        <v>6</v>
      </c>
      <c r="F377" s="540">
        <v>226442.89</v>
      </c>
      <c r="G377" s="549">
        <v>0</v>
      </c>
      <c r="H377" s="463">
        <v>0</v>
      </c>
      <c r="I377" s="440">
        <f t="shared" ref="I377:K378" si="72">I378</f>
        <v>168005</v>
      </c>
      <c r="J377" s="465">
        <f t="shared" si="72"/>
        <v>168005</v>
      </c>
      <c r="K377" s="603">
        <f t="shared" si="72"/>
        <v>168005</v>
      </c>
      <c r="L377" s="564">
        <f t="shared" si="61"/>
        <v>0</v>
      </c>
      <c r="M377" s="565"/>
      <c r="N377" s="565"/>
    </row>
    <row r="378" spans="1:14" ht="34" outlineLevel="7" x14ac:dyDescent="0.3">
      <c r="A378" s="438" t="s">
        <v>37</v>
      </c>
      <c r="B378" s="439" t="s">
        <v>500</v>
      </c>
      <c r="C378" s="439" t="s">
        <v>82</v>
      </c>
      <c r="D378" s="539" t="s">
        <v>294</v>
      </c>
      <c r="E378" s="548" t="s">
        <v>38</v>
      </c>
      <c r="F378" s="540">
        <v>226442.89</v>
      </c>
      <c r="G378" s="549">
        <v>0</v>
      </c>
      <c r="H378" s="463">
        <v>0</v>
      </c>
      <c r="I378" s="440">
        <f t="shared" si="72"/>
        <v>168005</v>
      </c>
      <c r="J378" s="465">
        <f t="shared" si="72"/>
        <v>168005</v>
      </c>
      <c r="K378" s="603">
        <f t="shared" si="72"/>
        <v>168005</v>
      </c>
      <c r="L378" s="564">
        <f t="shared" si="61"/>
        <v>0</v>
      </c>
      <c r="M378" s="565"/>
      <c r="N378" s="565"/>
    </row>
    <row r="379" spans="1:14" outlineLevel="7" x14ac:dyDescent="0.3">
      <c r="A379" s="438" t="s">
        <v>74</v>
      </c>
      <c r="B379" s="439" t="s">
        <v>500</v>
      </c>
      <c r="C379" s="439" t="s">
        <v>82</v>
      </c>
      <c r="D379" s="539" t="s">
        <v>294</v>
      </c>
      <c r="E379" s="548" t="s">
        <v>75</v>
      </c>
      <c r="F379" s="540">
        <v>226442.89</v>
      </c>
      <c r="G379" s="549">
        <v>0</v>
      </c>
      <c r="H379" s="463">
        <v>0</v>
      </c>
      <c r="I379" s="442">
        <v>168005</v>
      </c>
      <c r="J379" s="466">
        <v>168005</v>
      </c>
      <c r="K379" s="604">
        <v>168005</v>
      </c>
      <c r="L379" s="564">
        <f t="shared" si="61"/>
        <v>0</v>
      </c>
      <c r="M379" s="565"/>
      <c r="N379" s="565"/>
    </row>
    <row r="380" spans="1:14" ht="67.95" outlineLevel="7" x14ac:dyDescent="0.3">
      <c r="A380" s="438" t="s">
        <v>307</v>
      </c>
      <c r="B380" s="439" t="s">
        <v>500</v>
      </c>
      <c r="C380" s="439" t="s">
        <v>82</v>
      </c>
      <c r="D380" s="539" t="s">
        <v>308</v>
      </c>
      <c r="E380" s="548" t="s">
        <v>6</v>
      </c>
      <c r="F380" s="540">
        <v>7003.39</v>
      </c>
      <c r="G380" s="466">
        <v>0</v>
      </c>
      <c r="H380" s="442">
        <v>0</v>
      </c>
      <c r="I380" s="440">
        <f t="shared" ref="I380:K381" si="73">I381</f>
        <v>5040.1499999999996</v>
      </c>
      <c r="J380" s="465">
        <f t="shared" si="73"/>
        <v>5196.03</v>
      </c>
      <c r="K380" s="603">
        <f t="shared" si="73"/>
        <v>5196.03</v>
      </c>
      <c r="L380" s="564">
        <f t="shared" si="61"/>
        <v>0</v>
      </c>
      <c r="M380" s="565"/>
      <c r="N380" s="565"/>
    </row>
    <row r="381" spans="1:14" ht="34" outlineLevel="7" x14ac:dyDescent="0.3">
      <c r="A381" s="438" t="s">
        <v>37</v>
      </c>
      <c r="B381" s="439" t="s">
        <v>500</v>
      </c>
      <c r="C381" s="439" t="s">
        <v>82</v>
      </c>
      <c r="D381" s="539" t="s">
        <v>308</v>
      </c>
      <c r="E381" s="548" t="s">
        <v>38</v>
      </c>
      <c r="F381" s="540">
        <v>7003.39</v>
      </c>
      <c r="G381" s="466">
        <v>0</v>
      </c>
      <c r="H381" s="442">
        <v>0</v>
      </c>
      <c r="I381" s="440">
        <f t="shared" si="73"/>
        <v>5040.1499999999996</v>
      </c>
      <c r="J381" s="465">
        <f t="shared" si="73"/>
        <v>5196.03</v>
      </c>
      <c r="K381" s="603">
        <f t="shared" si="73"/>
        <v>5196.03</v>
      </c>
      <c r="L381" s="564">
        <f t="shared" si="61"/>
        <v>0</v>
      </c>
      <c r="M381" s="565"/>
      <c r="N381" s="565"/>
    </row>
    <row r="382" spans="1:14" outlineLevel="7" x14ac:dyDescent="0.3">
      <c r="A382" s="438" t="s">
        <v>74</v>
      </c>
      <c r="B382" s="439" t="s">
        <v>500</v>
      </c>
      <c r="C382" s="439" t="s">
        <v>82</v>
      </c>
      <c r="D382" s="539" t="s">
        <v>308</v>
      </c>
      <c r="E382" s="548" t="s">
        <v>75</v>
      </c>
      <c r="F382" s="540">
        <v>7003.39</v>
      </c>
      <c r="G382" s="466">
        <v>0</v>
      </c>
      <c r="H382" s="442">
        <v>0</v>
      </c>
      <c r="I382" s="442">
        <v>5040.1499999999996</v>
      </c>
      <c r="J382" s="466">
        <v>5196.03</v>
      </c>
      <c r="K382" s="604">
        <v>5196.03</v>
      </c>
      <c r="L382" s="564">
        <f t="shared" si="61"/>
        <v>0</v>
      </c>
      <c r="M382" s="565"/>
      <c r="N382" s="565"/>
    </row>
    <row r="383" spans="1:14" ht="34" outlineLevel="7" x14ac:dyDescent="0.3">
      <c r="A383" s="438" t="s">
        <v>678</v>
      </c>
      <c r="B383" s="439" t="s">
        <v>500</v>
      </c>
      <c r="C383" s="439" t="s">
        <v>82</v>
      </c>
      <c r="D383" s="539" t="s">
        <v>677</v>
      </c>
      <c r="E383" s="539" t="s">
        <v>6</v>
      </c>
      <c r="F383" s="540">
        <v>23473533.550000001</v>
      </c>
      <c r="G383" s="465">
        <f>G384+G390</f>
        <v>26656285.740000002</v>
      </c>
      <c r="H383" s="440">
        <f>H384+H390</f>
        <v>16802005.420000002</v>
      </c>
      <c r="I383" s="440">
        <f>I384+I390</f>
        <v>25737149.199999999</v>
      </c>
      <c r="J383" s="465">
        <f>J384+J390</f>
        <v>26664701.699999999</v>
      </c>
      <c r="K383" s="603">
        <f>K384+K390</f>
        <v>26264730.699999999</v>
      </c>
      <c r="L383" s="564">
        <f t="shared" si="61"/>
        <v>-399971</v>
      </c>
      <c r="M383" s="565">
        <f t="shared" si="63"/>
        <v>100.03157214055283</v>
      </c>
      <c r="N383" s="565">
        <f t="shared" si="64"/>
        <v>98.531096778376579</v>
      </c>
    </row>
    <row r="384" spans="1:14" ht="36.700000000000003" customHeight="1" outlineLevel="3" x14ac:dyDescent="0.3">
      <c r="A384" s="397" t="s">
        <v>84</v>
      </c>
      <c r="B384" s="439" t="s">
        <v>500</v>
      </c>
      <c r="C384" s="439" t="s">
        <v>82</v>
      </c>
      <c r="D384" s="539" t="s">
        <v>676</v>
      </c>
      <c r="E384" s="539" t="s">
        <v>6</v>
      </c>
      <c r="F384" s="540">
        <v>23473533.550000001</v>
      </c>
      <c r="G384" s="465">
        <f t="shared" ref="G384:K385" si="74">G385</f>
        <v>24239342.940000001</v>
      </c>
      <c r="H384" s="440">
        <f t="shared" si="74"/>
        <v>16802005.420000002</v>
      </c>
      <c r="I384" s="440">
        <f t="shared" si="74"/>
        <v>25737149.199999999</v>
      </c>
      <c r="J384" s="465">
        <f t="shared" si="74"/>
        <v>26664701.699999999</v>
      </c>
      <c r="K384" s="603">
        <f t="shared" si="74"/>
        <v>26264730.699999999</v>
      </c>
      <c r="L384" s="564">
        <f t="shared" si="61"/>
        <v>-399971</v>
      </c>
      <c r="M384" s="565">
        <f t="shared" si="63"/>
        <v>110.00587666919654</v>
      </c>
      <c r="N384" s="565">
        <f t="shared" si="64"/>
        <v>108.35578656159728</v>
      </c>
    </row>
    <row r="385" spans="1:14" ht="34" outlineLevel="3" x14ac:dyDescent="0.3">
      <c r="A385" s="438" t="s">
        <v>37</v>
      </c>
      <c r="B385" s="439" t="s">
        <v>500</v>
      </c>
      <c r="C385" s="439" t="s">
        <v>82</v>
      </c>
      <c r="D385" s="539" t="s">
        <v>676</v>
      </c>
      <c r="E385" s="539" t="s">
        <v>38</v>
      </c>
      <c r="F385" s="540">
        <v>23473533.550000001</v>
      </c>
      <c r="G385" s="465">
        <f t="shared" si="74"/>
        <v>24239342.940000001</v>
      </c>
      <c r="H385" s="370">
        <v>16802005.420000002</v>
      </c>
      <c r="I385" s="440">
        <f t="shared" si="74"/>
        <v>25737149.199999999</v>
      </c>
      <c r="J385" s="465">
        <f t="shared" si="74"/>
        <v>26664701.699999999</v>
      </c>
      <c r="K385" s="603">
        <f t="shared" si="74"/>
        <v>26264730.699999999</v>
      </c>
      <c r="L385" s="564">
        <f t="shared" si="61"/>
        <v>-399971</v>
      </c>
      <c r="M385" s="565">
        <f t="shared" si="63"/>
        <v>110.00587666919654</v>
      </c>
      <c r="N385" s="565">
        <f t="shared" si="64"/>
        <v>108.35578656159728</v>
      </c>
    </row>
    <row r="386" spans="1:14" ht="21.25" customHeight="1" outlineLevel="3" x14ac:dyDescent="0.3">
      <c r="A386" s="438" t="s">
        <v>74</v>
      </c>
      <c r="B386" s="439" t="s">
        <v>500</v>
      </c>
      <c r="C386" s="439" t="s">
        <v>82</v>
      </c>
      <c r="D386" s="539" t="s">
        <v>676</v>
      </c>
      <c r="E386" s="539" t="s">
        <v>75</v>
      </c>
      <c r="F386" s="540">
        <v>23473533.550000001</v>
      </c>
      <c r="G386" s="466">
        <f>[2]потребность!L366</f>
        <v>24239342.940000001</v>
      </c>
      <c r="H386" s="370">
        <v>16802005.420000002</v>
      </c>
      <c r="I386" s="442">
        <f>'[2]прил 12'!F365</f>
        <v>25737149.199999999</v>
      </c>
      <c r="J386" s="466">
        <v>26664701.699999999</v>
      </c>
      <c r="K386" s="604">
        <f>26664701.7-399971</f>
        <v>26264730.699999999</v>
      </c>
      <c r="L386" s="564">
        <f t="shared" si="61"/>
        <v>-399971</v>
      </c>
      <c r="M386" s="565">
        <f t="shared" si="63"/>
        <v>110.00587666919654</v>
      </c>
      <c r="N386" s="565">
        <f t="shared" si="64"/>
        <v>108.35578656159728</v>
      </c>
    </row>
    <row r="387" spans="1:14" ht="84.9" outlineLevel="7" x14ac:dyDescent="0.3">
      <c r="A387" s="393" t="s">
        <v>936</v>
      </c>
      <c r="B387" s="439" t="s">
        <v>500</v>
      </c>
      <c r="C387" s="439" t="s">
        <v>82</v>
      </c>
      <c r="D387" s="539" t="s">
        <v>935</v>
      </c>
      <c r="E387" s="539" t="s">
        <v>6</v>
      </c>
      <c r="F387" s="539" t="s">
        <v>976</v>
      </c>
      <c r="G387" s="465">
        <f>G388</f>
        <v>1280217.5899999999</v>
      </c>
      <c r="H387" s="440">
        <f>H388</f>
        <v>1280217.5900000001</v>
      </c>
      <c r="I387" s="440">
        <v>0</v>
      </c>
      <c r="J387" s="465">
        <f>J388</f>
        <v>0</v>
      </c>
      <c r="K387" s="603">
        <f>K388</f>
        <v>0</v>
      </c>
      <c r="L387" s="564">
        <f t="shared" si="61"/>
        <v>0</v>
      </c>
      <c r="M387" s="565">
        <f t="shared" si="63"/>
        <v>0</v>
      </c>
      <c r="N387" s="565">
        <f t="shared" si="64"/>
        <v>0</v>
      </c>
    </row>
    <row r="388" spans="1:14" ht="34" outlineLevel="7" x14ac:dyDescent="0.3">
      <c r="A388" s="438" t="s">
        <v>37</v>
      </c>
      <c r="B388" s="439" t="s">
        <v>500</v>
      </c>
      <c r="C388" s="439" t="s">
        <v>82</v>
      </c>
      <c r="D388" s="539" t="s">
        <v>935</v>
      </c>
      <c r="E388" s="539" t="s">
        <v>38</v>
      </c>
      <c r="F388" s="539" t="s">
        <v>976</v>
      </c>
      <c r="G388" s="465">
        <f>G389</f>
        <v>1280217.5899999999</v>
      </c>
      <c r="H388" s="370">
        <v>1280217.5900000001</v>
      </c>
      <c r="I388" s="440">
        <v>0</v>
      </c>
      <c r="J388" s="465">
        <f>J389</f>
        <v>0</v>
      </c>
      <c r="K388" s="603">
        <f>K389</f>
        <v>0</v>
      </c>
      <c r="L388" s="564">
        <f t="shared" si="61"/>
        <v>0</v>
      </c>
      <c r="M388" s="565">
        <f t="shared" si="63"/>
        <v>0</v>
      </c>
      <c r="N388" s="565">
        <f t="shared" si="64"/>
        <v>0</v>
      </c>
    </row>
    <row r="389" spans="1:14" outlineLevel="7" x14ac:dyDescent="0.3">
      <c r="A389" s="438" t="s">
        <v>74</v>
      </c>
      <c r="B389" s="439" t="s">
        <v>500</v>
      </c>
      <c r="C389" s="439" t="s">
        <v>82</v>
      </c>
      <c r="D389" s="539" t="s">
        <v>935</v>
      </c>
      <c r="E389" s="539" t="s">
        <v>75</v>
      </c>
      <c r="F389" s="539" t="s">
        <v>976</v>
      </c>
      <c r="G389" s="466">
        <f>1273913.69+39400-33096.1</f>
        <v>1280217.5899999999</v>
      </c>
      <c r="H389" s="370">
        <v>1280217.5900000001</v>
      </c>
      <c r="I389" s="442">
        <v>0</v>
      </c>
      <c r="J389" s="466"/>
      <c r="K389" s="604"/>
      <c r="L389" s="564">
        <f t="shared" si="61"/>
        <v>0</v>
      </c>
      <c r="M389" s="565">
        <f t="shared" si="63"/>
        <v>0</v>
      </c>
      <c r="N389" s="565">
        <f t="shared" si="64"/>
        <v>0</v>
      </c>
    </row>
    <row r="390" spans="1:14" ht="44.15" customHeight="1" outlineLevel="7" x14ac:dyDescent="0.3">
      <c r="A390" s="438" t="s">
        <v>917</v>
      </c>
      <c r="B390" s="439" t="s">
        <v>500</v>
      </c>
      <c r="C390" s="439" t="s">
        <v>82</v>
      </c>
      <c r="D390" s="539" t="s">
        <v>918</v>
      </c>
      <c r="E390" s="539" t="s">
        <v>6</v>
      </c>
      <c r="F390" s="539" t="s">
        <v>976</v>
      </c>
      <c r="G390" s="466">
        <f>G391</f>
        <v>2416942.7999999998</v>
      </c>
      <c r="H390" s="442">
        <f>H391</f>
        <v>0</v>
      </c>
      <c r="I390" s="442">
        <v>0</v>
      </c>
      <c r="J390" s="466">
        <f>J391</f>
        <v>0</v>
      </c>
      <c r="K390" s="604">
        <f>K391</f>
        <v>0</v>
      </c>
      <c r="L390" s="564">
        <f t="shared" si="61"/>
        <v>0</v>
      </c>
      <c r="M390" s="565">
        <f t="shared" si="63"/>
        <v>0</v>
      </c>
      <c r="N390" s="565">
        <f t="shared" si="64"/>
        <v>0</v>
      </c>
    </row>
    <row r="391" spans="1:14" ht="34" outlineLevel="7" x14ac:dyDescent="0.3">
      <c r="A391" s="438" t="s">
        <v>37</v>
      </c>
      <c r="B391" s="439" t="s">
        <v>500</v>
      </c>
      <c r="C391" s="439" t="s">
        <v>82</v>
      </c>
      <c r="D391" s="539" t="s">
        <v>918</v>
      </c>
      <c r="E391" s="539" t="s">
        <v>38</v>
      </c>
      <c r="F391" s="539" t="s">
        <v>976</v>
      </c>
      <c r="G391" s="466">
        <f>G392</f>
        <v>2416942.7999999998</v>
      </c>
      <c r="H391" s="442">
        <v>0</v>
      </c>
      <c r="I391" s="442">
        <v>0</v>
      </c>
      <c r="J391" s="466">
        <f>J392</f>
        <v>0</v>
      </c>
      <c r="K391" s="604">
        <f>K392</f>
        <v>0</v>
      </c>
      <c r="L391" s="564">
        <f t="shared" si="61"/>
        <v>0</v>
      </c>
      <c r="M391" s="565">
        <f t="shared" si="63"/>
        <v>0</v>
      </c>
      <c r="N391" s="565">
        <f t="shared" si="64"/>
        <v>0</v>
      </c>
    </row>
    <row r="392" spans="1:14" outlineLevel="7" x14ac:dyDescent="0.3">
      <c r="A392" s="438" t="s">
        <v>74</v>
      </c>
      <c r="B392" s="439" t="s">
        <v>500</v>
      </c>
      <c r="C392" s="439" t="s">
        <v>82</v>
      </c>
      <c r="D392" s="539" t="s">
        <v>918</v>
      </c>
      <c r="E392" s="539" t="s">
        <v>75</v>
      </c>
      <c r="F392" s="539" t="s">
        <v>976</v>
      </c>
      <c r="G392" s="466">
        <f>2155894.2-2155894.2+900000+1516942.8</f>
        <v>2416942.7999999998</v>
      </c>
      <c r="H392" s="442">
        <v>0</v>
      </c>
      <c r="I392" s="442">
        <v>0</v>
      </c>
      <c r="J392" s="466">
        <v>0</v>
      </c>
      <c r="K392" s="604">
        <v>0</v>
      </c>
      <c r="L392" s="564">
        <f t="shared" ref="L392:L455" si="75">K392-J392</f>
        <v>0</v>
      </c>
      <c r="M392" s="565">
        <f t="shared" si="63"/>
        <v>0</v>
      </c>
      <c r="N392" s="565">
        <f t="shared" si="64"/>
        <v>0</v>
      </c>
    </row>
    <row r="393" spans="1:14" ht="46.9" customHeight="1" outlineLevel="7" x14ac:dyDescent="0.3">
      <c r="A393" s="438" t="s">
        <v>211</v>
      </c>
      <c r="B393" s="439" t="s">
        <v>500</v>
      </c>
      <c r="C393" s="439" t="s">
        <v>82</v>
      </c>
      <c r="D393" s="539" t="s">
        <v>229</v>
      </c>
      <c r="E393" s="539" t="s">
        <v>6</v>
      </c>
      <c r="F393" s="540">
        <v>1880985.73</v>
      </c>
      <c r="G393" s="466">
        <f>G394+G398</f>
        <v>1766500</v>
      </c>
      <c r="H393" s="442">
        <f>H394+H398</f>
        <v>508974.93</v>
      </c>
      <c r="I393" s="442">
        <f>I394+I398</f>
        <v>537957</v>
      </c>
      <c r="J393" s="466">
        <f>J394+J398</f>
        <v>746500</v>
      </c>
      <c r="K393" s="604">
        <f>K394+K398</f>
        <v>746500</v>
      </c>
      <c r="L393" s="564">
        <f t="shared" si="75"/>
        <v>0</v>
      </c>
      <c r="M393" s="565">
        <f t="shared" si="63"/>
        <v>42.25870365128786</v>
      </c>
      <c r="N393" s="565">
        <f t="shared" si="64"/>
        <v>42.25870365128786</v>
      </c>
    </row>
    <row r="394" spans="1:14" ht="32.6" customHeight="1" outlineLevel="7" x14ac:dyDescent="0.3">
      <c r="A394" s="438" t="s">
        <v>83</v>
      </c>
      <c r="B394" s="439" t="s">
        <v>500</v>
      </c>
      <c r="C394" s="439" t="s">
        <v>82</v>
      </c>
      <c r="D394" s="539" t="s">
        <v>140</v>
      </c>
      <c r="E394" s="539" t="s">
        <v>6</v>
      </c>
      <c r="F394" s="540">
        <v>1880985.73</v>
      </c>
      <c r="G394" s="465">
        <f>G395</f>
        <v>746500</v>
      </c>
      <c r="H394" s="440">
        <f>H395</f>
        <v>508974.93</v>
      </c>
      <c r="I394" s="440">
        <f>I395</f>
        <v>537957</v>
      </c>
      <c r="J394" s="465">
        <f>J395</f>
        <v>746500</v>
      </c>
      <c r="K394" s="603">
        <f>K395</f>
        <v>746500</v>
      </c>
      <c r="L394" s="564">
        <f t="shared" si="75"/>
        <v>0</v>
      </c>
      <c r="M394" s="565">
        <f t="shared" si="63"/>
        <v>100</v>
      </c>
      <c r="N394" s="565">
        <f t="shared" si="64"/>
        <v>100</v>
      </c>
    </row>
    <row r="395" spans="1:14" s="449" customFormat="1" ht="34" outlineLevel="1" x14ac:dyDescent="0.3">
      <c r="A395" s="438" t="s">
        <v>37</v>
      </c>
      <c r="B395" s="439" t="s">
        <v>500</v>
      </c>
      <c r="C395" s="439" t="s">
        <v>82</v>
      </c>
      <c r="D395" s="539" t="s">
        <v>140</v>
      </c>
      <c r="E395" s="539" t="s">
        <v>38</v>
      </c>
      <c r="F395" s="540">
        <v>1880985.73</v>
      </c>
      <c r="G395" s="465">
        <f>G396+G397</f>
        <v>746500</v>
      </c>
      <c r="H395" s="370">
        <v>508974.93</v>
      </c>
      <c r="I395" s="440">
        <f>I396+I397</f>
        <v>537957</v>
      </c>
      <c r="J395" s="465">
        <f>J396+J397</f>
        <v>746500</v>
      </c>
      <c r="K395" s="603">
        <f>K396+K397</f>
        <v>746500</v>
      </c>
      <c r="L395" s="564">
        <f t="shared" si="75"/>
        <v>0</v>
      </c>
      <c r="M395" s="565">
        <f t="shared" si="63"/>
        <v>100</v>
      </c>
      <c r="N395" s="565">
        <f t="shared" si="64"/>
        <v>100</v>
      </c>
    </row>
    <row r="396" spans="1:14" outlineLevel="2" x14ac:dyDescent="0.3">
      <c r="A396" s="438" t="s">
        <v>74</v>
      </c>
      <c r="B396" s="439" t="s">
        <v>500</v>
      </c>
      <c r="C396" s="439" t="s">
        <v>82</v>
      </c>
      <c r="D396" s="539" t="s">
        <v>140</v>
      </c>
      <c r="E396" s="539" t="s">
        <v>75</v>
      </c>
      <c r="F396" s="540">
        <v>1766985.73</v>
      </c>
      <c r="G396" s="465">
        <f>632500</f>
        <v>632500</v>
      </c>
      <c r="H396" s="370">
        <v>410474.93</v>
      </c>
      <c r="I396" s="440">
        <v>423957</v>
      </c>
      <c r="J396" s="466">
        <v>632500</v>
      </c>
      <c r="K396" s="604">
        <v>632500</v>
      </c>
      <c r="L396" s="564">
        <f t="shared" si="75"/>
        <v>0</v>
      </c>
      <c r="M396" s="565">
        <f t="shared" ref="M396:M459" si="76">J396/G396%</f>
        <v>100</v>
      </c>
      <c r="N396" s="565">
        <f t="shared" ref="N396:N459" si="77">K396/G396*100</f>
        <v>100</v>
      </c>
    </row>
    <row r="397" spans="1:14" ht="50.95" outlineLevel="4" x14ac:dyDescent="0.3">
      <c r="A397" s="438" t="s">
        <v>371</v>
      </c>
      <c r="B397" s="439" t="s">
        <v>500</v>
      </c>
      <c r="C397" s="439" t="s">
        <v>82</v>
      </c>
      <c r="D397" s="539" t="s">
        <v>140</v>
      </c>
      <c r="E397" s="539" t="s">
        <v>252</v>
      </c>
      <c r="F397" s="540">
        <v>114000</v>
      </c>
      <c r="G397" s="465">
        <v>114000</v>
      </c>
      <c r="H397" s="370">
        <v>98500</v>
      </c>
      <c r="I397" s="440">
        <v>114000</v>
      </c>
      <c r="J397" s="466">
        <v>114000</v>
      </c>
      <c r="K397" s="604">
        <v>114000</v>
      </c>
      <c r="L397" s="564">
        <f t="shared" si="75"/>
        <v>0</v>
      </c>
      <c r="M397" s="565">
        <f t="shared" si="76"/>
        <v>100</v>
      </c>
      <c r="N397" s="565">
        <f t="shared" si="77"/>
        <v>100</v>
      </c>
    </row>
    <row r="398" spans="1:14" ht="34" outlineLevel="4" x14ac:dyDescent="0.3">
      <c r="A398" s="438" t="s">
        <v>955</v>
      </c>
      <c r="B398" s="439" t="s">
        <v>500</v>
      </c>
      <c r="C398" s="439" t="s">
        <v>82</v>
      </c>
      <c r="D398" s="539" t="s">
        <v>956</v>
      </c>
      <c r="E398" s="539" t="s">
        <v>6</v>
      </c>
      <c r="F398" s="539" t="s">
        <v>976</v>
      </c>
      <c r="G398" s="465">
        <f>G399</f>
        <v>1020000</v>
      </c>
      <c r="H398" s="440">
        <f>H399</f>
        <v>0</v>
      </c>
      <c r="I398" s="440">
        <v>0</v>
      </c>
      <c r="J398" s="465">
        <f>J399</f>
        <v>0</v>
      </c>
      <c r="K398" s="603">
        <f>K399</f>
        <v>0</v>
      </c>
      <c r="L398" s="564">
        <f t="shared" si="75"/>
        <v>0</v>
      </c>
      <c r="M398" s="565">
        <f t="shared" si="76"/>
        <v>0</v>
      </c>
      <c r="N398" s="565">
        <f t="shared" si="77"/>
        <v>0</v>
      </c>
    </row>
    <row r="399" spans="1:14" ht="34" outlineLevel="4" x14ac:dyDescent="0.3">
      <c r="A399" s="438" t="s">
        <v>37</v>
      </c>
      <c r="B399" s="439" t="s">
        <v>500</v>
      </c>
      <c r="C399" s="439" t="s">
        <v>82</v>
      </c>
      <c r="D399" s="539" t="s">
        <v>956</v>
      </c>
      <c r="E399" s="539" t="s">
        <v>38</v>
      </c>
      <c r="F399" s="539" t="s">
        <v>976</v>
      </c>
      <c r="G399" s="465">
        <f>G400</f>
        <v>1020000</v>
      </c>
      <c r="H399" s="440">
        <v>0</v>
      </c>
      <c r="I399" s="440">
        <v>0</v>
      </c>
      <c r="J399" s="465">
        <f>J400</f>
        <v>0</v>
      </c>
      <c r="K399" s="603">
        <f>K400</f>
        <v>0</v>
      </c>
      <c r="L399" s="564">
        <f t="shared" si="75"/>
        <v>0</v>
      </c>
      <c r="M399" s="565">
        <f t="shared" si="76"/>
        <v>0</v>
      </c>
      <c r="N399" s="565">
        <f t="shared" si="77"/>
        <v>0</v>
      </c>
    </row>
    <row r="400" spans="1:14" outlineLevel="4" x14ac:dyDescent="0.3">
      <c r="A400" s="438" t="s">
        <v>74</v>
      </c>
      <c r="B400" s="439" t="s">
        <v>500</v>
      </c>
      <c r="C400" s="439" t="s">
        <v>82</v>
      </c>
      <c r="D400" s="539" t="s">
        <v>956</v>
      </c>
      <c r="E400" s="539" t="s">
        <v>75</v>
      </c>
      <c r="F400" s="539" t="s">
        <v>976</v>
      </c>
      <c r="G400" s="465">
        <f>1000000+20000</f>
        <v>1020000</v>
      </c>
      <c r="H400" s="440">
        <v>0</v>
      </c>
      <c r="I400" s="440">
        <v>0</v>
      </c>
      <c r="J400" s="466">
        <v>0</v>
      </c>
      <c r="K400" s="604">
        <v>0</v>
      </c>
      <c r="L400" s="564">
        <f t="shared" si="75"/>
        <v>0</v>
      </c>
      <c r="M400" s="565">
        <f t="shared" si="76"/>
        <v>0</v>
      </c>
      <c r="N400" s="565">
        <f t="shared" si="77"/>
        <v>0</v>
      </c>
    </row>
    <row r="401" spans="1:14" outlineLevel="5" x14ac:dyDescent="0.3">
      <c r="A401" s="438" t="s">
        <v>522</v>
      </c>
      <c r="B401" s="439" t="s">
        <v>500</v>
      </c>
      <c r="C401" s="439" t="s">
        <v>523</v>
      </c>
      <c r="D401" s="539" t="s">
        <v>126</v>
      </c>
      <c r="E401" s="539" t="s">
        <v>6</v>
      </c>
      <c r="F401" s="539"/>
      <c r="G401" s="465">
        <f>G402+G413</f>
        <v>2369078.34</v>
      </c>
      <c r="H401" s="440">
        <f>H402+H413</f>
        <v>2072014</v>
      </c>
      <c r="I401" s="440">
        <f>I402+I413</f>
        <v>3611907.56</v>
      </c>
      <c r="J401" s="465">
        <f>J402+J413</f>
        <v>5672609.9500000002</v>
      </c>
      <c r="K401" s="603">
        <f>K402+K413</f>
        <v>5672609.9500000002</v>
      </c>
      <c r="L401" s="564">
        <f t="shared" si="75"/>
        <v>0</v>
      </c>
      <c r="M401" s="565">
        <f t="shared" si="76"/>
        <v>239.44374714092402</v>
      </c>
      <c r="N401" s="565">
        <f t="shared" si="77"/>
        <v>239.44374714092405</v>
      </c>
    </row>
    <row r="402" spans="1:14" ht="48.25" customHeight="1" outlineLevel="6" x14ac:dyDescent="0.3">
      <c r="A402" s="444" t="s">
        <v>839</v>
      </c>
      <c r="B402" s="439" t="s">
        <v>500</v>
      </c>
      <c r="C402" s="439" t="s">
        <v>523</v>
      </c>
      <c r="D402" s="539" t="s">
        <v>136</v>
      </c>
      <c r="E402" s="539" t="s">
        <v>6</v>
      </c>
      <c r="F402" s="539" t="s">
        <v>976</v>
      </c>
      <c r="G402" s="465">
        <f>G403</f>
        <v>202147.39</v>
      </c>
      <c r="H402" s="440">
        <f>H403</f>
        <v>0</v>
      </c>
      <c r="I402" s="440">
        <v>208543</v>
      </c>
      <c r="J402" s="465">
        <f>J403</f>
        <v>3405960.55</v>
      </c>
      <c r="K402" s="603">
        <f>K403</f>
        <v>3405960.55</v>
      </c>
      <c r="L402" s="564">
        <f t="shared" si="75"/>
        <v>0</v>
      </c>
      <c r="M402" s="565">
        <f t="shared" si="76"/>
        <v>1684.889698551141</v>
      </c>
      <c r="N402" s="565">
        <f t="shared" si="77"/>
        <v>1684.8896985511412</v>
      </c>
    </row>
    <row r="403" spans="1:14" ht="37.4" customHeight="1" outlineLevel="7" x14ac:dyDescent="0.3">
      <c r="A403" s="438" t="s">
        <v>211</v>
      </c>
      <c r="B403" s="439" t="s">
        <v>500</v>
      </c>
      <c r="C403" s="439" t="s">
        <v>523</v>
      </c>
      <c r="D403" s="539" t="s">
        <v>229</v>
      </c>
      <c r="E403" s="539" t="s">
        <v>6</v>
      </c>
      <c r="F403" s="539" t="s">
        <v>976</v>
      </c>
      <c r="G403" s="465">
        <f>G404+G407</f>
        <v>202147.39</v>
      </c>
      <c r="H403" s="440">
        <f>H404+H407</f>
        <v>0</v>
      </c>
      <c r="I403" s="440">
        <v>208543</v>
      </c>
      <c r="J403" s="465">
        <f>J404+J407+J410</f>
        <v>3405960.55</v>
      </c>
      <c r="K403" s="603">
        <f>K404+K407+K410</f>
        <v>3405960.55</v>
      </c>
      <c r="L403" s="564">
        <f t="shared" si="75"/>
        <v>0</v>
      </c>
      <c r="M403" s="565">
        <f t="shared" si="76"/>
        <v>1684.889698551141</v>
      </c>
      <c r="N403" s="565">
        <f t="shared" si="77"/>
        <v>1684.8896985511412</v>
      </c>
    </row>
    <row r="404" spans="1:14" ht="50.95" outlineLevel="7" x14ac:dyDescent="0.3">
      <c r="A404" s="438" t="s">
        <v>524</v>
      </c>
      <c r="B404" s="439" t="s">
        <v>500</v>
      </c>
      <c r="C404" s="439" t="s">
        <v>523</v>
      </c>
      <c r="D404" s="539" t="s">
        <v>525</v>
      </c>
      <c r="E404" s="539" t="s">
        <v>6</v>
      </c>
      <c r="F404" s="539" t="s">
        <v>976</v>
      </c>
      <c r="G404" s="465">
        <f>G405</f>
        <v>202147.39</v>
      </c>
      <c r="H404" s="440">
        <f>H405</f>
        <v>0</v>
      </c>
      <c r="I404" s="440">
        <v>208543</v>
      </c>
      <c r="J404" s="465">
        <f>J405</f>
        <v>0</v>
      </c>
      <c r="K404" s="603">
        <f>K405</f>
        <v>0</v>
      </c>
      <c r="L404" s="564">
        <f t="shared" si="75"/>
        <v>0</v>
      </c>
      <c r="M404" s="565">
        <f t="shared" si="76"/>
        <v>0</v>
      </c>
      <c r="N404" s="565">
        <f t="shared" si="77"/>
        <v>0</v>
      </c>
    </row>
    <row r="405" spans="1:14" s="449" customFormat="1" ht="34" outlineLevel="7" x14ac:dyDescent="0.3">
      <c r="A405" s="438" t="s">
        <v>37</v>
      </c>
      <c r="B405" s="439" t="s">
        <v>500</v>
      </c>
      <c r="C405" s="439" t="s">
        <v>523</v>
      </c>
      <c r="D405" s="539" t="s">
        <v>525</v>
      </c>
      <c r="E405" s="539" t="s">
        <v>38</v>
      </c>
      <c r="F405" s="539" t="s">
        <v>976</v>
      </c>
      <c r="G405" s="465">
        <f>G406</f>
        <v>202147.39</v>
      </c>
      <c r="H405" s="440">
        <f>H406</f>
        <v>0</v>
      </c>
      <c r="I405" s="440">
        <v>208543</v>
      </c>
      <c r="J405" s="465">
        <f>J406</f>
        <v>0</v>
      </c>
      <c r="K405" s="603">
        <f>K406</f>
        <v>0</v>
      </c>
      <c r="L405" s="564">
        <f t="shared" si="75"/>
        <v>0</v>
      </c>
      <c r="M405" s="565">
        <f t="shared" si="76"/>
        <v>0</v>
      </c>
      <c r="N405" s="565">
        <f t="shared" si="77"/>
        <v>0</v>
      </c>
    </row>
    <row r="406" spans="1:14" ht="24.8" customHeight="1" outlineLevel="7" x14ac:dyDescent="0.3">
      <c r="A406" s="438" t="s">
        <v>74</v>
      </c>
      <c r="B406" s="439" t="s">
        <v>500</v>
      </c>
      <c r="C406" s="439" t="s">
        <v>523</v>
      </c>
      <c r="D406" s="539" t="s">
        <v>525</v>
      </c>
      <c r="E406" s="539" t="s">
        <v>75</v>
      </c>
      <c r="F406" s="539" t="s">
        <v>976</v>
      </c>
      <c r="G406" s="465">
        <v>202147.39</v>
      </c>
      <c r="H406" s="440">
        <v>0</v>
      </c>
      <c r="I406" s="440">
        <v>208543</v>
      </c>
      <c r="J406" s="466">
        <v>0</v>
      </c>
      <c r="K406" s="604">
        <v>0</v>
      </c>
      <c r="L406" s="564">
        <f t="shared" si="75"/>
        <v>0</v>
      </c>
      <c r="M406" s="565">
        <f t="shared" si="76"/>
        <v>0</v>
      </c>
      <c r="N406" s="565">
        <f t="shared" si="77"/>
        <v>0</v>
      </c>
    </row>
    <row r="407" spans="1:14" ht="40.1" customHeight="1" outlineLevel="7" x14ac:dyDescent="0.3">
      <c r="A407" s="567" t="s">
        <v>986</v>
      </c>
      <c r="B407" s="439" t="s">
        <v>500</v>
      </c>
      <c r="C407" s="439" t="s">
        <v>523</v>
      </c>
      <c r="D407" s="539" t="s">
        <v>1014</v>
      </c>
      <c r="E407" s="539" t="s">
        <v>6</v>
      </c>
      <c r="F407" s="539" t="s">
        <v>976</v>
      </c>
      <c r="G407" s="465">
        <f>G408</f>
        <v>0</v>
      </c>
      <c r="H407" s="441"/>
      <c r="I407" s="440">
        <v>0</v>
      </c>
      <c r="J407" s="465">
        <f>J408</f>
        <v>3303781.73</v>
      </c>
      <c r="K407" s="603">
        <f>K408</f>
        <v>3303781.73</v>
      </c>
      <c r="L407" s="564">
        <f t="shared" si="75"/>
        <v>0</v>
      </c>
      <c r="M407" s="565"/>
      <c r="N407" s="565"/>
    </row>
    <row r="408" spans="1:14" ht="24.8" customHeight="1" outlineLevel="7" x14ac:dyDescent="0.3">
      <c r="A408" s="438" t="s">
        <v>37</v>
      </c>
      <c r="B408" s="439" t="s">
        <v>500</v>
      </c>
      <c r="C408" s="439" t="s">
        <v>523</v>
      </c>
      <c r="D408" s="539" t="s">
        <v>1014</v>
      </c>
      <c r="E408" s="539" t="s">
        <v>38</v>
      </c>
      <c r="F408" s="539" t="s">
        <v>976</v>
      </c>
      <c r="G408" s="465">
        <f>G409</f>
        <v>0</v>
      </c>
      <c r="H408" s="441"/>
      <c r="I408" s="440">
        <v>0</v>
      </c>
      <c r="J408" s="465">
        <f>J409</f>
        <v>3303781.73</v>
      </c>
      <c r="K408" s="603">
        <f>K409</f>
        <v>3303781.73</v>
      </c>
      <c r="L408" s="564">
        <f t="shared" si="75"/>
        <v>0</v>
      </c>
      <c r="M408" s="565"/>
      <c r="N408" s="565"/>
    </row>
    <row r="409" spans="1:14" ht="23.3" customHeight="1" outlineLevel="7" x14ac:dyDescent="0.3">
      <c r="A409" s="438" t="s">
        <v>74</v>
      </c>
      <c r="B409" s="439" t="s">
        <v>500</v>
      </c>
      <c r="C409" s="439" t="s">
        <v>523</v>
      </c>
      <c r="D409" s="539" t="s">
        <v>1014</v>
      </c>
      <c r="E409" s="539" t="s">
        <v>75</v>
      </c>
      <c r="F409" s="539" t="s">
        <v>976</v>
      </c>
      <c r="G409" s="465">
        <v>0</v>
      </c>
      <c r="H409" s="441"/>
      <c r="I409" s="440">
        <v>0</v>
      </c>
      <c r="J409" s="465">
        <v>3303781.73</v>
      </c>
      <c r="K409" s="603">
        <v>3303781.73</v>
      </c>
      <c r="L409" s="564">
        <f t="shared" si="75"/>
        <v>0</v>
      </c>
      <c r="M409" s="565"/>
      <c r="N409" s="565"/>
    </row>
    <row r="410" spans="1:14" ht="44.15" customHeight="1" outlineLevel="7" x14ac:dyDescent="0.3">
      <c r="A410" s="438" t="s">
        <v>1015</v>
      </c>
      <c r="B410" s="439" t="s">
        <v>500</v>
      </c>
      <c r="C410" s="439" t="s">
        <v>523</v>
      </c>
      <c r="D410" s="539" t="s">
        <v>1016</v>
      </c>
      <c r="E410" s="539" t="s">
        <v>6</v>
      </c>
      <c r="F410" s="539"/>
      <c r="G410" s="465">
        <v>0</v>
      </c>
      <c r="H410" s="441"/>
      <c r="I410" s="440"/>
      <c r="J410" s="465">
        <f>J411</f>
        <v>102178.82</v>
      </c>
      <c r="K410" s="603">
        <f>K411</f>
        <v>102178.82</v>
      </c>
      <c r="L410" s="564">
        <f t="shared" si="75"/>
        <v>0</v>
      </c>
      <c r="M410" s="565"/>
      <c r="N410" s="565"/>
    </row>
    <row r="411" spans="1:14" ht="23.3" customHeight="1" outlineLevel="7" x14ac:dyDescent="0.3">
      <c r="A411" s="438" t="s">
        <v>37</v>
      </c>
      <c r="B411" s="439" t="s">
        <v>500</v>
      </c>
      <c r="C411" s="439" t="s">
        <v>523</v>
      </c>
      <c r="D411" s="539" t="s">
        <v>1016</v>
      </c>
      <c r="E411" s="539" t="s">
        <v>38</v>
      </c>
      <c r="F411" s="539"/>
      <c r="G411" s="465">
        <v>0</v>
      </c>
      <c r="H411" s="441"/>
      <c r="I411" s="440"/>
      <c r="J411" s="465">
        <f>J412</f>
        <v>102178.82</v>
      </c>
      <c r="K411" s="603">
        <f>K412</f>
        <v>102178.82</v>
      </c>
      <c r="L411" s="564">
        <f t="shared" si="75"/>
        <v>0</v>
      </c>
      <c r="M411" s="565"/>
      <c r="N411" s="565"/>
    </row>
    <row r="412" spans="1:14" ht="23.3" customHeight="1" outlineLevel="7" x14ac:dyDescent="0.3">
      <c r="A412" s="438" t="s">
        <v>74</v>
      </c>
      <c r="B412" s="439" t="s">
        <v>500</v>
      </c>
      <c r="C412" s="439" t="s">
        <v>523</v>
      </c>
      <c r="D412" s="539" t="s">
        <v>1016</v>
      </c>
      <c r="E412" s="539" t="s">
        <v>75</v>
      </c>
      <c r="F412" s="539"/>
      <c r="G412" s="465">
        <v>0</v>
      </c>
      <c r="H412" s="441"/>
      <c r="I412" s="440"/>
      <c r="J412" s="465">
        <v>102178.82</v>
      </c>
      <c r="K412" s="603">
        <v>102178.82</v>
      </c>
      <c r="L412" s="564">
        <f t="shared" si="75"/>
        <v>0</v>
      </c>
      <c r="M412" s="565"/>
      <c r="N412" s="565"/>
    </row>
    <row r="413" spans="1:14" ht="42.45" customHeight="1" outlineLevel="7" x14ac:dyDescent="0.3">
      <c r="A413" s="444" t="s">
        <v>847</v>
      </c>
      <c r="B413" s="445" t="s">
        <v>500</v>
      </c>
      <c r="C413" s="439" t="s">
        <v>523</v>
      </c>
      <c r="D413" s="539" t="s">
        <v>331</v>
      </c>
      <c r="E413" s="541" t="s">
        <v>6</v>
      </c>
      <c r="F413" s="541" t="s">
        <v>976</v>
      </c>
      <c r="G413" s="465">
        <f t="shared" ref="G413:K416" si="78">G414</f>
        <v>2166930.9499999997</v>
      </c>
      <c r="H413" s="440">
        <f t="shared" si="78"/>
        <v>2072014</v>
      </c>
      <c r="I413" s="440">
        <f t="shared" si="78"/>
        <v>3403364.56</v>
      </c>
      <c r="J413" s="465">
        <f>J414</f>
        <v>2266649.4000000004</v>
      </c>
      <c r="K413" s="603">
        <f>K414</f>
        <v>2266649.4000000004</v>
      </c>
      <c r="L413" s="564">
        <f t="shared" si="75"/>
        <v>0</v>
      </c>
      <c r="M413" s="565">
        <f t="shared" si="76"/>
        <v>104.60182868309674</v>
      </c>
      <c r="N413" s="565">
        <f t="shared" si="77"/>
        <v>104.60182868309673</v>
      </c>
    </row>
    <row r="414" spans="1:14" ht="40.75" customHeight="1" outlineLevel="7" x14ac:dyDescent="0.3">
      <c r="A414" s="438" t="s">
        <v>345</v>
      </c>
      <c r="B414" s="439" t="s">
        <v>500</v>
      </c>
      <c r="C414" s="439" t="s">
        <v>523</v>
      </c>
      <c r="D414" s="539" t="s">
        <v>332</v>
      </c>
      <c r="E414" s="539" t="s">
        <v>6</v>
      </c>
      <c r="F414" s="539" t="s">
        <v>976</v>
      </c>
      <c r="G414" s="465">
        <f t="shared" si="78"/>
        <v>2166930.9499999997</v>
      </c>
      <c r="H414" s="440">
        <f t="shared" si="78"/>
        <v>2072014</v>
      </c>
      <c r="I414" s="440">
        <f t="shared" si="78"/>
        <v>3403364.56</v>
      </c>
      <c r="J414" s="465">
        <f>J415+J418</f>
        <v>2266649.4000000004</v>
      </c>
      <c r="K414" s="603">
        <f>K415+K418</f>
        <v>2266649.4000000004</v>
      </c>
      <c r="L414" s="564">
        <f t="shared" si="75"/>
        <v>0</v>
      </c>
      <c r="M414" s="565">
        <f t="shared" si="76"/>
        <v>104.60182868309674</v>
      </c>
      <c r="N414" s="565">
        <f t="shared" si="77"/>
        <v>104.60182868309673</v>
      </c>
    </row>
    <row r="415" spans="1:14" ht="75.400000000000006" customHeight="1" outlineLevel="7" x14ac:dyDescent="0.3">
      <c r="A415" s="438" t="s">
        <v>872</v>
      </c>
      <c r="B415" s="439" t="s">
        <v>500</v>
      </c>
      <c r="C415" s="439" t="s">
        <v>523</v>
      </c>
      <c r="D415" s="539" t="s">
        <v>908</v>
      </c>
      <c r="E415" s="539" t="s">
        <v>6</v>
      </c>
      <c r="F415" s="539" t="s">
        <v>976</v>
      </c>
      <c r="G415" s="465">
        <f t="shared" si="78"/>
        <v>2166930.9499999997</v>
      </c>
      <c r="H415" s="440">
        <f t="shared" si="78"/>
        <v>2072014</v>
      </c>
      <c r="I415" s="440">
        <f t="shared" si="78"/>
        <v>3403364.56</v>
      </c>
      <c r="J415" s="465">
        <f t="shared" si="78"/>
        <v>1174110.1200000001</v>
      </c>
      <c r="K415" s="603">
        <f t="shared" si="78"/>
        <v>1174110.1200000001</v>
      </c>
      <c r="L415" s="564">
        <f t="shared" si="75"/>
        <v>0</v>
      </c>
      <c r="M415" s="565">
        <f t="shared" si="76"/>
        <v>54.183088759704148</v>
      </c>
      <c r="N415" s="565">
        <f t="shared" si="77"/>
        <v>54.183088759704148</v>
      </c>
    </row>
    <row r="416" spans="1:14" ht="23.3" customHeight="1" outlineLevel="7" x14ac:dyDescent="0.3">
      <c r="A416" s="438" t="s">
        <v>15</v>
      </c>
      <c r="B416" s="439" t="s">
        <v>500</v>
      </c>
      <c r="C416" s="439" t="s">
        <v>523</v>
      </c>
      <c r="D416" s="539" t="s">
        <v>908</v>
      </c>
      <c r="E416" s="539" t="s">
        <v>16</v>
      </c>
      <c r="F416" s="539" t="s">
        <v>976</v>
      </c>
      <c r="G416" s="465">
        <f t="shared" si="78"/>
        <v>2166930.9499999997</v>
      </c>
      <c r="H416" s="370">
        <v>2072014</v>
      </c>
      <c r="I416" s="440">
        <f t="shared" si="78"/>
        <v>3403364.56</v>
      </c>
      <c r="J416" s="465">
        <f t="shared" si="78"/>
        <v>1174110.1200000001</v>
      </c>
      <c r="K416" s="603">
        <f t="shared" si="78"/>
        <v>1174110.1200000001</v>
      </c>
      <c r="L416" s="564">
        <f t="shared" si="75"/>
        <v>0</v>
      </c>
      <c r="M416" s="565">
        <f t="shared" si="76"/>
        <v>54.183088759704148</v>
      </c>
      <c r="N416" s="565">
        <f t="shared" si="77"/>
        <v>54.183088759704148</v>
      </c>
    </row>
    <row r="417" spans="1:14" ht="23.3" customHeight="1" outlineLevel="7" x14ac:dyDescent="0.3">
      <c r="A417" s="438" t="s">
        <v>17</v>
      </c>
      <c r="B417" s="439" t="s">
        <v>500</v>
      </c>
      <c r="C417" s="439" t="s">
        <v>523</v>
      </c>
      <c r="D417" s="539" t="s">
        <v>908</v>
      </c>
      <c r="E417" s="539" t="s">
        <v>18</v>
      </c>
      <c r="F417" s="539" t="s">
        <v>976</v>
      </c>
      <c r="G417" s="465">
        <f>2430452.42+72913.58+2255.05-338690.1</f>
        <v>2166930.9499999997</v>
      </c>
      <c r="H417" s="370">
        <v>2072014</v>
      </c>
      <c r="I417" s="440">
        <f>3301263.62+102100.94</f>
        <v>3403364.56</v>
      </c>
      <c r="J417" s="466">
        <f>102100.94+1104785.36-32776.18</f>
        <v>1174110.1200000001</v>
      </c>
      <c r="K417" s="604">
        <f>102100.94+1104785.36-32776.18</f>
        <v>1174110.1200000001</v>
      </c>
      <c r="L417" s="564">
        <f t="shared" si="75"/>
        <v>0</v>
      </c>
      <c r="M417" s="565">
        <f t="shared" si="76"/>
        <v>54.183088759704148</v>
      </c>
      <c r="N417" s="565">
        <f t="shared" si="77"/>
        <v>54.183088759704148</v>
      </c>
    </row>
    <row r="418" spans="1:14" ht="92.4" customHeight="1" outlineLevel="7" x14ac:dyDescent="0.3">
      <c r="A418" s="438" t="s">
        <v>1021</v>
      </c>
      <c r="B418" s="439" t="s">
        <v>500</v>
      </c>
      <c r="C418" s="439" t="s">
        <v>523</v>
      </c>
      <c r="D418" s="539" t="s">
        <v>1020</v>
      </c>
      <c r="E418" s="539" t="s">
        <v>6</v>
      </c>
      <c r="F418" s="539"/>
      <c r="G418" s="465">
        <v>0</v>
      </c>
      <c r="H418" s="370"/>
      <c r="I418" s="440"/>
      <c r="J418" s="466">
        <f>J419</f>
        <v>1092539.28</v>
      </c>
      <c r="K418" s="604">
        <f>K419</f>
        <v>1092539.28</v>
      </c>
      <c r="L418" s="564">
        <f t="shared" si="75"/>
        <v>0</v>
      </c>
      <c r="M418" s="565"/>
      <c r="N418" s="565"/>
    </row>
    <row r="419" spans="1:14" ht="23.3" customHeight="1" outlineLevel="7" x14ac:dyDescent="0.3">
      <c r="A419" s="438" t="s">
        <v>15</v>
      </c>
      <c r="B419" s="439" t="s">
        <v>500</v>
      </c>
      <c r="C419" s="439" t="s">
        <v>523</v>
      </c>
      <c r="D419" s="539" t="s">
        <v>1020</v>
      </c>
      <c r="E419" s="539" t="s">
        <v>16</v>
      </c>
      <c r="F419" s="539"/>
      <c r="G419" s="465">
        <v>0</v>
      </c>
      <c r="H419" s="370"/>
      <c r="I419" s="440"/>
      <c r="J419" s="466">
        <f>J420</f>
        <v>1092539.28</v>
      </c>
      <c r="K419" s="604">
        <f>K420</f>
        <v>1092539.28</v>
      </c>
      <c r="L419" s="564">
        <f t="shared" si="75"/>
        <v>0</v>
      </c>
      <c r="M419" s="565"/>
      <c r="N419" s="565"/>
    </row>
    <row r="420" spans="1:14" ht="23.3" customHeight="1" outlineLevel="7" x14ac:dyDescent="0.3">
      <c r="A420" s="438" t="s">
        <v>17</v>
      </c>
      <c r="B420" s="439" t="s">
        <v>500</v>
      </c>
      <c r="C420" s="439" t="s">
        <v>523</v>
      </c>
      <c r="D420" s="539" t="s">
        <v>1020</v>
      </c>
      <c r="E420" s="539" t="s">
        <v>18</v>
      </c>
      <c r="F420" s="539"/>
      <c r="G420" s="465">
        <v>0</v>
      </c>
      <c r="H420" s="370"/>
      <c r="I420" s="440"/>
      <c r="J420" s="466">
        <f>1059763.1+32776.18</f>
        <v>1092539.28</v>
      </c>
      <c r="K420" s="604">
        <f>1059763.1+32776.18</f>
        <v>1092539.28</v>
      </c>
      <c r="L420" s="564">
        <f t="shared" si="75"/>
        <v>0</v>
      </c>
      <c r="M420" s="565"/>
      <c r="N420" s="565"/>
    </row>
    <row r="421" spans="1:14" outlineLevel="7" x14ac:dyDescent="0.3">
      <c r="A421" s="444" t="s">
        <v>85</v>
      </c>
      <c r="B421" s="445" t="s">
        <v>500</v>
      </c>
      <c r="C421" s="445" t="s">
        <v>86</v>
      </c>
      <c r="D421" s="541" t="s">
        <v>126</v>
      </c>
      <c r="E421" s="541" t="s">
        <v>6</v>
      </c>
      <c r="F421" s="550">
        <v>37352716.880000003</v>
      </c>
      <c r="G421" s="508">
        <f>G422+G427+G442</f>
        <v>54369845.619999997</v>
      </c>
      <c r="H421" s="446">
        <f>H422+H427+H442</f>
        <v>25467567.349999998</v>
      </c>
      <c r="I421" s="446">
        <f>I422+I427+I442</f>
        <v>65496624.950000003</v>
      </c>
      <c r="J421" s="508">
        <f>J422+J427+J442</f>
        <v>90525266.789999992</v>
      </c>
      <c r="K421" s="606">
        <f>K422+K427+K442</f>
        <v>90525266.789999992</v>
      </c>
      <c r="L421" s="564">
        <f t="shared" si="75"/>
        <v>0</v>
      </c>
      <c r="M421" s="565">
        <f t="shared" si="76"/>
        <v>166.49903224426333</v>
      </c>
      <c r="N421" s="565">
        <f t="shared" si="77"/>
        <v>166.49903224426333</v>
      </c>
    </row>
    <row r="422" spans="1:14" outlineLevel="7" x14ac:dyDescent="0.3">
      <c r="A422" s="438" t="s">
        <v>87</v>
      </c>
      <c r="B422" s="439" t="s">
        <v>500</v>
      </c>
      <c r="C422" s="439" t="s">
        <v>88</v>
      </c>
      <c r="D422" s="539" t="s">
        <v>126</v>
      </c>
      <c r="E422" s="539" t="s">
        <v>6</v>
      </c>
      <c r="F422" s="540">
        <v>5273116.22</v>
      </c>
      <c r="G422" s="465">
        <f t="shared" ref="G422:K425" si="79">G423</f>
        <v>5386176</v>
      </c>
      <c r="H422" s="440">
        <f t="shared" si="79"/>
        <v>4028416.23</v>
      </c>
      <c r="I422" s="440">
        <f t="shared" si="79"/>
        <v>5386176</v>
      </c>
      <c r="J422" s="465">
        <f t="shared" si="79"/>
        <v>5533145.6699999999</v>
      </c>
      <c r="K422" s="603">
        <f t="shared" si="79"/>
        <v>5533145.6699999999</v>
      </c>
      <c r="L422" s="564">
        <f t="shared" si="75"/>
        <v>0</v>
      </c>
      <c r="M422" s="565">
        <f t="shared" si="76"/>
        <v>102.72864588903147</v>
      </c>
      <c r="N422" s="565">
        <f t="shared" si="77"/>
        <v>102.72864588903148</v>
      </c>
    </row>
    <row r="423" spans="1:14" ht="34" outlineLevel="7" x14ac:dyDescent="0.3">
      <c r="A423" s="444" t="s">
        <v>132</v>
      </c>
      <c r="B423" s="445" t="s">
        <v>500</v>
      </c>
      <c r="C423" s="445" t="s">
        <v>88</v>
      </c>
      <c r="D423" s="541" t="s">
        <v>127</v>
      </c>
      <c r="E423" s="541" t="s">
        <v>6</v>
      </c>
      <c r="F423" s="540">
        <v>5273116.22</v>
      </c>
      <c r="G423" s="508">
        <f t="shared" si="79"/>
        <v>5386176</v>
      </c>
      <c r="H423" s="446">
        <f t="shared" si="79"/>
        <v>4028416.23</v>
      </c>
      <c r="I423" s="446">
        <f t="shared" si="79"/>
        <v>5386176</v>
      </c>
      <c r="J423" s="508">
        <f t="shared" si="79"/>
        <v>5533145.6699999999</v>
      </c>
      <c r="K423" s="606">
        <f t="shared" si="79"/>
        <v>5533145.6699999999</v>
      </c>
      <c r="L423" s="564">
        <f t="shared" si="75"/>
        <v>0</v>
      </c>
      <c r="M423" s="565">
        <f t="shared" si="76"/>
        <v>102.72864588903147</v>
      </c>
      <c r="N423" s="565">
        <f t="shared" si="77"/>
        <v>102.72864588903148</v>
      </c>
    </row>
    <row r="424" spans="1:14" s="449" customFormat="1" ht="26.5" customHeight="1" outlineLevel="7" x14ac:dyDescent="0.3">
      <c r="A424" s="438" t="s">
        <v>89</v>
      </c>
      <c r="B424" s="439" t="s">
        <v>500</v>
      </c>
      <c r="C424" s="439" t="s">
        <v>88</v>
      </c>
      <c r="D424" s="539" t="s">
        <v>142</v>
      </c>
      <c r="E424" s="539" t="s">
        <v>6</v>
      </c>
      <c r="F424" s="540">
        <v>5273116.22</v>
      </c>
      <c r="G424" s="465">
        <f t="shared" si="79"/>
        <v>5386176</v>
      </c>
      <c r="H424" s="440">
        <f t="shared" si="79"/>
        <v>4028416.23</v>
      </c>
      <c r="I424" s="440">
        <f t="shared" si="79"/>
        <v>5386176</v>
      </c>
      <c r="J424" s="465">
        <f t="shared" si="79"/>
        <v>5533145.6699999999</v>
      </c>
      <c r="K424" s="603">
        <f t="shared" si="79"/>
        <v>5533145.6699999999</v>
      </c>
      <c r="L424" s="564">
        <f t="shared" si="75"/>
        <v>0</v>
      </c>
      <c r="M424" s="565">
        <f t="shared" si="76"/>
        <v>102.72864588903147</v>
      </c>
      <c r="N424" s="565">
        <f t="shared" si="77"/>
        <v>102.72864588903148</v>
      </c>
    </row>
    <row r="425" spans="1:14" ht="25.5" customHeight="1" outlineLevel="7" x14ac:dyDescent="0.3">
      <c r="A425" s="438" t="s">
        <v>90</v>
      </c>
      <c r="B425" s="439" t="s">
        <v>500</v>
      </c>
      <c r="C425" s="439" t="s">
        <v>88</v>
      </c>
      <c r="D425" s="539" t="s">
        <v>142</v>
      </c>
      <c r="E425" s="539" t="s">
        <v>91</v>
      </c>
      <c r="F425" s="540">
        <v>5273116.22</v>
      </c>
      <c r="G425" s="465">
        <f t="shared" si="79"/>
        <v>5386176</v>
      </c>
      <c r="H425" s="373">
        <v>4028416.23</v>
      </c>
      <c r="I425" s="440">
        <f t="shared" si="79"/>
        <v>5386176</v>
      </c>
      <c r="J425" s="465">
        <f t="shared" si="79"/>
        <v>5533145.6699999999</v>
      </c>
      <c r="K425" s="603">
        <f t="shared" si="79"/>
        <v>5533145.6699999999</v>
      </c>
      <c r="L425" s="564">
        <f t="shared" si="75"/>
        <v>0</v>
      </c>
      <c r="M425" s="565">
        <f t="shared" si="76"/>
        <v>102.72864588903147</v>
      </c>
      <c r="N425" s="565">
        <f t="shared" si="77"/>
        <v>102.72864588903148</v>
      </c>
    </row>
    <row r="426" spans="1:14" ht="34" outlineLevel="7" x14ac:dyDescent="0.3">
      <c r="A426" s="438" t="s">
        <v>92</v>
      </c>
      <c r="B426" s="439" t="s">
        <v>500</v>
      </c>
      <c r="C426" s="439" t="s">
        <v>88</v>
      </c>
      <c r="D426" s="539" t="s">
        <v>142</v>
      </c>
      <c r="E426" s="539" t="s">
        <v>93</v>
      </c>
      <c r="F426" s="540">
        <v>5273116.22</v>
      </c>
      <c r="G426" s="466">
        <v>5386176</v>
      </c>
      <c r="H426" s="373">
        <v>4028416.23</v>
      </c>
      <c r="I426" s="442">
        <v>5386176</v>
      </c>
      <c r="J426" s="466">
        <v>5533145.6699999999</v>
      </c>
      <c r="K426" s="604">
        <v>5533145.6699999999</v>
      </c>
      <c r="L426" s="564">
        <f t="shared" si="75"/>
        <v>0</v>
      </c>
      <c r="M426" s="565">
        <f t="shared" si="76"/>
        <v>102.72864588903147</v>
      </c>
      <c r="N426" s="565">
        <f t="shared" si="77"/>
        <v>102.72864588903148</v>
      </c>
    </row>
    <row r="427" spans="1:14" outlineLevel="7" x14ac:dyDescent="0.3">
      <c r="A427" s="438" t="s">
        <v>94</v>
      </c>
      <c r="B427" s="439" t="s">
        <v>500</v>
      </c>
      <c r="C427" s="439" t="s">
        <v>95</v>
      </c>
      <c r="D427" s="539" t="s">
        <v>126</v>
      </c>
      <c r="E427" s="539" t="s">
        <v>6</v>
      </c>
      <c r="F427" s="540">
        <v>679404.39</v>
      </c>
      <c r="G427" s="465">
        <f>G428+G438+G433</f>
        <v>1526800</v>
      </c>
      <c r="H427" s="440">
        <f>H428+H438+H433</f>
        <v>1351800</v>
      </c>
      <c r="I427" s="440">
        <f>I428+I438+I433</f>
        <v>985609.95</v>
      </c>
      <c r="J427" s="465">
        <f>J428+J438+J433</f>
        <v>984438.26</v>
      </c>
      <c r="K427" s="603">
        <f>K428+K438+K433</f>
        <v>984438.26</v>
      </c>
      <c r="L427" s="564">
        <f t="shared" si="75"/>
        <v>0</v>
      </c>
      <c r="M427" s="565">
        <f t="shared" si="76"/>
        <v>64.477224259889965</v>
      </c>
      <c r="N427" s="565">
        <f t="shared" si="77"/>
        <v>64.477224259889965</v>
      </c>
    </row>
    <row r="428" spans="1:14" ht="50.95" outlineLevel="7" x14ac:dyDescent="0.3">
      <c r="A428" s="444" t="s">
        <v>933</v>
      </c>
      <c r="B428" s="439" t="s">
        <v>500</v>
      </c>
      <c r="C428" s="445" t="s">
        <v>95</v>
      </c>
      <c r="D428" s="541" t="s">
        <v>129</v>
      </c>
      <c r="E428" s="541" t="s">
        <v>6</v>
      </c>
      <c r="F428" s="542">
        <v>60804.39</v>
      </c>
      <c r="G428" s="508">
        <f t="shared" ref="G428:K431" si="80">G429</f>
        <v>150000</v>
      </c>
      <c r="H428" s="446">
        <f t="shared" si="80"/>
        <v>0</v>
      </c>
      <c r="I428" s="446">
        <f t="shared" si="80"/>
        <v>150000</v>
      </c>
      <c r="J428" s="508">
        <f t="shared" si="80"/>
        <v>150000</v>
      </c>
      <c r="K428" s="606">
        <f t="shared" si="80"/>
        <v>150000</v>
      </c>
      <c r="L428" s="564">
        <f t="shared" si="75"/>
        <v>0</v>
      </c>
      <c r="M428" s="565">
        <f t="shared" si="76"/>
        <v>100</v>
      </c>
      <c r="N428" s="565">
        <f t="shared" si="77"/>
        <v>100</v>
      </c>
    </row>
    <row r="429" spans="1:14" ht="34" outlineLevel="7" x14ac:dyDescent="0.3">
      <c r="A429" s="438" t="s">
        <v>372</v>
      </c>
      <c r="B429" s="439" t="s">
        <v>500</v>
      </c>
      <c r="C429" s="439" t="s">
        <v>95</v>
      </c>
      <c r="D429" s="539" t="s">
        <v>441</v>
      </c>
      <c r="E429" s="539" t="s">
        <v>6</v>
      </c>
      <c r="F429" s="540">
        <v>60804.39</v>
      </c>
      <c r="G429" s="465">
        <f t="shared" si="80"/>
        <v>150000</v>
      </c>
      <c r="H429" s="440">
        <f t="shared" si="80"/>
        <v>0</v>
      </c>
      <c r="I429" s="440">
        <f t="shared" si="80"/>
        <v>150000</v>
      </c>
      <c r="J429" s="465">
        <f t="shared" si="80"/>
        <v>150000</v>
      </c>
      <c r="K429" s="603">
        <f t="shared" si="80"/>
        <v>150000</v>
      </c>
      <c r="L429" s="564">
        <f t="shared" si="75"/>
        <v>0</v>
      </c>
      <c r="M429" s="565">
        <f t="shared" si="76"/>
        <v>100</v>
      </c>
      <c r="N429" s="565">
        <f t="shared" si="77"/>
        <v>100</v>
      </c>
    </row>
    <row r="430" spans="1:14" ht="34" outlineLevel="7" x14ac:dyDescent="0.3">
      <c r="A430" s="438" t="s">
        <v>99</v>
      </c>
      <c r="B430" s="439" t="s">
        <v>500</v>
      </c>
      <c r="C430" s="439" t="s">
        <v>95</v>
      </c>
      <c r="D430" s="539" t="s">
        <v>416</v>
      </c>
      <c r="E430" s="539" t="s">
        <v>6</v>
      </c>
      <c r="F430" s="540">
        <v>60804.39</v>
      </c>
      <c r="G430" s="465">
        <f t="shared" si="80"/>
        <v>150000</v>
      </c>
      <c r="H430" s="440">
        <f t="shared" si="80"/>
        <v>0</v>
      </c>
      <c r="I430" s="440">
        <f t="shared" si="80"/>
        <v>150000</v>
      </c>
      <c r="J430" s="465">
        <f t="shared" si="80"/>
        <v>150000</v>
      </c>
      <c r="K430" s="603">
        <f t="shared" si="80"/>
        <v>150000</v>
      </c>
      <c r="L430" s="564">
        <f t="shared" si="75"/>
        <v>0</v>
      </c>
      <c r="M430" s="565">
        <f t="shared" si="76"/>
        <v>100</v>
      </c>
      <c r="N430" s="565">
        <f t="shared" si="77"/>
        <v>100</v>
      </c>
    </row>
    <row r="431" spans="1:14" outlineLevel="7" x14ac:dyDescent="0.3">
      <c r="A431" s="438" t="s">
        <v>90</v>
      </c>
      <c r="B431" s="439" t="s">
        <v>500</v>
      </c>
      <c r="C431" s="439" t="s">
        <v>95</v>
      </c>
      <c r="D431" s="539" t="s">
        <v>416</v>
      </c>
      <c r="E431" s="539" t="s">
        <v>91</v>
      </c>
      <c r="F431" s="540">
        <v>60804.39</v>
      </c>
      <c r="G431" s="465">
        <f t="shared" si="80"/>
        <v>150000</v>
      </c>
      <c r="H431" s="465">
        <v>0</v>
      </c>
      <c r="I431" s="440">
        <f t="shared" si="80"/>
        <v>150000</v>
      </c>
      <c r="J431" s="465">
        <f t="shared" si="80"/>
        <v>150000</v>
      </c>
      <c r="K431" s="603">
        <f t="shared" si="80"/>
        <v>150000</v>
      </c>
      <c r="L431" s="564">
        <f t="shared" si="75"/>
        <v>0</v>
      </c>
      <c r="M431" s="565">
        <f t="shared" si="76"/>
        <v>100</v>
      </c>
      <c r="N431" s="565">
        <f t="shared" si="77"/>
        <v>100</v>
      </c>
    </row>
    <row r="432" spans="1:14" ht="34" outlineLevel="7" x14ac:dyDescent="0.3">
      <c r="A432" s="438" t="s">
        <v>97</v>
      </c>
      <c r="B432" s="439" t="s">
        <v>500</v>
      </c>
      <c r="C432" s="439" t="s">
        <v>95</v>
      </c>
      <c r="D432" s="539" t="s">
        <v>416</v>
      </c>
      <c r="E432" s="539" t="s">
        <v>98</v>
      </c>
      <c r="F432" s="540">
        <v>60804.39</v>
      </c>
      <c r="G432" s="466">
        <v>150000</v>
      </c>
      <c r="H432" s="466">
        <v>0</v>
      </c>
      <c r="I432" s="442">
        <v>150000</v>
      </c>
      <c r="J432" s="466">
        <v>150000</v>
      </c>
      <c r="K432" s="604">
        <v>150000</v>
      </c>
      <c r="L432" s="564">
        <f t="shared" si="75"/>
        <v>0</v>
      </c>
      <c r="M432" s="565">
        <f t="shared" si="76"/>
        <v>100</v>
      </c>
      <c r="N432" s="565">
        <f t="shared" si="77"/>
        <v>100</v>
      </c>
    </row>
    <row r="433" spans="1:14" ht="50.95" outlineLevel="1" x14ac:dyDescent="0.3">
      <c r="A433" s="444" t="s">
        <v>838</v>
      </c>
      <c r="B433" s="439" t="s">
        <v>500</v>
      </c>
      <c r="C433" s="445" t="s">
        <v>95</v>
      </c>
      <c r="D433" s="541" t="s">
        <v>374</v>
      </c>
      <c r="E433" s="541" t="s">
        <v>6</v>
      </c>
      <c r="F433" s="542">
        <v>558600</v>
      </c>
      <c r="G433" s="507">
        <f t="shared" ref="G433:K436" si="81">G434</f>
        <v>1276800</v>
      </c>
      <c r="H433" s="448">
        <f t="shared" si="81"/>
        <v>1276800</v>
      </c>
      <c r="I433" s="448">
        <f t="shared" si="81"/>
        <v>735609.95</v>
      </c>
      <c r="J433" s="507">
        <f t="shared" si="81"/>
        <v>734438.26</v>
      </c>
      <c r="K433" s="605">
        <f t="shared" si="81"/>
        <v>734438.26</v>
      </c>
      <c r="L433" s="564">
        <f t="shared" si="75"/>
        <v>0</v>
      </c>
      <c r="M433" s="565">
        <f t="shared" si="76"/>
        <v>57.521793546365913</v>
      </c>
      <c r="N433" s="565">
        <f t="shared" si="77"/>
        <v>57.52179354636592</v>
      </c>
    </row>
    <row r="434" spans="1:14" ht="44.5" customHeight="1" outlineLevel="1" x14ac:dyDescent="0.3">
      <c r="A434" s="438" t="s">
        <v>394</v>
      </c>
      <c r="B434" s="439" t="s">
        <v>500</v>
      </c>
      <c r="C434" s="439" t="s">
        <v>95</v>
      </c>
      <c r="D434" s="539" t="s">
        <v>375</v>
      </c>
      <c r="E434" s="539" t="s">
        <v>6</v>
      </c>
      <c r="F434" s="540">
        <v>558600</v>
      </c>
      <c r="G434" s="466">
        <f t="shared" si="81"/>
        <v>1276800</v>
      </c>
      <c r="H434" s="442">
        <f t="shared" si="81"/>
        <v>1276800</v>
      </c>
      <c r="I434" s="442">
        <f t="shared" si="81"/>
        <v>735609.95</v>
      </c>
      <c r="J434" s="466">
        <f t="shared" si="81"/>
        <v>734438.26</v>
      </c>
      <c r="K434" s="604">
        <f t="shared" si="81"/>
        <v>734438.26</v>
      </c>
      <c r="L434" s="564">
        <f t="shared" si="75"/>
        <v>0</v>
      </c>
      <c r="M434" s="565">
        <f t="shared" si="76"/>
        <v>57.521793546365913</v>
      </c>
      <c r="N434" s="565">
        <f t="shared" si="77"/>
        <v>57.52179354636592</v>
      </c>
    </row>
    <row r="435" spans="1:14" ht="34" outlineLevel="1" x14ac:dyDescent="0.3">
      <c r="A435" s="438" t="s">
        <v>96</v>
      </c>
      <c r="B435" s="439" t="s">
        <v>500</v>
      </c>
      <c r="C435" s="439" t="s">
        <v>95</v>
      </c>
      <c r="D435" s="539" t="s">
        <v>376</v>
      </c>
      <c r="E435" s="539" t="s">
        <v>6</v>
      </c>
      <c r="F435" s="540">
        <v>558600</v>
      </c>
      <c r="G435" s="465">
        <f t="shared" si="81"/>
        <v>1276800</v>
      </c>
      <c r="H435" s="440">
        <f t="shared" si="81"/>
        <v>1276800</v>
      </c>
      <c r="I435" s="440">
        <f t="shared" si="81"/>
        <v>735609.95</v>
      </c>
      <c r="J435" s="465">
        <f t="shared" si="81"/>
        <v>734438.26</v>
      </c>
      <c r="K435" s="603">
        <f t="shared" si="81"/>
        <v>734438.26</v>
      </c>
      <c r="L435" s="564">
        <f t="shared" si="75"/>
        <v>0</v>
      </c>
      <c r="M435" s="565">
        <f t="shared" si="76"/>
        <v>57.521793546365913</v>
      </c>
      <c r="N435" s="565">
        <f t="shared" si="77"/>
        <v>57.52179354636592</v>
      </c>
    </row>
    <row r="436" spans="1:14" outlineLevel="1" x14ac:dyDescent="0.3">
      <c r="A436" s="438" t="s">
        <v>90</v>
      </c>
      <c r="B436" s="439" t="s">
        <v>500</v>
      </c>
      <c r="C436" s="439" t="s">
        <v>95</v>
      </c>
      <c r="D436" s="539" t="s">
        <v>376</v>
      </c>
      <c r="E436" s="539" t="s">
        <v>91</v>
      </c>
      <c r="F436" s="540">
        <v>558600</v>
      </c>
      <c r="G436" s="466">
        <f t="shared" si="81"/>
        <v>1276800</v>
      </c>
      <c r="H436" s="370">
        <v>1276800</v>
      </c>
      <c r="I436" s="442">
        <f t="shared" si="81"/>
        <v>735609.95</v>
      </c>
      <c r="J436" s="466">
        <f t="shared" si="81"/>
        <v>734438.26</v>
      </c>
      <c r="K436" s="604">
        <f t="shared" si="81"/>
        <v>734438.26</v>
      </c>
      <c r="L436" s="564">
        <f t="shared" si="75"/>
        <v>0</v>
      </c>
      <c r="M436" s="565">
        <f t="shared" si="76"/>
        <v>57.521793546365913</v>
      </c>
      <c r="N436" s="565">
        <f t="shared" si="77"/>
        <v>57.52179354636592</v>
      </c>
    </row>
    <row r="437" spans="1:14" ht="34" outlineLevel="1" x14ac:dyDescent="0.3">
      <c r="A437" s="438" t="s">
        <v>97</v>
      </c>
      <c r="B437" s="439" t="s">
        <v>500</v>
      </c>
      <c r="C437" s="439" t="s">
        <v>95</v>
      </c>
      <c r="D437" s="539" t="s">
        <v>376</v>
      </c>
      <c r="E437" s="539" t="s">
        <v>98</v>
      </c>
      <c r="F437" s="540">
        <v>558600</v>
      </c>
      <c r="G437" s="465">
        <f>742359.04+534440.96</f>
        <v>1276800</v>
      </c>
      <c r="H437" s="370">
        <v>1276800</v>
      </c>
      <c r="I437" s="440">
        <v>735609.95</v>
      </c>
      <c r="J437" s="466">
        <f>173500+560938.26</f>
        <v>734438.26</v>
      </c>
      <c r="K437" s="604">
        <f>173500+560938.26</f>
        <v>734438.26</v>
      </c>
      <c r="L437" s="564">
        <f t="shared" si="75"/>
        <v>0</v>
      </c>
      <c r="M437" s="565">
        <f t="shared" si="76"/>
        <v>57.521793546365913</v>
      </c>
      <c r="N437" s="565">
        <f t="shared" si="77"/>
        <v>57.52179354636592</v>
      </c>
    </row>
    <row r="438" spans="1:14" ht="34" outlineLevel="1" x14ac:dyDescent="0.3">
      <c r="A438" s="444" t="s">
        <v>132</v>
      </c>
      <c r="B438" s="445" t="s">
        <v>500</v>
      </c>
      <c r="C438" s="445" t="s">
        <v>95</v>
      </c>
      <c r="D438" s="541" t="s">
        <v>127</v>
      </c>
      <c r="E438" s="541" t="s">
        <v>6</v>
      </c>
      <c r="F438" s="540">
        <v>60000</v>
      </c>
      <c r="G438" s="507">
        <f t="shared" ref="G438:K440" si="82">G439</f>
        <v>100000</v>
      </c>
      <c r="H438" s="448">
        <f t="shared" si="82"/>
        <v>75000</v>
      </c>
      <c r="I438" s="448">
        <f t="shared" si="82"/>
        <v>100000</v>
      </c>
      <c r="J438" s="507">
        <f t="shared" si="82"/>
        <v>100000</v>
      </c>
      <c r="K438" s="605">
        <f t="shared" si="82"/>
        <v>100000</v>
      </c>
      <c r="L438" s="564">
        <f t="shared" si="75"/>
        <v>0</v>
      </c>
      <c r="M438" s="565">
        <f t="shared" si="76"/>
        <v>100</v>
      </c>
      <c r="N438" s="565">
        <f t="shared" si="77"/>
        <v>100</v>
      </c>
    </row>
    <row r="439" spans="1:14" ht="34" outlineLevel="1" x14ac:dyDescent="0.3">
      <c r="A439" s="438" t="s">
        <v>526</v>
      </c>
      <c r="B439" s="439" t="s">
        <v>500</v>
      </c>
      <c r="C439" s="439" t="s">
        <v>95</v>
      </c>
      <c r="D439" s="539" t="s">
        <v>539</v>
      </c>
      <c r="E439" s="539" t="s">
        <v>6</v>
      </c>
      <c r="F439" s="540">
        <v>60000</v>
      </c>
      <c r="G439" s="466">
        <f t="shared" si="82"/>
        <v>100000</v>
      </c>
      <c r="H439" s="442">
        <f t="shared" si="82"/>
        <v>75000</v>
      </c>
      <c r="I439" s="442">
        <f t="shared" si="82"/>
        <v>100000</v>
      </c>
      <c r="J439" s="466">
        <f t="shared" si="82"/>
        <v>100000</v>
      </c>
      <c r="K439" s="604">
        <f t="shared" si="82"/>
        <v>100000</v>
      </c>
      <c r="L439" s="564">
        <f t="shared" si="75"/>
        <v>0</v>
      </c>
      <c r="M439" s="565">
        <f t="shared" si="76"/>
        <v>100</v>
      </c>
      <c r="N439" s="565">
        <f t="shared" si="77"/>
        <v>100</v>
      </c>
    </row>
    <row r="440" spans="1:14" outlineLevel="1" x14ac:dyDescent="0.3">
      <c r="A440" s="438" t="s">
        <v>90</v>
      </c>
      <c r="B440" s="439" t="s">
        <v>500</v>
      </c>
      <c r="C440" s="439" t="s">
        <v>95</v>
      </c>
      <c r="D440" s="539" t="s">
        <v>539</v>
      </c>
      <c r="E440" s="539" t="s">
        <v>91</v>
      </c>
      <c r="F440" s="540">
        <v>60000</v>
      </c>
      <c r="G440" s="466">
        <f t="shared" si="82"/>
        <v>100000</v>
      </c>
      <c r="H440" s="370">
        <v>75000</v>
      </c>
      <c r="I440" s="442">
        <f t="shared" si="82"/>
        <v>100000</v>
      </c>
      <c r="J440" s="466">
        <f t="shared" si="82"/>
        <v>100000</v>
      </c>
      <c r="K440" s="604">
        <f t="shared" si="82"/>
        <v>100000</v>
      </c>
      <c r="L440" s="564">
        <f t="shared" si="75"/>
        <v>0</v>
      </c>
      <c r="M440" s="565">
        <f t="shared" si="76"/>
        <v>100</v>
      </c>
      <c r="N440" s="565">
        <f t="shared" si="77"/>
        <v>100</v>
      </c>
    </row>
    <row r="441" spans="1:14" ht="20.25" customHeight="1" outlineLevel="1" x14ac:dyDescent="0.3">
      <c r="A441" s="438" t="s">
        <v>309</v>
      </c>
      <c r="B441" s="439" t="s">
        <v>500</v>
      </c>
      <c r="C441" s="439" t="s">
        <v>95</v>
      </c>
      <c r="D441" s="539" t="s">
        <v>539</v>
      </c>
      <c r="E441" s="539" t="s">
        <v>310</v>
      </c>
      <c r="F441" s="540">
        <v>60000</v>
      </c>
      <c r="G441" s="465">
        <f>[2]потребность!I407</f>
        <v>100000</v>
      </c>
      <c r="H441" s="370">
        <v>75000</v>
      </c>
      <c r="I441" s="440">
        <v>100000</v>
      </c>
      <c r="J441" s="465">
        <v>100000</v>
      </c>
      <c r="K441" s="603">
        <v>100000</v>
      </c>
      <c r="L441" s="564">
        <f t="shared" si="75"/>
        <v>0</v>
      </c>
      <c r="M441" s="565">
        <f t="shared" si="76"/>
        <v>100</v>
      </c>
      <c r="N441" s="565">
        <f t="shared" si="77"/>
        <v>100</v>
      </c>
    </row>
    <row r="442" spans="1:14" outlineLevel="1" x14ac:dyDescent="0.3">
      <c r="A442" s="438" t="s">
        <v>123</v>
      </c>
      <c r="B442" s="439" t="s">
        <v>500</v>
      </c>
      <c r="C442" s="439" t="s">
        <v>124</v>
      </c>
      <c r="D442" s="539" t="s">
        <v>126</v>
      </c>
      <c r="E442" s="539" t="s">
        <v>6</v>
      </c>
      <c r="F442" s="540">
        <v>31400196.27</v>
      </c>
      <c r="G442" s="466">
        <f t="shared" ref="G442:K443" si="83">G443</f>
        <v>47456869.619999997</v>
      </c>
      <c r="H442" s="442">
        <f t="shared" si="83"/>
        <v>20087351.119999997</v>
      </c>
      <c r="I442" s="442">
        <f t="shared" si="83"/>
        <v>59124839</v>
      </c>
      <c r="J442" s="466">
        <f t="shared" si="83"/>
        <v>84007682.859999999</v>
      </c>
      <c r="K442" s="604">
        <f t="shared" si="83"/>
        <v>84007682.859999999</v>
      </c>
      <c r="L442" s="564">
        <f t="shared" si="75"/>
        <v>0</v>
      </c>
      <c r="M442" s="565">
        <f t="shared" si="76"/>
        <v>177.0190143864782</v>
      </c>
      <c r="N442" s="565">
        <f t="shared" si="77"/>
        <v>177.0190143864782</v>
      </c>
    </row>
    <row r="443" spans="1:14" ht="34" outlineLevel="1" x14ac:dyDescent="0.3">
      <c r="A443" s="444" t="s">
        <v>132</v>
      </c>
      <c r="B443" s="445" t="s">
        <v>500</v>
      </c>
      <c r="C443" s="445" t="s">
        <v>124</v>
      </c>
      <c r="D443" s="541" t="s">
        <v>127</v>
      </c>
      <c r="E443" s="541" t="s">
        <v>6</v>
      </c>
      <c r="F443" s="540">
        <v>31400196.27</v>
      </c>
      <c r="G443" s="507">
        <f t="shared" si="83"/>
        <v>47456869.619999997</v>
      </c>
      <c r="H443" s="448">
        <f t="shared" si="83"/>
        <v>20087351.119999997</v>
      </c>
      <c r="I443" s="448">
        <f t="shared" si="83"/>
        <v>59124839</v>
      </c>
      <c r="J443" s="507">
        <f t="shared" si="83"/>
        <v>84007682.859999999</v>
      </c>
      <c r="K443" s="605">
        <f t="shared" si="83"/>
        <v>84007682.859999999</v>
      </c>
      <c r="L443" s="564">
        <f t="shared" si="75"/>
        <v>0</v>
      </c>
      <c r="M443" s="565">
        <f t="shared" si="76"/>
        <v>177.0190143864782</v>
      </c>
      <c r="N443" s="565">
        <f t="shared" si="77"/>
        <v>177.0190143864782</v>
      </c>
    </row>
    <row r="444" spans="1:14" outlineLevel="1" x14ac:dyDescent="0.3">
      <c r="A444" s="438" t="s">
        <v>277</v>
      </c>
      <c r="B444" s="439" t="s">
        <v>500</v>
      </c>
      <c r="C444" s="439" t="s">
        <v>124</v>
      </c>
      <c r="D444" s="539" t="s">
        <v>276</v>
      </c>
      <c r="E444" s="539" t="s">
        <v>6</v>
      </c>
      <c r="F444" s="540">
        <v>31400196.27</v>
      </c>
      <c r="G444" s="466">
        <f>G454+G445+G451</f>
        <v>47456869.619999997</v>
      </c>
      <c r="H444" s="442">
        <f>H454+H445+H451</f>
        <v>20087351.119999997</v>
      </c>
      <c r="I444" s="442">
        <f>I454+I445+I451</f>
        <v>59124839</v>
      </c>
      <c r="J444" s="466">
        <f>J454+J445+J451</f>
        <v>84007682.859999999</v>
      </c>
      <c r="K444" s="604">
        <f>K454+K445+K451</f>
        <v>84007682.859999999</v>
      </c>
      <c r="L444" s="564">
        <f t="shared" si="75"/>
        <v>0</v>
      </c>
      <c r="M444" s="565">
        <f t="shared" si="76"/>
        <v>177.0190143864782</v>
      </c>
      <c r="N444" s="565">
        <f t="shared" si="77"/>
        <v>177.0190143864782</v>
      </c>
    </row>
    <row r="445" spans="1:14" s="449" customFormat="1" ht="101.9" outlineLevel="1" x14ac:dyDescent="0.3">
      <c r="A445" s="393" t="s">
        <v>431</v>
      </c>
      <c r="B445" s="439" t="s">
        <v>500</v>
      </c>
      <c r="C445" s="439" t="s">
        <v>124</v>
      </c>
      <c r="D445" s="539" t="s">
        <v>432</v>
      </c>
      <c r="E445" s="539" t="s">
        <v>6</v>
      </c>
      <c r="F445" s="540">
        <v>456463.12</v>
      </c>
      <c r="G445" s="465">
        <f>G446+G448</f>
        <v>22326590.18</v>
      </c>
      <c r="H445" s="440">
        <f>H446+H448</f>
        <v>10072207.699999999</v>
      </c>
      <c r="I445" s="440">
        <f>I446+I448</f>
        <v>22604954.34</v>
      </c>
      <c r="J445" s="465">
        <f>J446+J448</f>
        <v>36028492.670000002</v>
      </c>
      <c r="K445" s="603">
        <f>K446+K448</f>
        <v>36028492.670000002</v>
      </c>
      <c r="L445" s="564">
        <f t="shared" si="75"/>
        <v>0</v>
      </c>
      <c r="M445" s="565">
        <f t="shared" si="76"/>
        <v>161.37033187572936</v>
      </c>
      <c r="N445" s="565">
        <f t="shared" si="77"/>
        <v>161.37033187572936</v>
      </c>
    </row>
    <row r="446" spans="1:14" ht="34" outlineLevel="1" x14ac:dyDescent="0.3">
      <c r="A446" s="438" t="s">
        <v>15</v>
      </c>
      <c r="B446" s="439" t="s">
        <v>500</v>
      </c>
      <c r="C446" s="439" t="s">
        <v>124</v>
      </c>
      <c r="D446" s="539" t="s">
        <v>432</v>
      </c>
      <c r="E446" s="539" t="s">
        <v>16</v>
      </c>
      <c r="F446" s="540">
        <v>456463.12</v>
      </c>
      <c r="G446" s="465">
        <f>G447</f>
        <v>130000</v>
      </c>
      <c r="H446" s="370">
        <v>74643.25</v>
      </c>
      <c r="I446" s="440">
        <f>I447</f>
        <v>130000</v>
      </c>
      <c r="J446" s="465">
        <f>J447</f>
        <v>130000</v>
      </c>
      <c r="K446" s="603">
        <f>K447</f>
        <v>130000</v>
      </c>
      <c r="L446" s="564">
        <f t="shared" si="75"/>
        <v>0</v>
      </c>
      <c r="M446" s="565">
        <f t="shared" si="76"/>
        <v>100</v>
      </c>
      <c r="N446" s="565">
        <f t="shared" si="77"/>
        <v>100</v>
      </c>
    </row>
    <row r="447" spans="1:14" s="449" customFormat="1" ht="37.549999999999997" customHeight="1" outlineLevel="1" x14ac:dyDescent="0.3">
      <c r="A447" s="438" t="s">
        <v>17</v>
      </c>
      <c r="B447" s="439" t="s">
        <v>500</v>
      </c>
      <c r="C447" s="439" t="s">
        <v>124</v>
      </c>
      <c r="D447" s="539" t="s">
        <v>432</v>
      </c>
      <c r="E447" s="539" t="s">
        <v>18</v>
      </c>
      <c r="F447" s="540">
        <v>456463.12</v>
      </c>
      <c r="G447" s="465">
        <v>130000</v>
      </c>
      <c r="H447" s="370">
        <v>74643.25</v>
      </c>
      <c r="I447" s="440">
        <v>130000</v>
      </c>
      <c r="J447" s="507">
        <v>130000</v>
      </c>
      <c r="K447" s="605">
        <v>130000</v>
      </c>
      <c r="L447" s="564">
        <f t="shared" si="75"/>
        <v>0</v>
      </c>
      <c r="M447" s="565">
        <f t="shared" si="76"/>
        <v>100</v>
      </c>
      <c r="N447" s="565">
        <f t="shared" si="77"/>
        <v>100</v>
      </c>
    </row>
    <row r="448" spans="1:14" outlineLevel="1" x14ac:dyDescent="0.3">
      <c r="A448" s="438" t="s">
        <v>90</v>
      </c>
      <c r="B448" s="439" t="s">
        <v>500</v>
      </c>
      <c r="C448" s="439" t="s">
        <v>124</v>
      </c>
      <c r="D448" s="539" t="s">
        <v>432</v>
      </c>
      <c r="E448" s="539" t="s">
        <v>91</v>
      </c>
      <c r="F448" s="540">
        <v>13734787.529999999</v>
      </c>
      <c r="G448" s="465">
        <f>G449+G450</f>
        <v>22196590.18</v>
      </c>
      <c r="H448" s="370">
        <v>9997564.4499999993</v>
      </c>
      <c r="I448" s="440">
        <f>I449+I450</f>
        <v>22474954.34</v>
      </c>
      <c r="J448" s="465">
        <f>J449+J450</f>
        <v>35898492.670000002</v>
      </c>
      <c r="K448" s="603">
        <f>K449+K450</f>
        <v>35898492.670000002</v>
      </c>
      <c r="L448" s="564">
        <f t="shared" si="75"/>
        <v>0</v>
      </c>
      <c r="M448" s="565">
        <f t="shared" si="76"/>
        <v>161.72976290000594</v>
      </c>
      <c r="N448" s="565">
        <f t="shared" si="77"/>
        <v>161.72976290000594</v>
      </c>
    </row>
    <row r="449" spans="1:14" ht="39.4" customHeight="1" outlineLevel="1" x14ac:dyDescent="0.3">
      <c r="A449" s="438" t="s">
        <v>92</v>
      </c>
      <c r="B449" s="439" t="s">
        <v>500</v>
      </c>
      <c r="C449" s="439" t="s">
        <v>124</v>
      </c>
      <c r="D449" s="539" t="s">
        <v>432</v>
      </c>
      <c r="E449" s="539" t="s">
        <v>93</v>
      </c>
      <c r="F449" s="540">
        <v>105651.19</v>
      </c>
      <c r="G449" s="465">
        <f>19797344.4+399245.78</f>
        <v>20196590.18</v>
      </c>
      <c r="H449" s="370">
        <v>8539128.2200000007</v>
      </c>
      <c r="I449" s="440">
        <v>20474954.34</v>
      </c>
      <c r="J449" s="466">
        <v>33898492.670000002</v>
      </c>
      <c r="K449" s="604">
        <v>33898492.670000002</v>
      </c>
      <c r="L449" s="564">
        <f t="shared" si="75"/>
        <v>0</v>
      </c>
      <c r="M449" s="565">
        <f t="shared" si="76"/>
        <v>167.84265248679716</v>
      </c>
      <c r="N449" s="565">
        <f t="shared" si="77"/>
        <v>167.84265248679716</v>
      </c>
    </row>
    <row r="450" spans="1:14" ht="47.25" customHeight="1" outlineLevel="1" x14ac:dyDescent="0.3">
      <c r="A450" s="438" t="s">
        <v>97</v>
      </c>
      <c r="B450" s="439" t="s">
        <v>500</v>
      </c>
      <c r="C450" s="439" t="s">
        <v>124</v>
      </c>
      <c r="D450" s="539" t="s">
        <v>432</v>
      </c>
      <c r="E450" s="539" t="s">
        <v>98</v>
      </c>
      <c r="F450" s="540">
        <v>105651.19</v>
      </c>
      <c r="G450" s="465">
        <v>2000000</v>
      </c>
      <c r="H450" s="370">
        <v>1458436.23</v>
      </c>
      <c r="I450" s="440">
        <v>2000000</v>
      </c>
      <c r="J450" s="466">
        <v>2000000</v>
      </c>
      <c r="K450" s="604">
        <v>2000000</v>
      </c>
      <c r="L450" s="564">
        <f t="shared" si="75"/>
        <v>0</v>
      </c>
      <c r="M450" s="565">
        <f t="shared" si="76"/>
        <v>100</v>
      </c>
      <c r="N450" s="565">
        <f t="shared" si="77"/>
        <v>100</v>
      </c>
    </row>
    <row r="451" spans="1:14" ht="84.25" customHeight="1" outlineLevel="1" x14ac:dyDescent="0.3">
      <c r="A451" s="393" t="s">
        <v>760</v>
      </c>
      <c r="B451" s="439" t="s">
        <v>500</v>
      </c>
      <c r="C451" s="439" t="s">
        <v>124</v>
      </c>
      <c r="D451" s="539" t="s">
        <v>792</v>
      </c>
      <c r="E451" s="539" t="s">
        <v>6</v>
      </c>
      <c r="F451" s="540">
        <v>13629136.34</v>
      </c>
      <c r="G451" s="465">
        <f t="shared" ref="G451:K452" si="84">G452</f>
        <v>16214571.039999999</v>
      </c>
      <c r="H451" s="440">
        <f t="shared" si="84"/>
        <v>10015143.42</v>
      </c>
      <c r="I451" s="440">
        <f t="shared" si="84"/>
        <v>16214571.039999999</v>
      </c>
      <c r="J451" s="465">
        <f t="shared" si="84"/>
        <v>21307950</v>
      </c>
      <c r="K451" s="603">
        <f t="shared" si="84"/>
        <v>21307950</v>
      </c>
      <c r="L451" s="564">
        <f t="shared" si="75"/>
        <v>0</v>
      </c>
      <c r="M451" s="565">
        <f t="shared" si="76"/>
        <v>131.41235711654079</v>
      </c>
      <c r="N451" s="565">
        <f t="shared" si="77"/>
        <v>131.41235711654079</v>
      </c>
    </row>
    <row r="452" spans="1:14" ht="40.75" customHeight="1" outlineLevel="1" x14ac:dyDescent="0.3">
      <c r="A452" s="438" t="s">
        <v>264</v>
      </c>
      <c r="B452" s="439" t="s">
        <v>500</v>
      </c>
      <c r="C452" s="439" t="s">
        <v>124</v>
      </c>
      <c r="D452" s="539" t="s">
        <v>792</v>
      </c>
      <c r="E452" s="539" t="s">
        <v>265</v>
      </c>
      <c r="F452" s="540">
        <v>11719309.77</v>
      </c>
      <c r="G452" s="465">
        <f t="shared" si="84"/>
        <v>16214571.039999999</v>
      </c>
      <c r="H452" s="370">
        <v>10015143.42</v>
      </c>
      <c r="I452" s="440">
        <f t="shared" si="84"/>
        <v>16214571.039999999</v>
      </c>
      <c r="J452" s="465">
        <f t="shared" si="84"/>
        <v>21307950</v>
      </c>
      <c r="K452" s="603">
        <f t="shared" si="84"/>
        <v>21307950</v>
      </c>
      <c r="L452" s="564">
        <f t="shared" si="75"/>
        <v>0</v>
      </c>
      <c r="M452" s="565">
        <f t="shared" si="76"/>
        <v>131.41235711654079</v>
      </c>
      <c r="N452" s="565">
        <f t="shared" si="77"/>
        <v>131.41235711654079</v>
      </c>
    </row>
    <row r="453" spans="1:14" ht="28.55" customHeight="1" outlineLevel="1" x14ac:dyDescent="0.3">
      <c r="A453" s="438" t="s">
        <v>266</v>
      </c>
      <c r="B453" s="439" t="s">
        <v>500</v>
      </c>
      <c r="C453" s="439" t="s">
        <v>124</v>
      </c>
      <c r="D453" s="539" t="s">
        <v>792</v>
      </c>
      <c r="E453" s="539" t="s">
        <v>267</v>
      </c>
      <c r="F453" s="540">
        <v>1909826.57</v>
      </c>
      <c r="G453" s="465">
        <v>16214571.039999999</v>
      </c>
      <c r="H453" s="370">
        <v>10015143.42</v>
      </c>
      <c r="I453" s="440">
        <v>16214571.039999999</v>
      </c>
      <c r="J453" s="466">
        <v>21307950</v>
      </c>
      <c r="K453" s="604">
        <v>21307950</v>
      </c>
      <c r="L453" s="564">
        <f t="shared" si="75"/>
        <v>0</v>
      </c>
      <c r="M453" s="565">
        <f t="shared" si="76"/>
        <v>131.41235711654079</v>
      </c>
      <c r="N453" s="565">
        <f t="shared" si="77"/>
        <v>131.41235711654079</v>
      </c>
    </row>
    <row r="454" spans="1:14" ht="89.15" customHeight="1" outlineLevel="1" x14ac:dyDescent="0.3">
      <c r="A454" s="393" t="s">
        <v>656</v>
      </c>
      <c r="B454" s="439" t="s">
        <v>500</v>
      </c>
      <c r="C454" s="439" t="s">
        <v>124</v>
      </c>
      <c r="D454" s="539" t="s">
        <v>295</v>
      </c>
      <c r="E454" s="539" t="s">
        <v>6</v>
      </c>
      <c r="F454" s="540">
        <v>17208945.620000001</v>
      </c>
      <c r="G454" s="466">
        <f t="shared" ref="G454:K455" si="85">G455</f>
        <v>8915708.4000000004</v>
      </c>
      <c r="H454" s="442">
        <f t="shared" si="85"/>
        <v>0</v>
      </c>
      <c r="I454" s="442">
        <f t="shared" si="85"/>
        <v>20305313.620000001</v>
      </c>
      <c r="J454" s="466">
        <f t="shared" si="85"/>
        <v>26671240.190000001</v>
      </c>
      <c r="K454" s="604">
        <f t="shared" si="85"/>
        <v>26671240.190000001</v>
      </c>
      <c r="L454" s="564">
        <f t="shared" si="75"/>
        <v>0</v>
      </c>
      <c r="M454" s="565">
        <f t="shared" si="76"/>
        <v>299.14886168776002</v>
      </c>
      <c r="N454" s="565">
        <f t="shared" si="77"/>
        <v>299.14886168776002</v>
      </c>
    </row>
    <row r="455" spans="1:14" ht="36.700000000000003" customHeight="1" outlineLevel="1" x14ac:dyDescent="0.3">
      <c r="A455" s="438" t="s">
        <v>264</v>
      </c>
      <c r="B455" s="439" t="s">
        <v>500</v>
      </c>
      <c r="C455" s="439" t="s">
        <v>124</v>
      </c>
      <c r="D455" s="539" t="s">
        <v>295</v>
      </c>
      <c r="E455" s="539" t="s">
        <v>265</v>
      </c>
      <c r="F455" s="540">
        <v>17208945.620000001</v>
      </c>
      <c r="G455" s="466">
        <f t="shared" si="85"/>
        <v>8915708.4000000004</v>
      </c>
      <c r="H455" s="442">
        <v>0</v>
      </c>
      <c r="I455" s="442">
        <f t="shared" si="85"/>
        <v>20305313.620000001</v>
      </c>
      <c r="J455" s="466">
        <f t="shared" si="85"/>
        <v>26671240.190000001</v>
      </c>
      <c r="K455" s="604">
        <f t="shared" si="85"/>
        <v>26671240.190000001</v>
      </c>
      <c r="L455" s="564">
        <f t="shared" si="75"/>
        <v>0</v>
      </c>
      <c r="M455" s="565">
        <f t="shared" si="76"/>
        <v>299.14886168776002</v>
      </c>
      <c r="N455" s="565">
        <f t="shared" si="77"/>
        <v>299.14886168776002</v>
      </c>
    </row>
    <row r="456" spans="1:14" outlineLevel="1" x14ac:dyDescent="0.3">
      <c r="A456" s="438" t="s">
        <v>266</v>
      </c>
      <c r="B456" s="439" t="s">
        <v>500</v>
      </c>
      <c r="C456" s="439" t="s">
        <v>124</v>
      </c>
      <c r="D456" s="539" t="s">
        <v>295</v>
      </c>
      <c r="E456" s="539" t="s">
        <v>267</v>
      </c>
      <c r="F456" s="540">
        <v>17208945.620000001</v>
      </c>
      <c r="G456" s="465">
        <f>10197469.69-468919.69-812841.6</f>
        <v>8915708.4000000004</v>
      </c>
      <c r="H456" s="440">
        <v>0</v>
      </c>
      <c r="I456" s="440">
        <v>20305313.620000001</v>
      </c>
      <c r="J456" s="466">
        <v>26671240.190000001</v>
      </c>
      <c r="K456" s="604">
        <v>26671240.190000001</v>
      </c>
      <c r="L456" s="564">
        <f t="shared" ref="L456:L519" si="86">K456-J456</f>
        <v>0</v>
      </c>
      <c r="M456" s="565">
        <f t="shared" si="76"/>
        <v>299.14886168776002</v>
      </c>
      <c r="N456" s="565">
        <f t="shared" si="77"/>
        <v>299.14886168776002</v>
      </c>
    </row>
    <row r="457" spans="1:14" outlineLevel="1" x14ac:dyDescent="0.3">
      <c r="A457" s="444" t="s">
        <v>100</v>
      </c>
      <c r="B457" s="445" t="s">
        <v>500</v>
      </c>
      <c r="C457" s="445" t="s">
        <v>101</v>
      </c>
      <c r="D457" s="541" t="s">
        <v>126</v>
      </c>
      <c r="E457" s="541" t="s">
        <v>6</v>
      </c>
      <c r="F457" s="540">
        <v>710998.64</v>
      </c>
      <c r="G457" s="507">
        <f>G458</f>
        <v>11156395.439999999</v>
      </c>
      <c r="H457" s="448">
        <f>H458</f>
        <v>10079819.859999999</v>
      </c>
      <c r="I457" s="448">
        <f>I458</f>
        <v>1973229.4</v>
      </c>
      <c r="J457" s="507">
        <f>J458</f>
        <v>4222913.54</v>
      </c>
      <c r="K457" s="605">
        <f>K458</f>
        <v>4222913.54</v>
      </c>
      <c r="L457" s="564">
        <f t="shared" si="86"/>
        <v>0</v>
      </c>
      <c r="M457" s="565">
        <f t="shared" si="76"/>
        <v>37.85195283468726</v>
      </c>
      <c r="N457" s="565">
        <f t="shared" si="77"/>
        <v>37.85195283468726</v>
      </c>
    </row>
    <row r="458" spans="1:14" ht="22.75" customHeight="1" outlineLevel="1" x14ac:dyDescent="0.3">
      <c r="A458" s="438" t="s">
        <v>301</v>
      </c>
      <c r="B458" s="439" t="s">
        <v>500</v>
      </c>
      <c r="C458" s="439" t="s">
        <v>300</v>
      </c>
      <c r="D458" s="539" t="s">
        <v>126</v>
      </c>
      <c r="E458" s="539" t="s">
        <v>6</v>
      </c>
      <c r="F458" s="540">
        <v>710998.64</v>
      </c>
      <c r="G458" s="466">
        <f>G459+G500</f>
        <v>11156395.439999999</v>
      </c>
      <c r="H458" s="442">
        <f>H459+H500</f>
        <v>10079819.859999999</v>
      </c>
      <c r="I458" s="442">
        <f>I459+I500</f>
        <v>1973229.4</v>
      </c>
      <c r="J458" s="466">
        <f>J459+J500</f>
        <v>4222913.54</v>
      </c>
      <c r="K458" s="604">
        <f>K459+K500</f>
        <v>4222913.54</v>
      </c>
      <c r="L458" s="564">
        <f t="shared" si="86"/>
        <v>0</v>
      </c>
      <c r="M458" s="565">
        <f t="shared" si="76"/>
        <v>37.85195283468726</v>
      </c>
      <c r="N458" s="565">
        <f t="shared" si="77"/>
        <v>37.85195283468726</v>
      </c>
    </row>
    <row r="459" spans="1:14" ht="59.8" customHeight="1" outlineLevel="1" x14ac:dyDescent="0.3">
      <c r="A459" s="444" t="s">
        <v>836</v>
      </c>
      <c r="B459" s="445" t="s">
        <v>500</v>
      </c>
      <c r="C459" s="445" t="s">
        <v>300</v>
      </c>
      <c r="D459" s="541" t="s">
        <v>200</v>
      </c>
      <c r="E459" s="541" t="s">
        <v>6</v>
      </c>
      <c r="F459" s="542">
        <v>660998.64</v>
      </c>
      <c r="G459" s="507">
        <f>G460+G484</f>
        <v>11106395.439999999</v>
      </c>
      <c r="H459" s="448">
        <f>H460+H484</f>
        <v>10029819.859999999</v>
      </c>
      <c r="I459" s="448">
        <f>I460+I484</f>
        <v>1923229.4</v>
      </c>
      <c r="J459" s="507">
        <f>J460+J484</f>
        <v>4172913.54</v>
      </c>
      <c r="K459" s="605">
        <f>K460+K484</f>
        <v>4172913.54</v>
      </c>
      <c r="L459" s="564">
        <f t="shared" si="86"/>
        <v>0</v>
      </c>
      <c r="M459" s="565">
        <f t="shared" si="76"/>
        <v>37.572167878798311</v>
      </c>
      <c r="N459" s="565">
        <f t="shared" si="77"/>
        <v>37.572167878798311</v>
      </c>
    </row>
    <row r="460" spans="1:14" ht="50.95" outlineLevel="1" x14ac:dyDescent="0.3">
      <c r="A460" s="438" t="s">
        <v>837</v>
      </c>
      <c r="B460" s="439" t="s">
        <v>500</v>
      </c>
      <c r="C460" s="439" t="s">
        <v>300</v>
      </c>
      <c r="D460" s="539" t="s">
        <v>230</v>
      </c>
      <c r="E460" s="539" t="s">
        <v>6</v>
      </c>
      <c r="F460" s="540">
        <v>660998.64</v>
      </c>
      <c r="G460" s="466">
        <f>G461+G466+G469+G472+G475</f>
        <v>9907138.4499999993</v>
      </c>
      <c r="H460" s="442">
        <f>H461+H466+H469+H472+H475</f>
        <v>9833329.7299999986</v>
      </c>
      <c r="I460" s="442">
        <f>I461+I466+I469+I472+I475</f>
        <v>661000</v>
      </c>
      <c r="J460" s="466">
        <f>J461+J466+J469+J472+J475+J478+J481+J488+J491</f>
        <v>3055571.62</v>
      </c>
      <c r="K460" s="604">
        <f>K461+K466+K469+K472+K475+K478+K481+K488+K491</f>
        <v>3055571.62</v>
      </c>
      <c r="L460" s="564">
        <f t="shared" si="86"/>
        <v>0</v>
      </c>
      <c r="M460" s="565">
        <f t="shared" ref="M460:M523" si="87">J460/G460%</f>
        <v>30.842120915348676</v>
      </c>
      <c r="N460" s="565">
        <f t="shared" ref="N460:N523" si="88">K460/G460*100</f>
        <v>30.842120915348676</v>
      </c>
    </row>
    <row r="461" spans="1:14" ht="28.55" customHeight="1" outlineLevel="1" x14ac:dyDescent="0.3">
      <c r="A461" s="438" t="s">
        <v>102</v>
      </c>
      <c r="B461" s="439" t="s">
        <v>500</v>
      </c>
      <c r="C461" s="439" t="s">
        <v>300</v>
      </c>
      <c r="D461" s="539" t="s">
        <v>201</v>
      </c>
      <c r="E461" s="539" t="s">
        <v>6</v>
      </c>
      <c r="F461" s="540">
        <v>660998.64</v>
      </c>
      <c r="G461" s="466">
        <f>G462+G464</f>
        <v>704500</v>
      </c>
      <c r="H461" s="442">
        <f>H462+H464</f>
        <v>630691.68000000005</v>
      </c>
      <c r="I461" s="442">
        <f>I462+I464</f>
        <v>661000</v>
      </c>
      <c r="J461" s="466">
        <f>J462+J464</f>
        <v>661000</v>
      </c>
      <c r="K461" s="604">
        <f>K462+K464</f>
        <v>661000</v>
      </c>
      <c r="L461" s="564">
        <f t="shared" si="86"/>
        <v>0</v>
      </c>
      <c r="M461" s="565">
        <f t="shared" si="87"/>
        <v>93.825408090844576</v>
      </c>
      <c r="N461" s="565">
        <f t="shared" si="88"/>
        <v>93.825408090844576</v>
      </c>
    </row>
    <row r="462" spans="1:14" ht="21.25" customHeight="1" outlineLevel="1" x14ac:dyDescent="0.3">
      <c r="A462" s="438" t="s">
        <v>15</v>
      </c>
      <c r="B462" s="439" t="s">
        <v>500</v>
      </c>
      <c r="C462" s="439" t="s">
        <v>300</v>
      </c>
      <c r="D462" s="539" t="s">
        <v>201</v>
      </c>
      <c r="E462" s="539" t="s">
        <v>16</v>
      </c>
      <c r="F462" s="540">
        <v>639298.64</v>
      </c>
      <c r="G462" s="466">
        <f>G463</f>
        <v>674500</v>
      </c>
      <c r="H462" s="370">
        <v>607991.68000000005</v>
      </c>
      <c r="I462" s="442">
        <f>I463</f>
        <v>631000</v>
      </c>
      <c r="J462" s="466">
        <f>J463</f>
        <v>631000</v>
      </c>
      <c r="K462" s="604">
        <f>K463</f>
        <v>631000</v>
      </c>
      <c r="L462" s="564">
        <f t="shared" si="86"/>
        <v>0</v>
      </c>
      <c r="M462" s="565">
        <f t="shared" si="87"/>
        <v>93.550778354336543</v>
      </c>
      <c r="N462" s="565">
        <f t="shared" si="88"/>
        <v>93.550778354336543</v>
      </c>
    </row>
    <row r="463" spans="1:14" s="449" customFormat="1" ht="34" outlineLevel="1" x14ac:dyDescent="0.3">
      <c r="A463" s="438" t="s">
        <v>17</v>
      </c>
      <c r="B463" s="439" t="s">
        <v>500</v>
      </c>
      <c r="C463" s="439" t="s">
        <v>300</v>
      </c>
      <c r="D463" s="539" t="s">
        <v>201</v>
      </c>
      <c r="E463" s="539" t="s">
        <v>18</v>
      </c>
      <c r="F463" s="540">
        <v>639298.64</v>
      </c>
      <c r="G463" s="466">
        <f>[2]потребность!L432-156500</f>
        <v>674500</v>
      </c>
      <c r="H463" s="370">
        <v>607991.68000000005</v>
      </c>
      <c r="I463" s="442">
        <v>631000</v>
      </c>
      <c r="J463" s="507">
        <v>631000</v>
      </c>
      <c r="K463" s="605">
        <v>631000</v>
      </c>
      <c r="L463" s="564">
        <f t="shared" si="86"/>
        <v>0</v>
      </c>
      <c r="M463" s="565">
        <f t="shared" si="87"/>
        <v>93.550778354336543</v>
      </c>
      <c r="N463" s="565">
        <f t="shared" si="88"/>
        <v>93.550778354336543</v>
      </c>
    </row>
    <row r="464" spans="1:14" ht="24.8" customHeight="1" outlineLevel="2" x14ac:dyDescent="0.3">
      <c r="A464" s="438" t="s">
        <v>271</v>
      </c>
      <c r="B464" s="439" t="s">
        <v>500</v>
      </c>
      <c r="C464" s="439" t="s">
        <v>300</v>
      </c>
      <c r="D464" s="539" t="s">
        <v>201</v>
      </c>
      <c r="E464" s="539" t="s">
        <v>20</v>
      </c>
      <c r="F464" s="540">
        <v>21700</v>
      </c>
      <c r="G464" s="466">
        <f>G465</f>
        <v>30000</v>
      </c>
      <c r="H464" s="370">
        <v>22700</v>
      </c>
      <c r="I464" s="442">
        <f>I465</f>
        <v>30000</v>
      </c>
      <c r="J464" s="466">
        <f>J465</f>
        <v>30000</v>
      </c>
      <c r="K464" s="604">
        <f>K465</f>
        <v>30000</v>
      </c>
      <c r="L464" s="564">
        <f t="shared" si="86"/>
        <v>0</v>
      </c>
      <c r="M464" s="565">
        <f t="shared" si="87"/>
        <v>100</v>
      </c>
      <c r="N464" s="565">
        <f t="shared" si="88"/>
        <v>100</v>
      </c>
    </row>
    <row r="465" spans="1:14" s="449" customFormat="1" ht="27.7" customHeight="1" outlineLevel="3" x14ac:dyDescent="0.3">
      <c r="A465" s="438" t="s">
        <v>272</v>
      </c>
      <c r="B465" s="439" t="s">
        <v>500</v>
      </c>
      <c r="C465" s="439" t="s">
        <v>300</v>
      </c>
      <c r="D465" s="539" t="s">
        <v>201</v>
      </c>
      <c r="E465" s="539" t="s">
        <v>22</v>
      </c>
      <c r="F465" s="540">
        <v>21700</v>
      </c>
      <c r="G465" s="466">
        <v>30000</v>
      </c>
      <c r="H465" s="370">
        <v>22700</v>
      </c>
      <c r="I465" s="442">
        <v>30000</v>
      </c>
      <c r="J465" s="507">
        <v>30000</v>
      </c>
      <c r="K465" s="605">
        <v>30000</v>
      </c>
      <c r="L465" s="564">
        <f t="shared" si="86"/>
        <v>0</v>
      </c>
      <c r="M465" s="565">
        <f t="shared" si="87"/>
        <v>100</v>
      </c>
      <c r="N465" s="565">
        <f t="shared" si="88"/>
        <v>100</v>
      </c>
    </row>
    <row r="466" spans="1:14" s="449" customFormat="1" ht="43.5" customHeight="1" outlineLevel="3" x14ac:dyDescent="0.3">
      <c r="A466" s="438" t="s">
        <v>281</v>
      </c>
      <c r="B466" s="439" t="s">
        <v>500</v>
      </c>
      <c r="C466" s="439" t="s">
        <v>300</v>
      </c>
      <c r="D466" s="539" t="s">
        <v>920</v>
      </c>
      <c r="E466" s="539" t="s">
        <v>6</v>
      </c>
      <c r="F466" s="539"/>
      <c r="G466" s="466">
        <f>G467</f>
        <v>6553690</v>
      </c>
      <c r="H466" s="442">
        <f>H467</f>
        <v>6553689.5999999996</v>
      </c>
      <c r="I466" s="442">
        <v>0</v>
      </c>
      <c r="J466" s="466">
        <f>J467</f>
        <v>0</v>
      </c>
      <c r="K466" s="604">
        <f>K467</f>
        <v>0</v>
      </c>
      <c r="L466" s="564">
        <f t="shared" si="86"/>
        <v>0</v>
      </c>
      <c r="M466" s="565">
        <f t="shared" si="87"/>
        <v>0</v>
      </c>
      <c r="N466" s="565">
        <f t="shared" si="88"/>
        <v>0</v>
      </c>
    </row>
    <row r="467" spans="1:14" s="449" customFormat="1" ht="27.7" customHeight="1" outlineLevel="3" x14ac:dyDescent="0.3">
      <c r="A467" s="438" t="s">
        <v>15</v>
      </c>
      <c r="B467" s="439" t="s">
        <v>500</v>
      </c>
      <c r="C467" s="439" t="s">
        <v>300</v>
      </c>
      <c r="D467" s="539" t="s">
        <v>920</v>
      </c>
      <c r="E467" s="539" t="s">
        <v>16</v>
      </c>
      <c r="F467" s="539"/>
      <c r="G467" s="466">
        <f>G468</f>
        <v>6553690</v>
      </c>
      <c r="H467" s="370">
        <v>6553689.5999999996</v>
      </c>
      <c r="I467" s="442">
        <v>0</v>
      </c>
      <c r="J467" s="466">
        <f>J468</f>
        <v>0</v>
      </c>
      <c r="K467" s="604">
        <f>K468</f>
        <v>0</v>
      </c>
      <c r="L467" s="564">
        <f t="shared" si="86"/>
        <v>0</v>
      </c>
      <c r="M467" s="565">
        <f t="shared" si="87"/>
        <v>0</v>
      </c>
      <c r="N467" s="565">
        <f t="shared" si="88"/>
        <v>0</v>
      </c>
    </row>
    <row r="468" spans="1:14" s="449" customFormat="1" ht="49.75" customHeight="1" outlineLevel="3" x14ac:dyDescent="0.3">
      <c r="A468" s="438" t="s">
        <v>17</v>
      </c>
      <c r="B468" s="439" t="s">
        <v>500</v>
      </c>
      <c r="C468" s="439" t="s">
        <v>300</v>
      </c>
      <c r="D468" s="539" t="s">
        <v>920</v>
      </c>
      <c r="E468" s="539" t="s">
        <v>18</v>
      </c>
      <c r="F468" s="539"/>
      <c r="G468" s="466">
        <v>6553690</v>
      </c>
      <c r="H468" s="370">
        <v>6553689.5999999996</v>
      </c>
      <c r="I468" s="442">
        <v>0</v>
      </c>
      <c r="J468" s="507">
        <v>0</v>
      </c>
      <c r="K468" s="605">
        <v>0</v>
      </c>
      <c r="L468" s="564">
        <f t="shared" si="86"/>
        <v>0</v>
      </c>
      <c r="M468" s="565">
        <f t="shared" si="87"/>
        <v>0</v>
      </c>
      <c r="N468" s="565">
        <f t="shared" si="88"/>
        <v>0</v>
      </c>
    </row>
    <row r="469" spans="1:14" s="449" customFormat="1" ht="38.049999999999997" customHeight="1" outlineLevel="3" x14ac:dyDescent="0.3">
      <c r="A469" s="438" t="s">
        <v>919</v>
      </c>
      <c r="B469" s="439" t="s">
        <v>500</v>
      </c>
      <c r="C469" s="439" t="s">
        <v>300</v>
      </c>
      <c r="D469" s="539" t="s">
        <v>921</v>
      </c>
      <c r="E469" s="539" t="s">
        <v>6</v>
      </c>
      <c r="F469" s="539"/>
      <c r="G469" s="466">
        <f>G470</f>
        <v>0</v>
      </c>
      <c r="H469" s="442">
        <f>H470</f>
        <v>0</v>
      </c>
      <c r="I469" s="442">
        <v>0</v>
      </c>
      <c r="J469" s="466">
        <f>J470</f>
        <v>0</v>
      </c>
      <c r="K469" s="604">
        <f>K470</f>
        <v>0</v>
      </c>
      <c r="L469" s="564">
        <f t="shared" si="86"/>
        <v>0</v>
      </c>
      <c r="M469" s="565"/>
      <c r="N469" s="565"/>
    </row>
    <row r="470" spans="1:14" s="449" customFormat="1" ht="27.7" customHeight="1" outlineLevel="3" x14ac:dyDescent="0.3">
      <c r="A470" s="438" t="s">
        <v>15</v>
      </c>
      <c r="B470" s="439" t="s">
        <v>500</v>
      </c>
      <c r="C470" s="439" t="s">
        <v>300</v>
      </c>
      <c r="D470" s="539" t="s">
        <v>921</v>
      </c>
      <c r="E470" s="539" t="s">
        <v>16</v>
      </c>
      <c r="F470" s="539"/>
      <c r="G470" s="466">
        <f>G471</f>
        <v>0</v>
      </c>
      <c r="H470" s="442">
        <f>H471</f>
        <v>0</v>
      </c>
      <c r="I470" s="442">
        <v>0</v>
      </c>
      <c r="J470" s="466">
        <f>J471</f>
        <v>0</v>
      </c>
      <c r="K470" s="604">
        <f>K471</f>
        <v>0</v>
      </c>
      <c r="L470" s="564">
        <f t="shared" si="86"/>
        <v>0</v>
      </c>
      <c r="M470" s="565"/>
      <c r="N470" s="565"/>
    </row>
    <row r="471" spans="1:14" s="449" customFormat="1" ht="41.95" customHeight="1" outlineLevel="3" x14ac:dyDescent="0.3">
      <c r="A471" s="438" t="s">
        <v>17</v>
      </c>
      <c r="B471" s="439" t="s">
        <v>500</v>
      </c>
      <c r="C471" s="439" t="s">
        <v>300</v>
      </c>
      <c r="D471" s="539" t="s">
        <v>921</v>
      </c>
      <c r="E471" s="539" t="s">
        <v>18</v>
      </c>
      <c r="F471" s="539"/>
      <c r="G471" s="466">
        <f>647275.5-317251-330024.5</f>
        <v>0</v>
      </c>
      <c r="H471" s="442">
        <f>647275.5-317251-330024.5</f>
        <v>0</v>
      </c>
      <c r="I471" s="442">
        <v>0</v>
      </c>
      <c r="J471" s="466">
        <f>647275.5-317251-330024.5</f>
        <v>0</v>
      </c>
      <c r="K471" s="604">
        <f>647275.5-317251-330024.5</f>
        <v>0</v>
      </c>
      <c r="L471" s="564">
        <f t="shared" si="86"/>
        <v>0</v>
      </c>
      <c r="M471" s="565"/>
      <c r="N471" s="565"/>
    </row>
    <row r="472" spans="1:14" s="449" customFormat="1" ht="59.8" customHeight="1" outlineLevel="3" x14ac:dyDescent="0.3">
      <c r="A472" s="453" t="s">
        <v>945</v>
      </c>
      <c r="B472" s="439" t="s">
        <v>500</v>
      </c>
      <c r="C472" s="439" t="s">
        <v>300</v>
      </c>
      <c r="D472" s="539" t="s">
        <v>946</v>
      </c>
      <c r="E472" s="539" t="s">
        <v>6</v>
      </c>
      <c r="F472" s="539"/>
      <c r="G472" s="466">
        <f t="shared" ref="G472:K473" si="89">G473</f>
        <v>2569480</v>
      </c>
      <c r="H472" s="442">
        <f t="shared" si="89"/>
        <v>2569480</v>
      </c>
      <c r="I472" s="442">
        <f t="shared" si="89"/>
        <v>0</v>
      </c>
      <c r="J472" s="466">
        <f t="shared" si="89"/>
        <v>0</v>
      </c>
      <c r="K472" s="604">
        <f t="shared" si="89"/>
        <v>0</v>
      </c>
      <c r="L472" s="564">
        <f t="shared" si="86"/>
        <v>0</v>
      </c>
      <c r="M472" s="565">
        <f t="shared" si="87"/>
        <v>0</v>
      </c>
      <c r="N472" s="565">
        <f t="shared" si="88"/>
        <v>0</v>
      </c>
    </row>
    <row r="473" spans="1:14" s="449" customFormat="1" ht="41.95" customHeight="1" outlineLevel="3" x14ac:dyDescent="0.3">
      <c r="A473" s="438" t="s">
        <v>15</v>
      </c>
      <c r="B473" s="439" t="s">
        <v>500</v>
      </c>
      <c r="C473" s="439" t="s">
        <v>300</v>
      </c>
      <c r="D473" s="539" t="s">
        <v>946</v>
      </c>
      <c r="E473" s="539" t="s">
        <v>16</v>
      </c>
      <c r="F473" s="539"/>
      <c r="G473" s="466">
        <f t="shared" si="89"/>
        <v>2569480</v>
      </c>
      <c r="H473" s="370">
        <v>2569480</v>
      </c>
      <c r="I473" s="442">
        <f t="shared" si="89"/>
        <v>0</v>
      </c>
      <c r="J473" s="466">
        <f t="shared" si="89"/>
        <v>0</v>
      </c>
      <c r="K473" s="604">
        <f t="shared" si="89"/>
        <v>0</v>
      </c>
      <c r="L473" s="564">
        <f t="shared" si="86"/>
        <v>0</v>
      </c>
      <c r="M473" s="565">
        <f t="shared" si="87"/>
        <v>0</v>
      </c>
      <c r="N473" s="565">
        <f t="shared" si="88"/>
        <v>0</v>
      </c>
    </row>
    <row r="474" spans="1:14" s="449" customFormat="1" ht="27.7" customHeight="1" outlineLevel="3" x14ac:dyDescent="0.3">
      <c r="A474" s="438" t="s">
        <v>17</v>
      </c>
      <c r="B474" s="439" t="s">
        <v>500</v>
      </c>
      <c r="C474" s="439" t="s">
        <v>300</v>
      </c>
      <c r="D474" s="539" t="s">
        <v>946</v>
      </c>
      <c r="E474" s="539" t="s">
        <v>18</v>
      </c>
      <c r="F474" s="539"/>
      <c r="G474" s="466">
        <v>2569480</v>
      </c>
      <c r="H474" s="370">
        <v>2569480</v>
      </c>
      <c r="I474" s="442">
        <v>0</v>
      </c>
      <c r="J474" s="507">
        <v>0</v>
      </c>
      <c r="K474" s="605">
        <v>0</v>
      </c>
      <c r="L474" s="564">
        <f t="shared" si="86"/>
        <v>0</v>
      </c>
      <c r="M474" s="565">
        <f t="shared" si="87"/>
        <v>0</v>
      </c>
      <c r="N474" s="565">
        <f t="shared" si="88"/>
        <v>0</v>
      </c>
    </row>
    <row r="475" spans="1:14" s="449" customFormat="1" ht="64.2" customHeight="1" outlineLevel="3" x14ac:dyDescent="0.3">
      <c r="A475" s="438" t="s">
        <v>943</v>
      </c>
      <c r="B475" s="439" t="s">
        <v>500</v>
      </c>
      <c r="C475" s="439" t="s">
        <v>300</v>
      </c>
      <c r="D475" s="539" t="s">
        <v>944</v>
      </c>
      <c r="E475" s="539" t="s">
        <v>6</v>
      </c>
      <c r="F475" s="539"/>
      <c r="G475" s="466">
        <f t="shared" ref="G475:K476" si="90">G476</f>
        <v>79468.45</v>
      </c>
      <c r="H475" s="442">
        <f t="shared" si="90"/>
        <v>79468.45</v>
      </c>
      <c r="I475" s="442">
        <f t="shared" si="90"/>
        <v>0</v>
      </c>
      <c r="J475" s="466">
        <f t="shared" si="90"/>
        <v>0</v>
      </c>
      <c r="K475" s="604">
        <f t="shared" si="90"/>
        <v>0</v>
      </c>
      <c r="L475" s="564">
        <f t="shared" si="86"/>
        <v>0</v>
      </c>
      <c r="M475" s="565">
        <f t="shared" si="87"/>
        <v>0</v>
      </c>
      <c r="N475" s="565">
        <f t="shared" si="88"/>
        <v>0</v>
      </c>
    </row>
    <row r="476" spans="1:14" s="449" customFormat="1" ht="46.9" customHeight="1" outlineLevel="3" x14ac:dyDescent="0.3">
      <c r="A476" s="438" t="s">
        <v>15</v>
      </c>
      <c r="B476" s="439" t="s">
        <v>500</v>
      </c>
      <c r="C476" s="439" t="s">
        <v>300</v>
      </c>
      <c r="D476" s="539" t="s">
        <v>944</v>
      </c>
      <c r="E476" s="539" t="s">
        <v>16</v>
      </c>
      <c r="F476" s="539"/>
      <c r="G476" s="466">
        <f t="shared" si="90"/>
        <v>79468.45</v>
      </c>
      <c r="H476" s="371">
        <v>79468.45</v>
      </c>
      <c r="I476" s="442">
        <f t="shared" si="90"/>
        <v>0</v>
      </c>
      <c r="J476" s="466">
        <f t="shared" si="90"/>
        <v>0</v>
      </c>
      <c r="K476" s="604">
        <f t="shared" si="90"/>
        <v>0</v>
      </c>
      <c r="L476" s="564">
        <f t="shared" si="86"/>
        <v>0</v>
      </c>
      <c r="M476" s="565">
        <f t="shared" si="87"/>
        <v>0</v>
      </c>
      <c r="N476" s="565">
        <f t="shared" si="88"/>
        <v>0</v>
      </c>
    </row>
    <row r="477" spans="1:14" s="449" customFormat="1" ht="55.7" customHeight="1" outlineLevel="3" x14ac:dyDescent="0.3">
      <c r="A477" s="438" t="s">
        <v>17</v>
      </c>
      <c r="B477" s="439" t="s">
        <v>500</v>
      </c>
      <c r="C477" s="439" t="s">
        <v>300</v>
      </c>
      <c r="D477" s="539" t="s">
        <v>944</v>
      </c>
      <c r="E477" s="539" t="s">
        <v>18</v>
      </c>
      <c r="F477" s="539"/>
      <c r="G477" s="466">
        <v>79468.45</v>
      </c>
      <c r="H477" s="371">
        <v>79468.45</v>
      </c>
      <c r="I477" s="442">
        <v>0</v>
      </c>
      <c r="J477" s="507">
        <v>0</v>
      </c>
      <c r="K477" s="605">
        <v>0</v>
      </c>
      <c r="L477" s="564">
        <f t="shared" si="86"/>
        <v>0</v>
      </c>
      <c r="M477" s="565">
        <f t="shared" si="87"/>
        <v>0</v>
      </c>
      <c r="N477" s="565">
        <f t="shared" si="88"/>
        <v>0</v>
      </c>
    </row>
    <row r="478" spans="1:14" s="449" customFormat="1" ht="44.85" customHeight="1" outlineLevel="3" x14ac:dyDescent="0.3">
      <c r="A478" s="567" t="s">
        <v>989</v>
      </c>
      <c r="B478" s="439" t="s">
        <v>500</v>
      </c>
      <c r="C478" s="439" t="s">
        <v>300</v>
      </c>
      <c r="D478" s="539" t="s">
        <v>1017</v>
      </c>
      <c r="E478" s="539" t="s">
        <v>6</v>
      </c>
      <c r="F478" s="539"/>
      <c r="G478" s="466">
        <v>0</v>
      </c>
      <c r="H478" s="371"/>
      <c r="I478" s="442"/>
      <c r="J478" s="507">
        <f>J479</f>
        <v>112589.47</v>
      </c>
      <c r="K478" s="605">
        <f>K479</f>
        <v>112589.47</v>
      </c>
      <c r="L478" s="564">
        <f t="shared" si="86"/>
        <v>0</v>
      </c>
      <c r="M478" s="565"/>
      <c r="N478" s="565"/>
    </row>
    <row r="479" spans="1:14" s="449" customFormat="1" ht="44.15" customHeight="1" outlineLevel="3" x14ac:dyDescent="0.3">
      <c r="A479" s="438" t="s">
        <v>15</v>
      </c>
      <c r="B479" s="439" t="s">
        <v>500</v>
      </c>
      <c r="C479" s="439" t="s">
        <v>300</v>
      </c>
      <c r="D479" s="539" t="s">
        <v>1017</v>
      </c>
      <c r="E479" s="539" t="s">
        <v>16</v>
      </c>
      <c r="F479" s="539"/>
      <c r="G479" s="466">
        <v>0</v>
      </c>
      <c r="H479" s="371"/>
      <c r="I479" s="442"/>
      <c r="J479" s="507">
        <f>J480</f>
        <v>112589.47</v>
      </c>
      <c r="K479" s="605">
        <f>K480</f>
        <v>112589.47</v>
      </c>
      <c r="L479" s="564">
        <f t="shared" si="86"/>
        <v>0</v>
      </c>
      <c r="M479" s="565"/>
      <c r="N479" s="565"/>
    </row>
    <row r="480" spans="1:14" s="449" customFormat="1" ht="50.3" customHeight="1" outlineLevel="3" x14ac:dyDescent="0.3">
      <c r="A480" s="438" t="s">
        <v>17</v>
      </c>
      <c r="B480" s="439" t="s">
        <v>500</v>
      </c>
      <c r="C480" s="439" t="s">
        <v>300</v>
      </c>
      <c r="D480" s="539" t="s">
        <v>1017</v>
      </c>
      <c r="E480" s="539" t="s">
        <v>18</v>
      </c>
      <c r="F480" s="539"/>
      <c r="G480" s="466">
        <v>0</v>
      </c>
      <c r="H480" s="371"/>
      <c r="I480" s="442"/>
      <c r="J480" s="466">
        <v>112589.47</v>
      </c>
      <c r="K480" s="604">
        <v>112589.47</v>
      </c>
      <c r="L480" s="564">
        <f t="shared" si="86"/>
        <v>0</v>
      </c>
      <c r="M480" s="565"/>
      <c r="N480" s="565"/>
    </row>
    <row r="481" spans="1:14" s="449" customFormat="1" ht="53.7" customHeight="1" outlineLevel="3" x14ac:dyDescent="0.3">
      <c r="A481" s="438" t="s">
        <v>1018</v>
      </c>
      <c r="B481" s="439" t="s">
        <v>500</v>
      </c>
      <c r="C481" s="439" t="s">
        <v>300</v>
      </c>
      <c r="D481" s="539" t="s">
        <v>1019</v>
      </c>
      <c r="E481" s="539" t="s">
        <v>6</v>
      </c>
      <c r="F481" s="539"/>
      <c r="G481" s="466">
        <v>0</v>
      </c>
      <c r="H481" s="371"/>
      <c r="I481" s="442"/>
      <c r="J481" s="466">
        <f>J482</f>
        <v>3482.15</v>
      </c>
      <c r="K481" s="604">
        <f>K482</f>
        <v>3482.15</v>
      </c>
      <c r="L481" s="564">
        <f t="shared" si="86"/>
        <v>0</v>
      </c>
      <c r="M481" s="565"/>
      <c r="N481" s="565"/>
    </row>
    <row r="482" spans="1:14" s="449" customFormat="1" ht="36" customHeight="1" outlineLevel="3" x14ac:dyDescent="0.3">
      <c r="A482" s="438" t="s">
        <v>15</v>
      </c>
      <c r="B482" s="439" t="s">
        <v>500</v>
      </c>
      <c r="C482" s="439" t="s">
        <v>300</v>
      </c>
      <c r="D482" s="539" t="s">
        <v>1019</v>
      </c>
      <c r="E482" s="539" t="s">
        <v>16</v>
      </c>
      <c r="F482" s="539"/>
      <c r="G482" s="466">
        <v>0</v>
      </c>
      <c r="H482" s="371"/>
      <c r="I482" s="442"/>
      <c r="J482" s="466">
        <f>J483</f>
        <v>3482.15</v>
      </c>
      <c r="K482" s="604">
        <f>K483</f>
        <v>3482.15</v>
      </c>
      <c r="L482" s="564">
        <f t="shared" si="86"/>
        <v>0</v>
      </c>
      <c r="M482" s="565"/>
      <c r="N482" s="565"/>
    </row>
    <row r="483" spans="1:14" s="449" customFormat="1" ht="47.9" customHeight="1" outlineLevel="3" x14ac:dyDescent="0.3">
      <c r="A483" s="438" t="s">
        <v>17</v>
      </c>
      <c r="B483" s="439" t="s">
        <v>500</v>
      </c>
      <c r="C483" s="439" t="s">
        <v>300</v>
      </c>
      <c r="D483" s="539" t="s">
        <v>1019</v>
      </c>
      <c r="E483" s="539" t="s">
        <v>18</v>
      </c>
      <c r="F483" s="539"/>
      <c r="G483" s="466">
        <v>0</v>
      </c>
      <c r="H483" s="371"/>
      <c r="I483" s="442"/>
      <c r="J483" s="466">
        <v>3482.15</v>
      </c>
      <c r="K483" s="604">
        <v>3482.15</v>
      </c>
      <c r="L483" s="564">
        <f t="shared" si="86"/>
        <v>0</v>
      </c>
      <c r="M483" s="565"/>
      <c r="N483" s="565"/>
    </row>
    <row r="484" spans="1:14" ht="31.75" customHeight="1" outlineLevel="4" x14ac:dyDescent="0.3">
      <c r="A484" s="568" t="s">
        <v>378</v>
      </c>
      <c r="B484" s="439" t="s">
        <v>500</v>
      </c>
      <c r="C484" s="439" t="s">
        <v>300</v>
      </c>
      <c r="D484" s="539" t="s">
        <v>303</v>
      </c>
      <c r="E484" s="539" t="s">
        <v>6</v>
      </c>
      <c r="F484" s="545"/>
      <c r="G484" s="465">
        <f>G485+G488+G491</f>
        <v>1199256.99</v>
      </c>
      <c r="H484" s="457">
        <f>H485+H488+H491</f>
        <v>196490.13</v>
      </c>
      <c r="I484" s="457">
        <f>I485+I488+I491+I494+I497</f>
        <v>1262229.3999999999</v>
      </c>
      <c r="J484" s="465">
        <f>J485</f>
        <v>1117341.92</v>
      </c>
      <c r="K484" s="603">
        <f>K485</f>
        <v>1117341.92</v>
      </c>
      <c r="L484" s="564">
        <f t="shared" si="86"/>
        <v>0</v>
      </c>
      <c r="M484" s="565">
        <f t="shared" si="87"/>
        <v>93.169514901055521</v>
      </c>
      <c r="N484" s="565">
        <f t="shared" si="88"/>
        <v>93.169514901055521</v>
      </c>
    </row>
    <row r="485" spans="1:14" ht="38.049999999999997" customHeight="1" outlineLevel="5" x14ac:dyDescent="0.3">
      <c r="A485" s="438" t="s">
        <v>281</v>
      </c>
      <c r="B485" s="439" t="s">
        <v>500</v>
      </c>
      <c r="C485" s="439" t="s">
        <v>300</v>
      </c>
      <c r="D485" s="539" t="s">
        <v>302</v>
      </c>
      <c r="E485" s="539" t="s">
        <v>6</v>
      </c>
      <c r="F485" s="545"/>
      <c r="G485" s="465">
        <f t="shared" ref="G485:K486" si="91">G486</f>
        <v>0</v>
      </c>
      <c r="H485" s="457">
        <f t="shared" si="91"/>
        <v>0</v>
      </c>
      <c r="I485" s="457">
        <f t="shared" si="91"/>
        <v>1093747.2</v>
      </c>
      <c r="J485" s="465">
        <f t="shared" si="91"/>
        <v>1117341.92</v>
      </c>
      <c r="K485" s="603">
        <f t="shared" si="91"/>
        <v>1117341.92</v>
      </c>
      <c r="L485" s="564">
        <f t="shared" si="86"/>
        <v>0</v>
      </c>
      <c r="M485" s="565"/>
      <c r="N485" s="565"/>
    </row>
    <row r="486" spans="1:14" ht="46.2" customHeight="1" outlineLevel="6" x14ac:dyDescent="0.3">
      <c r="A486" s="438" t="s">
        <v>264</v>
      </c>
      <c r="B486" s="439" t="s">
        <v>500</v>
      </c>
      <c r="C486" s="439" t="s">
        <v>300</v>
      </c>
      <c r="D486" s="539" t="s">
        <v>302</v>
      </c>
      <c r="E486" s="539" t="s">
        <v>265</v>
      </c>
      <c r="F486" s="545"/>
      <c r="G486" s="465">
        <f t="shared" si="91"/>
        <v>0</v>
      </c>
      <c r="H486" s="457">
        <f t="shared" si="91"/>
        <v>0</v>
      </c>
      <c r="I486" s="457">
        <f t="shared" si="91"/>
        <v>1093747.2</v>
      </c>
      <c r="J486" s="465">
        <f t="shared" si="91"/>
        <v>1117341.92</v>
      </c>
      <c r="K486" s="603">
        <f t="shared" si="91"/>
        <v>1117341.92</v>
      </c>
      <c r="L486" s="564">
        <f t="shared" si="86"/>
        <v>0</v>
      </c>
      <c r="M486" s="565"/>
      <c r="N486" s="565"/>
    </row>
    <row r="487" spans="1:14" outlineLevel="7" x14ac:dyDescent="0.3">
      <c r="A487" s="438" t="s">
        <v>266</v>
      </c>
      <c r="B487" s="439" t="s">
        <v>500</v>
      </c>
      <c r="C487" s="439" t="s">
        <v>300</v>
      </c>
      <c r="D487" s="539" t="s">
        <v>302</v>
      </c>
      <c r="E487" s="539" t="s">
        <v>267</v>
      </c>
      <c r="F487" s="545"/>
      <c r="G487" s="466">
        <f>1127310-1127310</f>
        <v>0</v>
      </c>
      <c r="H487" s="459">
        <f>1127310-1127310</f>
        <v>0</v>
      </c>
      <c r="I487" s="459">
        <v>1093747.2</v>
      </c>
      <c r="J487" s="466">
        <f>1093747.2+23594.72</f>
        <v>1117341.92</v>
      </c>
      <c r="K487" s="604">
        <f>1093747.2+23594.72</f>
        <v>1117341.92</v>
      </c>
      <c r="L487" s="564">
        <f t="shared" si="86"/>
        <v>0</v>
      </c>
      <c r="M487" s="565"/>
      <c r="N487" s="565"/>
    </row>
    <row r="488" spans="1:14" ht="50.95" outlineLevel="7" x14ac:dyDescent="0.3">
      <c r="A488" s="438" t="s">
        <v>788</v>
      </c>
      <c r="B488" s="439" t="s">
        <v>500</v>
      </c>
      <c r="C488" s="439" t="s">
        <v>300</v>
      </c>
      <c r="D488" s="539" t="s">
        <v>1029</v>
      </c>
      <c r="E488" s="539" t="s">
        <v>6</v>
      </c>
      <c r="F488" s="539"/>
      <c r="G488" s="466">
        <f>G489</f>
        <v>703249.99</v>
      </c>
      <c r="H488" s="442">
        <f>H489</f>
        <v>190595.43</v>
      </c>
      <c r="I488" s="442">
        <v>0</v>
      </c>
      <c r="J488" s="466">
        <f>J489</f>
        <v>2210145</v>
      </c>
      <c r="K488" s="604">
        <f>K489</f>
        <v>2210145</v>
      </c>
      <c r="L488" s="564">
        <f t="shared" si="86"/>
        <v>0</v>
      </c>
      <c r="M488" s="565">
        <f t="shared" si="87"/>
        <v>314.27586653787228</v>
      </c>
      <c r="N488" s="565">
        <f t="shared" si="88"/>
        <v>314.27586653787228</v>
      </c>
    </row>
    <row r="489" spans="1:14" ht="34" outlineLevel="7" x14ac:dyDescent="0.3">
      <c r="A489" s="438" t="s">
        <v>15</v>
      </c>
      <c r="B489" s="439" t="s">
        <v>500</v>
      </c>
      <c r="C489" s="439" t="s">
        <v>300</v>
      </c>
      <c r="D489" s="539" t="s">
        <v>1029</v>
      </c>
      <c r="E489" s="539" t="s">
        <v>16</v>
      </c>
      <c r="F489" s="539"/>
      <c r="G489" s="466">
        <f>G490</f>
        <v>703249.99</v>
      </c>
      <c r="H489" s="370">
        <v>190595.43</v>
      </c>
      <c r="I489" s="442">
        <v>0</v>
      </c>
      <c r="J489" s="466">
        <f>J490</f>
        <v>2210145</v>
      </c>
      <c r="K489" s="604">
        <f>K490</f>
        <v>2210145</v>
      </c>
      <c r="L489" s="564">
        <f t="shared" si="86"/>
        <v>0</v>
      </c>
      <c r="M489" s="565">
        <f t="shared" si="87"/>
        <v>314.27586653787228</v>
      </c>
      <c r="N489" s="565">
        <f t="shared" si="88"/>
        <v>314.27586653787228</v>
      </c>
    </row>
    <row r="490" spans="1:14" ht="34" outlineLevel="7" x14ac:dyDescent="0.3">
      <c r="A490" s="438" t="s">
        <v>17</v>
      </c>
      <c r="B490" s="439" t="s">
        <v>500</v>
      </c>
      <c r="C490" s="439" t="s">
        <v>300</v>
      </c>
      <c r="D490" s="539" t="s">
        <v>1029</v>
      </c>
      <c r="E490" s="539" t="s">
        <v>18</v>
      </c>
      <c r="F490" s="539"/>
      <c r="G490" s="466">
        <f>[2]потребность!I441+0.99</f>
        <v>703249.99</v>
      </c>
      <c r="H490" s="370">
        <v>190595.43</v>
      </c>
      <c r="I490" s="442">
        <v>0</v>
      </c>
      <c r="J490" s="466">
        <v>2210145</v>
      </c>
      <c r="K490" s="604">
        <v>2210145</v>
      </c>
      <c r="L490" s="564">
        <f t="shared" si="86"/>
        <v>0</v>
      </c>
      <c r="M490" s="565">
        <f t="shared" si="87"/>
        <v>314.27586653787228</v>
      </c>
      <c r="N490" s="565">
        <f t="shared" si="88"/>
        <v>314.27586653787228</v>
      </c>
    </row>
    <row r="491" spans="1:14" ht="55.7" customHeight="1" outlineLevel="7" x14ac:dyDescent="0.3">
      <c r="A491" s="438" t="s">
        <v>911</v>
      </c>
      <c r="B491" s="439" t="s">
        <v>500</v>
      </c>
      <c r="C491" s="439" t="s">
        <v>300</v>
      </c>
      <c r="D491" s="539" t="s">
        <v>1030</v>
      </c>
      <c r="E491" s="539" t="s">
        <v>6</v>
      </c>
      <c r="F491" s="539"/>
      <c r="G491" s="466">
        <f>G492</f>
        <v>496007</v>
      </c>
      <c r="H491" s="442">
        <f>H492</f>
        <v>5894.7</v>
      </c>
      <c r="I491" s="442">
        <v>0</v>
      </c>
      <c r="J491" s="466">
        <f>J492</f>
        <v>68355</v>
      </c>
      <c r="K491" s="604">
        <f>K492</f>
        <v>68355</v>
      </c>
      <c r="L491" s="564">
        <f t="shared" si="86"/>
        <v>0</v>
      </c>
      <c r="M491" s="565">
        <f t="shared" si="87"/>
        <v>13.781055509297248</v>
      </c>
      <c r="N491" s="565">
        <f t="shared" si="88"/>
        <v>13.78105550929725</v>
      </c>
    </row>
    <row r="492" spans="1:14" ht="34" outlineLevel="7" x14ac:dyDescent="0.3">
      <c r="A492" s="438" t="s">
        <v>15</v>
      </c>
      <c r="B492" s="439" t="s">
        <v>500</v>
      </c>
      <c r="C492" s="439" t="s">
        <v>300</v>
      </c>
      <c r="D492" s="539" t="s">
        <v>1030</v>
      </c>
      <c r="E492" s="539" t="s">
        <v>16</v>
      </c>
      <c r="F492" s="539"/>
      <c r="G492" s="466">
        <f>G493</f>
        <v>496007</v>
      </c>
      <c r="H492" s="370">
        <v>5894.7</v>
      </c>
      <c r="I492" s="442">
        <v>0</v>
      </c>
      <c r="J492" s="466">
        <f>J493</f>
        <v>68355</v>
      </c>
      <c r="K492" s="604">
        <f>K493</f>
        <v>68355</v>
      </c>
      <c r="L492" s="564">
        <f t="shared" si="86"/>
        <v>0</v>
      </c>
      <c r="M492" s="565">
        <f t="shared" si="87"/>
        <v>13.781055509297248</v>
      </c>
      <c r="N492" s="565">
        <f t="shared" si="88"/>
        <v>13.78105550929725</v>
      </c>
    </row>
    <row r="493" spans="1:14" ht="25.5" customHeight="1" outlineLevel="7" x14ac:dyDescent="0.3">
      <c r="A493" s="438" t="s">
        <v>17</v>
      </c>
      <c r="B493" s="439" t="s">
        <v>500</v>
      </c>
      <c r="C493" s="439" t="s">
        <v>300</v>
      </c>
      <c r="D493" s="539" t="s">
        <v>1030</v>
      </c>
      <c r="E493" s="539" t="s">
        <v>18</v>
      </c>
      <c r="F493" s="539"/>
      <c r="G493" s="466">
        <f>22000+156756+317251</f>
        <v>496007</v>
      </c>
      <c r="H493" s="370">
        <v>5894.7</v>
      </c>
      <c r="I493" s="442">
        <v>0</v>
      </c>
      <c r="J493" s="466">
        <v>68355</v>
      </c>
      <c r="K493" s="604">
        <v>68355</v>
      </c>
      <c r="L493" s="564">
        <f t="shared" si="86"/>
        <v>0</v>
      </c>
      <c r="M493" s="565">
        <f t="shared" si="87"/>
        <v>13.781055509297248</v>
      </c>
      <c r="N493" s="565">
        <f t="shared" si="88"/>
        <v>13.78105550929725</v>
      </c>
    </row>
    <row r="494" spans="1:14" ht="61.15" customHeight="1" outlineLevel="7" x14ac:dyDescent="0.3">
      <c r="A494" s="438" t="s">
        <v>771</v>
      </c>
      <c r="B494" s="439" t="s">
        <v>500</v>
      </c>
      <c r="C494" s="439" t="s">
        <v>300</v>
      </c>
      <c r="D494" s="539" t="s">
        <v>796</v>
      </c>
      <c r="E494" s="548" t="s">
        <v>6</v>
      </c>
      <c r="F494" s="548"/>
      <c r="G494" s="466">
        <v>0</v>
      </c>
      <c r="H494" s="442">
        <v>0</v>
      </c>
      <c r="I494" s="442">
        <f t="shared" ref="I494:K495" si="92">I495</f>
        <v>163718</v>
      </c>
      <c r="J494" s="466">
        <f t="shared" si="92"/>
        <v>0</v>
      </c>
      <c r="K494" s="604">
        <f t="shared" si="92"/>
        <v>0</v>
      </c>
      <c r="L494" s="564">
        <f t="shared" si="86"/>
        <v>0</v>
      </c>
      <c r="M494" s="565"/>
      <c r="N494" s="565"/>
    </row>
    <row r="495" spans="1:14" ht="25.5" customHeight="1" outlineLevel="7" x14ac:dyDescent="0.3">
      <c r="A495" s="438" t="s">
        <v>15</v>
      </c>
      <c r="B495" s="439" t="s">
        <v>500</v>
      </c>
      <c r="C495" s="439" t="s">
        <v>300</v>
      </c>
      <c r="D495" s="539" t="s">
        <v>796</v>
      </c>
      <c r="E495" s="548" t="s">
        <v>16</v>
      </c>
      <c r="F495" s="548"/>
      <c r="G495" s="466">
        <v>0</v>
      </c>
      <c r="H495" s="442">
        <v>0</v>
      </c>
      <c r="I495" s="442">
        <f t="shared" si="92"/>
        <v>163718</v>
      </c>
      <c r="J495" s="466">
        <f t="shared" si="92"/>
        <v>0</v>
      </c>
      <c r="K495" s="604">
        <f t="shared" si="92"/>
        <v>0</v>
      </c>
      <c r="L495" s="564">
        <f t="shared" si="86"/>
        <v>0</v>
      </c>
      <c r="M495" s="565"/>
      <c r="N495" s="565"/>
    </row>
    <row r="496" spans="1:14" ht="42.45" customHeight="1" outlineLevel="7" x14ac:dyDescent="0.3">
      <c r="A496" s="438" t="s">
        <v>17</v>
      </c>
      <c r="B496" s="439" t="s">
        <v>500</v>
      </c>
      <c r="C496" s="439" t="s">
        <v>300</v>
      </c>
      <c r="D496" s="539" t="s">
        <v>796</v>
      </c>
      <c r="E496" s="548" t="s">
        <v>18</v>
      </c>
      <c r="F496" s="548"/>
      <c r="G496" s="466">
        <v>0</v>
      </c>
      <c r="H496" s="442">
        <v>0</v>
      </c>
      <c r="I496" s="442">
        <v>163718</v>
      </c>
      <c r="J496" s="466"/>
      <c r="K496" s="604"/>
      <c r="L496" s="564">
        <f t="shared" si="86"/>
        <v>0</v>
      </c>
      <c r="M496" s="565"/>
      <c r="N496" s="565"/>
    </row>
    <row r="497" spans="1:14" ht="78.8" customHeight="1" outlineLevel="7" x14ac:dyDescent="0.3">
      <c r="A497" s="438" t="s">
        <v>1024</v>
      </c>
      <c r="B497" s="439" t="s">
        <v>500</v>
      </c>
      <c r="C497" s="439" t="s">
        <v>300</v>
      </c>
      <c r="D497" s="539" t="s">
        <v>797</v>
      </c>
      <c r="E497" s="548" t="s">
        <v>6</v>
      </c>
      <c r="F497" s="548"/>
      <c r="G497" s="466">
        <v>0</v>
      </c>
      <c r="H497" s="442">
        <v>0</v>
      </c>
      <c r="I497" s="442">
        <f t="shared" ref="I497:K498" si="93">I498</f>
        <v>4764.2</v>
      </c>
      <c r="J497" s="466">
        <f t="shared" si="93"/>
        <v>0</v>
      </c>
      <c r="K497" s="604">
        <f t="shared" si="93"/>
        <v>0</v>
      </c>
      <c r="L497" s="564">
        <f t="shared" si="86"/>
        <v>0</v>
      </c>
      <c r="M497" s="565"/>
      <c r="N497" s="565"/>
    </row>
    <row r="498" spans="1:14" ht="25.15" customHeight="1" outlineLevel="7" x14ac:dyDescent="0.3">
      <c r="A498" s="438" t="s">
        <v>15</v>
      </c>
      <c r="B498" s="439" t="s">
        <v>500</v>
      </c>
      <c r="C498" s="439" t="s">
        <v>300</v>
      </c>
      <c r="D498" s="539" t="s">
        <v>797</v>
      </c>
      <c r="E498" s="548" t="s">
        <v>16</v>
      </c>
      <c r="F498" s="548"/>
      <c r="G498" s="466">
        <v>0</v>
      </c>
      <c r="H498" s="442">
        <v>0</v>
      </c>
      <c r="I498" s="442">
        <f t="shared" si="93"/>
        <v>4764.2</v>
      </c>
      <c r="J498" s="466">
        <f t="shared" si="93"/>
        <v>0</v>
      </c>
      <c r="K498" s="604">
        <f t="shared" si="93"/>
        <v>0</v>
      </c>
      <c r="L498" s="564">
        <f t="shared" si="86"/>
        <v>0</v>
      </c>
      <c r="M498" s="565"/>
      <c r="N498" s="565"/>
    </row>
    <row r="499" spans="1:14" ht="41.45" customHeight="1" outlineLevel="7" x14ac:dyDescent="0.3">
      <c r="A499" s="438" t="s">
        <v>17</v>
      </c>
      <c r="B499" s="439" t="s">
        <v>500</v>
      </c>
      <c r="C499" s="439" t="s">
        <v>300</v>
      </c>
      <c r="D499" s="551" t="s">
        <v>797</v>
      </c>
      <c r="E499" s="548" t="s">
        <v>18</v>
      </c>
      <c r="F499" s="548"/>
      <c r="G499" s="466">
        <v>0</v>
      </c>
      <c r="H499" s="442">
        <v>0</v>
      </c>
      <c r="I499" s="442">
        <v>4764.2</v>
      </c>
      <c r="J499" s="466">
        <v>0</v>
      </c>
      <c r="K499" s="604">
        <v>0</v>
      </c>
      <c r="L499" s="564">
        <f t="shared" si="86"/>
        <v>0</v>
      </c>
      <c r="M499" s="565"/>
      <c r="N499" s="565"/>
    </row>
    <row r="500" spans="1:14" s="437" customFormat="1" ht="66.75" customHeight="1" x14ac:dyDescent="0.3">
      <c r="A500" s="451" t="s">
        <v>828</v>
      </c>
      <c r="B500" s="445" t="s">
        <v>500</v>
      </c>
      <c r="C500" s="445" t="s">
        <v>300</v>
      </c>
      <c r="D500" s="541" t="s">
        <v>463</v>
      </c>
      <c r="E500" s="541" t="s">
        <v>6</v>
      </c>
      <c r="F500" s="542">
        <v>50000</v>
      </c>
      <c r="G500" s="465">
        <f t="shared" ref="G500:K503" si="94">G501</f>
        <v>50000</v>
      </c>
      <c r="H500" s="440">
        <f t="shared" si="94"/>
        <v>50000</v>
      </c>
      <c r="I500" s="440">
        <f t="shared" si="94"/>
        <v>50000</v>
      </c>
      <c r="J500" s="465">
        <f t="shared" si="94"/>
        <v>50000</v>
      </c>
      <c r="K500" s="603">
        <f t="shared" si="94"/>
        <v>50000</v>
      </c>
      <c r="L500" s="564">
        <f t="shared" si="86"/>
        <v>0</v>
      </c>
      <c r="M500" s="565">
        <f t="shared" si="87"/>
        <v>100</v>
      </c>
      <c r="N500" s="565">
        <f t="shared" si="88"/>
        <v>100</v>
      </c>
    </row>
    <row r="501" spans="1:14" outlineLevel="1" x14ac:dyDescent="0.3">
      <c r="A501" s="468" t="s">
        <v>464</v>
      </c>
      <c r="B501" s="439" t="s">
        <v>500</v>
      </c>
      <c r="C501" s="439" t="s">
        <v>300</v>
      </c>
      <c r="D501" s="539" t="s">
        <v>465</v>
      </c>
      <c r="E501" s="539" t="s">
        <v>6</v>
      </c>
      <c r="F501" s="540">
        <v>50000</v>
      </c>
      <c r="G501" s="465">
        <f t="shared" si="94"/>
        <v>50000</v>
      </c>
      <c r="H501" s="440">
        <f t="shared" si="94"/>
        <v>50000</v>
      </c>
      <c r="I501" s="440">
        <f t="shared" si="94"/>
        <v>50000</v>
      </c>
      <c r="J501" s="465">
        <f t="shared" si="94"/>
        <v>50000</v>
      </c>
      <c r="K501" s="603">
        <f t="shared" si="94"/>
        <v>50000</v>
      </c>
      <c r="L501" s="564">
        <f t="shared" si="86"/>
        <v>0</v>
      </c>
      <c r="M501" s="565">
        <f t="shared" si="87"/>
        <v>100</v>
      </c>
      <c r="N501" s="565">
        <f t="shared" si="88"/>
        <v>100</v>
      </c>
    </row>
    <row r="502" spans="1:14" ht="37.549999999999997" customHeight="1" outlineLevel="2" x14ac:dyDescent="0.3">
      <c r="A502" s="438" t="s">
        <v>466</v>
      </c>
      <c r="B502" s="439" t="s">
        <v>500</v>
      </c>
      <c r="C502" s="439" t="s">
        <v>300</v>
      </c>
      <c r="D502" s="539" t="s">
        <v>467</v>
      </c>
      <c r="E502" s="539" t="s">
        <v>6</v>
      </c>
      <c r="F502" s="540">
        <v>50000</v>
      </c>
      <c r="G502" s="465">
        <f t="shared" si="94"/>
        <v>50000</v>
      </c>
      <c r="H502" s="440">
        <f t="shared" si="94"/>
        <v>50000</v>
      </c>
      <c r="I502" s="440">
        <f t="shared" si="94"/>
        <v>50000</v>
      </c>
      <c r="J502" s="465">
        <f t="shared" si="94"/>
        <v>50000</v>
      </c>
      <c r="K502" s="603">
        <f t="shared" si="94"/>
        <v>50000</v>
      </c>
      <c r="L502" s="564">
        <f t="shared" si="86"/>
        <v>0</v>
      </c>
      <c r="M502" s="565">
        <f t="shared" si="87"/>
        <v>100</v>
      </c>
      <c r="N502" s="565">
        <f t="shared" si="88"/>
        <v>100</v>
      </c>
    </row>
    <row r="503" spans="1:14" ht="34" outlineLevel="4" x14ac:dyDescent="0.3">
      <c r="A503" s="438" t="s">
        <v>15</v>
      </c>
      <c r="B503" s="439" t="s">
        <v>500</v>
      </c>
      <c r="C503" s="439" t="s">
        <v>300</v>
      </c>
      <c r="D503" s="539" t="s">
        <v>467</v>
      </c>
      <c r="E503" s="539" t="s">
        <v>16</v>
      </c>
      <c r="F503" s="540">
        <v>50000</v>
      </c>
      <c r="G503" s="465">
        <f t="shared" si="94"/>
        <v>50000</v>
      </c>
      <c r="H503" s="370">
        <v>50000</v>
      </c>
      <c r="I503" s="440">
        <f t="shared" si="94"/>
        <v>50000</v>
      </c>
      <c r="J503" s="465">
        <f t="shared" si="94"/>
        <v>50000</v>
      </c>
      <c r="K503" s="603">
        <f t="shared" si="94"/>
        <v>50000</v>
      </c>
      <c r="L503" s="564">
        <f t="shared" si="86"/>
        <v>0</v>
      </c>
      <c r="M503" s="565">
        <f t="shared" si="87"/>
        <v>100</v>
      </c>
      <c r="N503" s="565">
        <f t="shared" si="88"/>
        <v>100</v>
      </c>
    </row>
    <row r="504" spans="1:14" ht="34" outlineLevel="5" x14ac:dyDescent="0.3">
      <c r="A504" s="438" t="s">
        <v>17</v>
      </c>
      <c r="B504" s="439" t="s">
        <v>500</v>
      </c>
      <c r="C504" s="439" t="s">
        <v>300</v>
      </c>
      <c r="D504" s="539" t="s">
        <v>467</v>
      </c>
      <c r="E504" s="539" t="s">
        <v>18</v>
      </c>
      <c r="F504" s="540">
        <v>50000</v>
      </c>
      <c r="G504" s="466">
        <v>50000</v>
      </c>
      <c r="H504" s="370">
        <v>50000</v>
      </c>
      <c r="I504" s="442">
        <v>50000</v>
      </c>
      <c r="J504" s="466">
        <v>50000</v>
      </c>
      <c r="K504" s="604">
        <v>50000</v>
      </c>
      <c r="L504" s="564">
        <f t="shared" si="86"/>
        <v>0</v>
      </c>
      <c r="M504" s="565">
        <f t="shared" si="87"/>
        <v>100</v>
      </c>
      <c r="N504" s="565">
        <f t="shared" si="88"/>
        <v>100</v>
      </c>
    </row>
    <row r="505" spans="1:14" outlineLevel="6" x14ac:dyDescent="0.3">
      <c r="A505" s="444" t="s">
        <v>103</v>
      </c>
      <c r="B505" s="439" t="s">
        <v>500</v>
      </c>
      <c r="C505" s="445" t="s">
        <v>104</v>
      </c>
      <c r="D505" s="541" t="s">
        <v>126</v>
      </c>
      <c r="E505" s="541" t="s">
        <v>6</v>
      </c>
      <c r="F505" s="540">
        <v>2562000</v>
      </c>
      <c r="G505" s="508">
        <f t="shared" ref="G505:K510" si="95">G506</f>
        <v>3357000</v>
      </c>
      <c r="H505" s="446">
        <f t="shared" si="95"/>
        <v>2408600</v>
      </c>
      <c r="I505" s="446">
        <f t="shared" si="95"/>
        <v>2500000</v>
      </c>
      <c r="J505" s="508">
        <f t="shared" si="95"/>
        <v>3357000</v>
      </c>
      <c r="K505" s="606">
        <f t="shared" si="95"/>
        <v>3357000</v>
      </c>
      <c r="L505" s="564">
        <f t="shared" si="86"/>
        <v>0</v>
      </c>
      <c r="M505" s="565">
        <f t="shared" si="87"/>
        <v>100</v>
      </c>
      <c r="N505" s="565">
        <f t="shared" si="88"/>
        <v>100</v>
      </c>
    </row>
    <row r="506" spans="1:14" outlineLevel="7" x14ac:dyDescent="0.3">
      <c r="A506" s="438" t="s">
        <v>105</v>
      </c>
      <c r="B506" s="439" t="s">
        <v>500</v>
      </c>
      <c r="C506" s="439" t="s">
        <v>106</v>
      </c>
      <c r="D506" s="539" t="s">
        <v>126</v>
      </c>
      <c r="E506" s="539" t="s">
        <v>6</v>
      </c>
      <c r="F506" s="540">
        <v>2562000</v>
      </c>
      <c r="G506" s="465">
        <f t="shared" si="95"/>
        <v>3357000</v>
      </c>
      <c r="H506" s="440">
        <f t="shared" si="95"/>
        <v>2408600</v>
      </c>
      <c r="I506" s="440">
        <f t="shared" si="95"/>
        <v>2500000</v>
      </c>
      <c r="J506" s="465">
        <f t="shared" si="95"/>
        <v>3357000</v>
      </c>
      <c r="K506" s="603">
        <f t="shared" si="95"/>
        <v>3357000</v>
      </c>
      <c r="L506" s="564">
        <f t="shared" si="86"/>
        <v>0</v>
      </c>
      <c r="M506" s="565">
        <f t="shared" si="87"/>
        <v>100</v>
      </c>
      <c r="N506" s="565">
        <f t="shared" si="88"/>
        <v>100</v>
      </c>
    </row>
    <row r="507" spans="1:14" ht="50.95" outlineLevel="5" x14ac:dyDescent="0.3">
      <c r="A507" s="444" t="s">
        <v>829</v>
      </c>
      <c r="B507" s="439" t="s">
        <v>500</v>
      </c>
      <c r="C507" s="445" t="s">
        <v>106</v>
      </c>
      <c r="D507" s="541" t="s">
        <v>317</v>
      </c>
      <c r="E507" s="541" t="s">
        <v>6</v>
      </c>
      <c r="F507" s="542">
        <v>2562000</v>
      </c>
      <c r="G507" s="508">
        <f>G508</f>
        <v>3357000</v>
      </c>
      <c r="H507" s="446">
        <f>H508</f>
        <v>2408600</v>
      </c>
      <c r="I507" s="446">
        <f>I508</f>
        <v>2500000</v>
      </c>
      <c r="J507" s="508">
        <f>J508</f>
        <v>3357000</v>
      </c>
      <c r="K507" s="606">
        <f>K508</f>
        <v>3357000</v>
      </c>
      <c r="L507" s="564">
        <f t="shared" si="86"/>
        <v>0</v>
      </c>
      <c r="M507" s="565">
        <f t="shared" si="87"/>
        <v>100</v>
      </c>
      <c r="N507" s="565">
        <f t="shared" si="88"/>
        <v>100</v>
      </c>
    </row>
    <row r="508" spans="1:14" ht="34" outlineLevel="6" x14ac:dyDescent="0.3">
      <c r="A508" s="450" t="s">
        <v>327</v>
      </c>
      <c r="B508" s="439" t="s">
        <v>500</v>
      </c>
      <c r="C508" s="439" t="s">
        <v>106</v>
      </c>
      <c r="D508" s="539" t="s">
        <v>318</v>
      </c>
      <c r="E508" s="539" t="s">
        <v>6</v>
      </c>
      <c r="F508" s="540">
        <v>2562000</v>
      </c>
      <c r="G508" s="465">
        <f t="shared" si="95"/>
        <v>3357000</v>
      </c>
      <c r="H508" s="440">
        <f t="shared" si="95"/>
        <v>2408600</v>
      </c>
      <c r="I508" s="440">
        <f t="shared" si="95"/>
        <v>2500000</v>
      </c>
      <c r="J508" s="465">
        <f t="shared" si="95"/>
        <v>3357000</v>
      </c>
      <c r="K508" s="603">
        <f t="shared" si="95"/>
        <v>3357000</v>
      </c>
      <c r="L508" s="564">
        <f t="shared" si="86"/>
        <v>0</v>
      </c>
      <c r="M508" s="565">
        <f t="shared" si="87"/>
        <v>100</v>
      </c>
      <c r="N508" s="565">
        <f t="shared" si="88"/>
        <v>100</v>
      </c>
    </row>
    <row r="509" spans="1:14" ht="50.95" outlineLevel="7" x14ac:dyDescent="0.3">
      <c r="A509" s="438" t="s">
        <v>107</v>
      </c>
      <c r="B509" s="439" t="s">
        <v>500</v>
      </c>
      <c r="C509" s="439" t="s">
        <v>106</v>
      </c>
      <c r="D509" s="539" t="s">
        <v>319</v>
      </c>
      <c r="E509" s="539" t="s">
        <v>6</v>
      </c>
      <c r="F509" s="540">
        <v>2562000</v>
      </c>
      <c r="G509" s="465">
        <f t="shared" si="95"/>
        <v>3357000</v>
      </c>
      <c r="H509" s="440">
        <f t="shared" si="95"/>
        <v>2408600</v>
      </c>
      <c r="I509" s="440">
        <f t="shared" si="95"/>
        <v>2500000</v>
      </c>
      <c r="J509" s="465">
        <f t="shared" si="95"/>
        <v>3357000</v>
      </c>
      <c r="K509" s="603">
        <f t="shared" si="95"/>
        <v>3357000</v>
      </c>
      <c r="L509" s="564">
        <f t="shared" si="86"/>
        <v>0</v>
      </c>
      <c r="M509" s="565">
        <f t="shared" si="87"/>
        <v>100</v>
      </c>
      <c r="N509" s="565">
        <f t="shared" si="88"/>
        <v>100</v>
      </c>
    </row>
    <row r="510" spans="1:14" ht="34" outlineLevel="6" x14ac:dyDescent="0.3">
      <c r="A510" s="438" t="s">
        <v>37</v>
      </c>
      <c r="B510" s="439" t="s">
        <v>500</v>
      </c>
      <c r="C510" s="439" t="s">
        <v>106</v>
      </c>
      <c r="D510" s="539" t="s">
        <v>319</v>
      </c>
      <c r="E510" s="539" t="s">
        <v>38</v>
      </c>
      <c r="F510" s="540">
        <v>2562000</v>
      </c>
      <c r="G510" s="465">
        <f t="shared" si="95"/>
        <v>3357000</v>
      </c>
      <c r="H510" s="370">
        <v>2408600</v>
      </c>
      <c r="I510" s="440">
        <f t="shared" si="95"/>
        <v>2500000</v>
      </c>
      <c r="J510" s="465">
        <f t="shared" si="95"/>
        <v>3357000</v>
      </c>
      <c r="K510" s="603">
        <f t="shared" si="95"/>
        <v>3357000</v>
      </c>
      <c r="L510" s="564">
        <f t="shared" si="86"/>
        <v>0</v>
      </c>
      <c r="M510" s="565">
        <f t="shared" si="87"/>
        <v>100</v>
      </c>
      <c r="N510" s="565">
        <f t="shared" si="88"/>
        <v>100</v>
      </c>
    </row>
    <row r="511" spans="1:14" ht="20.25" customHeight="1" outlineLevel="7" x14ac:dyDescent="0.3">
      <c r="A511" s="438" t="s">
        <v>39</v>
      </c>
      <c r="B511" s="439" t="s">
        <v>500</v>
      </c>
      <c r="C511" s="439" t="s">
        <v>106</v>
      </c>
      <c r="D511" s="539" t="s">
        <v>319</v>
      </c>
      <c r="E511" s="539" t="s">
        <v>40</v>
      </c>
      <c r="F511" s="540">
        <v>2562000</v>
      </c>
      <c r="G511" s="465">
        <f>[2]потребность!I456+247000+610000</f>
        <v>3357000</v>
      </c>
      <c r="H511" s="370">
        <v>2408600</v>
      </c>
      <c r="I511" s="440">
        <v>2500000</v>
      </c>
      <c r="J511" s="466">
        <v>3357000</v>
      </c>
      <c r="K511" s="604">
        <v>3357000</v>
      </c>
      <c r="L511" s="564">
        <f t="shared" si="86"/>
        <v>0</v>
      </c>
      <c r="M511" s="565">
        <f t="shared" si="87"/>
        <v>100</v>
      </c>
      <c r="N511" s="565">
        <f t="shared" si="88"/>
        <v>100</v>
      </c>
    </row>
    <row r="512" spans="1:14" ht="29.9" customHeight="1" outlineLevel="6" x14ac:dyDescent="0.3">
      <c r="A512" s="433" t="s">
        <v>527</v>
      </c>
      <c r="B512" s="434" t="s">
        <v>501</v>
      </c>
      <c r="C512" s="434" t="s">
        <v>5</v>
      </c>
      <c r="D512" s="537" t="s">
        <v>126</v>
      </c>
      <c r="E512" s="537" t="s">
        <v>6</v>
      </c>
      <c r="F512" s="538">
        <v>6282947.6699999999</v>
      </c>
      <c r="G512" s="506">
        <f>G513</f>
        <v>5488017.29</v>
      </c>
      <c r="H512" s="435">
        <f>H513</f>
        <v>4018836.4699999997</v>
      </c>
      <c r="I512" s="435">
        <f>I513</f>
        <v>5805481.6399999997</v>
      </c>
      <c r="J512" s="506">
        <f>J513</f>
        <v>5780338.2999999998</v>
      </c>
      <c r="K512" s="602">
        <f>K513</f>
        <v>5666668.2999999998</v>
      </c>
      <c r="L512" s="564">
        <f t="shared" si="86"/>
        <v>-113670</v>
      </c>
      <c r="M512" s="565">
        <f t="shared" si="87"/>
        <v>105.32653223474082</v>
      </c>
      <c r="N512" s="565">
        <f t="shared" si="88"/>
        <v>103.25529240451792</v>
      </c>
    </row>
    <row r="513" spans="1:14" outlineLevel="7" x14ac:dyDescent="0.3">
      <c r="A513" s="438" t="s">
        <v>7</v>
      </c>
      <c r="B513" s="439" t="s">
        <v>501</v>
      </c>
      <c r="C513" s="439" t="s">
        <v>8</v>
      </c>
      <c r="D513" s="539" t="s">
        <v>126</v>
      </c>
      <c r="E513" s="539" t="s">
        <v>6</v>
      </c>
      <c r="F513" s="540">
        <v>6282947.6699999999</v>
      </c>
      <c r="G513" s="465">
        <f>G514+G529+G534</f>
        <v>5488017.29</v>
      </c>
      <c r="H513" s="440">
        <f>H514+H529+H534</f>
        <v>4018836.4699999997</v>
      </c>
      <c r="I513" s="440">
        <f>I514+I529+I534</f>
        <v>5805481.6399999997</v>
      </c>
      <c r="J513" s="465">
        <f>J514+J529+J534</f>
        <v>5780338.2999999998</v>
      </c>
      <c r="K513" s="603">
        <f>K514+K529+K534</f>
        <v>5666668.2999999998</v>
      </c>
      <c r="L513" s="564">
        <f t="shared" si="86"/>
        <v>-113670</v>
      </c>
      <c r="M513" s="565">
        <f t="shared" si="87"/>
        <v>105.32653223474082</v>
      </c>
      <c r="N513" s="565">
        <f t="shared" si="88"/>
        <v>103.25529240451792</v>
      </c>
    </row>
    <row r="514" spans="1:14" ht="59.8" customHeight="1" outlineLevel="5" x14ac:dyDescent="0.3">
      <c r="A514" s="438" t="s">
        <v>108</v>
      </c>
      <c r="B514" s="439" t="s">
        <v>501</v>
      </c>
      <c r="C514" s="439" t="s">
        <v>109</v>
      </c>
      <c r="D514" s="539" t="s">
        <v>126</v>
      </c>
      <c r="E514" s="539" t="s">
        <v>6</v>
      </c>
      <c r="F514" s="540">
        <v>5081721.7699999996</v>
      </c>
      <c r="G514" s="465">
        <f>G515</f>
        <v>5350737.29</v>
      </c>
      <c r="H514" s="440">
        <f>H515</f>
        <v>3890917.9699999997</v>
      </c>
      <c r="I514" s="440">
        <f>I515</f>
        <v>5668201.6399999997</v>
      </c>
      <c r="J514" s="465">
        <f>J515</f>
        <v>5529388.2999999998</v>
      </c>
      <c r="K514" s="603">
        <f>K515</f>
        <v>5529388.2999999998</v>
      </c>
      <c r="L514" s="564">
        <f t="shared" si="86"/>
        <v>0</v>
      </c>
      <c r="M514" s="565">
        <f t="shared" si="87"/>
        <v>103.33881108934054</v>
      </c>
      <c r="N514" s="565">
        <f t="shared" si="88"/>
        <v>103.33881108934055</v>
      </c>
    </row>
    <row r="515" spans="1:14" ht="34" outlineLevel="6" x14ac:dyDescent="0.3">
      <c r="A515" s="438" t="s">
        <v>132</v>
      </c>
      <c r="B515" s="439" t="s">
        <v>501</v>
      </c>
      <c r="C515" s="439" t="s">
        <v>109</v>
      </c>
      <c r="D515" s="539" t="s">
        <v>127</v>
      </c>
      <c r="E515" s="539" t="s">
        <v>6</v>
      </c>
      <c r="F515" s="540">
        <v>5081721.7699999996</v>
      </c>
      <c r="G515" s="465">
        <f>G516+G519+G526</f>
        <v>5350737.29</v>
      </c>
      <c r="H515" s="440">
        <f>H516+H519+H526</f>
        <v>3890917.9699999997</v>
      </c>
      <c r="I515" s="440">
        <f>I516+I519+I526</f>
        <v>5668201.6399999997</v>
      </c>
      <c r="J515" s="465">
        <f>J516+J519+J526</f>
        <v>5529388.2999999998</v>
      </c>
      <c r="K515" s="603">
        <f>K516+K519+K526</f>
        <v>5529388.2999999998</v>
      </c>
      <c r="L515" s="564">
        <f t="shared" si="86"/>
        <v>0</v>
      </c>
      <c r="M515" s="565">
        <f t="shared" si="87"/>
        <v>103.33881108934054</v>
      </c>
      <c r="N515" s="565">
        <f t="shared" si="88"/>
        <v>103.33881108934055</v>
      </c>
    </row>
    <row r="516" spans="1:14" ht="34" outlineLevel="7" x14ac:dyDescent="0.3">
      <c r="A516" s="438" t="s">
        <v>528</v>
      </c>
      <c r="B516" s="439" t="s">
        <v>501</v>
      </c>
      <c r="C516" s="439" t="s">
        <v>109</v>
      </c>
      <c r="D516" s="539" t="s">
        <v>529</v>
      </c>
      <c r="E516" s="539" t="s">
        <v>6</v>
      </c>
      <c r="F516" s="540">
        <v>2365763.5699999998</v>
      </c>
      <c r="G516" s="465">
        <f t="shared" ref="G516:K517" si="96">G517</f>
        <v>2472253.96</v>
      </c>
      <c r="H516" s="440">
        <f t="shared" si="96"/>
        <v>1921124.34</v>
      </c>
      <c r="I516" s="440">
        <f t="shared" si="96"/>
        <v>2618572.2799999998</v>
      </c>
      <c r="J516" s="466">
        <f t="shared" si="96"/>
        <v>2537974.2999999998</v>
      </c>
      <c r="K516" s="604">
        <f t="shared" si="96"/>
        <v>2537974.2999999998</v>
      </c>
      <c r="L516" s="564">
        <f t="shared" si="86"/>
        <v>0</v>
      </c>
      <c r="M516" s="565">
        <f t="shared" si="87"/>
        <v>102.65831670464793</v>
      </c>
      <c r="N516" s="565">
        <f t="shared" si="88"/>
        <v>102.65831670464793</v>
      </c>
    </row>
    <row r="517" spans="1:14" ht="37.549999999999997" customHeight="1" outlineLevel="2" x14ac:dyDescent="0.3">
      <c r="A517" s="438" t="s">
        <v>11</v>
      </c>
      <c r="B517" s="439" t="s">
        <v>501</v>
      </c>
      <c r="C517" s="439" t="s">
        <v>109</v>
      </c>
      <c r="D517" s="539" t="s">
        <v>529</v>
      </c>
      <c r="E517" s="539" t="s">
        <v>12</v>
      </c>
      <c r="F517" s="540">
        <v>2365763.5699999998</v>
      </c>
      <c r="G517" s="465">
        <f t="shared" si="96"/>
        <v>2472253.96</v>
      </c>
      <c r="H517" s="373">
        <v>1921124.34</v>
      </c>
      <c r="I517" s="440">
        <f t="shared" si="96"/>
        <v>2618572.2799999998</v>
      </c>
      <c r="J517" s="466">
        <f t="shared" si="96"/>
        <v>2537974.2999999998</v>
      </c>
      <c r="K517" s="604">
        <f t="shared" si="96"/>
        <v>2537974.2999999998</v>
      </c>
      <c r="L517" s="564">
        <f t="shared" si="86"/>
        <v>0</v>
      </c>
      <c r="M517" s="565">
        <f t="shared" si="87"/>
        <v>102.65831670464793</v>
      </c>
      <c r="N517" s="565">
        <f t="shared" si="88"/>
        <v>102.65831670464793</v>
      </c>
    </row>
    <row r="518" spans="1:14" ht="34" outlineLevel="4" x14ac:dyDescent="0.3">
      <c r="A518" s="438" t="s">
        <v>13</v>
      </c>
      <c r="B518" s="439" t="s">
        <v>501</v>
      </c>
      <c r="C518" s="439" t="s">
        <v>109</v>
      </c>
      <c r="D518" s="539" t="s">
        <v>529</v>
      </c>
      <c r="E518" s="539" t="s">
        <v>14</v>
      </c>
      <c r="F518" s="540">
        <v>2365763.5699999998</v>
      </c>
      <c r="G518" s="466">
        <f>[2]потребность!I463-45604</f>
        <v>2472253.96</v>
      </c>
      <c r="H518" s="373">
        <v>1921124.34</v>
      </c>
      <c r="I518" s="442">
        <f>'[2]прил 12'!F476</f>
        <v>2618572.2799999998</v>
      </c>
      <c r="J518" s="466">
        <v>2537974.2999999998</v>
      </c>
      <c r="K518" s="604">
        <v>2537974.2999999998</v>
      </c>
      <c r="L518" s="564">
        <f t="shared" si="86"/>
        <v>0</v>
      </c>
      <c r="M518" s="565">
        <f t="shared" si="87"/>
        <v>102.65831670464793</v>
      </c>
      <c r="N518" s="565">
        <f t="shared" si="88"/>
        <v>102.65831670464793</v>
      </c>
    </row>
    <row r="519" spans="1:14" ht="50.95" outlineLevel="5" x14ac:dyDescent="0.3">
      <c r="A519" s="438" t="s">
        <v>494</v>
      </c>
      <c r="B519" s="439" t="s">
        <v>501</v>
      </c>
      <c r="C519" s="439" t="s">
        <v>109</v>
      </c>
      <c r="D519" s="539" t="s">
        <v>495</v>
      </c>
      <c r="E519" s="539" t="s">
        <v>6</v>
      </c>
      <c r="F519" s="540">
        <v>2535958.2000000002</v>
      </c>
      <c r="G519" s="465">
        <f>G520+G522+G524</f>
        <v>2698483.33</v>
      </c>
      <c r="H519" s="440">
        <f>H520+H522+H524</f>
        <v>1834793.63</v>
      </c>
      <c r="I519" s="440">
        <f>I520+I522+I524</f>
        <v>2869629.36</v>
      </c>
      <c r="J519" s="465">
        <f>J520+J522+J524</f>
        <v>2811414</v>
      </c>
      <c r="K519" s="603">
        <f>K520+K522+K524</f>
        <v>2811414</v>
      </c>
      <c r="L519" s="564">
        <f t="shared" si="86"/>
        <v>0</v>
      </c>
      <c r="M519" s="565">
        <f t="shared" si="87"/>
        <v>104.18496822806016</v>
      </c>
      <c r="N519" s="565">
        <f t="shared" si="88"/>
        <v>104.18496822806016</v>
      </c>
    </row>
    <row r="520" spans="1:14" ht="75.400000000000006" customHeight="1" outlineLevel="6" x14ac:dyDescent="0.3">
      <c r="A520" s="438" t="s">
        <v>11</v>
      </c>
      <c r="B520" s="439" t="s">
        <v>501</v>
      </c>
      <c r="C520" s="439" t="s">
        <v>109</v>
      </c>
      <c r="D520" s="539" t="s">
        <v>495</v>
      </c>
      <c r="E520" s="539" t="s">
        <v>12</v>
      </c>
      <c r="F520" s="540">
        <v>2387673</v>
      </c>
      <c r="G520" s="465">
        <f>G521</f>
        <v>2446983.33</v>
      </c>
      <c r="H520" s="370">
        <v>1724385.69</v>
      </c>
      <c r="I520" s="440">
        <f>I521</f>
        <v>2618129.36</v>
      </c>
      <c r="J520" s="466">
        <f>J521</f>
        <v>2560414</v>
      </c>
      <c r="K520" s="604">
        <f>K521</f>
        <v>2560414</v>
      </c>
      <c r="L520" s="564">
        <f t="shared" ref="L520:L583" si="97">K520-J520</f>
        <v>0</v>
      </c>
      <c r="M520" s="565">
        <f t="shared" si="87"/>
        <v>104.635530966204</v>
      </c>
      <c r="N520" s="565">
        <f t="shared" si="88"/>
        <v>104.63553096620399</v>
      </c>
    </row>
    <row r="521" spans="1:14" ht="34" outlineLevel="7" x14ac:dyDescent="0.3">
      <c r="A521" s="438" t="s">
        <v>13</v>
      </c>
      <c r="B521" s="439" t="s">
        <v>501</v>
      </c>
      <c r="C521" s="439" t="s">
        <v>109</v>
      </c>
      <c r="D521" s="539" t="s">
        <v>495</v>
      </c>
      <c r="E521" s="539" t="s">
        <v>14</v>
      </c>
      <c r="F521" s="540">
        <v>2387673</v>
      </c>
      <c r="G521" s="465">
        <f>[2]потребность!I466-70449</f>
        <v>2446983.33</v>
      </c>
      <c r="H521" s="370">
        <v>1724385.69</v>
      </c>
      <c r="I521" s="440">
        <f>'[2]прил 12'!F479</f>
        <v>2618129.36</v>
      </c>
      <c r="J521" s="466">
        <f>2681114-120700</f>
        <v>2560414</v>
      </c>
      <c r="K521" s="604">
        <f>2681114-120700</f>
        <v>2560414</v>
      </c>
      <c r="L521" s="564">
        <f t="shared" si="97"/>
        <v>0</v>
      </c>
      <c r="M521" s="565">
        <f t="shared" si="87"/>
        <v>104.635530966204</v>
      </c>
      <c r="N521" s="565">
        <f t="shared" si="88"/>
        <v>104.63553096620399</v>
      </c>
    </row>
    <row r="522" spans="1:14" ht="34" outlineLevel="7" x14ac:dyDescent="0.3">
      <c r="A522" s="438" t="s">
        <v>15</v>
      </c>
      <c r="B522" s="439" t="s">
        <v>501</v>
      </c>
      <c r="C522" s="439" t="s">
        <v>109</v>
      </c>
      <c r="D522" s="539" t="s">
        <v>495</v>
      </c>
      <c r="E522" s="539" t="s">
        <v>16</v>
      </c>
      <c r="F522" s="540">
        <v>146395.20000000001</v>
      </c>
      <c r="G522" s="465">
        <f>G523</f>
        <v>246000</v>
      </c>
      <c r="H522" s="370">
        <v>110407.94</v>
      </c>
      <c r="I522" s="440">
        <f>I523</f>
        <v>246000</v>
      </c>
      <c r="J522" s="466">
        <f>J523</f>
        <v>246000</v>
      </c>
      <c r="K522" s="604">
        <f>K523</f>
        <v>246000</v>
      </c>
      <c r="L522" s="564">
        <f t="shared" si="97"/>
        <v>0</v>
      </c>
      <c r="M522" s="565">
        <f t="shared" si="87"/>
        <v>100</v>
      </c>
      <c r="N522" s="565">
        <f t="shared" si="88"/>
        <v>100</v>
      </c>
    </row>
    <row r="523" spans="1:14" ht="34" outlineLevel="7" x14ac:dyDescent="0.3">
      <c r="A523" s="438" t="s">
        <v>17</v>
      </c>
      <c r="B523" s="439" t="s">
        <v>501</v>
      </c>
      <c r="C523" s="439" t="s">
        <v>109</v>
      </c>
      <c r="D523" s="539" t="s">
        <v>495</v>
      </c>
      <c r="E523" s="539" t="s">
        <v>18</v>
      </c>
      <c r="F523" s="540">
        <v>146395.20000000001</v>
      </c>
      <c r="G523" s="466">
        <v>246000</v>
      </c>
      <c r="H523" s="370">
        <v>110407.94</v>
      </c>
      <c r="I523" s="442">
        <f>'[2]прил 12'!F481</f>
        <v>246000</v>
      </c>
      <c r="J523" s="466">
        <v>246000</v>
      </c>
      <c r="K523" s="604">
        <v>246000</v>
      </c>
      <c r="L523" s="564">
        <f t="shared" si="97"/>
        <v>0</v>
      </c>
      <c r="M523" s="565">
        <f t="shared" si="87"/>
        <v>100</v>
      </c>
      <c r="N523" s="565">
        <f t="shared" si="88"/>
        <v>100</v>
      </c>
    </row>
    <row r="524" spans="1:14" outlineLevel="2" x14ac:dyDescent="0.3">
      <c r="A524" s="438" t="s">
        <v>19</v>
      </c>
      <c r="B524" s="439" t="s">
        <v>501</v>
      </c>
      <c r="C524" s="439" t="s">
        <v>109</v>
      </c>
      <c r="D524" s="539" t="s">
        <v>495</v>
      </c>
      <c r="E524" s="539" t="s">
        <v>20</v>
      </c>
      <c r="F524" s="540">
        <v>1890</v>
      </c>
      <c r="G524" s="465">
        <f>G525</f>
        <v>5500</v>
      </c>
      <c r="H524" s="441"/>
      <c r="I524" s="440">
        <f>I525</f>
        <v>5500</v>
      </c>
      <c r="J524" s="466">
        <f>J525</f>
        <v>5000</v>
      </c>
      <c r="K524" s="604">
        <f>K525</f>
        <v>5000</v>
      </c>
      <c r="L524" s="564">
        <f t="shared" si="97"/>
        <v>0</v>
      </c>
      <c r="M524" s="565">
        <f t="shared" ref="M524:M576" si="98">J524/G524%</f>
        <v>90.909090909090907</v>
      </c>
      <c r="N524" s="565">
        <f t="shared" ref="N524:N576" si="99">K524/G524*100</f>
        <v>90.909090909090907</v>
      </c>
    </row>
    <row r="525" spans="1:14" s="449" customFormat="1" outlineLevel="3" x14ac:dyDescent="0.3">
      <c r="A525" s="438" t="s">
        <v>21</v>
      </c>
      <c r="B525" s="439" t="s">
        <v>501</v>
      </c>
      <c r="C525" s="439" t="s">
        <v>109</v>
      </c>
      <c r="D525" s="539" t="s">
        <v>495</v>
      </c>
      <c r="E525" s="539" t="s">
        <v>22</v>
      </c>
      <c r="F525" s="540">
        <v>1890</v>
      </c>
      <c r="G525" s="466">
        <v>5500</v>
      </c>
      <c r="H525" s="443"/>
      <c r="I525" s="442">
        <f>'[2]прил 12'!F483</f>
        <v>5500</v>
      </c>
      <c r="J525" s="507">
        <v>5000</v>
      </c>
      <c r="K525" s="605">
        <v>5000</v>
      </c>
      <c r="L525" s="564">
        <f t="shared" si="97"/>
        <v>0</v>
      </c>
      <c r="M525" s="565">
        <f t="shared" si="98"/>
        <v>90.909090909090907</v>
      </c>
      <c r="N525" s="565">
        <f t="shared" si="99"/>
        <v>90.909090909090907</v>
      </c>
    </row>
    <row r="526" spans="1:14" outlineLevel="4" x14ac:dyDescent="0.3">
      <c r="A526" s="438" t="s">
        <v>531</v>
      </c>
      <c r="B526" s="439" t="s">
        <v>501</v>
      </c>
      <c r="C526" s="439" t="s">
        <v>109</v>
      </c>
      <c r="D526" s="539" t="s">
        <v>530</v>
      </c>
      <c r="E526" s="539" t="s">
        <v>6</v>
      </c>
      <c r="F526" s="540">
        <v>180000</v>
      </c>
      <c r="G526" s="465">
        <f t="shared" ref="G526:K527" si="100">G527</f>
        <v>180000</v>
      </c>
      <c r="H526" s="440">
        <f t="shared" si="100"/>
        <v>135000</v>
      </c>
      <c r="I526" s="440">
        <f t="shared" si="100"/>
        <v>180000</v>
      </c>
      <c r="J526" s="466">
        <f t="shared" si="100"/>
        <v>180000</v>
      </c>
      <c r="K526" s="604">
        <f t="shared" si="100"/>
        <v>180000</v>
      </c>
      <c r="L526" s="564">
        <f t="shared" si="97"/>
        <v>0</v>
      </c>
      <c r="M526" s="565">
        <f t="shared" si="98"/>
        <v>100</v>
      </c>
      <c r="N526" s="565">
        <f t="shared" si="99"/>
        <v>100</v>
      </c>
    </row>
    <row r="527" spans="1:14" ht="84.9" outlineLevel="5" x14ac:dyDescent="0.3">
      <c r="A527" s="438" t="s">
        <v>11</v>
      </c>
      <c r="B527" s="439" t="s">
        <v>501</v>
      </c>
      <c r="C527" s="439" t="s">
        <v>109</v>
      </c>
      <c r="D527" s="539" t="s">
        <v>530</v>
      </c>
      <c r="E527" s="539" t="s">
        <v>12</v>
      </c>
      <c r="F527" s="540">
        <v>180000</v>
      </c>
      <c r="G527" s="465">
        <f t="shared" si="100"/>
        <v>180000</v>
      </c>
      <c r="H527" s="370">
        <v>135000</v>
      </c>
      <c r="I527" s="440">
        <f t="shared" si="100"/>
        <v>180000</v>
      </c>
      <c r="J527" s="466">
        <f t="shared" si="100"/>
        <v>180000</v>
      </c>
      <c r="K527" s="604">
        <f t="shared" si="100"/>
        <v>180000</v>
      </c>
      <c r="L527" s="564">
        <f t="shared" si="97"/>
        <v>0</v>
      </c>
      <c r="M527" s="565">
        <f t="shared" si="98"/>
        <v>100</v>
      </c>
      <c r="N527" s="565">
        <f t="shared" si="99"/>
        <v>100</v>
      </c>
    </row>
    <row r="528" spans="1:14" ht="45.7" customHeight="1" outlineLevel="6" x14ac:dyDescent="0.3">
      <c r="A528" s="438" t="s">
        <v>13</v>
      </c>
      <c r="B528" s="439" t="s">
        <v>501</v>
      </c>
      <c r="C528" s="439" t="s">
        <v>109</v>
      </c>
      <c r="D528" s="539" t="s">
        <v>530</v>
      </c>
      <c r="E528" s="539" t="s">
        <v>14</v>
      </c>
      <c r="F528" s="540">
        <v>180000</v>
      </c>
      <c r="G528" s="466">
        <v>180000</v>
      </c>
      <c r="H528" s="370">
        <v>135000</v>
      </c>
      <c r="I528" s="442">
        <f>'[2]прил 12'!F486</f>
        <v>180000</v>
      </c>
      <c r="J528" s="466">
        <v>180000</v>
      </c>
      <c r="K528" s="604">
        <v>180000</v>
      </c>
      <c r="L528" s="564">
        <f t="shared" si="97"/>
        <v>0</v>
      </c>
      <c r="M528" s="565">
        <f t="shared" si="98"/>
        <v>100</v>
      </c>
      <c r="N528" s="565">
        <f t="shared" si="99"/>
        <v>100</v>
      </c>
    </row>
    <row r="529" spans="1:14" ht="46.2" customHeight="1" outlineLevel="7" x14ac:dyDescent="0.3">
      <c r="A529" s="438" t="s">
        <v>9</v>
      </c>
      <c r="B529" s="439" t="s">
        <v>501</v>
      </c>
      <c r="C529" s="439" t="s">
        <v>10</v>
      </c>
      <c r="D529" s="539" t="s">
        <v>126</v>
      </c>
      <c r="E529" s="539" t="s">
        <v>6</v>
      </c>
      <c r="F529" s="540">
        <v>1105064.8999999999</v>
      </c>
      <c r="G529" s="465">
        <f t="shared" ref="G529:H532" si="101">G530</f>
        <v>0</v>
      </c>
      <c r="H529" s="440">
        <f t="shared" si="101"/>
        <v>0</v>
      </c>
      <c r="I529" s="440"/>
      <c r="J529" s="466"/>
      <c r="K529" s="604"/>
      <c r="L529" s="564">
        <f t="shared" si="97"/>
        <v>0</v>
      </c>
      <c r="M529" s="565"/>
      <c r="N529" s="565"/>
    </row>
    <row r="530" spans="1:14" s="449" customFormat="1" ht="34" outlineLevel="7" x14ac:dyDescent="0.3">
      <c r="A530" s="438" t="s">
        <v>132</v>
      </c>
      <c r="B530" s="439" t="s">
        <v>501</v>
      </c>
      <c r="C530" s="439" t="s">
        <v>10</v>
      </c>
      <c r="D530" s="539" t="s">
        <v>127</v>
      </c>
      <c r="E530" s="539" t="s">
        <v>6</v>
      </c>
      <c r="F530" s="540">
        <v>1105064.8999999999</v>
      </c>
      <c r="G530" s="465">
        <f t="shared" si="101"/>
        <v>0</v>
      </c>
      <c r="H530" s="440">
        <f t="shared" si="101"/>
        <v>0</v>
      </c>
      <c r="I530" s="440"/>
      <c r="J530" s="507"/>
      <c r="K530" s="605"/>
      <c r="L530" s="564">
        <f t="shared" si="97"/>
        <v>0</v>
      </c>
      <c r="M530" s="565"/>
      <c r="N530" s="565"/>
    </row>
    <row r="531" spans="1:14" outlineLevel="7" x14ac:dyDescent="0.3">
      <c r="A531" s="438" t="s">
        <v>120</v>
      </c>
      <c r="B531" s="439" t="s">
        <v>501</v>
      </c>
      <c r="C531" s="439" t="s">
        <v>10</v>
      </c>
      <c r="D531" s="539" t="s">
        <v>143</v>
      </c>
      <c r="E531" s="539" t="s">
        <v>6</v>
      </c>
      <c r="F531" s="540">
        <v>1105064.8999999999</v>
      </c>
      <c r="G531" s="465">
        <f t="shared" si="101"/>
        <v>0</v>
      </c>
      <c r="H531" s="440">
        <f t="shared" si="101"/>
        <v>0</v>
      </c>
      <c r="I531" s="440"/>
      <c r="J531" s="466"/>
      <c r="K531" s="604"/>
      <c r="L531" s="564">
        <f t="shared" si="97"/>
        <v>0</v>
      </c>
      <c r="M531" s="565"/>
      <c r="N531" s="565"/>
    </row>
    <row r="532" spans="1:14" ht="84.9" outlineLevel="7" x14ac:dyDescent="0.3">
      <c r="A532" s="438" t="s">
        <v>11</v>
      </c>
      <c r="B532" s="439" t="s">
        <v>501</v>
      </c>
      <c r="C532" s="439" t="s">
        <v>10</v>
      </c>
      <c r="D532" s="539" t="s">
        <v>143</v>
      </c>
      <c r="E532" s="539" t="s">
        <v>12</v>
      </c>
      <c r="F532" s="540">
        <v>1105064.8999999999</v>
      </c>
      <c r="G532" s="465">
        <f t="shared" si="101"/>
        <v>0</v>
      </c>
      <c r="H532" s="440">
        <f t="shared" si="101"/>
        <v>0</v>
      </c>
      <c r="I532" s="440"/>
      <c r="J532" s="466"/>
      <c r="K532" s="604"/>
      <c r="L532" s="564">
        <f t="shared" si="97"/>
        <v>0</v>
      </c>
      <c r="M532" s="565"/>
      <c r="N532" s="565"/>
    </row>
    <row r="533" spans="1:14" ht="21.25" customHeight="1" outlineLevel="7" x14ac:dyDescent="0.3">
      <c r="A533" s="438" t="s">
        <v>13</v>
      </c>
      <c r="B533" s="439" t="s">
        <v>501</v>
      </c>
      <c r="C533" s="439" t="s">
        <v>10</v>
      </c>
      <c r="D533" s="539" t="s">
        <v>143</v>
      </c>
      <c r="E533" s="539" t="s">
        <v>14</v>
      </c>
      <c r="F533" s="540">
        <v>1105064.8999999999</v>
      </c>
      <c r="G533" s="465">
        <v>0</v>
      </c>
      <c r="H533" s="441">
        <v>0</v>
      </c>
      <c r="I533" s="440"/>
      <c r="J533" s="466"/>
      <c r="K533" s="604"/>
      <c r="L533" s="564">
        <f t="shared" si="97"/>
        <v>0</v>
      </c>
      <c r="M533" s="565"/>
      <c r="N533" s="565"/>
    </row>
    <row r="534" spans="1:14" s="437" customFormat="1" x14ac:dyDescent="0.3">
      <c r="A534" s="438" t="s">
        <v>23</v>
      </c>
      <c r="B534" s="439" t="s">
        <v>501</v>
      </c>
      <c r="C534" s="439" t="s">
        <v>24</v>
      </c>
      <c r="D534" s="539" t="s">
        <v>126</v>
      </c>
      <c r="E534" s="539" t="s">
        <v>6</v>
      </c>
      <c r="F534" s="540">
        <v>0</v>
      </c>
      <c r="G534" s="465">
        <f>G535+G540</f>
        <v>137280</v>
      </c>
      <c r="H534" s="440">
        <f>H535+H540</f>
        <v>127918.5</v>
      </c>
      <c r="I534" s="440">
        <f>I535+I540</f>
        <v>137280</v>
      </c>
      <c r="J534" s="465">
        <f>J535+J540+J544</f>
        <v>250950</v>
      </c>
      <c r="K534" s="603">
        <f>K535+K540+K544</f>
        <v>137280</v>
      </c>
      <c r="L534" s="564">
        <f t="shared" si="97"/>
        <v>-113670</v>
      </c>
      <c r="M534" s="565">
        <f t="shared" si="98"/>
        <v>182.80157342657344</v>
      </c>
      <c r="N534" s="565">
        <f t="shared" si="99"/>
        <v>100</v>
      </c>
    </row>
    <row r="535" spans="1:14" s="449" customFormat="1" ht="50.95" outlineLevel="1" x14ac:dyDescent="0.3">
      <c r="A535" s="444" t="s">
        <v>830</v>
      </c>
      <c r="B535" s="445" t="s">
        <v>501</v>
      </c>
      <c r="C535" s="445" t="s">
        <v>24</v>
      </c>
      <c r="D535" s="541" t="s">
        <v>128</v>
      </c>
      <c r="E535" s="541" t="s">
        <v>6</v>
      </c>
      <c r="F535" s="540">
        <v>0</v>
      </c>
      <c r="G535" s="508">
        <f t="shared" ref="G535:K538" si="102">G536</f>
        <v>33280</v>
      </c>
      <c r="H535" s="447"/>
      <c r="I535" s="446">
        <f t="shared" si="102"/>
        <v>33280</v>
      </c>
      <c r="J535" s="507">
        <f t="shared" si="102"/>
        <v>33280</v>
      </c>
      <c r="K535" s="605">
        <f t="shared" si="102"/>
        <v>33280</v>
      </c>
      <c r="L535" s="564">
        <f t="shared" si="97"/>
        <v>0</v>
      </c>
      <c r="M535" s="565">
        <f t="shared" si="98"/>
        <v>100</v>
      </c>
      <c r="N535" s="565">
        <f t="shared" si="99"/>
        <v>100</v>
      </c>
    </row>
    <row r="536" spans="1:14" ht="50.95" outlineLevel="2" x14ac:dyDescent="0.3">
      <c r="A536" s="450" t="s">
        <v>835</v>
      </c>
      <c r="B536" s="439" t="s">
        <v>501</v>
      </c>
      <c r="C536" s="439" t="s">
        <v>24</v>
      </c>
      <c r="D536" s="539" t="s">
        <v>315</v>
      </c>
      <c r="E536" s="539" t="s">
        <v>6</v>
      </c>
      <c r="F536" s="540">
        <v>0</v>
      </c>
      <c r="G536" s="465">
        <f t="shared" si="102"/>
        <v>33280</v>
      </c>
      <c r="H536" s="441"/>
      <c r="I536" s="440">
        <f t="shared" si="102"/>
        <v>33280</v>
      </c>
      <c r="J536" s="466">
        <f t="shared" si="102"/>
        <v>33280</v>
      </c>
      <c r="K536" s="604">
        <f t="shared" si="102"/>
        <v>33280</v>
      </c>
      <c r="L536" s="564">
        <f t="shared" si="97"/>
        <v>0</v>
      </c>
      <c r="M536" s="565">
        <f t="shared" si="98"/>
        <v>100</v>
      </c>
      <c r="N536" s="565">
        <f t="shared" si="99"/>
        <v>100</v>
      </c>
    </row>
    <row r="537" spans="1:14" s="449" customFormat="1" outlineLevel="3" x14ac:dyDescent="0.3">
      <c r="A537" s="450" t="s">
        <v>321</v>
      </c>
      <c r="B537" s="439" t="s">
        <v>501</v>
      </c>
      <c r="C537" s="439" t="s">
        <v>24</v>
      </c>
      <c r="D537" s="539" t="s">
        <v>316</v>
      </c>
      <c r="E537" s="539" t="s">
        <v>6</v>
      </c>
      <c r="F537" s="542">
        <v>0</v>
      </c>
      <c r="G537" s="465">
        <f t="shared" si="102"/>
        <v>33280</v>
      </c>
      <c r="H537" s="441"/>
      <c r="I537" s="440">
        <f t="shared" si="102"/>
        <v>33280</v>
      </c>
      <c r="J537" s="507">
        <f t="shared" si="102"/>
        <v>33280</v>
      </c>
      <c r="K537" s="605">
        <f t="shared" si="102"/>
        <v>33280</v>
      </c>
      <c r="L537" s="564">
        <f t="shared" si="97"/>
        <v>0</v>
      </c>
      <c r="M537" s="565">
        <f t="shared" si="98"/>
        <v>100</v>
      </c>
      <c r="N537" s="565">
        <f t="shared" si="99"/>
        <v>100</v>
      </c>
    </row>
    <row r="538" spans="1:14" ht="34" outlineLevel="4" x14ac:dyDescent="0.3">
      <c r="A538" s="438" t="s">
        <v>15</v>
      </c>
      <c r="B538" s="439" t="s">
        <v>501</v>
      </c>
      <c r="C538" s="439" t="s">
        <v>24</v>
      </c>
      <c r="D538" s="539" t="s">
        <v>316</v>
      </c>
      <c r="E538" s="539" t="s">
        <v>16</v>
      </c>
      <c r="F538" s="540">
        <v>0</v>
      </c>
      <c r="G538" s="465">
        <f t="shared" si="102"/>
        <v>33280</v>
      </c>
      <c r="H538" s="441"/>
      <c r="I538" s="440">
        <f t="shared" si="102"/>
        <v>33280</v>
      </c>
      <c r="J538" s="466">
        <f t="shared" si="102"/>
        <v>33280</v>
      </c>
      <c r="K538" s="604">
        <f t="shared" si="102"/>
        <v>33280</v>
      </c>
      <c r="L538" s="564">
        <f t="shared" si="97"/>
        <v>0</v>
      </c>
      <c r="M538" s="565">
        <f t="shared" si="98"/>
        <v>100</v>
      </c>
      <c r="N538" s="565">
        <f t="shared" si="99"/>
        <v>100</v>
      </c>
    </row>
    <row r="539" spans="1:14" ht="34" outlineLevel="4" x14ac:dyDescent="0.3">
      <c r="A539" s="438" t="s">
        <v>17</v>
      </c>
      <c r="B539" s="439" t="s">
        <v>501</v>
      </c>
      <c r="C539" s="439" t="s">
        <v>24</v>
      </c>
      <c r="D539" s="539" t="s">
        <v>316</v>
      </c>
      <c r="E539" s="539" t="s">
        <v>18</v>
      </c>
      <c r="F539" s="540">
        <v>0</v>
      </c>
      <c r="G539" s="465">
        <v>33280</v>
      </c>
      <c r="H539" s="441"/>
      <c r="I539" s="440">
        <f>'[2]прил 12'!F497</f>
        <v>33280</v>
      </c>
      <c r="J539" s="466">
        <v>33280</v>
      </c>
      <c r="K539" s="604">
        <v>33280</v>
      </c>
      <c r="L539" s="564">
        <f t="shared" si="97"/>
        <v>0</v>
      </c>
      <c r="M539" s="565">
        <f t="shared" si="98"/>
        <v>100</v>
      </c>
      <c r="N539" s="565">
        <f t="shared" si="99"/>
        <v>100</v>
      </c>
    </row>
    <row r="540" spans="1:14" ht="34" outlineLevel="5" x14ac:dyDescent="0.3">
      <c r="A540" s="444" t="s">
        <v>132</v>
      </c>
      <c r="B540" s="445" t="s">
        <v>501</v>
      </c>
      <c r="C540" s="445" t="s">
        <v>24</v>
      </c>
      <c r="D540" s="541" t="s">
        <v>127</v>
      </c>
      <c r="E540" s="541" t="s">
        <v>6</v>
      </c>
      <c r="F540" s="540">
        <v>96161</v>
      </c>
      <c r="G540" s="507">
        <f t="shared" ref="G540:K542" si="103">G541</f>
        <v>104000</v>
      </c>
      <c r="H540" s="452">
        <f>H541</f>
        <v>127918.5</v>
      </c>
      <c r="I540" s="448">
        <f t="shared" si="103"/>
        <v>104000</v>
      </c>
      <c r="J540" s="466">
        <f t="shared" si="103"/>
        <v>104000</v>
      </c>
      <c r="K540" s="604">
        <f t="shared" si="103"/>
        <v>104000</v>
      </c>
      <c r="L540" s="564">
        <f t="shared" si="97"/>
        <v>0</v>
      </c>
      <c r="M540" s="565">
        <f t="shared" si="98"/>
        <v>100</v>
      </c>
      <c r="N540" s="565">
        <f t="shared" si="99"/>
        <v>100</v>
      </c>
    </row>
    <row r="541" spans="1:14" ht="34" outlineLevel="6" x14ac:dyDescent="0.3">
      <c r="A541" s="438" t="s">
        <v>532</v>
      </c>
      <c r="B541" s="439" t="s">
        <v>501</v>
      </c>
      <c r="C541" s="439" t="s">
        <v>24</v>
      </c>
      <c r="D541" s="552">
        <v>9909970201</v>
      </c>
      <c r="E541" s="539" t="s">
        <v>6</v>
      </c>
      <c r="F541" s="540">
        <v>96161</v>
      </c>
      <c r="G541" s="466">
        <f t="shared" si="103"/>
        <v>104000</v>
      </c>
      <c r="H541" s="373">
        <v>127918.5</v>
      </c>
      <c r="I541" s="442">
        <f t="shared" si="103"/>
        <v>104000</v>
      </c>
      <c r="J541" s="466">
        <f t="shared" si="103"/>
        <v>104000</v>
      </c>
      <c r="K541" s="604">
        <f t="shared" si="103"/>
        <v>104000</v>
      </c>
      <c r="L541" s="564">
        <f t="shared" si="97"/>
        <v>0</v>
      </c>
      <c r="M541" s="565">
        <f t="shared" si="98"/>
        <v>100</v>
      </c>
      <c r="N541" s="565">
        <f t="shared" si="99"/>
        <v>100</v>
      </c>
    </row>
    <row r="542" spans="1:14" ht="34" outlineLevel="7" x14ac:dyDescent="0.3">
      <c r="A542" s="438" t="s">
        <v>15</v>
      </c>
      <c r="B542" s="439" t="s">
        <v>501</v>
      </c>
      <c r="C542" s="439" t="s">
        <v>24</v>
      </c>
      <c r="D542" s="552">
        <v>9909970201</v>
      </c>
      <c r="E542" s="539" t="s">
        <v>16</v>
      </c>
      <c r="F542" s="540">
        <v>96161</v>
      </c>
      <c r="G542" s="466">
        <f t="shared" si="103"/>
        <v>104000</v>
      </c>
      <c r="H542" s="373">
        <v>127918.5</v>
      </c>
      <c r="I542" s="442">
        <f t="shared" si="103"/>
        <v>104000</v>
      </c>
      <c r="J542" s="466">
        <f t="shared" si="103"/>
        <v>104000</v>
      </c>
      <c r="K542" s="604">
        <f t="shared" si="103"/>
        <v>104000</v>
      </c>
      <c r="L542" s="564">
        <f t="shared" si="97"/>
        <v>0</v>
      </c>
      <c r="M542" s="565">
        <f t="shared" si="98"/>
        <v>100</v>
      </c>
      <c r="N542" s="565">
        <f t="shared" si="99"/>
        <v>100</v>
      </c>
    </row>
    <row r="543" spans="1:14" ht="45" customHeight="1" outlineLevel="7" x14ac:dyDescent="0.3">
      <c r="A543" s="438" t="s">
        <v>17</v>
      </c>
      <c r="B543" s="439" t="s">
        <v>501</v>
      </c>
      <c r="C543" s="439" t="s">
        <v>24</v>
      </c>
      <c r="D543" s="552">
        <v>9909970201</v>
      </c>
      <c r="E543" s="539" t="s">
        <v>18</v>
      </c>
      <c r="F543" s="543">
        <v>96161</v>
      </c>
      <c r="G543" s="465">
        <v>104000</v>
      </c>
      <c r="H543" s="373">
        <v>127918.5</v>
      </c>
      <c r="I543" s="440">
        <f>'[2]прил 12'!F501</f>
        <v>104000</v>
      </c>
      <c r="J543" s="466">
        <v>104000</v>
      </c>
      <c r="K543" s="604">
        <v>104000</v>
      </c>
      <c r="L543" s="564">
        <f t="shared" si="97"/>
        <v>0</v>
      </c>
      <c r="M543" s="565">
        <f t="shared" si="98"/>
        <v>100</v>
      </c>
      <c r="N543" s="565">
        <f t="shared" si="99"/>
        <v>100</v>
      </c>
    </row>
    <row r="544" spans="1:14" ht="50.95" outlineLevel="7" x14ac:dyDescent="0.3">
      <c r="A544" s="451" t="s">
        <v>829</v>
      </c>
      <c r="B544" s="445" t="s">
        <v>501</v>
      </c>
      <c r="C544" s="439" t="s">
        <v>24</v>
      </c>
      <c r="D544" s="541" t="s">
        <v>317</v>
      </c>
      <c r="E544" s="541" t="s">
        <v>6</v>
      </c>
      <c r="F544" s="552">
        <v>0</v>
      </c>
      <c r="G544" s="465">
        <v>0</v>
      </c>
      <c r="H544" s="441">
        <v>0</v>
      </c>
      <c r="I544" s="440">
        <v>0</v>
      </c>
      <c r="J544" s="466">
        <f t="shared" ref="J544:K547" si="104">J545</f>
        <v>113670</v>
      </c>
      <c r="K544" s="604">
        <f t="shared" si="104"/>
        <v>0</v>
      </c>
      <c r="L544" s="564">
        <f t="shared" si="97"/>
        <v>-113670</v>
      </c>
      <c r="M544" s="565"/>
      <c r="N544" s="565"/>
    </row>
    <row r="545" spans="1:14" ht="34" outlineLevel="7" x14ac:dyDescent="0.3">
      <c r="A545" s="450" t="s">
        <v>249</v>
      </c>
      <c r="B545" s="439" t="s">
        <v>501</v>
      </c>
      <c r="C545" s="439" t="s">
        <v>24</v>
      </c>
      <c r="D545" s="539" t="s">
        <v>318</v>
      </c>
      <c r="E545" s="539" t="s">
        <v>6</v>
      </c>
      <c r="F545" s="552">
        <v>0</v>
      </c>
      <c r="G545" s="465">
        <v>0</v>
      </c>
      <c r="H545" s="441">
        <v>0</v>
      </c>
      <c r="I545" s="440">
        <v>0</v>
      </c>
      <c r="J545" s="466">
        <f t="shared" si="104"/>
        <v>113670</v>
      </c>
      <c r="K545" s="604">
        <f t="shared" si="104"/>
        <v>0</v>
      </c>
      <c r="L545" s="564">
        <f t="shared" si="97"/>
        <v>-113670</v>
      </c>
      <c r="M545" s="565"/>
      <c r="N545" s="565"/>
    </row>
    <row r="546" spans="1:14" ht="18.7" customHeight="1" outlineLevel="7" x14ac:dyDescent="0.3">
      <c r="A546" s="438" t="s">
        <v>25</v>
      </c>
      <c r="B546" s="439" t="s">
        <v>501</v>
      </c>
      <c r="C546" s="439" t="s">
        <v>24</v>
      </c>
      <c r="D546" s="539" t="s">
        <v>329</v>
      </c>
      <c r="E546" s="539" t="s">
        <v>6</v>
      </c>
      <c r="F546" s="539" t="s">
        <v>976</v>
      </c>
      <c r="G546" s="465">
        <v>0</v>
      </c>
      <c r="H546" s="441">
        <v>0</v>
      </c>
      <c r="I546" s="440">
        <v>0</v>
      </c>
      <c r="J546" s="466">
        <f t="shared" si="104"/>
        <v>113670</v>
      </c>
      <c r="K546" s="604">
        <f t="shared" si="104"/>
        <v>0</v>
      </c>
      <c r="L546" s="564">
        <f t="shared" si="97"/>
        <v>-113670</v>
      </c>
      <c r="M546" s="565"/>
      <c r="N546" s="565"/>
    </row>
    <row r="547" spans="1:14" ht="34" outlineLevel="7" x14ac:dyDescent="0.3">
      <c r="A547" s="438" t="s">
        <v>15</v>
      </c>
      <c r="B547" s="439" t="s">
        <v>501</v>
      </c>
      <c r="C547" s="439" t="s">
        <v>24</v>
      </c>
      <c r="D547" s="539" t="s">
        <v>329</v>
      </c>
      <c r="E547" s="539" t="s">
        <v>16</v>
      </c>
      <c r="F547" s="539" t="s">
        <v>976</v>
      </c>
      <c r="G547" s="465">
        <v>0</v>
      </c>
      <c r="H547" s="441">
        <v>0</v>
      </c>
      <c r="I547" s="440">
        <v>0</v>
      </c>
      <c r="J547" s="466">
        <f t="shared" si="104"/>
        <v>113670</v>
      </c>
      <c r="K547" s="604">
        <f t="shared" si="104"/>
        <v>0</v>
      </c>
      <c r="L547" s="564">
        <f t="shared" si="97"/>
        <v>-113670</v>
      </c>
      <c r="M547" s="565"/>
      <c r="N547" s="565"/>
    </row>
    <row r="548" spans="1:14" ht="34" outlineLevel="7" x14ac:dyDescent="0.3">
      <c r="A548" s="438" t="s">
        <v>17</v>
      </c>
      <c r="B548" s="439" t="s">
        <v>501</v>
      </c>
      <c r="C548" s="439" t="s">
        <v>24</v>
      </c>
      <c r="D548" s="539" t="s">
        <v>329</v>
      </c>
      <c r="E548" s="539" t="s">
        <v>18</v>
      </c>
      <c r="F548" s="539" t="s">
        <v>976</v>
      </c>
      <c r="G548" s="465">
        <v>0</v>
      </c>
      <c r="H548" s="441">
        <v>0</v>
      </c>
      <c r="I548" s="440">
        <v>0</v>
      </c>
      <c r="J548" s="466">
        <v>113670</v>
      </c>
      <c r="K548" s="604">
        <f>113670-113670</f>
        <v>0</v>
      </c>
      <c r="L548" s="564">
        <f t="shared" si="97"/>
        <v>-113670</v>
      </c>
      <c r="M548" s="565"/>
      <c r="N548" s="565"/>
    </row>
    <row r="549" spans="1:14" ht="50.95" outlineLevel="7" x14ac:dyDescent="0.3">
      <c r="A549" s="433" t="s">
        <v>546</v>
      </c>
      <c r="B549" s="434" t="s">
        <v>536</v>
      </c>
      <c r="C549" s="434" t="s">
        <v>5</v>
      </c>
      <c r="D549" s="537" t="s">
        <v>126</v>
      </c>
      <c r="E549" s="537" t="s">
        <v>6</v>
      </c>
      <c r="F549" s="538">
        <v>539922363.24000001</v>
      </c>
      <c r="G549" s="506">
        <f>G550+G698+G714</f>
        <v>646232034.13999999</v>
      </c>
      <c r="H549" s="435" t="e">
        <f>H550+H698+H714</f>
        <v>#REF!</v>
      </c>
      <c r="I549" s="435" t="e">
        <f>I550+I698+I714</f>
        <v>#REF!</v>
      </c>
      <c r="J549" s="506">
        <f>J550+J698+J714</f>
        <v>612217470.23000002</v>
      </c>
      <c r="K549" s="602">
        <f>K550+K698+K714</f>
        <v>600593068.19000006</v>
      </c>
      <c r="L549" s="564">
        <f t="shared" si="97"/>
        <v>-11624402.039999962</v>
      </c>
      <c r="M549" s="565">
        <f t="shared" si="98"/>
        <v>94.736478213237092</v>
      </c>
      <c r="N549" s="565">
        <f t="shared" si="99"/>
        <v>92.937681275621713</v>
      </c>
    </row>
    <row r="550" spans="1:14" outlineLevel="7" x14ac:dyDescent="0.3">
      <c r="A550" s="444" t="s">
        <v>69</v>
      </c>
      <c r="B550" s="445" t="s">
        <v>536</v>
      </c>
      <c r="C550" s="445" t="s">
        <v>70</v>
      </c>
      <c r="D550" s="541" t="s">
        <v>126</v>
      </c>
      <c r="E550" s="541" t="s">
        <v>6</v>
      </c>
      <c r="F550" s="540">
        <v>531585411.58999997</v>
      </c>
      <c r="G550" s="508">
        <f>G551+G587+G659+G678+G633</f>
        <v>639658490.35000002</v>
      </c>
      <c r="H550" s="446" t="e">
        <f>H551+H587+H659+H678+H633</f>
        <v>#REF!</v>
      </c>
      <c r="I550" s="446" t="e">
        <f>I551+I587+I659+I678+I633</f>
        <v>#REF!</v>
      </c>
      <c r="J550" s="508">
        <f>J551+J587+J659+J678+J633</f>
        <v>606382316.23000002</v>
      </c>
      <c r="K550" s="606">
        <f>K551+K587+K659+K678+K633</f>
        <v>595116714.19000006</v>
      </c>
      <c r="L550" s="564">
        <f t="shared" si="97"/>
        <v>-11265602.039999962</v>
      </c>
      <c r="M550" s="565">
        <f t="shared" si="98"/>
        <v>94.79782186557199</v>
      </c>
      <c r="N550" s="565">
        <f t="shared" si="99"/>
        <v>93.036631760233774</v>
      </c>
    </row>
    <row r="551" spans="1:14" outlineLevel="7" x14ac:dyDescent="0.3">
      <c r="A551" s="438" t="s">
        <v>110</v>
      </c>
      <c r="B551" s="439" t="s">
        <v>536</v>
      </c>
      <c r="C551" s="439" t="s">
        <v>111</v>
      </c>
      <c r="D551" s="539" t="s">
        <v>126</v>
      </c>
      <c r="E551" s="539" t="s">
        <v>6</v>
      </c>
      <c r="F551" s="540">
        <v>118364131.27</v>
      </c>
      <c r="G551" s="465">
        <f t="shared" ref="G551:K552" si="105">G552</f>
        <v>139928096.22</v>
      </c>
      <c r="H551" s="440">
        <f t="shared" si="105"/>
        <v>96923388.159999996</v>
      </c>
      <c r="I551" s="440">
        <f t="shared" si="105"/>
        <v>136647891</v>
      </c>
      <c r="J551" s="465">
        <f t="shared" si="105"/>
        <v>144617866.20000002</v>
      </c>
      <c r="K551" s="603">
        <f t="shared" si="105"/>
        <v>138855396.20000002</v>
      </c>
      <c r="L551" s="564">
        <f t="shared" si="97"/>
        <v>-5762470</v>
      </c>
      <c r="M551" s="565">
        <f t="shared" si="98"/>
        <v>103.35155705443644</v>
      </c>
      <c r="N551" s="565">
        <f t="shared" si="99"/>
        <v>99.233391971321154</v>
      </c>
    </row>
    <row r="552" spans="1:14" ht="34" outlineLevel="7" x14ac:dyDescent="0.3">
      <c r="A552" s="444" t="s">
        <v>825</v>
      </c>
      <c r="B552" s="445" t="s">
        <v>536</v>
      </c>
      <c r="C552" s="445" t="s">
        <v>111</v>
      </c>
      <c r="D552" s="541" t="s">
        <v>138</v>
      </c>
      <c r="E552" s="541" t="s">
        <v>6</v>
      </c>
      <c r="F552" s="542">
        <v>118364131.27</v>
      </c>
      <c r="G552" s="508">
        <f t="shared" si="105"/>
        <v>139928096.22</v>
      </c>
      <c r="H552" s="446">
        <f t="shared" si="105"/>
        <v>96923388.159999996</v>
      </c>
      <c r="I552" s="446">
        <f t="shared" si="105"/>
        <v>136647891</v>
      </c>
      <c r="J552" s="508">
        <f t="shared" si="105"/>
        <v>144617866.20000002</v>
      </c>
      <c r="K552" s="606">
        <f t="shared" si="105"/>
        <v>138855396.20000002</v>
      </c>
      <c r="L552" s="564">
        <f t="shared" si="97"/>
        <v>-5762470</v>
      </c>
      <c r="M552" s="565">
        <f t="shared" si="98"/>
        <v>103.35155705443644</v>
      </c>
      <c r="N552" s="565">
        <f t="shared" si="99"/>
        <v>99.233391971321154</v>
      </c>
    </row>
    <row r="553" spans="1:14" ht="34" outlineLevel="7" x14ac:dyDescent="0.3">
      <c r="A553" s="438" t="s">
        <v>834</v>
      </c>
      <c r="B553" s="439" t="s">
        <v>536</v>
      </c>
      <c r="C553" s="439" t="s">
        <v>111</v>
      </c>
      <c r="D553" s="539" t="s">
        <v>139</v>
      </c>
      <c r="E553" s="539" t="s">
        <v>6</v>
      </c>
      <c r="F553" s="542">
        <v>118364131.27</v>
      </c>
      <c r="G553" s="465">
        <f>G554+G561</f>
        <v>139928096.22</v>
      </c>
      <c r="H553" s="440">
        <f>H554+H561</f>
        <v>96923388.159999996</v>
      </c>
      <c r="I553" s="440">
        <f>I554+I561</f>
        <v>136647891</v>
      </c>
      <c r="J553" s="465">
        <f>J554+J561</f>
        <v>144617866.20000002</v>
      </c>
      <c r="K553" s="603">
        <f>K554+K561</f>
        <v>138855396.20000002</v>
      </c>
      <c r="L553" s="564">
        <f t="shared" si="97"/>
        <v>-5762470</v>
      </c>
      <c r="M553" s="565">
        <f t="shared" si="98"/>
        <v>103.35155705443644</v>
      </c>
      <c r="N553" s="565">
        <f t="shared" si="99"/>
        <v>99.233391971321154</v>
      </c>
    </row>
    <row r="554" spans="1:14" ht="50.95" outlineLevel="7" x14ac:dyDescent="0.3">
      <c r="A554" s="450" t="s">
        <v>202</v>
      </c>
      <c r="B554" s="439" t="s">
        <v>536</v>
      </c>
      <c r="C554" s="439" t="s">
        <v>111</v>
      </c>
      <c r="D554" s="539" t="s">
        <v>219</v>
      </c>
      <c r="E554" s="539" t="s">
        <v>6</v>
      </c>
      <c r="F554" s="540">
        <v>116865686.84</v>
      </c>
      <c r="G554" s="465">
        <f>G555+G558</f>
        <v>130093742.69</v>
      </c>
      <c r="H554" s="440">
        <f>H555+H558</f>
        <v>91675352.060000002</v>
      </c>
      <c r="I554" s="440">
        <f>I555+I558</f>
        <v>134240407.59999999</v>
      </c>
      <c r="J554" s="465">
        <f>J555+J558</f>
        <v>139153899.30000001</v>
      </c>
      <c r="K554" s="603">
        <f>K555+K558</f>
        <v>138408929.30000001</v>
      </c>
      <c r="L554" s="564">
        <f t="shared" si="97"/>
        <v>-744970</v>
      </c>
      <c r="M554" s="565">
        <f t="shared" si="98"/>
        <v>106.96432927722698</v>
      </c>
      <c r="N554" s="565">
        <f t="shared" si="99"/>
        <v>106.39168836107224</v>
      </c>
    </row>
    <row r="555" spans="1:14" ht="50.95" outlineLevel="7" x14ac:dyDescent="0.3">
      <c r="A555" s="438" t="s">
        <v>113</v>
      </c>
      <c r="B555" s="439" t="s">
        <v>536</v>
      </c>
      <c r="C555" s="439" t="s">
        <v>111</v>
      </c>
      <c r="D555" s="539" t="s">
        <v>144</v>
      </c>
      <c r="E555" s="539" t="s">
        <v>6</v>
      </c>
      <c r="F555" s="540">
        <v>41271815.840000004</v>
      </c>
      <c r="G555" s="465">
        <f t="shared" ref="G555:K556" si="106">G556</f>
        <v>45003324.689999998</v>
      </c>
      <c r="H555" s="440">
        <f t="shared" si="106"/>
        <v>31822280.059999999</v>
      </c>
      <c r="I555" s="440">
        <f t="shared" si="106"/>
        <v>48316977.600000001</v>
      </c>
      <c r="J555" s="465">
        <f t="shared" si="106"/>
        <v>49664655.299999997</v>
      </c>
      <c r="K555" s="603">
        <f t="shared" si="106"/>
        <v>48919685.299999997</v>
      </c>
      <c r="L555" s="564">
        <f t="shared" si="97"/>
        <v>-744970</v>
      </c>
      <c r="M555" s="565">
        <f t="shared" si="98"/>
        <v>110.35774721558688</v>
      </c>
      <c r="N555" s="565">
        <f t="shared" si="99"/>
        <v>108.70238062849218</v>
      </c>
    </row>
    <row r="556" spans="1:14" ht="34" outlineLevel="7" x14ac:dyDescent="0.3">
      <c r="A556" s="438" t="s">
        <v>37</v>
      </c>
      <c r="B556" s="439" t="s">
        <v>536</v>
      </c>
      <c r="C556" s="439" t="s">
        <v>111</v>
      </c>
      <c r="D556" s="539" t="s">
        <v>144</v>
      </c>
      <c r="E556" s="539" t="s">
        <v>38</v>
      </c>
      <c r="F556" s="540">
        <v>41271815.840000004</v>
      </c>
      <c r="G556" s="465">
        <f t="shared" si="106"/>
        <v>45003324.689999998</v>
      </c>
      <c r="H556" s="440">
        <f t="shared" si="106"/>
        <v>31822280.059999999</v>
      </c>
      <c r="I556" s="440">
        <f t="shared" si="106"/>
        <v>48316977.600000001</v>
      </c>
      <c r="J556" s="465">
        <f t="shared" si="106"/>
        <v>49664655.299999997</v>
      </c>
      <c r="K556" s="603">
        <f t="shared" si="106"/>
        <v>48919685.299999997</v>
      </c>
      <c r="L556" s="564">
        <f t="shared" si="97"/>
        <v>-744970</v>
      </c>
      <c r="M556" s="565">
        <f t="shared" si="98"/>
        <v>110.35774721558688</v>
      </c>
      <c r="N556" s="565">
        <f t="shared" si="99"/>
        <v>108.70238062849218</v>
      </c>
    </row>
    <row r="557" spans="1:14" outlineLevel="7" x14ac:dyDescent="0.3">
      <c r="A557" s="438" t="s">
        <v>74</v>
      </c>
      <c r="B557" s="439" t="s">
        <v>536</v>
      </c>
      <c r="C557" s="439" t="s">
        <v>111</v>
      </c>
      <c r="D557" s="539" t="s">
        <v>144</v>
      </c>
      <c r="E557" s="539" t="s">
        <v>75</v>
      </c>
      <c r="F557" s="540">
        <v>41271815.840000004</v>
      </c>
      <c r="G557" s="466">
        <f>[2]потребность!I504-3300000+556776+859477+84223.69</f>
        <v>45003324.689999998</v>
      </c>
      <c r="H557" s="443">
        <v>31822280.059999999</v>
      </c>
      <c r="I557" s="442">
        <v>48316977.600000001</v>
      </c>
      <c r="J557" s="466">
        <f>49664655.3+500000-500000</f>
        <v>49664655.299999997</v>
      </c>
      <c r="K557" s="604">
        <f>49664655.3-744970</f>
        <v>48919685.299999997</v>
      </c>
      <c r="L557" s="564">
        <f t="shared" si="97"/>
        <v>-744970</v>
      </c>
      <c r="M557" s="565">
        <f t="shared" si="98"/>
        <v>110.35774721558688</v>
      </c>
      <c r="N557" s="565">
        <f t="shared" si="99"/>
        <v>108.70238062849218</v>
      </c>
    </row>
    <row r="558" spans="1:14" ht="95.8" customHeight="1" outlineLevel="7" x14ac:dyDescent="0.3">
      <c r="A558" s="450" t="s">
        <v>397</v>
      </c>
      <c r="B558" s="439" t="s">
        <v>536</v>
      </c>
      <c r="C558" s="439" t="s">
        <v>111</v>
      </c>
      <c r="D558" s="539" t="s">
        <v>145</v>
      </c>
      <c r="E558" s="539" t="s">
        <v>6</v>
      </c>
      <c r="F558" s="540">
        <v>75593871</v>
      </c>
      <c r="G558" s="465">
        <f t="shared" ref="G558:K559" si="107">G559</f>
        <v>85090418</v>
      </c>
      <c r="H558" s="440">
        <f t="shared" si="107"/>
        <v>59853072</v>
      </c>
      <c r="I558" s="440">
        <f t="shared" si="107"/>
        <v>85923430</v>
      </c>
      <c r="J558" s="465">
        <f t="shared" si="107"/>
        <v>89489244</v>
      </c>
      <c r="K558" s="603">
        <f t="shared" si="107"/>
        <v>89489244</v>
      </c>
      <c r="L558" s="564">
        <f t="shared" si="97"/>
        <v>0</v>
      </c>
      <c r="M558" s="565">
        <f t="shared" si="98"/>
        <v>105.16959030569106</v>
      </c>
      <c r="N558" s="565">
        <f t="shared" si="99"/>
        <v>105.16959030569106</v>
      </c>
    </row>
    <row r="559" spans="1:14" ht="34" outlineLevel="7" x14ac:dyDescent="0.3">
      <c r="A559" s="438" t="s">
        <v>37</v>
      </c>
      <c r="B559" s="439" t="s">
        <v>536</v>
      </c>
      <c r="C559" s="439" t="s">
        <v>111</v>
      </c>
      <c r="D559" s="539" t="s">
        <v>145</v>
      </c>
      <c r="E559" s="539" t="s">
        <v>38</v>
      </c>
      <c r="F559" s="540">
        <v>75593871</v>
      </c>
      <c r="G559" s="465">
        <f t="shared" si="107"/>
        <v>85090418</v>
      </c>
      <c r="H559" s="440">
        <f t="shared" si="107"/>
        <v>59853072</v>
      </c>
      <c r="I559" s="440">
        <f t="shared" si="107"/>
        <v>85923430</v>
      </c>
      <c r="J559" s="465">
        <f t="shared" si="107"/>
        <v>89489244</v>
      </c>
      <c r="K559" s="603">
        <f t="shared" si="107"/>
        <v>89489244</v>
      </c>
      <c r="L559" s="564">
        <f t="shared" si="97"/>
        <v>0</v>
      </c>
      <c r="M559" s="565">
        <f t="shared" si="98"/>
        <v>105.16959030569106</v>
      </c>
      <c r="N559" s="565">
        <f t="shared" si="99"/>
        <v>105.16959030569106</v>
      </c>
    </row>
    <row r="560" spans="1:14" ht="24.8" customHeight="1" outlineLevel="7" x14ac:dyDescent="0.3">
      <c r="A560" s="438" t="s">
        <v>74</v>
      </c>
      <c r="B560" s="439" t="s">
        <v>536</v>
      </c>
      <c r="C560" s="439" t="s">
        <v>111</v>
      </c>
      <c r="D560" s="539" t="s">
        <v>145</v>
      </c>
      <c r="E560" s="539" t="s">
        <v>75</v>
      </c>
      <c r="F560" s="540">
        <v>75593871</v>
      </c>
      <c r="G560" s="466">
        <f>81227204+3863214</f>
        <v>85090418</v>
      </c>
      <c r="H560" s="443">
        <v>59853072</v>
      </c>
      <c r="I560" s="442">
        <v>85923430</v>
      </c>
      <c r="J560" s="466">
        <v>89489244</v>
      </c>
      <c r="K560" s="604">
        <v>89489244</v>
      </c>
      <c r="L560" s="564">
        <f t="shared" si="97"/>
        <v>0</v>
      </c>
      <c r="M560" s="565">
        <f t="shared" si="98"/>
        <v>105.16959030569106</v>
      </c>
      <c r="N560" s="565">
        <f t="shared" si="99"/>
        <v>105.16959030569106</v>
      </c>
    </row>
    <row r="561" spans="1:14" ht="34" outlineLevel="7" x14ac:dyDescent="0.3">
      <c r="A561" s="450" t="s">
        <v>203</v>
      </c>
      <c r="B561" s="439" t="s">
        <v>536</v>
      </c>
      <c r="C561" s="439" t="s">
        <v>111</v>
      </c>
      <c r="D561" s="539" t="s">
        <v>221</v>
      </c>
      <c r="E561" s="539" t="s">
        <v>6</v>
      </c>
      <c r="F561" s="540">
        <v>1498444.43</v>
      </c>
      <c r="G561" s="466">
        <f>G580+G562+G565+G568+G571+G574</f>
        <v>9834353.5300000012</v>
      </c>
      <c r="H561" s="442">
        <f>H580+H562+H565+H568+H571+H574</f>
        <v>5248036.0999999996</v>
      </c>
      <c r="I561" s="442">
        <f>I580+I562+I565+I568+I571+I574</f>
        <v>2407483.4</v>
      </c>
      <c r="J561" s="466">
        <f>J580+J562+J565+J568+J571+J574</f>
        <v>5463966.9000000004</v>
      </c>
      <c r="K561" s="604">
        <f>K580+K562+K565+K568+K571+K574</f>
        <v>446466.9</v>
      </c>
      <c r="L561" s="564">
        <f t="shared" si="97"/>
        <v>-5017500</v>
      </c>
      <c r="M561" s="565">
        <f t="shared" si="98"/>
        <v>55.560000800581342</v>
      </c>
      <c r="N561" s="565">
        <f t="shared" si="99"/>
        <v>4.5398703497697017</v>
      </c>
    </row>
    <row r="562" spans="1:14" ht="34" outlineLevel="7" x14ac:dyDescent="0.3">
      <c r="A562" s="438" t="s">
        <v>282</v>
      </c>
      <c r="B562" s="439" t="s">
        <v>536</v>
      </c>
      <c r="C562" s="439" t="s">
        <v>111</v>
      </c>
      <c r="D562" s="539" t="s">
        <v>283</v>
      </c>
      <c r="E562" s="539" t="s">
        <v>6</v>
      </c>
      <c r="F562" s="540">
        <v>97500</v>
      </c>
      <c r="G562" s="466">
        <f t="shared" ref="G562:K563" si="108">G563</f>
        <v>97500</v>
      </c>
      <c r="H562" s="442">
        <f t="shared" si="108"/>
        <v>0</v>
      </c>
      <c r="I562" s="442">
        <f t="shared" si="108"/>
        <v>97500</v>
      </c>
      <c r="J562" s="466">
        <f t="shared" si="108"/>
        <v>100000</v>
      </c>
      <c r="K562" s="604">
        <f t="shared" si="108"/>
        <v>100000</v>
      </c>
      <c r="L562" s="564">
        <f t="shared" si="97"/>
        <v>0</v>
      </c>
      <c r="M562" s="565">
        <f t="shared" si="98"/>
        <v>102.56410256410257</v>
      </c>
      <c r="N562" s="565">
        <f t="shared" si="99"/>
        <v>102.56410256410255</v>
      </c>
    </row>
    <row r="563" spans="1:14" ht="22.75" customHeight="1" outlineLevel="7" x14ac:dyDescent="0.3">
      <c r="A563" s="438" t="s">
        <v>37</v>
      </c>
      <c r="B563" s="439" t="s">
        <v>536</v>
      </c>
      <c r="C563" s="439" t="s">
        <v>111</v>
      </c>
      <c r="D563" s="539" t="s">
        <v>283</v>
      </c>
      <c r="E563" s="539" t="s">
        <v>38</v>
      </c>
      <c r="F563" s="540">
        <v>97500</v>
      </c>
      <c r="G563" s="466">
        <f t="shared" si="108"/>
        <v>97500</v>
      </c>
      <c r="H563" s="442">
        <f t="shared" si="108"/>
        <v>0</v>
      </c>
      <c r="I563" s="442">
        <f t="shared" si="108"/>
        <v>97500</v>
      </c>
      <c r="J563" s="466">
        <f t="shared" si="108"/>
        <v>100000</v>
      </c>
      <c r="K563" s="604">
        <f t="shared" si="108"/>
        <v>100000</v>
      </c>
      <c r="L563" s="564">
        <f t="shared" si="97"/>
        <v>0</v>
      </c>
      <c r="M563" s="565">
        <f t="shared" si="98"/>
        <v>102.56410256410257</v>
      </c>
      <c r="N563" s="565">
        <f t="shared" si="99"/>
        <v>102.56410256410255</v>
      </c>
    </row>
    <row r="564" spans="1:14" outlineLevel="7" x14ac:dyDescent="0.3">
      <c r="A564" s="438" t="s">
        <v>74</v>
      </c>
      <c r="B564" s="439" t="s">
        <v>536</v>
      </c>
      <c r="C564" s="439" t="s">
        <v>111</v>
      </c>
      <c r="D564" s="539" t="s">
        <v>283</v>
      </c>
      <c r="E564" s="539" t="s">
        <v>75</v>
      </c>
      <c r="F564" s="540">
        <v>97500</v>
      </c>
      <c r="G564" s="466">
        <v>97500</v>
      </c>
      <c r="H564" s="443"/>
      <c r="I564" s="442">
        <v>97500</v>
      </c>
      <c r="J564" s="466">
        <v>100000</v>
      </c>
      <c r="K564" s="604">
        <v>100000</v>
      </c>
      <c r="L564" s="564">
        <f t="shared" si="97"/>
        <v>0</v>
      </c>
      <c r="M564" s="565">
        <f t="shared" si="98"/>
        <v>102.56410256410257</v>
      </c>
      <c r="N564" s="565">
        <f t="shared" si="99"/>
        <v>102.56410256410255</v>
      </c>
    </row>
    <row r="565" spans="1:14" ht="34" outlineLevel="7" x14ac:dyDescent="0.3">
      <c r="A565" s="438" t="s">
        <v>268</v>
      </c>
      <c r="B565" s="439" t="s">
        <v>536</v>
      </c>
      <c r="C565" s="439" t="s">
        <v>111</v>
      </c>
      <c r="D565" s="539" t="s">
        <v>284</v>
      </c>
      <c r="E565" s="539" t="s">
        <v>6</v>
      </c>
      <c r="F565" s="540">
        <v>111181.43</v>
      </c>
      <c r="G565" s="466">
        <f>G566</f>
        <v>152000</v>
      </c>
      <c r="H565" s="442">
        <f>H566</f>
        <v>77979.91</v>
      </c>
      <c r="I565" s="442">
        <f>I566</f>
        <v>152000</v>
      </c>
      <c r="J565" s="466">
        <f>J566</f>
        <v>158000</v>
      </c>
      <c r="K565" s="604">
        <f>K566</f>
        <v>158000</v>
      </c>
      <c r="L565" s="564">
        <f t="shared" si="97"/>
        <v>0</v>
      </c>
      <c r="M565" s="565">
        <f t="shared" si="98"/>
        <v>103.94736842105263</v>
      </c>
      <c r="N565" s="565">
        <f t="shared" si="99"/>
        <v>103.94736842105263</v>
      </c>
    </row>
    <row r="566" spans="1:14" ht="34" outlineLevel="7" x14ac:dyDescent="0.3">
      <c r="A566" s="438" t="s">
        <v>37</v>
      </c>
      <c r="B566" s="439" t="s">
        <v>536</v>
      </c>
      <c r="C566" s="439" t="s">
        <v>111</v>
      </c>
      <c r="D566" s="539" t="s">
        <v>284</v>
      </c>
      <c r="E566" s="539" t="s">
        <v>38</v>
      </c>
      <c r="F566" s="540">
        <v>111181.43</v>
      </c>
      <c r="G566" s="466">
        <f>G567</f>
        <v>152000</v>
      </c>
      <c r="H566" s="442">
        <f>H567</f>
        <v>77979.91</v>
      </c>
      <c r="I566" s="442">
        <v>152000</v>
      </c>
      <c r="J566" s="466">
        <f>J567</f>
        <v>158000</v>
      </c>
      <c r="K566" s="604">
        <f>K567</f>
        <v>158000</v>
      </c>
      <c r="L566" s="564">
        <f t="shared" si="97"/>
        <v>0</v>
      </c>
      <c r="M566" s="565">
        <f t="shared" si="98"/>
        <v>103.94736842105263</v>
      </c>
      <c r="N566" s="565">
        <f t="shared" si="99"/>
        <v>103.94736842105263</v>
      </c>
    </row>
    <row r="567" spans="1:14" outlineLevel="7" x14ac:dyDescent="0.3">
      <c r="A567" s="438" t="s">
        <v>74</v>
      </c>
      <c r="B567" s="439" t="s">
        <v>536</v>
      </c>
      <c r="C567" s="439" t="s">
        <v>111</v>
      </c>
      <c r="D567" s="539" t="s">
        <v>284</v>
      </c>
      <c r="E567" s="539" t="s">
        <v>75</v>
      </c>
      <c r="F567" s="540">
        <v>111181.43</v>
      </c>
      <c r="G567" s="466">
        <v>152000</v>
      </c>
      <c r="H567" s="443">
        <v>77979.91</v>
      </c>
      <c r="I567" s="442">
        <v>152000</v>
      </c>
      <c r="J567" s="466">
        <v>158000</v>
      </c>
      <c r="K567" s="604">
        <v>158000</v>
      </c>
      <c r="L567" s="564">
        <f t="shared" si="97"/>
        <v>0</v>
      </c>
      <c r="M567" s="565">
        <f t="shared" si="98"/>
        <v>103.94736842105263</v>
      </c>
      <c r="N567" s="565">
        <f t="shared" si="99"/>
        <v>103.94736842105263</v>
      </c>
    </row>
    <row r="568" spans="1:14" outlineLevel="7" x14ac:dyDescent="0.3">
      <c r="A568" s="438" t="s">
        <v>311</v>
      </c>
      <c r="B568" s="439" t="s">
        <v>536</v>
      </c>
      <c r="C568" s="439" t="s">
        <v>111</v>
      </c>
      <c r="D568" s="539" t="s">
        <v>534</v>
      </c>
      <c r="E568" s="539" t="s">
        <v>6</v>
      </c>
      <c r="F568" s="540">
        <v>413306</v>
      </c>
      <c r="G568" s="466">
        <f t="shared" ref="G568:K569" si="109">G569</f>
        <v>92750</v>
      </c>
      <c r="H568" s="442">
        <f t="shared" si="109"/>
        <v>4700</v>
      </c>
      <c r="I568" s="442">
        <f t="shared" si="109"/>
        <v>400000</v>
      </c>
      <c r="J568" s="466">
        <f t="shared" si="109"/>
        <v>2200000</v>
      </c>
      <c r="K568" s="604">
        <f t="shared" si="109"/>
        <v>0</v>
      </c>
      <c r="L568" s="564">
        <f t="shared" si="97"/>
        <v>-2200000</v>
      </c>
      <c r="M568" s="565">
        <f t="shared" si="98"/>
        <v>2371.967654986523</v>
      </c>
      <c r="N568" s="565">
        <f t="shared" si="99"/>
        <v>0</v>
      </c>
    </row>
    <row r="569" spans="1:14" ht="34" outlineLevel="7" x14ac:dyDescent="0.3">
      <c r="A569" s="438" t="s">
        <v>37</v>
      </c>
      <c r="B569" s="439" t="s">
        <v>536</v>
      </c>
      <c r="C569" s="439" t="s">
        <v>111</v>
      </c>
      <c r="D569" s="539" t="s">
        <v>534</v>
      </c>
      <c r="E569" s="539" t="s">
        <v>38</v>
      </c>
      <c r="F569" s="540">
        <v>413306</v>
      </c>
      <c r="G569" s="466">
        <f t="shared" si="109"/>
        <v>92750</v>
      </c>
      <c r="H569" s="442">
        <f t="shared" si="109"/>
        <v>4700</v>
      </c>
      <c r="I569" s="442">
        <f t="shared" si="109"/>
        <v>400000</v>
      </c>
      <c r="J569" s="466">
        <f t="shared" si="109"/>
        <v>2200000</v>
      </c>
      <c r="K569" s="604">
        <f t="shared" si="109"/>
        <v>0</v>
      </c>
      <c r="L569" s="564">
        <f t="shared" si="97"/>
        <v>-2200000</v>
      </c>
      <c r="M569" s="565">
        <f t="shared" si="98"/>
        <v>2371.967654986523</v>
      </c>
      <c r="N569" s="565">
        <f t="shared" si="99"/>
        <v>0</v>
      </c>
    </row>
    <row r="570" spans="1:14" outlineLevel="7" x14ac:dyDescent="0.3">
      <c r="A570" s="438" t="s">
        <v>74</v>
      </c>
      <c r="B570" s="439" t="s">
        <v>536</v>
      </c>
      <c r="C570" s="439" t="s">
        <v>111</v>
      </c>
      <c r="D570" s="539" t="s">
        <v>534</v>
      </c>
      <c r="E570" s="539" t="s">
        <v>75</v>
      </c>
      <c r="F570" s="540">
        <v>413306</v>
      </c>
      <c r="G570" s="466">
        <f>273250-180500</f>
        <v>92750</v>
      </c>
      <c r="H570" s="443">
        <v>4700</v>
      </c>
      <c r="I570" s="442">
        <v>400000</v>
      </c>
      <c r="J570" s="466">
        <v>2200000</v>
      </c>
      <c r="K570" s="604">
        <f>2200000-2200000</f>
        <v>0</v>
      </c>
      <c r="L570" s="564">
        <f t="shared" si="97"/>
        <v>-2200000</v>
      </c>
      <c r="M570" s="565">
        <f t="shared" si="98"/>
        <v>2371.967654986523</v>
      </c>
      <c r="N570" s="565">
        <f t="shared" si="99"/>
        <v>0</v>
      </c>
    </row>
    <row r="571" spans="1:14" ht="50.95" outlineLevel="7" x14ac:dyDescent="0.3">
      <c r="A571" s="450" t="s">
        <v>458</v>
      </c>
      <c r="B571" s="439" t="s">
        <v>536</v>
      </c>
      <c r="C571" s="439" t="s">
        <v>111</v>
      </c>
      <c r="D571" s="539" t="s">
        <v>459</v>
      </c>
      <c r="E571" s="539" t="s">
        <v>6</v>
      </c>
      <c r="F571" s="540">
        <v>125600</v>
      </c>
      <c r="G571" s="466">
        <f t="shared" ref="G571:K572" si="110">G572</f>
        <v>6000000</v>
      </c>
      <c r="H571" s="442">
        <f t="shared" si="110"/>
        <v>1800000</v>
      </c>
      <c r="I571" s="442">
        <f t="shared" si="110"/>
        <v>1400000</v>
      </c>
      <c r="J571" s="466">
        <f t="shared" si="110"/>
        <v>2817500</v>
      </c>
      <c r="K571" s="604">
        <f t="shared" si="110"/>
        <v>0</v>
      </c>
      <c r="L571" s="564">
        <f t="shared" si="97"/>
        <v>-2817500</v>
      </c>
      <c r="M571" s="565">
        <f t="shared" si="98"/>
        <v>46.958333333333336</v>
      </c>
      <c r="N571" s="565">
        <f t="shared" si="99"/>
        <v>0</v>
      </c>
    </row>
    <row r="572" spans="1:14" ht="34" outlineLevel="7" x14ac:dyDescent="0.3">
      <c r="A572" s="438" t="s">
        <v>37</v>
      </c>
      <c r="B572" s="439" t="s">
        <v>536</v>
      </c>
      <c r="C572" s="439" t="s">
        <v>111</v>
      </c>
      <c r="D572" s="539" t="s">
        <v>459</v>
      </c>
      <c r="E572" s="539" t="s">
        <v>38</v>
      </c>
      <c r="F572" s="540">
        <v>125600</v>
      </c>
      <c r="G572" s="466">
        <f t="shared" si="110"/>
        <v>6000000</v>
      </c>
      <c r="H572" s="442">
        <f t="shared" si="110"/>
        <v>1800000</v>
      </c>
      <c r="I572" s="442">
        <f t="shared" si="110"/>
        <v>1400000</v>
      </c>
      <c r="J572" s="466">
        <f t="shared" si="110"/>
        <v>2817500</v>
      </c>
      <c r="K572" s="604">
        <f t="shared" si="110"/>
        <v>0</v>
      </c>
      <c r="L572" s="564">
        <f t="shared" si="97"/>
        <v>-2817500</v>
      </c>
      <c r="M572" s="565">
        <f t="shared" si="98"/>
        <v>46.958333333333336</v>
      </c>
      <c r="N572" s="565">
        <f t="shared" si="99"/>
        <v>0</v>
      </c>
    </row>
    <row r="573" spans="1:14" ht="17.7" outlineLevel="2" thickBot="1" x14ac:dyDescent="0.35">
      <c r="A573" s="438" t="s">
        <v>74</v>
      </c>
      <c r="B573" s="439" t="s">
        <v>536</v>
      </c>
      <c r="C573" s="439" t="s">
        <v>111</v>
      </c>
      <c r="D573" s="539" t="s">
        <v>459</v>
      </c>
      <c r="E573" s="539" t="s">
        <v>75</v>
      </c>
      <c r="F573" s="540">
        <v>125600</v>
      </c>
      <c r="G573" s="466">
        <f>[2]потребность!I520+3300000-3000000-400000+6000000</f>
        <v>6000000</v>
      </c>
      <c r="H573" s="443">
        <v>1800000</v>
      </c>
      <c r="I573" s="442">
        <v>1400000</v>
      </c>
      <c r="J573" s="466">
        <v>2817500</v>
      </c>
      <c r="K573" s="604">
        <f>2817500-2817500</f>
        <v>0</v>
      </c>
      <c r="L573" s="564">
        <f t="shared" si="97"/>
        <v>-2817500</v>
      </c>
      <c r="M573" s="565">
        <f t="shared" si="98"/>
        <v>46.958333333333336</v>
      </c>
      <c r="N573" s="565">
        <f t="shared" si="99"/>
        <v>0</v>
      </c>
    </row>
    <row r="574" spans="1:14" s="449" customFormat="1" ht="57.25" customHeight="1" outlineLevel="3" thickBot="1" x14ac:dyDescent="0.35">
      <c r="A574" s="470" t="s">
        <v>938</v>
      </c>
      <c r="B574" s="439" t="s">
        <v>536</v>
      </c>
      <c r="C574" s="439" t="s">
        <v>111</v>
      </c>
      <c r="D574" s="539" t="s">
        <v>726</v>
      </c>
      <c r="E574" s="539" t="s">
        <v>6</v>
      </c>
      <c r="F574" s="540">
        <v>343895</v>
      </c>
      <c r="G574" s="466">
        <f>G575</f>
        <v>3492103.5300000003</v>
      </c>
      <c r="H574" s="442">
        <f>H575</f>
        <v>3365356.19</v>
      </c>
      <c r="I574" s="442">
        <v>0</v>
      </c>
      <c r="J574" s="507">
        <v>0</v>
      </c>
      <c r="K574" s="605">
        <v>0</v>
      </c>
      <c r="L574" s="564">
        <f t="shared" si="97"/>
        <v>0</v>
      </c>
      <c r="M574" s="565">
        <f t="shared" si="98"/>
        <v>0</v>
      </c>
      <c r="N574" s="565">
        <f t="shared" si="99"/>
        <v>0</v>
      </c>
    </row>
    <row r="575" spans="1:14" ht="23.95" customHeight="1" outlineLevel="4" x14ac:dyDescent="0.3">
      <c r="A575" s="438" t="s">
        <v>37</v>
      </c>
      <c r="B575" s="439" t="s">
        <v>536</v>
      </c>
      <c r="C575" s="439" t="s">
        <v>111</v>
      </c>
      <c r="D575" s="539" t="s">
        <v>726</v>
      </c>
      <c r="E575" s="539" t="s">
        <v>38</v>
      </c>
      <c r="F575" s="540">
        <v>343895</v>
      </c>
      <c r="G575" s="466">
        <f>G576</f>
        <v>3492103.5300000003</v>
      </c>
      <c r="H575" s="442">
        <f>H576</f>
        <v>3365356.19</v>
      </c>
      <c r="I575" s="442">
        <v>0</v>
      </c>
      <c r="J575" s="466">
        <v>0</v>
      </c>
      <c r="K575" s="604">
        <v>0</v>
      </c>
      <c r="L575" s="564">
        <f t="shared" si="97"/>
        <v>0</v>
      </c>
      <c r="M575" s="565">
        <f t="shared" si="98"/>
        <v>0</v>
      </c>
      <c r="N575" s="565">
        <f t="shared" si="99"/>
        <v>0</v>
      </c>
    </row>
    <row r="576" spans="1:14" ht="22.75" customHeight="1" outlineLevel="4" x14ac:dyDescent="0.3">
      <c r="A576" s="438" t="s">
        <v>74</v>
      </c>
      <c r="B576" s="439" t="s">
        <v>536</v>
      </c>
      <c r="C576" s="439" t="s">
        <v>111</v>
      </c>
      <c r="D576" s="539" t="s">
        <v>726</v>
      </c>
      <c r="E576" s="539" t="s">
        <v>75</v>
      </c>
      <c r="F576" s="540">
        <v>343895</v>
      </c>
      <c r="G576" s="466">
        <f>[2]потребность!L521+340000+282103.53+400000+70000</f>
        <v>3492103.5300000003</v>
      </c>
      <c r="H576" s="443">
        <v>3365356.19</v>
      </c>
      <c r="I576" s="442">
        <v>0</v>
      </c>
      <c r="J576" s="466">
        <v>0</v>
      </c>
      <c r="K576" s="604">
        <v>0</v>
      </c>
      <c r="L576" s="564">
        <f t="shared" si="97"/>
        <v>0</v>
      </c>
      <c r="M576" s="565">
        <f t="shared" si="98"/>
        <v>0</v>
      </c>
      <c r="N576" s="565">
        <f t="shared" si="99"/>
        <v>0</v>
      </c>
    </row>
    <row r="577" spans="1:14" ht="73.400000000000006" customHeight="1" outlineLevel="4" x14ac:dyDescent="0.3">
      <c r="A577" s="393" t="s">
        <v>589</v>
      </c>
      <c r="B577" s="439" t="s">
        <v>536</v>
      </c>
      <c r="C577" s="439" t="s">
        <v>111</v>
      </c>
      <c r="D577" s="539" t="s">
        <v>590</v>
      </c>
      <c r="E577" s="539" t="s">
        <v>6</v>
      </c>
      <c r="F577" s="540">
        <v>394753.14</v>
      </c>
      <c r="G577" s="466">
        <f>G578</f>
        <v>0</v>
      </c>
      <c r="H577" s="442">
        <f>H578</f>
        <v>0</v>
      </c>
      <c r="I577" s="442">
        <v>0</v>
      </c>
      <c r="J577" s="466">
        <v>0</v>
      </c>
      <c r="K577" s="604">
        <v>0</v>
      </c>
      <c r="L577" s="564">
        <f t="shared" si="97"/>
        <v>0</v>
      </c>
      <c r="M577" s="565"/>
      <c r="N577" s="565"/>
    </row>
    <row r="578" spans="1:14" ht="43.5" customHeight="1" outlineLevel="4" x14ac:dyDescent="0.3">
      <c r="A578" s="438" t="s">
        <v>37</v>
      </c>
      <c r="B578" s="439" t="s">
        <v>536</v>
      </c>
      <c r="C578" s="439" t="s">
        <v>111</v>
      </c>
      <c r="D578" s="539" t="s">
        <v>590</v>
      </c>
      <c r="E578" s="539" t="s">
        <v>38</v>
      </c>
      <c r="F578" s="540">
        <v>394753.14</v>
      </c>
      <c r="G578" s="466">
        <f>G579</f>
        <v>0</v>
      </c>
      <c r="H578" s="442">
        <f>H579</f>
        <v>0</v>
      </c>
      <c r="I578" s="442">
        <v>0</v>
      </c>
      <c r="J578" s="466">
        <v>0</v>
      </c>
      <c r="K578" s="604">
        <v>0</v>
      </c>
      <c r="L578" s="564">
        <f t="shared" si="97"/>
        <v>0</v>
      </c>
      <c r="M578" s="565"/>
      <c r="N578" s="565"/>
    </row>
    <row r="579" spans="1:14" ht="30.75" customHeight="1" outlineLevel="4" x14ac:dyDescent="0.3">
      <c r="A579" s="438" t="s">
        <v>74</v>
      </c>
      <c r="B579" s="439" t="s">
        <v>536</v>
      </c>
      <c r="C579" s="439" t="s">
        <v>111</v>
      </c>
      <c r="D579" s="539" t="s">
        <v>590</v>
      </c>
      <c r="E579" s="539" t="s">
        <v>75</v>
      </c>
      <c r="F579" s="540">
        <v>394753.14</v>
      </c>
      <c r="G579" s="466">
        <v>0</v>
      </c>
      <c r="H579" s="442">
        <v>0</v>
      </c>
      <c r="I579" s="442">
        <v>0</v>
      </c>
      <c r="J579" s="466">
        <v>0</v>
      </c>
      <c r="K579" s="604">
        <v>0</v>
      </c>
      <c r="L579" s="564">
        <f t="shared" si="97"/>
        <v>0</v>
      </c>
      <c r="M579" s="565"/>
      <c r="N579" s="565"/>
    </row>
    <row r="580" spans="1:14" ht="67.95" outlineLevel="5" x14ac:dyDescent="0.3">
      <c r="A580" s="438" t="s">
        <v>443</v>
      </c>
      <c r="B580" s="439" t="s">
        <v>536</v>
      </c>
      <c r="C580" s="439" t="s">
        <v>111</v>
      </c>
      <c r="D580" s="539" t="s">
        <v>444</v>
      </c>
      <c r="E580" s="539" t="s">
        <v>6</v>
      </c>
      <c r="F580" s="540">
        <v>12208.86</v>
      </c>
      <c r="G580" s="466">
        <f t="shared" ref="G580:K581" si="111">G581</f>
        <v>0</v>
      </c>
      <c r="H580" s="442">
        <f t="shared" si="111"/>
        <v>0</v>
      </c>
      <c r="I580" s="442">
        <f t="shared" si="111"/>
        <v>357983.4</v>
      </c>
      <c r="J580" s="466">
        <f t="shared" si="111"/>
        <v>188466.9</v>
      </c>
      <c r="K580" s="604">
        <f t="shared" si="111"/>
        <v>188466.9</v>
      </c>
      <c r="L580" s="564">
        <f t="shared" si="97"/>
        <v>0</v>
      </c>
      <c r="M580" s="565"/>
      <c r="N580" s="565"/>
    </row>
    <row r="581" spans="1:14" ht="34" outlineLevel="6" x14ac:dyDescent="0.3">
      <c r="A581" s="438" t="s">
        <v>37</v>
      </c>
      <c r="B581" s="439" t="s">
        <v>536</v>
      </c>
      <c r="C581" s="439" t="s">
        <v>111</v>
      </c>
      <c r="D581" s="539" t="s">
        <v>444</v>
      </c>
      <c r="E581" s="539" t="s">
        <v>38</v>
      </c>
      <c r="F581" s="540">
        <v>12208.86</v>
      </c>
      <c r="G581" s="466">
        <f t="shared" si="111"/>
        <v>0</v>
      </c>
      <c r="H581" s="442">
        <f t="shared" si="111"/>
        <v>0</v>
      </c>
      <c r="I581" s="442">
        <f t="shared" si="111"/>
        <v>357983.4</v>
      </c>
      <c r="J581" s="466">
        <f t="shared" si="111"/>
        <v>188466.9</v>
      </c>
      <c r="K581" s="604">
        <f t="shared" si="111"/>
        <v>188466.9</v>
      </c>
      <c r="L581" s="564">
        <f t="shared" si="97"/>
        <v>0</v>
      </c>
      <c r="M581" s="565"/>
      <c r="N581" s="565"/>
    </row>
    <row r="582" spans="1:14" ht="20.25" customHeight="1" outlineLevel="7" x14ac:dyDescent="0.3">
      <c r="A582" s="438" t="s">
        <v>74</v>
      </c>
      <c r="B582" s="439" t="s">
        <v>536</v>
      </c>
      <c r="C582" s="439" t="s">
        <v>111</v>
      </c>
      <c r="D582" s="539" t="s">
        <v>444</v>
      </c>
      <c r="E582" s="539" t="s">
        <v>75</v>
      </c>
      <c r="F582" s="540">
        <v>12208.86</v>
      </c>
      <c r="G582" s="466">
        <f>282103.53-282103.53</f>
        <v>0</v>
      </c>
      <c r="H582" s="442">
        <f>282103.53-282103.53</f>
        <v>0</v>
      </c>
      <c r="I582" s="442">
        <v>357983.4</v>
      </c>
      <c r="J582" s="466">
        <v>188466.9</v>
      </c>
      <c r="K582" s="604">
        <v>188466.9</v>
      </c>
      <c r="L582" s="564">
        <f t="shared" si="97"/>
        <v>0</v>
      </c>
      <c r="M582" s="565"/>
      <c r="N582" s="565"/>
    </row>
    <row r="583" spans="1:14" ht="63.7" customHeight="1" outlineLevel="5" x14ac:dyDescent="0.3">
      <c r="A583" s="451" t="s">
        <v>591</v>
      </c>
      <c r="B583" s="439" t="s">
        <v>536</v>
      </c>
      <c r="C583" s="439" t="s">
        <v>111</v>
      </c>
      <c r="D583" s="539" t="s">
        <v>592</v>
      </c>
      <c r="E583" s="539" t="s">
        <v>6</v>
      </c>
      <c r="F583" s="539" t="s">
        <v>976</v>
      </c>
      <c r="G583" s="466">
        <f t="shared" ref="G583:H585" si="112">G584</f>
        <v>0</v>
      </c>
      <c r="H583" s="442">
        <f t="shared" si="112"/>
        <v>0</v>
      </c>
      <c r="I583" s="442">
        <v>0</v>
      </c>
      <c r="J583" s="466">
        <v>0</v>
      </c>
      <c r="K583" s="604">
        <v>0</v>
      </c>
      <c r="L583" s="564">
        <f t="shared" si="97"/>
        <v>0</v>
      </c>
      <c r="M583" s="565"/>
      <c r="N583" s="565"/>
    </row>
    <row r="584" spans="1:14" ht="101.9" outlineLevel="5" x14ac:dyDescent="0.3">
      <c r="A584" s="450" t="s">
        <v>562</v>
      </c>
      <c r="B584" s="439" t="s">
        <v>536</v>
      </c>
      <c r="C584" s="439" t="s">
        <v>111</v>
      </c>
      <c r="D584" s="539" t="s">
        <v>675</v>
      </c>
      <c r="E584" s="539" t="s">
        <v>6</v>
      </c>
      <c r="F584" s="539" t="s">
        <v>976</v>
      </c>
      <c r="G584" s="466">
        <f t="shared" si="112"/>
        <v>0</v>
      </c>
      <c r="H584" s="442">
        <f t="shared" si="112"/>
        <v>0</v>
      </c>
      <c r="I584" s="442">
        <v>0</v>
      </c>
      <c r="J584" s="466">
        <v>0</v>
      </c>
      <c r="K584" s="604">
        <v>0</v>
      </c>
      <c r="L584" s="564">
        <f t="shared" ref="L584:L644" si="113">K584-J584</f>
        <v>0</v>
      </c>
      <c r="M584" s="565"/>
      <c r="N584" s="565"/>
    </row>
    <row r="585" spans="1:14" ht="50.95" outlineLevel="5" x14ac:dyDescent="0.3">
      <c r="A585" s="438" t="s">
        <v>264</v>
      </c>
      <c r="B585" s="439" t="s">
        <v>536</v>
      </c>
      <c r="C585" s="439" t="s">
        <v>111</v>
      </c>
      <c r="D585" s="539" t="s">
        <v>675</v>
      </c>
      <c r="E585" s="539" t="s">
        <v>265</v>
      </c>
      <c r="F585" s="539" t="s">
        <v>976</v>
      </c>
      <c r="G585" s="466">
        <f t="shared" si="112"/>
        <v>0</v>
      </c>
      <c r="H585" s="442">
        <f t="shared" si="112"/>
        <v>0</v>
      </c>
      <c r="I585" s="442">
        <v>0</v>
      </c>
      <c r="J585" s="466">
        <v>0</v>
      </c>
      <c r="K585" s="604">
        <v>0</v>
      </c>
      <c r="L585" s="564">
        <f t="shared" si="113"/>
        <v>0</v>
      </c>
      <c r="M585" s="565"/>
      <c r="N585" s="565"/>
    </row>
    <row r="586" spans="1:14" ht="24.8" customHeight="1" outlineLevel="5" x14ac:dyDescent="0.3">
      <c r="A586" s="438" t="s">
        <v>266</v>
      </c>
      <c r="B586" s="439" t="s">
        <v>536</v>
      </c>
      <c r="C586" s="439" t="s">
        <v>111</v>
      </c>
      <c r="D586" s="539" t="s">
        <v>675</v>
      </c>
      <c r="E586" s="539" t="s">
        <v>267</v>
      </c>
      <c r="F586" s="539" t="s">
        <v>976</v>
      </c>
      <c r="G586" s="466">
        <v>0</v>
      </c>
      <c r="H586" s="442">
        <v>0</v>
      </c>
      <c r="I586" s="442">
        <v>0</v>
      </c>
      <c r="J586" s="466">
        <v>0</v>
      </c>
      <c r="K586" s="604">
        <v>0</v>
      </c>
      <c r="L586" s="564">
        <f t="shared" si="113"/>
        <v>0</v>
      </c>
      <c r="M586" s="565"/>
      <c r="N586" s="565"/>
    </row>
    <row r="587" spans="1:14" outlineLevel="5" x14ac:dyDescent="0.3">
      <c r="A587" s="438" t="s">
        <v>71</v>
      </c>
      <c r="B587" s="439" t="s">
        <v>536</v>
      </c>
      <c r="C587" s="439" t="s">
        <v>72</v>
      </c>
      <c r="D587" s="539" t="s">
        <v>126</v>
      </c>
      <c r="E587" s="539" t="s">
        <v>6</v>
      </c>
      <c r="F587" s="540">
        <v>367630079.58999997</v>
      </c>
      <c r="G587" s="465">
        <f t="shared" ref="G587:K588" si="114">G588</f>
        <v>449063829.87</v>
      </c>
      <c r="H587" s="440" t="e">
        <f t="shared" si="114"/>
        <v>#REF!</v>
      </c>
      <c r="I587" s="440" t="e">
        <f t="shared" si="114"/>
        <v>#REF!</v>
      </c>
      <c r="J587" s="465">
        <f t="shared" si="114"/>
        <v>407407265.77999997</v>
      </c>
      <c r="K587" s="603">
        <f t="shared" si="114"/>
        <v>403407265.78000003</v>
      </c>
      <c r="L587" s="564">
        <f t="shared" si="113"/>
        <v>-3999999.9999999404</v>
      </c>
      <c r="M587" s="565">
        <f t="shared" ref="M587:M643" si="115">J587/G587%</f>
        <v>90.7236875207564</v>
      </c>
      <c r="N587" s="565">
        <f t="shared" ref="N587:N643" si="116">K587/G587*100</f>
        <v>89.832945551812287</v>
      </c>
    </row>
    <row r="588" spans="1:14" ht="34" outlineLevel="5" x14ac:dyDescent="0.3">
      <c r="A588" s="444" t="s">
        <v>825</v>
      </c>
      <c r="B588" s="445" t="s">
        <v>536</v>
      </c>
      <c r="C588" s="445" t="s">
        <v>72</v>
      </c>
      <c r="D588" s="541" t="s">
        <v>138</v>
      </c>
      <c r="E588" s="541" t="s">
        <v>6</v>
      </c>
      <c r="F588" s="542">
        <v>367630079.58999997</v>
      </c>
      <c r="G588" s="508">
        <f t="shared" si="114"/>
        <v>449063829.87</v>
      </c>
      <c r="H588" s="446" t="e">
        <f t="shared" si="114"/>
        <v>#REF!</v>
      </c>
      <c r="I588" s="446" t="e">
        <f t="shared" si="114"/>
        <v>#REF!</v>
      </c>
      <c r="J588" s="508">
        <f t="shared" si="114"/>
        <v>407407265.77999997</v>
      </c>
      <c r="K588" s="606">
        <f t="shared" si="114"/>
        <v>403407265.78000003</v>
      </c>
      <c r="L588" s="564">
        <f t="shared" si="113"/>
        <v>-3999999.9999999404</v>
      </c>
      <c r="M588" s="565">
        <f t="shared" si="115"/>
        <v>90.7236875207564</v>
      </c>
      <c r="N588" s="565">
        <f t="shared" si="116"/>
        <v>89.832945551812287</v>
      </c>
    </row>
    <row r="589" spans="1:14" ht="45" customHeight="1" outlineLevel="5" x14ac:dyDescent="0.3">
      <c r="A589" s="438" t="s">
        <v>831</v>
      </c>
      <c r="B589" s="439" t="s">
        <v>536</v>
      </c>
      <c r="C589" s="439" t="s">
        <v>72</v>
      </c>
      <c r="D589" s="539" t="s">
        <v>146</v>
      </c>
      <c r="E589" s="539" t="s">
        <v>6</v>
      </c>
      <c r="F589" s="542">
        <v>367630079.58999997</v>
      </c>
      <c r="G589" s="465">
        <f>G590+G603+G622+G626</f>
        <v>449063829.87</v>
      </c>
      <c r="H589" s="440" t="e">
        <f>H590+H603+H622+H626</f>
        <v>#REF!</v>
      </c>
      <c r="I589" s="440" t="e">
        <f>I590+I603+I622+I626</f>
        <v>#REF!</v>
      </c>
      <c r="J589" s="465">
        <f>J590+J603+J622+J626</f>
        <v>407407265.77999997</v>
      </c>
      <c r="K589" s="603">
        <f>K590+K603+K622+K626</f>
        <v>403407265.78000003</v>
      </c>
      <c r="L589" s="564">
        <f t="shared" si="113"/>
        <v>-3999999.9999999404</v>
      </c>
      <c r="M589" s="565">
        <f t="shared" si="115"/>
        <v>90.7236875207564</v>
      </c>
      <c r="N589" s="565">
        <f t="shared" si="116"/>
        <v>89.832945551812287</v>
      </c>
    </row>
    <row r="590" spans="1:14" ht="45.7" customHeight="1" outlineLevel="5" x14ac:dyDescent="0.3">
      <c r="A590" s="450" t="s">
        <v>205</v>
      </c>
      <c r="B590" s="439" t="s">
        <v>536</v>
      </c>
      <c r="C590" s="439" t="s">
        <v>72</v>
      </c>
      <c r="D590" s="539" t="s">
        <v>222</v>
      </c>
      <c r="E590" s="539" t="s">
        <v>6</v>
      </c>
      <c r="F590" s="540">
        <v>351510244.41000003</v>
      </c>
      <c r="G590" s="465">
        <f>G591+G594+G597+G600</f>
        <v>376463222.84000003</v>
      </c>
      <c r="H590" s="440" t="e">
        <f>H591+H594+H597+#REF!+H600</f>
        <v>#REF!</v>
      </c>
      <c r="I590" s="440" t="e">
        <f>I591+I594+I597+#REF!+I600</f>
        <v>#REF!</v>
      </c>
      <c r="J590" s="465">
        <f>J591+J594+J597+J600</f>
        <v>393003907.13999999</v>
      </c>
      <c r="K590" s="603">
        <f>K591+K594+K597+K600</f>
        <v>392101366.04000002</v>
      </c>
      <c r="L590" s="564">
        <f t="shared" si="113"/>
        <v>-902541.09999996424</v>
      </c>
      <c r="M590" s="565">
        <f t="shared" si="115"/>
        <v>104.39370522709196</v>
      </c>
      <c r="N590" s="565">
        <f t="shared" si="116"/>
        <v>104.15396305700924</v>
      </c>
    </row>
    <row r="591" spans="1:14" ht="67.95" outlineLevel="5" x14ac:dyDescent="0.3">
      <c r="A591" s="397" t="s">
        <v>593</v>
      </c>
      <c r="B591" s="439" t="s">
        <v>536</v>
      </c>
      <c r="C591" s="439" t="s">
        <v>72</v>
      </c>
      <c r="D591" s="539" t="s">
        <v>594</v>
      </c>
      <c r="E591" s="539" t="s">
        <v>6</v>
      </c>
      <c r="F591" s="540">
        <v>19603028.300000001</v>
      </c>
      <c r="G591" s="465">
        <f t="shared" ref="G591:K592" si="117">G592</f>
        <v>20475000</v>
      </c>
      <c r="H591" s="440">
        <f t="shared" si="117"/>
        <v>15369721.029999999</v>
      </c>
      <c r="I591" s="440">
        <f t="shared" si="117"/>
        <v>20475000</v>
      </c>
      <c r="J591" s="465">
        <f t="shared" si="117"/>
        <v>21060000</v>
      </c>
      <c r="K591" s="603">
        <f t="shared" si="117"/>
        <v>21060000</v>
      </c>
      <c r="L591" s="564">
        <f t="shared" si="113"/>
        <v>0</v>
      </c>
      <c r="M591" s="565">
        <f t="shared" si="115"/>
        <v>102.85714285714286</v>
      </c>
      <c r="N591" s="565">
        <f t="shared" si="116"/>
        <v>102.85714285714285</v>
      </c>
    </row>
    <row r="592" spans="1:14" ht="34" outlineLevel="5" x14ac:dyDescent="0.3">
      <c r="A592" s="438" t="s">
        <v>37</v>
      </c>
      <c r="B592" s="439" t="s">
        <v>536</v>
      </c>
      <c r="C592" s="439" t="s">
        <v>72</v>
      </c>
      <c r="D592" s="539" t="s">
        <v>594</v>
      </c>
      <c r="E592" s="539" t="s">
        <v>38</v>
      </c>
      <c r="F592" s="540">
        <v>19603028.300000001</v>
      </c>
      <c r="G592" s="465">
        <f t="shared" si="117"/>
        <v>20475000</v>
      </c>
      <c r="H592" s="440">
        <f t="shared" si="117"/>
        <v>15369721.029999999</v>
      </c>
      <c r="I592" s="440">
        <f t="shared" si="117"/>
        <v>20475000</v>
      </c>
      <c r="J592" s="465">
        <f t="shared" si="117"/>
        <v>21060000</v>
      </c>
      <c r="K592" s="603">
        <f t="shared" si="117"/>
        <v>21060000</v>
      </c>
      <c r="L592" s="564">
        <f t="shared" si="113"/>
        <v>0</v>
      </c>
      <c r="M592" s="565">
        <f t="shared" si="115"/>
        <v>102.85714285714286</v>
      </c>
      <c r="N592" s="565">
        <f t="shared" si="116"/>
        <v>102.85714285714285</v>
      </c>
    </row>
    <row r="593" spans="1:14" outlineLevel="5" x14ac:dyDescent="0.3">
      <c r="A593" s="438" t="s">
        <v>74</v>
      </c>
      <c r="B593" s="439" t="s">
        <v>536</v>
      </c>
      <c r="C593" s="439" t="s">
        <v>72</v>
      </c>
      <c r="D593" s="539" t="s">
        <v>594</v>
      </c>
      <c r="E593" s="539" t="s">
        <v>75</v>
      </c>
      <c r="F593" s="540">
        <v>19603028.300000001</v>
      </c>
      <c r="G593" s="465">
        <v>20475000</v>
      </c>
      <c r="H593" s="441">
        <v>15369721.029999999</v>
      </c>
      <c r="I593" s="440">
        <v>20475000</v>
      </c>
      <c r="J593" s="465">
        <v>21060000</v>
      </c>
      <c r="K593" s="603">
        <v>21060000</v>
      </c>
      <c r="L593" s="564">
        <f t="shared" si="113"/>
        <v>0</v>
      </c>
      <c r="M593" s="565">
        <f t="shared" si="115"/>
        <v>102.85714285714286</v>
      </c>
      <c r="N593" s="565">
        <f t="shared" si="116"/>
        <v>102.85714285714285</v>
      </c>
    </row>
    <row r="594" spans="1:14" ht="50.95" outlineLevel="5" x14ac:dyDescent="0.3">
      <c r="A594" s="438" t="s">
        <v>114</v>
      </c>
      <c r="B594" s="439" t="s">
        <v>536</v>
      </c>
      <c r="C594" s="439" t="s">
        <v>72</v>
      </c>
      <c r="D594" s="539" t="s">
        <v>147</v>
      </c>
      <c r="E594" s="539" t="s">
        <v>6</v>
      </c>
      <c r="F594" s="540">
        <v>90019549.159999996</v>
      </c>
      <c r="G594" s="465">
        <f t="shared" ref="G594:K595" si="118">G595</f>
        <v>98033803.840000004</v>
      </c>
      <c r="H594" s="440">
        <f t="shared" si="118"/>
        <v>68707267.829999998</v>
      </c>
      <c r="I594" s="440">
        <f t="shared" si="118"/>
        <v>95919169.370000005</v>
      </c>
      <c r="J594" s="465">
        <f t="shared" si="118"/>
        <v>102159299.14</v>
      </c>
      <c r="K594" s="603">
        <f t="shared" si="118"/>
        <v>101256758.04000001</v>
      </c>
      <c r="L594" s="564">
        <f t="shared" si="113"/>
        <v>-902541.09999999404</v>
      </c>
      <c r="M594" s="565">
        <f t="shared" si="115"/>
        <v>104.20823750421148</v>
      </c>
      <c r="N594" s="565">
        <f t="shared" si="116"/>
        <v>103.28759476196613</v>
      </c>
    </row>
    <row r="595" spans="1:14" ht="34" outlineLevel="5" x14ac:dyDescent="0.3">
      <c r="A595" s="438" t="s">
        <v>37</v>
      </c>
      <c r="B595" s="439" t="s">
        <v>536</v>
      </c>
      <c r="C595" s="439" t="s">
        <v>72</v>
      </c>
      <c r="D595" s="539" t="s">
        <v>147</v>
      </c>
      <c r="E595" s="539" t="s">
        <v>38</v>
      </c>
      <c r="F595" s="540">
        <v>90019549.159999996</v>
      </c>
      <c r="G595" s="465">
        <f t="shared" si="118"/>
        <v>98033803.840000004</v>
      </c>
      <c r="H595" s="440">
        <f t="shared" si="118"/>
        <v>68707267.829999998</v>
      </c>
      <c r="I595" s="440">
        <f t="shared" si="118"/>
        <v>95919169.370000005</v>
      </c>
      <c r="J595" s="465">
        <f t="shared" si="118"/>
        <v>102159299.14</v>
      </c>
      <c r="K595" s="603">
        <f t="shared" si="118"/>
        <v>101256758.04000001</v>
      </c>
      <c r="L595" s="564">
        <f t="shared" si="113"/>
        <v>-902541.09999999404</v>
      </c>
      <c r="M595" s="565">
        <f t="shared" si="115"/>
        <v>104.20823750421148</v>
      </c>
      <c r="N595" s="565">
        <f t="shared" si="116"/>
        <v>103.28759476196613</v>
      </c>
    </row>
    <row r="596" spans="1:14" outlineLevel="5" x14ac:dyDescent="0.3">
      <c r="A596" s="438" t="s">
        <v>74</v>
      </c>
      <c r="B596" s="439" t="s">
        <v>536</v>
      </c>
      <c r="C596" s="439" t="s">
        <v>72</v>
      </c>
      <c r="D596" s="539" t="s">
        <v>147</v>
      </c>
      <c r="E596" s="539" t="s">
        <v>75</v>
      </c>
      <c r="F596" s="540">
        <v>90019549.159999996</v>
      </c>
      <c r="G596" s="466">
        <f>[2]потребность!I543-4490000+1689516+590000+85160-50000+1454727+1150987.84</f>
        <v>98033803.840000004</v>
      </c>
      <c r="H596" s="443">
        <v>68707267.829999998</v>
      </c>
      <c r="I596" s="442">
        <v>95919169.370000005</v>
      </c>
      <c r="J596" s="466">
        <f>102159299.14+1100000+95625.42-1100000-95625.42</f>
        <v>102159299.14</v>
      </c>
      <c r="K596" s="604">
        <f>102159299.14+1100000+95625.42-1100000-95625.42-1000000+97458.9</f>
        <v>101256758.04000001</v>
      </c>
      <c r="L596" s="564">
        <f t="shared" si="113"/>
        <v>-902541.09999999404</v>
      </c>
      <c r="M596" s="565">
        <f t="shared" si="115"/>
        <v>104.20823750421148</v>
      </c>
      <c r="N596" s="565">
        <f t="shared" si="116"/>
        <v>103.28759476196613</v>
      </c>
    </row>
    <row r="597" spans="1:14" ht="135.85" outlineLevel="5" x14ac:dyDescent="0.3">
      <c r="A597" s="450" t="s">
        <v>400</v>
      </c>
      <c r="B597" s="439" t="s">
        <v>536</v>
      </c>
      <c r="C597" s="439" t="s">
        <v>72</v>
      </c>
      <c r="D597" s="539" t="s">
        <v>148</v>
      </c>
      <c r="E597" s="539" t="s">
        <v>6</v>
      </c>
      <c r="F597" s="540">
        <v>232256540</v>
      </c>
      <c r="G597" s="465">
        <f t="shared" ref="G597:K598" si="119">G598</f>
        <v>247077819</v>
      </c>
      <c r="H597" s="440">
        <f t="shared" si="119"/>
        <v>179186292</v>
      </c>
      <c r="I597" s="440">
        <f t="shared" si="119"/>
        <v>253254890</v>
      </c>
      <c r="J597" s="465">
        <f t="shared" si="119"/>
        <v>256548408</v>
      </c>
      <c r="K597" s="603">
        <f t="shared" si="119"/>
        <v>256548408</v>
      </c>
      <c r="L597" s="564">
        <f t="shared" si="113"/>
        <v>0</v>
      </c>
      <c r="M597" s="565">
        <f t="shared" si="115"/>
        <v>103.83303893418292</v>
      </c>
      <c r="N597" s="565">
        <f t="shared" si="116"/>
        <v>103.83303893418292</v>
      </c>
    </row>
    <row r="598" spans="1:14" ht="34" outlineLevel="5" x14ac:dyDescent="0.3">
      <c r="A598" s="438" t="s">
        <v>37</v>
      </c>
      <c r="B598" s="439" t="s">
        <v>536</v>
      </c>
      <c r="C598" s="439" t="s">
        <v>72</v>
      </c>
      <c r="D598" s="539" t="s">
        <v>148</v>
      </c>
      <c r="E598" s="539" t="s">
        <v>38</v>
      </c>
      <c r="F598" s="540">
        <v>232256540</v>
      </c>
      <c r="G598" s="465">
        <f t="shared" si="119"/>
        <v>247077819</v>
      </c>
      <c r="H598" s="440">
        <f t="shared" si="119"/>
        <v>179186292</v>
      </c>
      <c r="I598" s="440">
        <f t="shared" si="119"/>
        <v>253254890</v>
      </c>
      <c r="J598" s="465">
        <f t="shared" si="119"/>
        <v>256548408</v>
      </c>
      <c r="K598" s="603">
        <f t="shared" si="119"/>
        <v>256548408</v>
      </c>
      <c r="L598" s="564">
        <f t="shared" si="113"/>
        <v>0</v>
      </c>
      <c r="M598" s="565">
        <f t="shared" si="115"/>
        <v>103.83303893418292</v>
      </c>
      <c r="N598" s="565">
        <f t="shared" si="116"/>
        <v>103.83303893418292</v>
      </c>
    </row>
    <row r="599" spans="1:14" outlineLevel="5" x14ac:dyDescent="0.3">
      <c r="A599" s="438" t="s">
        <v>74</v>
      </c>
      <c r="B599" s="439" t="s">
        <v>536</v>
      </c>
      <c r="C599" s="439" t="s">
        <v>72</v>
      </c>
      <c r="D599" s="539" t="s">
        <v>148</v>
      </c>
      <c r="E599" s="539" t="s">
        <v>75</v>
      </c>
      <c r="F599" s="540">
        <v>232256540</v>
      </c>
      <c r="G599" s="466">
        <f>238943015.2+8134803.8</f>
        <v>247077819</v>
      </c>
      <c r="H599" s="443">
        <v>179186292</v>
      </c>
      <c r="I599" s="442">
        <v>253254890</v>
      </c>
      <c r="J599" s="466">
        <v>256548408</v>
      </c>
      <c r="K599" s="604">
        <v>256548408</v>
      </c>
      <c r="L599" s="564">
        <f t="shared" si="113"/>
        <v>0</v>
      </c>
      <c r="M599" s="565">
        <f t="shared" si="115"/>
        <v>103.83303893418292</v>
      </c>
      <c r="N599" s="565">
        <f t="shared" si="116"/>
        <v>103.83303893418292</v>
      </c>
    </row>
    <row r="600" spans="1:14" ht="135.85" outlineLevel="5" x14ac:dyDescent="0.3">
      <c r="A600" s="397" t="s">
        <v>470</v>
      </c>
      <c r="B600" s="439" t="s">
        <v>536</v>
      </c>
      <c r="C600" s="439" t="s">
        <v>72</v>
      </c>
      <c r="D600" s="539" t="s">
        <v>922</v>
      </c>
      <c r="E600" s="539" t="s">
        <v>6</v>
      </c>
      <c r="F600" s="539"/>
      <c r="G600" s="466">
        <f t="shared" ref="G600:K601" si="120">G601</f>
        <v>10876600</v>
      </c>
      <c r="H600" s="442">
        <f t="shared" si="120"/>
        <v>7376968.6600000001</v>
      </c>
      <c r="I600" s="442">
        <f t="shared" si="120"/>
        <v>10876600</v>
      </c>
      <c r="J600" s="466">
        <f t="shared" si="120"/>
        <v>13236200</v>
      </c>
      <c r="K600" s="604">
        <f t="shared" si="120"/>
        <v>13236200</v>
      </c>
      <c r="L600" s="564">
        <f t="shared" si="113"/>
        <v>0</v>
      </c>
      <c r="M600" s="565">
        <f t="shared" si="115"/>
        <v>121.69427946233198</v>
      </c>
      <c r="N600" s="565">
        <f t="shared" si="116"/>
        <v>121.69427946233198</v>
      </c>
    </row>
    <row r="601" spans="1:14" ht="34" outlineLevel="5" x14ac:dyDescent="0.3">
      <c r="A601" s="438" t="s">
        <v>37</v>
      </c>
      <c r="B601" s="439" t="s">
        <v>536</v>
      </c>
      <c r="C601" s="439" t="s">
        <v>72</v>
      </c>
      <c r="D601" s="539" t="s">
        <v>922</v>
      </c>
      <c r="E601" s="539" t="s">
        <v>38</v>
      </c>
      <c r="F601" s="539"/>
      <c r="G601" s="466">
        <f t="shared" si="120"/>
        <v>10876600</v>
      </c>
      <c r="H601" s="442">
        <f t="shared" si="120"/>
        <v>7376968.6600000001</v>
      </c>
      <c r="I601" s="442">
        <f t="shared" si="120"/>
        <v>10876600</v>
      </c>
      <c r="J601" s="466">
        <f t="shared" si="120"/>
        <v>13236200</v>
      </c>
      <c r="K601" s="604">
        <f t="shared" si="120"/>
        <v>13236200</v>
      </c>
      <c r="L601" s="564">
        <f t="shared" si="113"/>
        <v>0</v>
      </c>
      <c r="M601" s="565">
        <f t="shared" si="115"/>
        <v>121.69427946233198</v>
      </c>
      <c r="N601" s="565">
        <f t="shared" si="116"/>
        <v>121.69427946233198</v>
      </c>
    </row>
    <row r="602" spans="1:14" outlineLevel="5" x14ac:dyDescent="0.3">
      <c r="A602" s="438" t="s">
        <v>74</v>
      </c>
      <c r="B602" s="439" t="s">
        <v>536</v>
      </c>
      <c r="C602" s="439" t="s">
        <v>72</v>
      </c>
      <c r="D602" s="539" t="s">
        <v>922</v>
      </c>
      <c r="E602" s="539" t="s">
        <v>75</v>
      </c>
      <c r="F602" s="539"/>
      <c r="G602" s="466">
        <v>10876600</v>
      </c>
      <c r="H602" s="443">
        <v>7376968.6600000001</v>
      </c>
      <c r="I602" s="442">
        <v>10876600</v>
      </c>
      <c r="J602" s="466">
        <v>13236200</v>
      </c>
      <c r="K602" s="604">
        <v>13236200</v>
      </c>
      <c r="L602" s="564">
        <f t="shared" si="113"/>
        <v>0</v>
      </c>
      <c r="M602" s="565">
        <f t="shared" si="115"/>
        <v>121.69427946233198</v>
      </c>
      <c r="N602" s="565">
        <f t="shared" si="116"/>
        <v>121.69427946233198</v>
      </c>
    </row>
    <row r="603" spans="1:14" ht="34" outlineLevel="5" x14ac:dyDescent="0.3">
      <c r="A603" s="450" t="s">
        <v>206</v>
      </c>
      <c r="B603" s="439" t="s">
        <v>536</v>
      </c>
      <c r="C603" s="439" t="s">
        <v>72</v>
      </c>
      <c r="D603" s="539" t="s">
        <v>220</v>
      </c>
      <c r="E603" s="539" t="s">
        <v>6</v>
      </c>
      <c r="F603" s="540">
        <v>8008436.3600000003</v>
      </c>
      <c r="G603" s="466">
        <f>G616+G604+G607+G613+G610+G619+G630</f>
        <v>66483157.030000001</v>
      </c>
      <c r="H603" s="442">
        <f>H616+H604+H607+H613+H610+H619+H630</f>
        <v>36949732.850000001</v>
      </c>
      <c r="I603" s="442">
        <f>I616+I604+I607+I613+I610+I619+I630</f>
        <v>2356579.52</v>
      </c>
      <c r="J603" s="466">
        <f>J616+J604+J607+J613+J610+J619+J630</f>
        <v>4214979.5199999996</v>
      </c>
      <c r="K603" s="604">
        <f>K616+K604+K607+K613+K610+K619+K630</f>
        <v>1214979.52</v>
      </c>
      <c r="L603" s="564">
        <f t="shared" si="113"/>
        <v>-2999999.9999999995</v>
      </c>
      <c r="M603" s="565">
        <f t="shared" si="115"/>
        <v>6.3399208285160453</v>
      </c>
      <c r="N603" s="565">
        <f t="shared" si="116"/>
        <v>1.8274997371917072</v>
      </c>
    </row>
    <row r="604" spans="1:14" ht="34" outlineLevel="5" x14ac:dyDescent="0.3">
      <c r="A604" s="438" t="s">
        <v>268</v>
      </c>
      <c r="B604" s="439" t="s">
        <v>536</v>
      </c>
      <c r="C604" s="439" t="s">
        <v>72</v>
      </c>
      <c r="D604" s="539" t="s">
        <v>269</v>
      </c>
      <c r="E604" s="539" t="s">
        <v>6</v>
      </c>
      <c r="F604" s="540">
        <v>147686.07</v>
      </c>
      <c r="G604" s="466">
        <f t="shared" ref="G604:K605" si="121">G605</f>
        <v>212800</v>
      </c>
      <c r="H604" s="442">
        <f t="shared" si="121"/>
        <v>124850.48</v>
      </c>
      <c r="I604" s="442">
        <f t="shared" si="121"/>
        <v>212800</v>
      </c>
      <c r="J604" s="466">
        <f t="shared" si="121"/>
        <v>221200</v>
      </c>
      <c r="K604" s="604">
        <f t="shared" si="121"/>
        <v>221200</v>
      </c>
      <c r="L604" s="564">
        <f t="shared" si="113"/>
        <v>0</v>
      </c>
      <c r="M604" s="565">
        <f t="shared" si="115"/>
        <v>103.94736842105263</v>
      </c>
      <c r="N604" s="565">
        <f t="shared" si="116"/>
        <v>103.94736842105263</v>
      </c>
    </row>
    <row r="605" spans="1:14" ht="34" outlineLevel="5" x14ac:dyDescent="0.3">
      <c r="A605" s="438" t="s">
        <v>37</v>
      </c>
      <c r="B605" s="439" t="s">
        <v>536</v>
      </c>
      <c r="C605" s="439" t="s">
        <v>72</v>
      </c>
      <c r="D605" s="539" t="s">
        <v>269</v>
      </c>
      <c r="E605" s="539" t="s">
        <v>38</v>
      </c>
      <c r="F605" s="540">
        <v>147686.07</v>
      </c>
      <c r="G605" s="466">
        <f t="shared" si="121"/>
        <v>212800</v>
      </c>
      <c r="H605" s="442">
        <f t="shared" si="121"/>
        <v>124850.48</v>
      </c>
      <c r="I605" s="442">
        <f t="shared" si="121"/>
        <v>212800</v>
      </c>
      <c r="J605" s="466">
        <f t="shared" si="121"/>
        <v>221200</v>
      </c>
      <c r="K605" s="604">
        <f t="shared" si="121"/>
        <v>221200</v>
      </c>
      <c r="L605" s="564">
        <f t="shared" si="113"/>
        <v>0</v>
      </c>
      <c r="M605" s="565">
        <f t="shared" si="115"/>
        <v>103.94736842105263</v>
      </c>
      <c r="N605" s="565">
        <f t="shared" si="116"/>
        <v>103.94736842105263</v>
      </c>
    </row>
    <row r="606" spans="1:14" outlineLevel="5" x14ac:dyDescent="0.3">
      <c r="A606" s="438" t="s">
        <v>74</v>
      </c>
      <c r="B606" s="439" t="s">
        <v>536</v>
      </c>
      <c r="C606" s="439" t="s">
        <v>72</v>
      </c>
      <c r="D606" s="539" t="s">
        <v>269</v>
      </c>
      <c r="E606" s="539" t="s">
        <v>75</v>
      </c>
      <c r="F606" s="540">
        <v>147686.07</v>
      </c>
      <c r="G606" s="466">
        <v>212800</v>
      </c>
      <c r="H606" s="443">
        <v>124850.48</v>
      </c>
      <c r="I606" s="442">
        <v>212800</v>
      </c>
      <c r="J606" s="466">
        <v>221200</v>
      </c>
      <c r="K606" s="604">
        <v>221200</v>
      </c>
      <c r="L606" s="564">
        <f t="shared" si="113"/>
        <v>0</v>
      </c>
      <c r="M606" s="565">
        <f t="shared" si="115"/>
        <v>103.94736842105263</v>
      </c>
      <c r="N606" s="565">
        <f t="shared" si="116"/>
        <v>103.94736842105263</v>
      </c>
    </row>
    <row r="607" spans="1:14" outlineLevel="5" x14ac:dyDescent="0.3">
      <c r="A607" s="450" t="s">
        <v>311</v>
      </c>
      <c r="B607" s="439" t="s">
        <v>536</v>
      </c>
      <c r="C607" s="439" t="s">
        <v>72</v>
      </c>
      <c r="D607" s="539" t="s">
        <v>312</v>
      </c>
      <c r="E607" s="539" t="s">
        <v>6</v>
      </c>
      <c r="F607" s="540">
        <v>631535</v>
      </c>
      <c r="G607" s="466">
        <f t="shared" ref="G607:K608" si="122">G608</f>
        <v>881000</v>
      </c>
      <c r="H607" s="442">
        <f t="shared" si="122"/>
        <v>874250</v>
      </c>
      <c r="I607" s="442">
        <f t="shared" si="122"/>
        <v>350000</v>
      </c>
      <c r="J607" s="466">
        <f t="shared" si="122"/>
        <v>3000000</v>
      </c>
      <c r="K607" s="604">
        <f t="shared" si="122"/>
        <v>0</v>
      </c>
      <c r="L607" s="564">
        <f t="shared" si="113"/>
        <v>-3000000</v>
      </c>
      <c r="M607" s="565">
        <f t="shared" si="115"/>
        <v>340.52213393870602</v>
      </c>
      <c r="N607" s="565">
        <f t="shared" si="116"/>
        <v>0</v>
      </c>
    </row>
    <row r="608" spans="1:14" ht="34" outlineLevel="5" x14ac:dyDescent="0.3">
      <c r="A608" s="438" t="s">
        <v>37</v>
      </c>
      <c r="B608" s="439" t="s">
        <v>536</v>
      </c>
      <c r="C608" s="439" t="s">
        <v>72</v>
      </c>
      <c r="D608" s="539" t="s">
        <v>312</v>
      </c>
      <c r="E608" s="539" t="s">
        <v>38</v>
      </c>
      <c r="F608" s="540">
        <v>631535</v>
      </c>
      <c r="G608" s="466">
        <f t="shared" si="122"/>
        <v>881000</v>
      </c>
      <c r="H608" s="442">
        <f t="shared" si="122"/>
        <v>874250</v>
      </c>
      <c r="I608" s="442">
        <f t="shared" si="122"/>
        <v>350000</v>
      </c>
      <c r="J608" s="466">
        <f t="shared" si="122"/>
        <v>3000000</v>
      </c>
      <c r="K608" s="604">
        <f t="shared" si="122"/>
        <v>0</v>
      </c>
      <c r="L608" s="564">
        <f t="shared" si="113"/>
        <v>-3000000</v>
      </c>
      <c r="M608" s="565">
        <f t="shared" si="115"/>
        <v>340.52213393870602</v>
      </c>
      <c r="N608" s="565">
        <f t="shared" si="116"/>
        <v>0</v>
      </c>
    </row>
    <row r="609" spans="1:14" outlineLevel="5" x14ac:dyDescent="0.3">
      <c r="A609" s="438" t="s">
        <v>74</v>
      </c>
      <c r="B609" s="439" t="s">
        <v>536</v>
      </c>
      <c r="C609" s="439" t="s">
        <v>72</v>
      </c>
      <c r="D609" s="539" t="s">
        <v>312</v>
      </c>
      <c r="E609" s="539" t="s">
        <v>75</v>
      </c>
      <c r="F609" s="540">
        <v>631535</v>
      </c>
      <c r="G609" s="466">
        <f>350000+350500+180500</f>
        <v>881000</v>
      </c>
      <c r="H609" s="443">
        <v>874250</v>
      </c>
      <c r="I609" s="442">
        <v>350000</v>
      </c>
      <c r="J609" s="466">
        <v>3000000</v>
      </c>
      <c r="K609" s="604">
        <f>3000000-3000000</f>
        <v>0</v>
      </c>
      <c r="L609" s="564">
        <f t="shared" si="113"/>
        <v>-3000000</v>
      </c>
      <c r="M609" s="565">
        <f t="shared" si="115"/>
        <v>340.52213393870602</v>
      </c>
      <c r="N609" s="565">
        <f t="shared" si="116"/>
        <v>0</v>
      </c>
    </row>
    <row r="610" spans="1:14" ht="39.75" customHeight="1" outlineLevel="5" x14ac:dyDescent="0.3">
      <c r="A610" s="450" t="s">
        <v>458</v>
      </c>
      <c r="B610" s="439" t="s">
        <v>536</v>
      </c>
      <c r="C610" s="439" t="s">
        <v>72</v>
      </c>
      <c r="D610" s="539" t="s">
        <v>720</v>
      </c>
      <c r="E610" s="539" t="s">
        <v>6</v>
      </c>
      <c r="F610" s="540">
        <v>1876201</v>
      </c>
      <c r="G610" s="466">
        <f t="shared" ref="G610:K611" si="123">G611</f>
        <v>193200</v>
      </c>
      <c r="H610" s="442">
        <f t="shared" si="123"/>
        <v>193200</v>
      </c>
      <c r="I610" s="442">
        <f t="shared" si="123"/>
        <v>800000</v>
      </c>
      <c r="J610" s="466">
        <f t="shared" si="123"/>
        <v>0</v>
      </c>
      <c r="K610" s="604">
        <f t="shared" si="123"/>
        <v>0</v>
      </c>
      <c r="L610" s="564">
        <f t="shared" si="113"/>
        <v>0</v>
      </c>
      <c r="M610" s="565">
        <f t="shared" si="115"/>
        <v>0</v>
      </c>
      <c r="N610" s="565">
        <f t="shared" si="116"/>
        <v>0</v>
      </c>
    </row>
    <row r="611" spans="1:14" ht="34" outlineLevel="5" x14ac:dyDescent="0.3">
      <c r="A611" s="438" t="s">
        <v>37</v>
      </c>
      <c r="B611" s="439" t="s">
        <v>536</v>
      </c>
      <c r="C611" s="439" t="s">
        <v>72</v>
      </c>
      <c r="D611" s="539" t="s">
        <v>720</v>
      </c>
      <c r="E611" s="539" t="s">
        <v>38</v>
      </c>
      <c r="F611" s="540">
        <v>1876201</v>
      </c>
      <c r="G611" s="466">
        <f t="shared" si="123"/>
        <v>193200</v>
      </c>
      <c r="H611" s="442">
        <f t="shared" si="123"/>
        <v>193200</v>
      </c>
      <c r="I611" s="442">
        <f t="shared" si="123"/>
        <v>800000</v>
      </c>
      <c r="J611" s="466">
        <f t="shared" si="123"/>
        <v>0</v>
      </c>
      <c r="K611" s="604">
        <f t="shared" si="123"/>
        <v>0</v>
      </c>
      <c r="L611" s="564">
        <f t="shared" si="113"/>
        <v>0</v>
      </c>
      <c r="M611" s="565">
        <f t="shared" si="115"/>
        <v>0</v>
      </c>
      <c r="N611" s="565">
        <f t="shared" si="116"/>
        <v>0</v>
      </c>
    </row>
    <row r="612" spans="1:14" outlineLevel="5" x14ac:dyDescent="0.3">
      <c r="A612" s="438" t="s">
        <v>74</v>
      </c>
      <c r="B612" s="439" t="s">
        <v>536</v>
      </c>
      <c r="C612" s="439" t="s">
        <v>72</v>
      </c>
      <c r="D612" s="539" t="s">
        <v>720</v>
      </c>
      <c r="E612" s="539" t="s">
        <v>75</v>
      </c>
      <c r="F612" s="540">
        <v>1876201</v>
      </c>
      <c r="G612" s="466">
        <f>[2]потребность!I559+5490000-5000000-590000+193200</f>
        <v>193200</v>
      </c>
      <c r="H612" s="443">
        <v>193200</v>
      </c>
      <c r="I612" s="442">
        <v>800000</v>
      </c>
      <c r="J612" s="466">
        <v>0</v>
      </c>
      <c r="K612" s="604">
        <v>0</v>
      </c>
      <c r="L612" s="564">
        <f t="shared" si="113"/>
        <v>0</v>
      </c>
      <c r="M612" s="565">
        <f t="shared" si="115"/>
        <v>0</v>
      </c>
      <c r="N612" s="565">
        <f t="shared" si="116"/>
        <v>0</v>
      </c>
    </row>
    <row r="613" spans="1:14" ht="67.95" outlineLevel="5" x14ac:dyDescent="0.3">
      <c r="A613" s="397" t="s">
        <v>595</v>
      </c>
      <c r="B613" s="439" t="s">
        <v>536</v>
      </c>
      <c r="C613" s="439" t="s">
        <v>72</v>
      </c>
      <c r="D613" s="539" t="s">
        <v>596</v>
      </c>
      <c r="E613" s="539" t="s">
        <v>6</v>
      </c>
      <c r="F613" s="540">
        <v>5192423.8600000003</v>
      </c>
      <c r="G613" s="466">
        <f t="shared" ref="G613:K614" si="124">G614</f>
        <v>19325166.399999999</v>
      </c>
      <c r="H613" s="442">
        <f t="shared" si="124"/>
        <v>12158531.359999999</v>
      </c>
      <c r="I613" s="442">
        <f t="shared" si="124"/>
        <v>0</v>
      </c>
      <c r="J613" s="466">
        <f t="shared" si="124"/>
        <v>0</v>
      </c>
      <c r="K613" s="604">
        <f t="shared" si="124"/>
        <v>0</v>
      </c>
      <c r="L613" s="564">
        <f t="shared" si="113"/>
        <v>0</v>
      </c>
      <c r="M613" s="565">
        <f t="shared" si="115"/>
        <v>0</v>
      </c>
      <c r="N613" s="565">
        <f t="shared" si="116"/>
        <v>0</v>
      </c>
    </row>
    <row r="614" spans="1:14" s="449" customFormat="1" ht="34" outlineLevel="5" x14ac:dyDescent="0.3">
      <c r="A614" s="438" t="s">
        <v>37</v>
      </c>
      <c r="B614" s="439" t="s">
        <v>536</v>
      </c>
      <c r="C614" s="439" t="s">
        <v>72</v>
      </c>
      <c r="D614" s="539" t="s">
        <v>596</v>
      </c>
      <c r="E614" s="539" t="s">
        <v>38</v>
      </c>
      <c r="F614" s="540">
        <v>5192423.8600000003</v>
      </c>
      <c r="G614" s="466">
        <f t="shared" si="124"/>
        <v>19325166.399999999</v>
      </c>
      <c r="H614" s="442">
        <f t="shared" si="124"/>
        <v>12158531.359999999</v>
      </c>
      <c r="I614" s="442">
        <f t="shared" si="124"/>
        <v>0</v>
      </c>
      <c r="J614" s="466">
        <f t="shared" si="124"/>
        <v>0</v>
      </c>
      <c r="K614" s="604">
        <f t="shared" si="124"/>
        <v>0</v>
      </c>
      <c r="L614" s="564">
        <f t="shared" si="113"/>
        <v>0</v>
      </c>
      <c r="M614" s="565">
        <f t="shared" si="115"/>
        <v>0</v>
      </c>
      <c r="N614" s="565">
        <f t="shared" si="116"/>
        <v>0</v>
      </c>
    </row>
    <row r="615" spans="1:14" ht="23.3" customHeight="1" outlineLevel="4" x14ac:dyDescent="0.3">
      <c r="A615" s="438" t="s">
        <v>74</v>
      </c>
      <c r="B615" s="439" t="s">
        <v>536</v>
      </c>
      <c r="C615" s="439" t="s">
        <v>72</v>
      </c>
      <c r="D615" s="539" t="s">
        <v>596</v>
      </c>
      <c r="E615" s="539" t="s">
        <v>75</v>
      </c>
      <c r="F615" s="540">
        <v>5192423.8600000003</v>
      </c>
      <c r="G615" s="466">
        <f>36003230.04-16678063.64</f>
        <v>19325166.399999999</v>
      </c>
      <c r="H615" s="443">
        <v>12158531.359999999</v>
      </c>
      <c r="I615" s="442">
        <v>0</v>
      </c>
      <c r="J615" s="466">
        <v>0</v>
      </c>
      <c r="K615" s="604">
        <v>0</v>
      </c>
      <c r="L615" s="564">
        <f t="shared" si="113"/>
        <v>0</v>
      </c>
      <c r="M615" s="565">
        <f t="shared" si="115"/>
        <v>0</v>
      </c>
      <c r="N615" s="565">
        <f t="shared" si="116"/>
        <v>0</v>
      </c>
    </row>
    <row r="616" spans="1:14" ht="34" outlineLevel="4" x14ac:dyDescent="0.3">
      <c r="A616" s="438" t="s">
        <v>445</v>
      </c>
      <c r="B616" s="439" t="s">
        <v>536</v>
      </c>
      <c r="C616" s="439" t="s">
        <v>72</v>
      </c>
      <c r="D616" s="539" t="s">
        <v>446</v>
      </c>
      <c r="E616" s="539" t="s">
        <v>6</v>
      </c>
      <c r="F616" s="540">
        <v>160590.43</v>
      </c>
      <c r="G616" s="466">
        <f t="shared" ref="G616:K617" si="125">G617</f>
        <v>597685.56000000006</v>
      </c>
      <c r="H616" s="442">
        <f t="shared" si="125"/>
        <v>364162.07</v>
      </c>
      <c r="I616" s="442">
        <f t="shared" si="125"/>
        <v>993779.52</v>
      </c>
      <c r="J616" s="466">
        <f t="shared" si="125"/>
        <v>993779.52</v>
      </c>
      <c r="K616" s="604">
        <f t="shared" si="125"/>
        <v>993779.52</v>
      </c>
      <c r="L616" s="564">
        <f t="shared" si="113"/>
        <v>0</v>
      </c>
      <c r="M616" s="565">
        <f t="shared" si="115"/>
        <v>166.27129489291994</v>
      </c>
      <c r="N616" s="565">
        <f t="shared" si="116"/>
        <v>166.27129489291994</v>
      </c>
    </row>
    <row r="617" spans="1:14" ht="34" outlineLevel="5" x14ac:dyDescent="0.3">
      <c r="A617" s="438" t="s">
        <v>37</v>
      </c>
      <c r="B617" s="439" t="s">
        <v>536</v>
      </c>
      <c r="C617" s="439" t="s">
        <v>72</v>
      </c>
      <c r="D617" s="539" t="s">
        <v>446</v>
      </c>
      <c r="E617" s="539" t="s">
        <v>38</v>
      </c>
      <c r="F617" s="540">
        <v>160590.43</v>
      </c>
      <c r="G617" s="466">
        <f t="shared" si="125"/>
        <v>597685.56000000006</v>
      </c>
      <c r="H617" s="442">
        <f t="shared" si="125"/>
        <v>364162.07</v>
      </c>
      <c r="I617" s="442">
        <f t="shared" si="125"/>
        <v>993779.52</v>
      </c>
      <c r="J617" s="466">
        <f t="shared" si="125"/>
        <v>993779.52</v>
      </c>
      <c r="K617" s="604">
        <f t="shared" si="125"/>
        <v>993779.52</v>
      </c>
      <c r="L617" s="564">
        <f t="shared" si="113"/>
        <v>0</v>
      </c>
      <c r="M617" s="565">
        <f t="shared" si="115"/>
        <v>166.27129489291994</v>
      </c>
      <c r="N617" s="565">
        <f t="shared" si="116"/>
        <v>166.27129489291994</v>
      </c>
    </row>
    <row r="618" spans="1:14" outlineLevel="6" x14ac:dyDescent="0.3">
      <c r="A618" s="438" t="s">
        <v>74</v>
      </c>
      <c r="B618" s="439" t="s">
        <v>536</v>
      </c>
      <c r="C618" s="439" t="s">
        <v>72</v>
      </c>
      <c r="D618" s="539" t="s">
        <v>446</v>
      </c>
      <c r="E618" s="539" t="s">
        <v>75</v>
      </c>
      <c r="F618" s="540">
        <v>160590.43</v>
      </c>
      <c r="G618" s="466">
        <f>1730960-617458+50000-565816.44</f>
        <v>597685.56000000006</v>
      </c>
      <c r="H618" s="443">
        <v>364162.07</v>
      </c>
      <c r="I618" s="442">
        <v>993779.52</v>
      </c>
      <c r="J618" s="466">
        <v>993779.52</v>
      </c>
      <c r="K618" s="604">
        <v>993779.52</v>
      </c>
      <c r="L618" s="564">
        <f t="shared" si="113"/>
        <v>0</v>
      </c>
      <c r="M618" s="565">
        <f t="shared" si="115"/>
        <v>166.27129489291994</v>
      </c>
      <c r="N618" s="565">
        <f t="shared" si="116"/>
        <v>166.27129489291994</v>
      </c>
    </row>
    <row r="619" spans="1:14" ht="34" outlineLevel="6" x14ac:dyDescent="0.3">
      <c r="A619" s="438" t="s">
        <v>923</v>
      </c>
      <c r="B619" s="439" t="s">
        <v>536</v>
      </c>
      <c r="C619" s="439" t="s">
        <v>72</v>
      </c>
      <c r="D619" s="539" t="s">
        <v>924</v>
      </c>
      <c r="E619" s="539" t="s">
        <v>6</v>
      </c>
      <c r="F619" s="539" t="s">
        <v>976</v>
      </c>
      <c r="G619" s="466">
        <f>G620</f>
        <v>41911341.160000004</v>
      </c>
      <c r="H619" s="442">
        <f>H620</f>
        <v>21307038.940000001</v>
      </c>
      <c r="I619" s="442">
        <v>0</v>
      </c>
      <c r="J619" s="466">
        <v>0</v>
      </c>
      <c r="K619" s="604">
        <v>0</v>
      </c>
      <c r="L619" s="564">
        <f t="shared" si="113"/>
        <v>0</v>
      </c>
      <c r="M619" s="565">
        <f t="shared" si="115"/>
        <v>0</v>
      </c>
      <c r="N619" s="565">
        <f t="shared" si="116"/>
        <v>0</v>
      </c>
    </row>
    <row r="620" spans="1:14" ht="34" outlineLevel="6" x14ac:dyDescent="0.3">
      <c r="A620" s="438" t="s">
        <v>37</v>
      </c>
      <c r="B620" s="439" t="s">
        <v>536</v>
      </c>
      <c r="C620" s="439" t="s">
        <v>72</v>
      </c>
      <c r="D620" s="539" t="s">
        <v>924</v>
      </c>
      <c r="E620" s="539" t="s">
        <v>38</v>
      </c>
      <c r="F620" s="539" t="s">
        <v>976</v>
      </c>
      <c r="G620" s="466">
        <f>G621</f>
        <v>41911341.160000004</v>
      </c>
      <c r="H620" s="442">
        <f>H621</f>
        <v>21307038.940000001</v>
      </c>
      <c r="I620" s="442">
        <v>0</v>
      </c>
      <c r="J620" s="466">
        <v>0</v>
      </c>
      <c r="K620" s="604">
        <v>0</v>
      </c>
      <c r="L620" s="564">
        <f t="shared" si="113"/>
        <v>0</v>
      </c>
      <c r="M620" s="565">
        <f t="shared" si="115"/>
        <v>0</v>
      </c>
      <c r="N620" s="565">
        <f t="shared" si="116"/>
        <v>0</v>
      </c>
    </row>
    <row r="621" spans="1:14" outlineLevel="6" x14ac:dyDescent="0.3">
      <c r="A621" s="438" t="s">
        <v>74</v>
      </c>
      <c r="B621" s="439" t="s">
        <v>536</v>
      </c>
      <c r="C621" s="439" t="s">
        <v>72</v>
      </c>
      <c r="D621" s="539" t="s">
        <v>924</v>
      </c>
      <c r="E621" s="539" t="s">
        <v>75</v>
      </c>
      <c r="F621" s="539" t="s">
        <v>976</v>
      </c>
      <c r="G621" s="466">
        <f>'[2]прил 7 динамика2023'!C58+180149.71+2700000+1500000</f>
        <v>41911341.160000004</v>
      </c>
      <c r="H621" s="443">
        <v>21307038.940000001</v>
      </c>
      <c r="I621" s="442">
        <v>0</v>
      </c>
      <c r="J621" s="466">
        <v>0</v>
      </c>
      <c r="K621" s="604">
        <v>0</v>
      </c>
      <c r="L621" s="564">
        <f t="shared" si="113"/>
        <v>0</v>
      </c>
      <c r="M621" s="565">
        <f t="shared" si="115"/>
        <v>0</v>
      </c>
      <c r="N621" s="565">
        <f t="shared" si="116"/>
        <v>0</v>
      </c>
    </row>
    <row r="622" spans="1:14" ht="34" outlineLevel="7" x14ac:dyDescent="0.3">
      <c r="A622" s="450" t="s">
        <v>275</v>
      </c>
      <c r="B622" s="439" t="s">
        <v>536</v>
      </c>
      <c r="C622" s="439" t="s">
        <v>72</v>
      </c>
      <c r="D622" s="539" t="s">
        <v>223</v>
      </c>
      <c r="E622" s="539" t="s">
        <v>6</v>
      </c>
      <c r="F622" s="540">
        <v>5101292.82</v>
      </c>
      <c r="G622" s="466">
        <f t="shared" ref="G622:K624" si="126">G623</f>
        <v>6117450</v>
      </c>
      <c r="H622" s="442">
        <f t="shared" si="126"/>
        <v>3823078.77</v>
      </c>
      <c r="I622" s="442">
        <f t="shared" si="126"/>
        <v>6188850</v>
      </c>
      <c r="J622" s="466">
        <f t="shared" si="126"/>
        <v>7109400</v>
      </c>
      <c r="K622" s="604">
        <f t="shared" si="126"/>
        <v>7109400</v>
      </c>
      <c r="L622" s="564">
        <f t="shared" si="113"/>
        <v>0</v>
      </c>
      <c r="M622" s="565">
        <f t="shared" si="115"/>
        <v>116.21508962067529</v>
      </c>
      <c r="N622" s="565">
        <f t="shared" si="116"/>
        <v>116.21508962067529</v>
      </c>
    </row>
    <row r="623" spans="1:14" ht="101.9" outlineLevel="7" x14ac:dyDescent="0.3">
      <c r="A623" s="397" t="s">
        <v>658</v>
      </c>
      <c r="B623" s="439" t="s">
        <v>536</v>
      </c>
      <c r="C623" s="439" t="s">
        <v>72</v>
      </c>
      <c r="D623" s="539" t="s">
        <v>659</v>
      </c>
      <c r="E623" s="539" t="s">
        <v>6</v>
      </c>
      <c r="F623" s="540">
        <v>5101292.82</v>
      </c>
      <c r="G623" s="466">
        <f t="shared" si="126"/>
        <v>6117450</v>
      </c>
      <c r="H623" s="442">
        <f t="shared" si="126"/>
        <v>3823078.77</v>
      </c>
      <c r="I623" s="442">
        <f t="shared" si="126"/>
        <v>6188850</v>
      </c>
      <c r="J623" s="466">
        <f t="shared" si="126"/>
        <v>7109400</v>
      </c>
      <c r="K623" s="604">
        <f t="shared" si="126"/>
        <v>7109400</v>
      </c>
      <c r="L623" s="564">
        <f t="shared" si="113"/>
        <v>0</v>
      </c>
      <c r="M623" s="565">
        <f t="shared" si="115"/>
        <v>116.21508962067529</v>
      </c>
      <c r="N623" s="565">
        <f t="shared" si="116"/>
        <v>116.21508962067529</v>
      </c>
    </row>
    <row r="624" spans="1:14" ht="34" outlineLevel="7" x14ac:dyDescent="0.3">
      <c r="A624" s="438" t="s">
        <v>37</v>
      </c>
      <c r="B624" s="439" t="s">
        <v>536</v>
      </c>
      <c r="C624" s="439" t="s">
        <v>72</v>
      </c>
      <c r="D624" s="539" t="s">
        <v>659</v>
      </c>
      <c r="E624" s="539" t="s">
        <v>38</v>
      </c>
      <c r="F624" s="540">
        <v>5101292.82</v>
      </c>
      <c r="G624" s="466">
        <f t="shared" si="126"/>
        <v>6117450</v>
      </c>
      <c r="H624" s="442">
        <f t="shared" si="126"/>
        <v>3823078.77</v>
      </c>
      <c r="I624" s="442">
        <f t="shared" si="126"/>
        <v>6188850</v>
      </c>
      <c r="J624" s="466">
        <f t="shared" si="126"/>
        <v>7109400</v>
      </c>
      <c r="K624" s="604">
        <f t="shared" si="126"/>
        <v>7109400</v>
      </c>
      <c r="L624" s="564">
        <f t="shared" si="113"/>
        <v>0</v>
      </c>
      <c r="M624" s="565">
        <f t="shared" si="115"/>
        <v>116.21508962067529</v>
      </c>
      <c r="N624" s="565">
        <f t="shared" si="116"/>
        <v>116.21508962067529</v>
      </c>
    </row>
    <row r="625" spans="1:14" ht="22.75" customHeight="1" outlineLevel="7" x14ac:dyDescent="0.3">
      <c r="A625" s="438" t="s">
        <v>74</v>
      </c>
      <c r="B625" s="439" t="s">
        <v>536</v>
      </c>
      <c r="C625" s="439" t="s">
        <v>72</v>
      </c>
      <c r="D625" s="544" t="s">
        <v>659</v>
      </c>
      <c r="E625" s="544" t="s">
        <v>75</v>
      </c>
      <c r="F625" s="540">
        <v>5101292.82</v>
      </c>
      <c r="G625" s="466">
        <v>6117450</v>
      </c>
      <c r="H625" s="443">
        <v>3823078.77</v>
      </c>
      <c r="I625" s="442">
        <v>6188850</v>
      </c>
      <c r="J625" s="466">
        <v>7109400</v>
      </c>
      <c r="K625" s="604">
        <v>7109400</v>
      </c>
      <c r="L625" s="564">
        <f t="shared" si="113"/>
        <v>0</v>
      </c>
      <c r="M625" s="565">
        <f t="shared" si="115"/>
        <v>116.21508962067529</v>
      </c>
      <c r="N625" s="565">
        <f t="shared" si="116"/>
        <v>116.21508962067529</v>
      </c>
    </row>
    <row r="626" spans="1:14" outlineLevel="7" x14ac:dyDescent="0.3">
      <c r="A626" s="397" t="s">
        <v>1049</v>
      </c>
      <c r="B626" s="439" t="s">
        <v>536</v>
      </c>
      <c r="C626" s="439" t="s">
        <v>72</v>
      </c>
      <c r="D626" s="544" t="s">
        <v>313</v>
      </c>
      <c r="E626" s="544" t="s">
        <v>6</v>
      </c>
      <c r="F626" s="540">
        <v>3010106</v>
      </c>
      <c r="G626" s="466">
        <f t="shared" ref="G626:K628" si="127">G627</f>
        <v>0</v>
      </c>
      <c r="H626" s="442">
        <f t="shared" si="127"/>
        <v>0</v>
      </c>
      <c r="I626" s="442">
        <f t="shared" si="127"/>
        <v>2685634.51</v>
      </c>
      <c r="J626" s="466">
        <f t="shared" si="127"/>
        <v>3078979.12</v>
      </c>
      <c r="K626" s="604">
        <f t="shared" si="127"/>
        <v>2981520.22</v>
      </c>
      <c r="L626" s="564">
        <f t="shared" si="113"/>
        <v>-97458.899999999907</v>
      </c>
      <c r="M626" s="565"/>
      <c r="N626" s="565"/>
    </row>
    <row r="627" spans="1:14" ht="50.95" outlineLevel="7" x14ac:dyDescent="0.3">
      <c r="A627" s="438" t="s">
        <v>469</v>
      </c>
      <c r="B627" s="439" t="s">
        <v>536</v>
      </c>
      <c r="C627" s="439" t="s">
        <v>72</v>
      </c>
      <c r="D627" s="544" t="s">
        <v>968</v>
      </c>
      <c r="E627" s="544" t="s">
        <v>6</v>
      </c>
      <c r="F627" s="540">
        <v>3010106</v>
      </c>
      <c r="G627" s="466">
        <f t="shared" si="127"/>
        <v>0</v>
      </c>
      <c r="H627" s="442">
        <f t="shared" si="127"/>
        <v>0</v>
      </c>
      <c r="I627" s="442">
        <f t="shared" si="127"/>
        <v>2685634.51</v>
      </c>
      <c r="J627" s="466">
        <f t="shared" si="127"/>
        <v>3078979.12</v>
      </c>
      <c r="K627" s="604">
        <f t="shared" si="127"/>
        <v>2981520.22</v>
      </c>
      <c r="L627" s="564">
        <f t="shared" si="113"/>
        <v>-97458.899999999907</v>
      </c>
      <c r="M627" s="565"/>
      <c r="N627" s="565"/>
    </row>
    <row r="628" spans="1:14" ht="34" outlineLevel="7" x14ac:dyDescent="0.3">
      <c r="A628" s="438" t="s">
        <v>37</v>
      </c>
      <c r="B628" s="439" t="s">
        <v>536</v>
      </c>
      <c r="C628" s="439" t="s">
        <v>72</v>
      </c>
      <c r="D628" s="544" t="s">
        <v>968</v>
      </c>
      <c r="E628" s="544" t="s">
        <v>38</v>
      </c>
      <c r="F628" s="540">
        <v>3010106</v>
      </c>
      <c r="G628" s="466">
        <f t="shared" si="127"/>
        <v>0</v>
      </c>
      <c r="H628" s="442">
        <f t="shared" si="127"/>
        <v>0</v>
      </c>
      <c r="I628" s="442">
        <f t="shared" si="127"/>
        <v>2685634.51</v>
      </c>
      <c r="J628" s="466">
        <f t="shared" si="127"/>
        <v>3078979.12</v>
      </c>
      <c r="K628" s="604">
        <f t="shared" si="127"/>
        <v>2981520.22</v>
      </c>
      <c r="L628" s="564">
        <f t="shared" si="113"/>
        <v>-97458.899999999907</v>
      </c>
      <c r="M628" s="565"/>
      <c r="N628" s="565"/>
    </row>
    <row r="629" spans="1:14" ht="17.7" outlineLevel="7" thickBot="1" x14ac:dyDescent="0.35">
      <c r="A629" s="438" t="s">
        <v>74</v>
      </c>
      <c r="B629" s="439" t="s">
        <v>536</v>
      </c>
      <c r="C629" s="439" t="s">
        <v>72</v>
      </c>
      <c r="D629" s="544" t="s">
        <v>968</v>
      </c>
      <c r="E629" s="544" t="s">
        <v>75</v>
      </c>
      <c r="F629" s="540">
        <v>3010106</v>
      </c>
      <c r="G629" s="466">
        <v>0</v>
      </c>
      <c r="H629" s="442">
        <v>0</v>
      </c>
      <c r="I629" s="442">
        <v>2685634.51</v>
      </c>
      <c r="J629" s="466">
        <f>186904.51+2892074.61</f>
        <v>3078979.12</v>
      </c>
      <c r="K629" s="604">
        <f>186904.51+2892074.61-97458.9</f>
        <v>2981520.22</v>
      </c>
      <c r="L629" s="564">
        <f t="shared" si="113"/>
        <v>-97458.899999999907</v>
      </c>
      <c r="M629" s="565"/>
      <c r="N629" s="565"/>
    </row>
    <row r="630" spans="1:14" ht="51.65" outlineLevel="7" thickBot="1" x14ac:dyDescent="0.35">
      <c r="A630" s="470" t="s">
        <v>938</v>
      </c>
      <c r="B630" s="439" t="s">
        <v>536</v>
      </c>
      <c r="C630" s="439" t="s">
        <v>72</v>
      </c>
      <c r="D630" s="539" t="s">
        <v>939</v>
      </c>
      <c r="E630" s="539" t="s">
        <v>6</v>
      </c>
      <c r="F630" s="539" t="s">
        <v>976</v>
      </c>
      <c r="G630" s="466">
        <f>G631</f>
        <v>3361963.91</v>
      </c>
      <c r="H630" s="442">
        <f>H631</f>
        <v>1927700</v>
      </c>
      <c r="I630" s="442">
        <v>0</v>
      </c>
      <c r="J630" s="466">
        <v>0</v>
      </c>
      <c r="K630" s="604">
        <v>0</v>
      </c>
      <c r="L630" s="564">
        <f t="shared" si="113"/>
        <v>0</v>
      </c>
      <c r="M630" s="565">
        <f t="shared" si="115"/>
        <v>0</v>
      </c>
      <c r="N630" s="565">
        <f t="shared" si="116"/>
        <v>0</v>
      </c>
    </row>
    <row r="631" spans="1:14" ht="34" outlineLevel="7" x14ac:dyDescent="0.3">
      <c r="A631" s="438" t="s">
        <v>37</v>
      </c>
      <c r="B631" s="439" t="s">
        <v>536</v>
      </c>
      <c r="C631" s="439" t="s">
        <v>72</v>
      </c>
      <c r="D631" s="539" t="s">
        <v>939</v>
      </c>
      <c r="E631" s="539" t="s">
        <v>38</v>
      </c>
      <c r="F631" s="539" t="s">
        <v>976</v>
      </c>
      <c r="G631" s="466">
        <f>G632</f>
        <v>3361963.91</v>
      </c>
      <c r="H631" s="442">
        <f>H632</f>
        <v>1927700</v>
      </c>
      <c r="I631" s="442">
        <v>0</v>
      </c>
      <c r="J631" s="466">
        <v>0</v>
      </c>
      <c r="K631" s="604">
        <v>0</v>
      </c>
      <c r="L631" s="564">
        <f t="shared" si="113"/>
        <v>0</v>
      </c>
      <c r="M631" s="565">
        <f t="shared" si="115"/>
        <v>0</v>
      </c>
      <c r="N631" s="565">
        <f t="shared" si="116"/>
        <v>0</v>
      </c>
    </row>
    <row r="632" spans="1:14" outlineLevel="7" x14ac:dyDescent="0.3">
      <c r="A632" s="438" t="s">
        <v>74</v>
      </c>
      <c r="B632" s="439" t="s">
        <v>536</v>
      </c>
      <c r="C632" s="439" t="s">
        <v>72</v>
      </c>
      <c r="D632" s="539" t="s">
        <v>939</v>
      </c>
      <c r="E632" s="539" t="s">
        <v>75</v>
      </c>
      <c r="F632" s="539" t="s">
        <v>976</v>
      </c>
      <c r="G632" s="466">
        <f>1000000+1613963.91+748000</f>
        <v>3361963.91</v>
      </c>
      <c r="H632" s="443">
        <v>1927700</v>
      </c>
      <c r="I632" s="442">
        <v>0</v>
      </c>
      <c r="J632" s="466">
        <v>0</v>
      </c>
      <c r="K632" s="604">
        <v>0</v>
      </c>
      <c r="L632" s="564">
        <f t="shared" si="113"/>
        <v>0</v>
      </c>
      <c r="M632" s="565">
        <f t="shared" si="115"/>
        <v>0</v>
      </c>
      <c r="N632" s="565">
        <f t="shared" si="116"/>
        <v>0</v>
      </c>
    </row>
    <row r="633" spans="1:14" outlineLevel="5" x14ac:dyDescent="0.3">
      <c r="A633" s="438" t="s">
        <v>257</v>
      </c>
      <c r="B633" s="439" t="s">
        <v>536</v>
      </c>
      <c r="C633" s="439" t="s">
        <v>256</v>
      </c>
      <c r="D633" s="539" t="s">
        <v>126</v>
      </c>
      <c r="E633" s="539" t="s">
        <v>6</v>
      </c>
      <c r="F633" s="540">
        <v>23253055.059999999</v>
      </c>
      <c r="G633" s="466">
        <f t="shared" ref="G633:K634" si="128">G634</f>
        <v>24723029.260000002</v>
      </c>
      <c r="H633" s="442">
        <f t="shared" si="128"/>
        <v>17264875.789999999</v>
      </c>
      <c r="I633" s="442">
        <f t="shared" si="128"/>
        <v>28310464</v>
      </c>
      <c r="J633" s="466">
        <f t="shared" si="128"/>
        <v>27710552</v>
      </c>
      <c r="K633" s="604">
        <f t="shared" si="128"/>
        <v>26493367.960000001</v>
      </c>
      <c r="L633" s="564">
        <f t="shared" si="113"/>
        <v>-1217184.0399999991</v>
      </c>
      <c r="M633" s="565">
        <f t="shared" si="115"/>
        <v>112.08396717320392</v>
      </c>
      <c r="N633" s="565">
        <f t="shared" si="116"/>
        <v>107.16068682919966</v>
      </c>
    </row>
    <row r="634" spans="1:14" ht="34" outlineLevel="6" x14ac:dyDescent="0.3">
      <c r="A634" s="444" t="s">
        <v>825</v>
      </c>
      <c r="B634" s="445" t="s">
        <v>536</v>
      </c>
      <c r="C634" s="445" t="s">
        <v>256</v>
      </c>
      <c r="D634" s="541" t="s">
        <v>138</v>
      </c>
      <c r="E634" s="541" t="s">
        <v>6</v>
      </c>
      <c r="F634" s="542">
        <v>23253055.059999999</v>
      </c>
      <c r="G634" s="507">
        <f t="shared" si="128"/>
        <v>24723029.260000002</v>
      </c>
      <c r="H634" s="448">
        <f t="shared" si="128"/>
        <v>17264875.789999999</v>
      </c>
      <c r="I634" s="448">
        <f t="shared" si="128"/>
        <v>28310464</v>
      </c>
      <c r="J634" s="507">
        <f t="shared" si="128"/>
        <v>27710552</v>
      </c>
      <c r="K634" s="605">
        <f t="shared" si="128"/>
        <v>26493367.960000001</v>
      </c>
      <c r="L634" s="564">
        <f t="shared" si="113"/>
        <v>-1217184.0399999991</v>
      </c>
      <c r="M634" s="565">
        <f t="shared" si="115"/>
        <v>112.08396717320392</v>
      </c>
      <c r="N634" s="565">
        <f t="shared" si="116"/>
        <v>107.16068682919966</v>
      </c>
    </row>
    <row r="635" spans="1:14" ht="49.75" customHeight="1" outlineLevel="7" x14ac:dyDescent="0.3">
      <c r="A635" s="438" t="s">
        <v>832</v>
      </c>
      <c r="B635" s="439" t="s">
        <v>536</v>
      </c>
      <c r="C635" s="439" t="s">
        <v>256</v>
      </c>
      <c r="D635" s="539" t="s">
        <v>149</v>
      </c>
      <c r="E635" s="539" t="s">
        <v>6</v>
      </c>
      <c r="F635" s="542">
        <v>23253055.059999999</v>
      </c>
      <c r="G635" s="465">
        <f>G636+G640+G650</f>
        <v>24723029.260000002</v>
      </c>
      <c r="H635" s="440">
        <f>H636+H640+H650</f>
        <v>17264875.789999999</v>
      </c>
      <c r="I635" s="440">
        <f>I636+I640+I650</f>
        <v>28310464</v>
      </c>
      <c r="J635" s="465">
        <f>J636+J640+J650</f>
        <v>27710552</v>
      </c>
      <c r="K635" s="603">
        <f>K636+K640+K650</f>
        <v>26493367.960000001</v>
      </c>
      <c r="L635" s="564">
        <f t="shared" si="113"/>
        <v>-1217184.0399999991</v>
      </c>
      <c r="M635" s="565">
        <f t="shared" si="115"/>
        <v>112.08396717320392</v>
      </c>
      <c r="N635" s="565">
        <f t="shared" si="116"/>
        <v>107.16068682919966</v>
      </c>
    </row>
    <row r="636" spans="1:14" ht="42.45" customHeight="1" outlineLevel="7" x14ac:dyDescent="0.3">
      <c r="A636" s="450" t="s">
        <v>207</v>
      </c>
      <c r="B636" s="439" t="s">
        <v>536</v>
      </c>
      <c r="C636" s="439" t="s">
        <v>256</v>
      </c>
      <c r="D636" s="539" t="s">
        <v>224</v>
      </c>
      <c r="E636" s="539" t="s">
        <v>6</v>
      </c>
      <c r="F636" s="540">
        <v>22721588.399999999</v>
      </c>
      <c r="G636" s="465">
        <f t="shared" ref="G636:K638" si="129">G637</f>
        <v>22949529.260000002</v>
      </c>
      <c r="H636" s="440">
        <f t="shared" si="129"/>
        <v>16567468.119999999</v>
      </c>
      <c r="I636" s="440">
        <f t="shared" si="129"/>
        <v>26996964</v>
      </c>
      <c r="J636" s="465">
        <f t="shared" si="129"/>
        <v>25942762</v>
      </c>
      <c r="K636" s="603">
        <f t="shared" si="129"/>
        <v>24725577.960000001</v>
      </c>
      <c r="L636" s="564">
        <f t="shared" si="113"/>
        <v>-1217184.0399999991</v>
      </c>
      <c r="M636" s="565">
        <f t="shared" si="115"/>
        <v>113.04267597861831</v>
      </c>
      <c r="N636" s="565">
        <f t="shared" si="116"/>
        <v>107.73893302942632</v>
      </c>
    </row>
    <row r="637" spans="1:14" ht="22.75" customHeight="1" outlineLevel="7" x14ac:dyDescent="0.3">
      <c r="A637" s="438" t="s">
        <v>115</v>
      </c>
      <c r="B637" s="439" t="s">
        <v>536</v>
      </c>
      <c r="C637" s="439" t="s">
        <v>256</v>
      </c>
      <c r="D637" s="539" t="s">
        <v>151</v>
      </c>
      <c r="E637" s="539" t="s">
        <v>6</v>
      </c>
      <c r="F637" s="540">
        <v>22721588.399999999</v>
      </c>
      <c r="G637" s="465">
        <f t="shared" si="129"/>
        <v>22949529.260000002</v>
      </c>
      <c r="H637" s="440">
        <f t="shared" si="129"/>
        <v>16567468.119999999</v>
      </c>
      <c r="I637" s="440">
        <f t="shared" si="129"/>
        <v>26996964</v>
      </c>
      <c r="J637" s="465">
        <f t="shared" si="129"/>
        <v>25942762</v>
      </c>
      <c r="K637" s="603">
        <f t="shared" si="129"/>
        <v>24725577.960000001</v>
      </c>
      <c r="L637" s="564">
        <f t="shared" si="113"/>
        <v>-1217184.0399999991</v>
      </c>
      <c r="M637" s="565">
        <f t="shared" si="115"/>
        <v>113.04267597861831</v>
      </c>
      <c r="N637" s="565">
        <f t="shared" si="116"/>
        <v>107.73893302942632</v>
      </c>
    </row>
    <row r="638" spans="1:14" ht="24.8" customHeight="1" outlineLevel="7" x14ac:dyDescent="0.3">
      <c r="A638" s="438" t="s">
        <v>37</v>
      </c>
      <c r="B638" s="439" t="s">
        <v>536</v>
      </c>
      <c r="C638" s="439" t="s">
        <v>256</v>
      </c>
      <c r="D638" s="539" t="s">
        <v>151</v>
      </c>
      <c r="E638" s="539" t="s">
        <v>38</v>
      </c>
      <c r="F638" s="540">
        <v>22721588.399999999</v>
      </c>
      <c r="G638" s="465">
        <f t="shared" si="129"/>
        <v>22949529.260000002</v>
      </c>
      <c r="H638" s="440">
        <f t="shared" si="129"/>
        <v>16567468.119999999</v>
      </c>
      <c r="I638" s="440">
        <f t="shared" si="129"/>
        <v>26996964</v>
      </c>
      <c r="J638" s="465">
        <f t="shared" si="129"/>
        <v>25942762</v>
      </c>
      <c r="K638" s="603">
        <f t="shared" si="129"/>
        <v>24725577.960000001</v>
      </c>
      <c r="L638" s="564">
        <f t="shared" si="113"/>
        <v>-1217184.0399999991</v>
      </c>
      <c r="M638" s="565">
        <f t="shared" si="115"/>
        <v>113.04267597861831</v>
      </c>
      <c r="N638" s="565">
        <f t="shared" si="116"/>
        <v>107.73893302942632</v>
      </c>
    </row>
    <row r="639" spans="1:14" ht="27" customHeight="1" outlineLevel="7" x14ac:dyDescent="0.3">
      <c r="A639" s="438" t="s">
        <v>74</v>
      </c>
      <c r="B639" s="439" t="s">
        <v>536</v>
      </c>
      <c r="C639" s="439" t="s">
        <v>256</v>
      </c>
      <c r="D639" s="539" t="s">
        <v>151</v>
      </c>
      <c r="E639" s="539" t="s">
        <v>75</v>
      </c>
      <c r="F639" s="540">
        <v>22721588.399999999</v>
      </c>
      <c r="G639" s="466">
        <f>[2]потребность!I580-1000000-1177656.74+130222</f>
        <v>22949529.260000002</v>
      </c>
      <c r="H639" s="443">
        <v>16567468.119999999</v>
      </c>
      <c r="I639" s="442">
        <v>26996964</v>
      </c>
      <c r="J639" s="466">
        <v>25942762</v>
      </c>
      <c r="K639" s="604">
        <f>25942762-500000-1112102.8+358800+36118.76</f>
        <v>24725577.960000001</v>
      </c>
      <c r="L639" s="564">
        <f t="shared" si="113"/>
        <v>-1217184.0399999991</v>
      </c>
      <c r="M639" s="565">
        <f t="shared" si="115"/>
        <v>113.04267597861831</v>
      </c>
      <c r="N639" s="565">
        <f t="shared" si="116"/>
        <v>107.73893302942632</v>
      </c>
    </row>
    <row r="640" spans="1:14" ht="34" outlineLevel="7" x14ac:dyDescent="0.3">
      <c r="A640" s="450" t="s">
        <v>402</v>
      </c>
      <c r="B640" s="439" t="s">
        <v>536</v>
      </c>
      <c r="C640" s="439" t="s">
        <v>256</v>
      </c>
      <c r="D640" s="539" t="s">
        <v>225</v>
      </c>
      <c r="E640" s="539" t="s">
        <v>6</v>
      </c>
      <c r="F640" s="540">
        <v>273051.64</v>
      </c>
      <c r="G640" s="466">
        <f>G641+G647+G656</f>
        <v>570500</v>
      </c>
      <c r="H640" s="442">
        <f>H641+H647+H656</f>
        <v>187954.08000000002</v>
      </c>
      <c r="I640" s="442">
        <f>I641+I647</f>
        <v>110500</v>
      </c>
      <c r="J640" s="466">
        <f>J641+J647</f>
        <v>31600</v>
      </c>
      <c r="K640" s="604">
        <f>K641+K647</f>
        <v>31600</v>
      </c>
      <c r="L640" s="564">
        <f t="shared" si="113"/>
        <v>0</v>
      </c>
      <c r="M640" s="565">
        <f t="shared" si="115"/>
        <v>5.5390008764241889</v>
      </c>
      <c r="N640" s="565">
        <f t="shared" si="116"/>
        <v>5.5390008764241898</v>
      </c>
    </row>
    <row r="641" spans="1:14" ht="34" outlineLevel="7" x14ac:dyDescent="0.3">
      <c r="A641" s="438" t="s">
        <v>268</v>
      </c>
      <c r="B641" s="439" t="s">
        <v>536</v>
      </c>
      <c r="C641" s="439" t="s">
        <v>256</v>
      </c>
      <c r="D641" s="539" t="s">
        <v>288</v>
      </c>
      <c r="E641" s="539" t="s">
        <v>6</v>
      </c>
      <c r="F641" s="540">
        <v>19201.89</v>
      </c>
      <c r="G641" s="466">
        <f t="shared" ref="G641:K642" si="130">G642</f>
        <v>25000</v>
      </c>
      <c r="H641" s="442">
        <f t="shared" si="130"/>
        <v>15994.08</v>
      </c>
      <c r="I641" s="442">
        <f t="shared" si="130"/>
        <v>25000</v>
      </c>
      <c r="J641" s="466">
        <f t="shared" si="130"/>
        <v>31600</v>
      </c>
      <c r="K641" s="604">
        <f t="shared" si="130"/>
        <v>31600</v>
      </c>
      <c r="L641" s="564">
        <f t="shared" si="113"/>
        <v>0</v>
      </c>
      <c r="M641" s="565">
        <f t="shared" si="115"/>
        <v>126.4</v>
      </c>
      <c r="N641" s="565">
        <f t="shared" si="116"/>
        <v>126.4</v>
      </c>
    </row>
    <row r="642" spans="1:14" ht="34" outlineLevel="7" x14ac:dyDescent="0.3">
      <c r="A642" s="438" t="s">
        <v>37</v>
      </c>
      <c r="B642" s="439" t="s">
        <v>536</v>
      </c>
      <c r="C642" s="439" t="s">
        <v>256</v>
      </c>
      <c r="D642" s="539" t="s">
        <v>288</v>
      </c>
      <c r="E642" s="539" t="s">
        <v>38</v>
      </c>
      <c r="F642" s="540">
        <v>19201.89</v>
      </c>
      <c r="G642" s="466">
        <f t="shared" si="130"/>
        <v>25000</v>
      </c>
      <c r="H642" s="442">
        <f t="shared" si="130"/>
        <v>15994.08</v>
      </c>
      <c r="I642" s="442">
        <f t="shared" si="130"/>
        <v>25000</v>
      </c>
      <c r="J642" s="466">
        <f t="shared" si="130"/>
        <v>31600</v>
      </c>
      <c r="K642" s="604">
        <f t="shared" si="130"/>
        <v>31600</v>
      </c>
      <c r="L642" s="564">
        <f t="shared" si="113"/>
        <v>0</v>
      </c>
      <c r="M642" s="565">
        <f t="shared" si="115"/>
        <v>126.4</v>
      </c>
      <c r="N642" s="565">
        <f t="shared" si="116"/>
        <v>126.4</v>
      </c>
    </row>
    <row r="643" spans="1:14" outlineLevel="2" x14ac:dyDescent="0.3">
      <c r="A643" s="438" t="s">
        <v>74</v>
      </c>
      <c r="B643" s="439" t="s">
        <v>536</v>
      </c>
      <c r="C643" s="439" t="s">
        <v>256</v>
      </c>
      <c r="D643" s="539" t="s">
        <v>288</v>
      </c>
      <c r="E643" s="539" t="s">
        <v>75</v>
      </c>
      <c r="F643" s="540">
        <v>19201.89</v>
      </c>
      <c r="G643" s="466">
        <v>25000</v>
      </c>
      <c r="H643" s="443">
        <v>15994.08</v>
      </c>
      <c r="I643" s="442">
        <v>25000</v>
      </c>
      <c r="J643" s="466">
        <v>31600</v>
      </c>
      <c r="K643" s="604">
        <v>31600</v>
      </c>
      <c r="L643" s="564">
        <f t="shared" si="113"/>
        <v>0</v>
      </c>
      <c r="M643" s="565">
        <f t="shared" si="115"/>
        <v>126.4</v>
      </c>
      <c r="N643" s="565">
        <f t="shared" si="116"/>
        <v>126.4</v>
      </c>
    </row>
    <row r="644" spans="1:14" s="449" customFormat="1" ht="28.2" customHeight="1" outlineLevel="3" x14ac:dyDescent="0.3">
      <c r="A644" s="450" t="s">
        <v>311</v>
      </c>
      <c r="B644" s="439" t="s">
        <v>536</v>
      </c>
      <c r="C644" s="439" t="s">
        <v>256</v>
      </c>
      <c r="D644" s="539" t="s">
        <v>735</v>
      </c>
      <c r="E644" s="539" t="s">
        <v>6</v>
      </c>
      <c r="F644" s="540">
        <v>124350</v>
      </c>
      <c r="G644" s="466">
        <f>G645</f>
        <v>0</v>
      </c>
      <c r="H644" s="442">
        <f>H645</f>
        <v>0</v>
      </c>
      <c r="I644" s="442">
        <v>0</v>
      </c>
      <c r="J644" s="466">
        <v>0</v>
      </c>
      <c r="K644" s="604">
        <v>0</v>
      </c>
      <c r="L644" s="564">
        <f t="shared" si="113"/>
        <v>0</v>
      </c>
      <c r="M644" s="565"/>
      <c r="N644" s="565"/>
    </row>
    <row r="645" spans="1:14" ht="34" outlineLevel="3" x14ac:dyDescent="0.3">
      <c r="A645" s="438" t="s">
        <v>37</v>
      </c>
      <c r="B645" s="439" t="s">
        <v>536</v>
      </c>
      <c r="C645" s="439" t="s">
        <v>256</v>
      </c>
      <c r="D645" s="539" t="s">
        <v>735</v>
      </c>
      <c r="E645" s="539" t="s">
        <v>38</v>
      </c>
      <c r="F645" s="540">
        <v>124350</v>
      </c>
      <c r="G645" s="466">
        <f>G646</f>
        <v>0</v>
      </c>
      <c r="H645" s="442">
        <f>H646</f>
        <v>0</v>
      </c>
      <c r="I645" s="442">
        <v>0</v>
      </c>
      <c r="J645" s="466">
        <v>0</v>
      </c>
      <c r="K645" s="604">
        <v>0</v>
      </c>
      <c r="L645" s="564">
        <f t="shared" ref="L645:L708" si="131">K645-J645</f>
        <v>0</v>
      </c>
      <c r="M645" s="565"/>
      <c r="N645" s="565"/>
    </row>
    <row r="646" spans="1:14" ht="19.55" customHeight="1" outlineLevel="3" x14ac:dyDescent="0.3">
      <c r="A646" s="438" t="s">
        <v>74</v>
      </c>
      <c r="B646" s="439" t="s">
        <v>536</v>
      </c>
      <c r="C646" s="439" t="s">
        <v>256</v>
      </c>
      <c r="D646" s="539" t="s">
        <v>735</v>
      </c>
      <c r="E646" s="539" t="s">
        <v>75</v>
      </c>
      <c r="F646" s="540">
        <v>124350</v>
      </c>
      <c r="G646" s="466">
        <v>0</v>
      </c>
      <c r="H646" s="443">
        <v>0</v>
      </c>
      <c r="I646" s="442">
        <v>0</v>
      </c>
      <c r="J646" s="466">
        <v>0</v>
      </c>
      <c r="K646" s="604">
        <v>0</v>
      </c>
      <c r="L646" s="564">
        <f t="shared" si="131"/>
        <v>0</v>
      </c>
      <c r="M646" s="565"/>
      <c r="N646" s="565"/>
    </row>
    <row r="647" spans="1:14" ht="21.25" customHeight="1" outlineLevel="3" x14ac:dyDescent="0.3">
      <c r="A647" s="438" t="s">
        <v>112</v>
      </c>
      <c r="B647" s="439" t="s">
        <v>536</v>
      </c>
      <c r="C647" s="439" t="s">
        <v>256</v>
      </c>
      <c r="D647" s="539" t="s">
        <v>150</v>
      </c>
      <c r="E647" s="539" t="s">
        <v>6</v>
      </c>
      <c r="F647" s="540">
        <v>77499.75</v>
      </c>
      <c r="G647" s="465">
        <f t="shared" ref="G647:K648" si="132">G648</f>
        <v>85500</v>
      </c>
      <c r="H647" s="440">
        <f t="shared" si="132"/>
        <v>39360</v>
      </c>
      <c r="I647" s="440">
        <f t="shared" si="132"/>
        <v>85500</v>
      </c>
      <c r="J647" s="518">
        <f t="shared" si="132"/>
        <v>0</v>
      </c>
      <c r="K647" s="608">
        <f t="shared" si="132"/>
        <v>0</v>
      </c>
      <c r="L647" s="564">
        <f t="shared" si="131"/>
        <v>0</v>
      </c>
      <c r="M647" s="565">
        <f t="shared" ref="M647:M710" si="133">J647/G647%</f>
        <v>0</v>
      </c>
      <c r="N647" s="565">
        <f t="shared" ref="N647:N710" si="134">K647/G647*100</f>
        <v>0</v>
      </c>
    </row>
    <row r="648" spans="1:14" ht="34" outlineLevel="3" x14ac:dyDescent="0.3">
      <c r="A648" s="438" t="s">
        <v>37</v>
      </c>
      <c r="B648" s="439" t="s">
        <v>536</v>
      </c>
      <c r="C648" s="439" t="s">
        <v>256</v>
      </c>
      <c r="D648" s="539" t="s">
        <v>150</v>
      </c>
      <c r="E648" s="539" t="s">
        <v>38</v>
      </c>
      <c r="F648" s="540">
        <v>77499.75</v>
      </c>
      <c r="G648" s="465">
        <f t="shared" si="132"/>
        <v>85500</v>
      </c>
      <c r="H648" s="440">
        <f t="shared" si="132"/>
        <v>39360</v>
      </c>
      <c r="I648" s="440">
        <f t="shared" si="132"/>
        <v>85500</v>
      </c>
      <c r="J648" s="518">
        <f t="shared" si="132"/>
        <v>0</v>
      </c>
      <c r="K648" s="608">
        <f t="shared" si="132"/>
        <v>0</v>
      </c>
      <c r="L648" s="564">
        <f t="shared" si="131"/>
        <v>0</v>
      </c>
      <c r="M648" s="565">
        <f t="shared" si="133"/>
        <v>0</v>
      </c>
      <c r="N648" s="565">
        <f t="shared" si="134"/>
        <v>0</v>
      </c>
    </row>
    <row r="649" spans="1:14" ht="21.25" customHeight="1" outlineLevel="3" x14ac:dyDescent="0.3">
      <c r="A649" s="438" t="s">
        <v>74</v>
      </c>
      <c r="B649" s="439" t="s">
        <v>536</v>
      </c>
      <c r="C649" s="439" t="s">
        <v>256</v>
      </c>
      <c r="D649" s="539" t="s">
        <v>150</v>
      </c>
      <c r="E649" s="539" t="s">
        <v>75</v>
      </c>
      <c r="F649" s="540">
        <v>77499.75</v>
      </c>
      <c r="G649" s="466">
        <v>85500</v>
      </c>
      <c r="H649" s="443">
        <v>39360</v>
      </c>
      <c r="I649" s="442">
        <v>85500</v>
      </c>
      <c r="J649" s="519">
        <v>0</v>
      </c>
      <c r="K649" s="609">
        <v>0</v>
      </c>
      <c r="L649" s="564">
        <f t="shared" si="131"/>
        <v>0</v>
      </c>
      <c r="M649" s="565">
        <f t="shared" si="133"/>
        <v>0</v>
      </c>
      <c r="N649" s="565">
        <f t="shared" si="134"/>
        <v>0</v>
      </c>
    </row>
    <row r="650" spans="1:14" ht="50.95" outlineLevel="3" x14ac:dyDescent="0.3">
      <c r="A650" s="438" t="s">
        <v>754</v>
      </c>
      <c r="B650" s="439" t="s">
        <v>536</v>
      </c>
      <c r="C650" s="439" t="s">
        <v>256</v>
      </c>
      <c r="D650" s="539" t="s">
        <v>755</v>
      </c>
      <c r="E650" s="539" t="s">
        <v>6</v>
      </c>
      <c r="F650" s="540">
        <v>258415.02</v>
      </c>
      <c r="G650" s="466">
        <f t="shared" ref="G650:K651" si="135">G651</f>
        <v>1203000</v>
      </c>
      <c r="H650" s="442">
        <f t="shared" si="135"/>
        <v>509453.59</v>
      </c>
      <c r="I650" s="442">
        <f t="shared" si="135"/>
        <v>1203000</v>
      </c>
      <c r="J650" s="466">
        <f t="shared" si="135"/>
        <v>1736190</v>
      </c>
      <c r="K650" s="604">
        <f t="shared" si="135"/>
        <v>1736190</v>
      </c>
      <c r="L650" s="564">
        <f t="shared" si="131"/>
        <v>0</v>
      </c>
      <c r="M650" s="565">
        <f t="shared" si="133"/>
        <v>144.32169576059852</v>
      </c>
      <c r="N650" s="565">
        <f t="shared" si="134"/>
        <v>144.32169576059849</v>
      </c>
    </row>
    <row r="651" spans="1:14" ht="34" outlineLevel="3" x14ac:dyDescent="0.3">
      <c r="A651" s="438" t="s">
        <v>37</v>
      </c>
      <c r="B651" s="439" t="s">
        <v>536</v>
      </c>
      <c r="C651" s="439" t="s">
        <v>256</v>
      </c>
      <c r="D651" s="539" t="s">
        <v>756</v>
      </c>
      <c r="E651" s="539" t="s">
        <v>38</v>
      </c>
      <c r="F651" s="540">
        <v>258415.02</v>
      </c>
      <c r="G651" s="466">
        <f t="shared" si="135"/>
        <v>1203000</v>
      </c>
      <c r="H651" s="442">
        <f t="shared" si="135"/>
        <v>509453.59</v>
      </c>
      <c r="I651" s="442">
        <f t="shared" si="135"/>
        <v>1203000</v>
      </c>
      <c r="J651" s="466">
        <f t="shared" si="135"/>
        <v>1736190</v>
      </c>
      <c r="K651" s="604">
        <f t="shared" si="135"/>
        <v>1736190</v>
      </c>
      <c r="L651" s="564">
        <f t="shared" si="131"/>
        <v>0</v>
      </c>
      <c r="M651" s="565">
        <f t="shared" si="133"/>
        <v>144.32169576059852</v>
      </c>
      <c r="N651" s="565">
        <f t="shared" si="134"/>
        <v>144.32169576059849</v>
      </c>
    </row>
    <row r="652" spans="1:14" ht="21.75" customHeight="1" outlineLevel="3" x14ac:dyDescent="0.3">
      <c r="A652" s="438" t="s">
        <v>74</v>
      </c>
      <c r="B652" s="439" t="s">
        <v>536</v>
      </c>
      <c r="C652" s="439" t="s">
        <v>256</v>
      </c>
      <c r="D652" s="539" t="s">
        <v>756</v>
      </c>
      <c r="E652" s="539" t="s">
        <v>75</v>
      </c>
      <c r="F652" s="540">
        <v>258415.02</v>
      </c>
      <c r="G652" s="466">
        <v>1203000</v>
      </c>
      <c r="H652" s="443">
        <v>509453.59</v>
      </c>
      <c r="I652" s="442">
        <v>1203000</v>
      </c>
      <c r="J652" s="466">
        <v>1736190</v>
      </c>
      <c r="K652" s="604">
        <v>1736190</v>
      </c>
      <c r="L652" s="564">
        <f t="shared" si="131"/>
        <v>0</v>
      </c>
      <c r="M652" s="565">
        <f t="shared" si="133"/>
        <v>144.32169576059852</v>
      </c>
      <c r="N652" s="565">
        <f t="shared" si="134"/>
        <v>144.32169576059849</v>
      </c>
    </row>
    <row r="653" spans="1:14" ht="50.95" outlineLevel="3" x14ac:dyDescent="0.3">
      <c r="A653" s="450" t="s">
        <v>458</v>
      </c>
      <c r="B653" s="439" t="s">
        <v>536</v>
      </c>
      <c r="C653" s="439" t="s">
        <v>256</v>
      </c>
      <c r="D653" s="539" t="s">
        <v>727</v>
      </c>
      <c r="E653" s="539" t="s">
        <v>6</v>
      </c>
      <c r="F653" s="540">
        <v>52000</v>
      </c>
      <c r="G653" s="466">
        <f t="shared" ref="G653:I654" si="136">G654</f>
        <v>0</v>
      </c>
      <c r="H653" s="442">
        <f t="shared" si="136"/>
        <v>0</v>
      </c>
      <c r="I653" s="442">
        <f t="shared" si="136"/>
        <v>100000</v>
      </c>
      <c r="J653" s="466">
        <v>0</v>
      </c>
      <c r="K653" s="604">
        <v>0</v>
      </c>
      <c r="L653" s="564">
        <f t="shared" si="131"/>
        <v>0</v>
      </c>
      <c r="M653" s="565"/>
      <c r="N653" s="565"/>
    </row>
    <row r="654" spans="1:14" ht="34" outlineLevel="3" x14ac:dyDescent="0.3">
      <c r="A654" s="438" t="s">
        <v>37</v>
      </c>
      <c r="B654" s="439" t="s">
        <v>536</v>
      </c>
      <c r="C654" s="439" t="s">
        <v>256</v>
      </c>
      <c r="D654" s="539" t="s">
        <v>727</v>
      </c>
      <c r="E654" s="539" t="s">
        <v>38</v>
      </c>
      <c r="F654" s="540">
        <v>52000</v>
      </c>
      <c r="G654" s="466">
        <f t="shared" si="136"/>
        <v>0</v>
      </c>
      <c r="H654" s="442">
        <f t="shared" si="136"/>
        <v>0</v>
      </c>
      <c r="I654" s="442">
        <f t="shared" si="136"/>
        <v>100000</v>
      </c>
      <c r="J654" s="466">
        <v>0</v>
      </c>
      <c r="K654" s="604">
        <v>0</v>
      </c>
      <c r="L654" s="564">
        <f t="shared" si="131"/>
        <v>0</v>
      </c>
      <c r="M654" s="565"/>
      <c r="N654" s="565"/>
    </row>
    <row r="655" spans="1:14" ht="17.7" outlineLevel="3" thickBot="1" x14ac:dyDescent="0.35">
      <c r="A655" s="438" t="s">
        <v>74</v>
      </c>
      <c r="B655" s="439" t="s">
        <v>536</v>
      </c>
      <c r="C655" s="439" t="s">
        <v>256</v>
      </c>
      <c r="D655" s="539" t="s">
        <v>727</v>
      </c>
      <c r="E655" s="539" t="s">
        <v>75</v>
      </c>
      <c r="F655" s="540">
        <v>52000</v>
      </c>
      <c r="G655" s="466">
        <v>0</v>
      </c>
      <c r="H655" s="442">
        <v>0</v>
      </c>
      <c r="I655" s="442">
        <v>100000</v>
      </c>
      <c r="J655" s="466">
        <v>0</v>
      </c>
      <c r="K655" s="604">
        <v>0</v>
      </c>
      <c r="L655" s="564">
        <f t="shared" si="131"/>
        <v>0</v>
      </c>
      <c r="M655" s="565"/>
      <c r="N655" s="565"/>
    </row>
    <row r="656" spans="1:14" ht="51.65" outlineLevel="3" thickBot="1" x14ac:dyDescent="0.35">
      <c r="A656" s="470" t="s">
        <v>938</v>
      </c>
      <c r="B656" s="439" t="s">
        <v>536</v>
      </c>
      <c r="C656" s="439" t="s">
        <v>256</v>
      </c>
      <c r="D656" s="539" t="s">
        <v>980</v>
      </c>
      <c r="E656" s="539" t="s">
        <v>6</v>
      </c>
      <c r="F656" s="540"/>
      <c r="G656" s="466">
        <f>G657</f>
        <v>460000</v>
      </c>
      <c r="H656" s="442">
        <f>H657</f>
        <v>132600</v>
      </c>
      <c r="I656" s="442"/>
      <c r="J656" s="466">
        <v>0</v>
      </c>
      <c r="K656" s="604">
        <v>0</v>
      </c>
      <c r="L656" s="564">
        <f t="shared" si="131"/>
        <v>0</v>
      </c>
      <c r="M656" s="565"/>
      <c r="N656" s="565"/>
    </row>
    <row r="657" spans="1:14" ht="34" outlineLevel="3" x14ac:dyDescent="0.3">
      <c r="A657" s="438" t="s">
        <v>37</v>
      </c>
      <c r="B657" s="439" t="s">
        <v>536</v>
      </c>
      <c r="C657" s="439" t="s">
        <v>256</v>
      </c>
      <c r="D657" s="539" t="s">
        <v>981</v>
      </c>
      <c r="E657" s="539" t="s">
        <v>38</v>
      </c>
      <c r="F657" s="540"/>
      <c r="G657" s="466">
        <f>G658</f>
        <v>460000</v>
      </c>
      <c r="H657" s="442">
        <f>H658</f>
        <v>132600</v>
      </c>
      <c r="I657" s="442"/>
      <c r="J657" s="466">
        <v>0</v>
      </c>
      <c r="K657" s="604">
        <v>0</v>
      </c>
      <c r="L657" s="564">
        <f t="shared" si="131"/>
        <v>0</v>
      </c>
      <c r="M657" s="565"/>
      <c r="N657" s="565"/>
    </row>
    <row r="658" spans="1:14" outlineLevel="3" x14ac:dyDescent="0.3">
      <c r="A658" s="438" t="s">
        <v>74</v>
      </c>
      <c r="B658" s="439" t="s">
        <v>536</v>
      </c>
      <c r="C658" s="439" t="s">
        <v>256</v>
      </c>
      <c r="D658" s="539" t="s">
        <v>981</v>
      </c>
      <c r="E658" s="539" t="s">
        <v>75</v>
      </c>
      <c r="F658" s="540"/>
      <c r="G658" s="466">
        <v>460000</v>
      </c>
      <c r="H658" s="442">
        <v>132600</v>
      </c>
      <c r="I658" s="442"/>
      <c r="J658" s="466">
        <v>0</v>
      </c>
      <c r="K658" s="604">
        <v>0</v>
      </c>
      <c r="L658" s="564">
        <f t="shared" si="131"/>
        <v>0</v>
      </c>
      <c r="M658" s="565"/>
      <c r="N658" s="565"/>
    </row>
    <row r="659" spans="1:14" outlineLevel="3" x14ac:dyDescent="0.3">
      <c r="A659" s="438" t="s">
        <v>76</v>
      </c>
      <c r="B659" s="439" t="s">
        <v>536</v>
      </c>
      <c r="C659" s="439" t="s">
        <v>77</v>
      </c>
      <c r="D659" s="539" t="s">
        <v>126</v>
      </c>
      <c r="E659" s="539" t="s">
        <v>6</v>
      </c>
      <c r="F659" s="540">
        <v>1754985.46</v>
      </c>
      <c r="G659" s="465">
        <f>G660</f>
        <v>2042300</v>
      </c>
      <c r="H659" s="440">
        <f>H660</f>
        <v>1919444.25</v>
      </c>
      <c r="I659" s="440">
        <f>I660</f>
        <v>2042300</v>
      </c>
      <c r="J659" s="465">
        <f>J660</f>
        <v>2803119.25</v>
      </c>
      <c r="K659" s="603">
        <f>K660</f>
        <v>2803119.25</v>
      </c>
      <c r="L659" s="564">
        <f t="shared" si="131"/>
        <v>0</v>
      </c>
      <c r="M659" s="565">
        <f t="shared" si="133"/>
        <v>137.25306027517993</v>
      </c>
      <c r="N659" s="565">
        <f t="shared" si="134"/>
        <v>137.25306027517993</v>
      </c>
    </row>
    <row r="660" spans="1:14" ht="34" outlineLevel="3" x14ac:dyDescent="0.3">
      <c r="A660" s="444" t="s">
        <v>825</v>
      </c>
      <c r="B660" s="445" t="s">
        <v>536</v>
      </c>
      <c r="C660" s="445" t="s">
        <v>77</v>
      </c>
      <c r="D660" s="541" t="s">
        <v>138</v>
      </c>
      <c r="E660" s="541" t="s">
        <v>6</v>
      </c>
      <c r="F660" s="540">
        <v>1754985.46</v>
      </c>
      <c r="G660" s="508">
        <f>G661+G675</f>
        <v>2042300</v>
      </c>
      <c r="H660" s="446">
        <f>H661+H675</f>
        <v>1919444.25</v>
      </c>
      <c r="I660" s="446">
        <f>I661+I675</f>
        <v>2042300</v>
      </c>
      <c r="J660" s="508">
        <f>J661+J675</f>
        <v>2803119.25</v>
      </c>
      <c r="K660" s="606">
        <f>K661+K675</f>
        <v>2803119.25</v>
      </c>
      <c r="L660" s="564">
        <f t="shared" si="131"/>
        <v>0</v>
      </c>
      <c r="M660" s="565">
        <f t="shared" si="133"/>
        <v>137.25306027517993</v>
      </c>
      <c r="N660" s="565">
        <f t="shared" si="134"/>
        <v>137.25306027517993</v>
      </c>
    </row>
    <row r="661" spans="1:14" ht="50.95" outlineLevel="3" x14ac:dyDescent="0.3">
      <c r="A661" s="438" t="s">
        <v>833</v>
      </c>
      <c r="B661" s="439" t="s">
        <v>536</v>
      </c>
      <c r="C661" s="439" t="s">
        <v>77</v>
      </c>
      <c r="D661" s="539" t="s">
        <v>146</v>
      </c>
      <c r="E661" s="539" t="s">
        <v>6</v>
      </c>
      <c r="F661" s="540">
        <v>69978.509999999995</v>
      </c>
      <c r="G661" s="465">
        <f>G662+G666</f>
        <v>1917300</v>
      </c>
      <c r="H661" s="440">
        <f>H662+H666</f>
        <v>1858488.25</v>
      </c>
      <c r="I661" s="440">
        <f>I662+I666</f>
        <v>1917300</v>
      </c>
      <c r="J661" s="465">
        <f>J662+J666</f>
        <v>2678119.25</v>
      </c>
      <c r="K661" s="603">
        <f>K662+K666</f>
        <v>2678119.25</v>
      </c>
      <c r="L661" s="564">
        <f t="shared" si="131"/>
        <v>0</v>
      </c>
      <c r="M661" s="565">
        <f t="shared" si="133"/>
        <v>139.68180514264853</v>
      </c>
      <c r="N661" s="565">
        <f t="shared" si="134"/>
        <v>139.68180514264853</v>
      </c>
    </row>
    <row r="662" spans="1:14" ht="34" outlineLevel="7" x14ac:dyDescent="0.3">
      <c r="A662" s="450" t="s">
        <v>206</v>
      </c>
      <c r="B662" s="439" t="s">
        <v>536</v>
      </c>
      <c r="C662" s="439" t="s">
        <v>77</v>
      </c>
      <c r="D662" s="539" t="s">
        <v>220</v>
      </c>
      <c r="E662" s="539" t="s">
        <v>6</v>
      </c>
      <c r="F662" s="540">
        <v>69978.509999999995</v>
      </c>
      <c r="G662" s="465">
        <f t="shared" ref="G662:K664" si="137">G663</f>
        <v>70000</v>
      </c>
      <c r="H662" s="440">
        <f t="shared" si="137"/>
        <v>53268</v>
      </c>
      <c r="I662" s="440">
        <f t="shared" si="137"/>
        <v>70000</v>
      </c>
      <c r="J662" s="465">
        <f t="shared" si="137"/>
        <v>70000</v>
      </c>
      <c r="K662" s="603">
        <f t="shared" si="137"/>
        <v>70000</v>
      </c>
      <c r="L662" s="564">
        <f t="shared" si="131"/>
        <v>0</v>
      </c>
      <c r="M662" s="565">
        <f t="shared" si="133"/>
        <v>100</v>
      </c>
      <c r="N662" s="565">
        <f t="shared" si="134"/>
        <v>100</v>
      </c>
    </row>
    <row r="663" spans="1:14" outlineLevel="7" x14ac:dyDescent="0.3">
      <c r="A663" s="438" t="s">
        <v>424</v>
      </c>
      <c r="B663" s="439" t="s">
        <v>536</v>
      </c>
      <c r="C663" s="439" t="s">
        <v>77</v>
      </c>
      <c r="D663" s="539" t="s">
        <v>235</v>
      </c>
      <c r="E663" s="539" t="s">
        <v>6</v>
      </c>
      <c r="F663" s="540">
        <v>69978.509999999995</v>
      </c>
      <c r="G663" s="465">
        <f t="shared" si="137"/>
        <v>70000</v>
      </c>
      <c r="H663" s="440">
        <f t="shared" si="137"/>
        <v>53268</v>
      </c>
      <c r="I663" s="440">
        <f t="shared" si="137"/>
        <v>70000</v>
      </c>
      <c r="J663" s="465">
        <f t="shared" si="137"/>
        <v>70000</v>
      </c>
      <c r="K663" s="603">
        <f t="shared" si="137"/>
        <v>70000</v>
      </c>
      <c r="L663" s="564">
        <f t="shared" si="131"/>
        <v>0</v>
      </c>
      <c r="M663" s="565">
        <f t="shared" si="133"/>
        <v>100</v>
      </c>
      <c r="N663" s="565">
        <f t="shared" si="134"/>
        <v>100</v>
      </c>
    </row>
    <row r="664" spans="1:14" ht="23.3" customHeight="1" outlineLevel="7" x14ac:dyDescent="0.3">
      <c r="A664" s="438" t="s">
        <v>15</v>
      </c>
      <c r="B664" s="439" t="s">
        <v>536</v>
      </c>
      <c r="C664" s="439" t="s">
        <v>77</v>
      </c>
      <c r="D664" s="539" t="s">
        <v>235</v>
      </c>
      <c r="E664" s="539" t="s">
        <v>16</v>
      </c>
      <c r="F664" s="540">
        <v>69978.509999999995</v>
      </c>
      <c r="G664" s="465">
        <f t="shared" si="137"/>
        <v>70000</v>
      </c>
      <c r="H664" s="440">
        <f t="shared" si="137"/>
        <v>53268</v>
      </c>
      <c r="I664" s="440">
        <f t="shared" si="137"/>
        <v>70000</v>
      </c>
      <c r="J664" s="465">
        <f t="shared" si="137"/>
        <v>70000</v>
      </c>
      <c r="K664" s="603">
        <f t="shared" si="137"/>
        <v>70000</v>
      </c>
      <c r="L664" s="564">
        <f t="shared" si="131"/>
        <v>0</v>
      </c>
      <c r="M664" s="565">
        <f t="shared" si="133"/>
        <v>100</v>
      </c>
      <c r="N664" s="565">
        <f t="shared" si="134"/>
        <v>100</v>
      </c>
    </row>
    <row r="665" spans="1:14" ht="34" outlineLevel="2" x14ac:dyDescent="0.3">
      <c r="A665" s="438" t="s">
        <v>17</v>
      </c>
      <c r="B665" s="439" t="s">
        <v>536</v>
      </c>
      <c r="C665" s="439" t="s">
        <v>77</v>
      </c>
      <c r="D665" s="539" t="s">
        <v>235</v>
      </c>
      <c r="E665" s="539" t="s">
        <v>18</v>
      </c>
      <c r="F665" s="540">
        <v>69978.509999999995</v>
      </c>
      <c r="G665" s="466">
        <v>70000</v>
      </c>
      <c r="H665" s="443">
        <v>53268</v>
      </c>
      <c r="I665" s="442">
        <v>70000</v>
      </c>
      <c r="J665" s="466">
        <v>70000</v>
      </c>
      <c r="K665" s="604">
        <v>70000</v>
      </c>
      <c r="L665" s="564">
        <f t="shared" si="131"/>
        <v>0</v>
      </c>
      <c r="M665" s="565">
        <f t="shared" si="133"/>
        <v>100</v>
      </c>
      <c r="N665" s="565">
        <f t="shared" si="134"/>
        <v>100</v>
      </c>
    </row>
    <row r="666" spans="1:14" s="449" customFormat="1" ht="34" outlineLevel="3" x14ac:dyDescent="0.3">
      <c r="A666" s="450" t="s">
        <v>275</v>
      </c>
      <c r="B666" s="439" t="s">
        <v>536</v>
      </c>
      <c r="C666" s="439" t="s">
        <v>77</v>
      </c>
      <c r="D666" s="539" t="s">
        <v>223</v>
      </c>
      <c r="E666" s="539" t="s">
        <v>6</v>
      </c>
      <c r="F666" s="540">
        <v>1561006.95</v>
      </c>
      <c r="G666" s="466">
        <f>G667</f>
        <v>1847300</v>
      </c>
      <c r="H666" s="442">
        <f>H667</f>
        <v>1805220.25</v>
      </c>
      <c r="I666" s="442">
        <f>I667</f>
        <v>1847300</v>
      </c>
      <c r="J666" s="466">
        <f>J667</f>
        <v>2608119.25</v>
      </c>
      <c r="K666" s="604">
        <f>K667</f>
        <v>2608119.25</v>
      </c>
      <c r="L666" s="564">
        <f t="shared" si="131"/>
        <v>0</v>
      </c>
      <c r="M666" s="565">
        <f t="shared" si="133"/>
        <v>141.18547339360148</v>
      </c>
      <c r="N666" s="565">
        <f t="shared" si="134"/>
        <v>141.18547339360148</v>
      </c>
    </row>
    <row r="667" spans="1:14" s="449" customFormat="1" ht="84.9" outlineLevel="3" x14ac:dyDescent="0.3">
      <c r="A667" s="393" t="s">
        <v>403</v>
      </c>
      <c r="B667" s="439" t="s">
        <v>536</v>
      </c>
      <c r="C667" s="439" t="s">
        <v>77</v>
      </c>
      <c r="D667" s="539" t="s">
        <v>152</v>
      </c>
      <c r="E667" s="539" t="s">
        <v>6</v>
      </c>
      <c r="F667" s="540">
        <v>1561006.95</v>
      </c>
      <c r="G667" s="465">
        <f>G668+G672+G670</f>
        <v>1847300</v>
      </c>
      <c r="H667" s="440">
        <f>H668+H672+H670</f>
        <v>1805220.25</v>
      </c>
      <c r="I667" s="440">
        <f>I668+I672+I670</f>
        <v>1847300</v>
      </c>
      <c r="J667" s="465">
        <v>2608119.25</v>
      </c>
      <c r="K667" s="465">
        <f>K668+K672+K670</f>
        <v>2608119.25</v>
      </c>
      <c r="L667" s="564">
        <f t="shared" si="131"/>
        <v>0</v>
      </c>
      <c r="M667" s="565">
        <f t="shared" si="133"/>
        <v>141.18547339360148</v>
      </c>
      <c r="N667" s="565">
        <f t="shared" si="134"/>
        <v>141.18547339360148</v>
      </c>
    </row>
    <row r="668" spans="1:14" ht="34" outlineLevel="5" x14ac:dyDescent="0.3">
      <c r="A668" s="438" t="s">
        <v>15</v>
      </c>
      <c r="B668" s="439" t="s">
        <v>536</v>
      </c>
      <c r="C668" s="439" t="s">
        <v>77</v>
      </c>
      <c r="D668" s="539" t="s">
        <v>152</v>
      </c>
      <c r="E668" s="539" t="s">
        <v>16</v>
      </c>
      <c r="F668" s="540">
        <v>0</v>
      </c>
      <c r="G668" s="465">
        <f>G669</f>
        <v>2000</v>
      </c>
      <c r="H668" s="440">
        <f>H669</f>
        <v>0</v>
      </c>
      <c r="I668" s="440">
        <f>I669</f>
        <v>2000</v>
      </c>
      <c r="J668" s="465">
        <f>J669</f>
        <v>2608119.25</v>
      </c>
      <c r="K668" s="603">
        <f>K669</f>
        <v>2000</v>
      </c>
      <c r="L668" s="564">
        <f t="shared" si="131"/>
        <v>-2606119.25</v>
      </c>
      <c r="M668" s="565"/>
      <c r="N668" s="565">
        <f t="shared" si="134"/>
        <v>100</v>
      </c>
    </row>
    <row r="669" spans="1:14" ht="34" outlineLevel="6" x14ac:dyDescent="0.3">
      <c r="A669" s="438" t="s">
        <v>17</v>
      </c>
      <c r="B669" s="439" t="s">
        <v>536</v>
      </c>
      <c r="C669" s="439" t="s">
        <v>77</v>
      </c>
      <c r="D669" s="539" t="s">
        <v>152</v>
      </c>
      <c r="E669" s="539" t="s">
        <v>18</v>
      </c>
      <c r="F669" s="540">
        <v>0</v>
      </c>
      <c r="G669" s="466">
        <v>2000</v>
      </c>
      <c r="H669" s="442">
        <v>0</v>
      </c>
      <c r="I669" s="442">
        <v>2000</v>
      </c>
      <c r="J669" s="466">
        <v>2608119.25</v>
      </c>
      <c r="K669" s="604">
        <v>2000</v>
      </c>
      <c r="L669" s="564">
        <f t="shared" si="131"/>
        <v>-2606119.25</v>
      </c>
      <c r="M669" s="565"/>
      <c r="N669" s="565">
        <f t="shared" si="134"/>
        <v>100</v>
      </c>
    </row>
    <row r="670" spans="1:14" outlineLevel="7" x14ac:dyDescent="0.3">
      <c r="A670" s="438" t="s">
        <v>90</v>
      </c>
      <c r="B670" s="439" t="s">
        <v>536</v>
      </c>
      <c r="C670" s="439" t="s">
        <v>77</v>
      </c>
      <c r="D670" s="539" t="s">
        <v>152</v>
      </c>
      <c r="E670" s="539" t="s">
        <v>91</v>
      </c>
      <c r="F670" s="540">
        <v>194977.5</v>
      </c>
      <c r="G670" s="465">
        <f>G671</f>
        <v>320000</v>
      </c>
      <c r="H670" s="440">
        <f>H671</f>
        <v>280851.25</v>
      </c>
      <c r="I670" s="440">
        <f>I671</f>
        <v>320000</v>
      </c>
      <c r="J670" s="465">
        <f>J671</f>
        <v>0</v>
      </c>
      <c r="K670" s="603">
        <f>K671</f>
        <v>320000</v>
      </c>
      <c r="L670" s="564">
        <f t="shared" si="131"/>
        <v>320000</v>
      </c>
      <c r="M670" s="565">
        <f t="shared" si="133"/>
        <v>0</v>
      </c>
      <c r="N670" s="565">
        <f t="shared" si="134"/>
        <v>100</v>
      </c>
    </row>
    <row r="671" spans="1:14" ht="34" outlineLevel="6" x14ac:dyDescent="0.3">
      <c r="A671" s="438" t="s">
        <v>97</v>
      </c>
      <c r="B671" s="439" t="s">
        <v>536</v>
      </c>
      <c r="C671" s="439" t="s">
        <v>77</v>
      </c>
      <c r="D671" s="539" t="s">
        <v>152</v>
      </c>
      <c r="E671" s="539" t="s">
        <v>98</v>
      </c>
      <c r="F671" s="540">
        <v>194977.5</v>
      </c>
      <c r="G671" s="466">
        <v>320000</v>
      </c>
      <c r="H671" s="443">
        <v>280851.25</v>
      </c>
      <c r="I671" s="442">
        <v>320000</v>
      </c>
      <c r="J671" s="466">
        <v>0</v>
      </c>
      <c r="K671" s="604">
        <v>320000</v>
      </c>
      <c r="L671" s="564">
        <f t="shared" si="131"/>
        <v>320000</v>
      </c>
      <c r="M671" s="565">
        <f t="shared" si="133"/>
        <v>0</v>
      </c>
      <c r="N671" s="565">
        <f t="shared" si="134"/>
        <v>100</v>
      </c>
    </row>
    <row r="672" spans="1:14" ht="21.25" customHeight="1" outlineLevel="7" x14ac:dyDescent="0.3">
      <c r="A672" s="438" t="s">
        <v>37</v>
      </c>
      <c r="B672" s="439" t="s">
        <v>536</v>
      </c>
      <c r="C672" s="439" t="s">
        <v>77</v>
      </c>
      <c r="D672" s="539" t="s">
        <v>152</v>
      </c>
      <c r="E672" s="539" t="s">
        <v>38</v>
      </c>
      <c r="F672" s="540">
        <v>1366029.45</v>
      </c>
      <c r="G672" s="465">
        <f>G673</f>
        <v>1525300</v>
      </c>
      <c r="H672" s="441">
        <v>1524369</v>
      </c>
      <c r="I672" s="440">
        <f>I673</f>
        <v>1525300</v>
      </c>
      <c r="J672" s="465">
        <f>J673</f>
        <v>0</v>
      </c>
      <c r="K672" s="603">
        <f>K673</f>
        <v>2286119.25</v>
      </c>
      <c r="L672" s="564">
        <f t="shared" si="131"/>
        <v>2286119.25</v>
      </c>
      <c r="M672" s="565">
        <f t="shared" si="133"/>
        <v>0</v>
      </c>
      <c r="N672" s="565">
        <f t="shared" si="134"/>
        <v>149.87997443125943</v>
      </c>
    </row>
    <row r="673" spans="1:14" outlineLevel="7" x14ac:dyDescent="0.3">
      <c r="A673" s="438" t="s">
        <v>74</v>
      </c>
      <c r="B673" s="439" t="s">
        <v>536</v>
      </c>
      <c r="C673" s="439" t="s">
        <v>77</v>
      </c>
      <c r="D673" s="539" t="s">
        <v>152</v>
      </c>
      <c r="E673" s="539" t="s">
        <v>75</v>
      </c>
      <c r="F673" s="540">
        <v>1366029.45</v>
      </c>
      <c r="G673" s="466">
        <v>1525300</v>
      </c>
      <c r="H673" s="443">
        <v>1524369</v>
      </c>
      <c r="I673" s="442">
        <v>1525300</v>
      </c>
      <c r="J673" s="466">
        <v>0</v>
      </c>
      <c r="K673" s="604">
        <v>2286119.25</v>
      </c>
      <c r="L673" s="564">
        <f t="shared" si="131"/>
        <v>2286119.25</v>
      </c>
      <c r="M673" s="565">
        <f t="shared" si="133"/>
        <v>0</v>
      </c>
      <c r="N673" s="565">
        <f t="shared" si="134"/>
        <v>149.87997443125943</v>
      </c>
    </row>
    <row r="674" spans="1:14" ht="34" outlineLevel="7" x14ac:dyDescent="0.3">
      <c r="A674" s="397" t="s">
        <v>238</v>
      </c>
      <c r="B674" s="439" t="s">
        <v>536</v>
      </c>
      <c r="C674" s="439" t="s">
        <v>77</v>
      </c>
      <c r="D674" s="539" t="s">
        <v>237</v>
      </c>
      <c r="E674" s="539" t="s">
        <v>6</v>
      </c>
      <c r="F674" s="540">
        <v>124000</v>
      </c>
      <c r="G674" s="466">
        <f t="shared" ref="G674:K676" si="138">G675</f>
        <v>125000</v>
      </c>
      <c r="H674" s="442">
        <f t="shared" si="138"/>
        <v>60956</v>
      </c>
      <c r="I674" s="442">
        <f t="shared" si="138"/>
        <v>125000</v>
      </c>
      <c r="J674" s="466">
        <f t="shared" si="138"/>
        <v>125000</v>
      </c>
      <c r="K674" s="604">
        <f t="shared" si="138"/>
        <v>125000</v>
      </c>
      <c r="L674" s="564">
        <f t="shared" si="131"/>
        <v>0</v>
      </c>
      <c r="M674" s="565">
        <f t="shared" si="133"/>
        <v>100</v>
      </c>
      <c r="N674" s="565">
        <f t="shared" si="134"/>
        <v>100</v>
      </c>
    </row>
    <row r="675" spans="1:14" outlineLevel="5" x14ac:dyDescent="0.3">
      <c r="A675" s="438" t="s">
        <v>78</v>
      </c>
      <c r="B675" s="439" t="s">
        <v>536</v>
      </c>
      <c r="C675" s="439" t="s">
        <v>77</v>
      </c>
      <c r="D675" s="539" t="s">
        <v>153</v>
      </c>
      <c r="E675" s="539" t="s">
        <v>6</v>
      </c>
      <c r="F675" s="540">
        <v>124000</v>
      </c>
      <c r="G675" s="465">
        <f t="shared" si="138"/>
        <v>125000</v>
      </c>
      <c r="H675" s="440">
        <f t="shared" si="138"/>
        <v>60956</v>
      </c>
      <c r="I675" s="440">
        <f t="shared" si="138"/>
        <v>125000</v>
      </c>
      <c r="J675" s="465">
        <f t="shared" si="138"/>
        <v>125000</v>
      </c>
      <c r="K675" s="603">
        <f t="shared" si="138"/>
        <v>125000</v>
      </c>
      <c r="L675" s="564">
        <f t="shared" si="131"/>
        <v>0</v>
      </c>
      <c r="M675" s="565">
        <f t="shared" si="133"/>
        <v>100</v>
      </c>
      <c r="N675" s="565">
        <f t="shared" si="134"/>
        <v>100</v>
      </c>
    </row>
    <row r="676" spans="1:14" ht="34" outlineLevel="6" x14ac:dyDescent="0.3">
      <c r="A676" s="438" t="s">
        <v>15</v>
      </c>
      <c r="B676" s="439" t="s">
        <v>536</v>
      </c>
      <c r="C676" s="439" t="s">
        <v>77</v>
      </c>
      <c r="D676" s="539" t="s">
        <v>153</v>
      </c>
      <c r="E676" s="539" t="s">
        <v>16</v>
      </c>
      <c r="F676" s="540">
        <v>124000</v>
      </c>
      <c r="G676" s="465">
        <f t="shared" si="138"/>
        <v>125000</v>
      </c>
      <c r="H676" s="440">
        <f t="shared" si="138"/>
        <v>60956</v>
      </c>
      <c r="I676" s="440">
        <f t="shared" si="138"/>
        <v>125000</v>
      </c>
      <c r="J676" s="465">
        <f t="shared" si="138"/>
        <v>125000</v>
      </c>
      <c r="K676" s="603">
        <f t="shared" si="138"/>
        <v>125000</v>
      </c>
      <c r="L676" s="564">
        <f t="shared" si="131"/>
        <v>0</v>
      </c>
      <c r="M676" s="565">
        <f t="shared" si="133"/>
        <v>100</v>
      </c>
      <c r="N676" s="565">
        <f t="shared" si="134"/>
        <v>100</v>
      </c>
    </row>
    <row r="677" spans="1:14" ht="34" outlineLevel="7" x14ac:dyDescent="0.3">
      <c r="A677" s="438" t="s">
        <v>17</v>
      </c>
      <c r="B677" s="439" t="s">
        <v>536</v>
      </c>
      <c r="C677" s="439" t="s">
        <v>77</v>
      </c>
      <c r="D677" s="539" t="s">
        <v>153</v>
      </c>
      <c r="E677" s="539" t="s">
        <v>18</v>
      </c>
      <c r="F677" s="540">
        <v>124000</v>
      </c>
      <c r="G677" s="466">
        <v>125000</v>
      </c>
      <c r="H677" s="443">
        <v>60956</v>
      </c>
      <c r="I677" s="442">
        <v>125000</v>
      </c>
      <c r="J677" s="466">
        <v>125000</v>
      </c>
      <c r="K677" s="604">
        <v>125000</v>
      </c>
      <c r="L677" s="564">
        <f t="shared" si="131"/>
        <v>0</v>
      </c>
      <c r="M677" s="565">
        <f t="shared" si="133"/>
        <v>100</v>
      </c>
      <c r="N677" s="565">
        <f t="shared" si="134"/>
        <v>100</v>
      </c>
    </row>
    <row r="678" spans="1:14" outlineLevel="6" x14ac:dyDescent="0.3">
      <c r="A678" s="438" t="s">
        <v>116</v>
      </c>
      <c r="B678" s="439" t="s">
        <v>536</v>
      </c>
      <c r="C678" s="439" t="s">
        <v>117</v>
      </c>
      <c r="D678" s="539" t="s">
        <v>126</v>
      </c>
      <c r="E678" s="539" t="s">
        <v>6</v>
      </c>
      <c r="F678" s="540">
        <v>20583160.210000001</v>
      </c>
      <c r="G678" s="465">
        <f t="shared" ref="G678:K679" si="139">G679</f>
        <v>23901235</v>
      </c>
      <c r="H678" s="440">
        <f t="shared" si="139"/>
        <v>17186408.539999999</v>
      </c>
      <c r="I678" s="440">
        <f t="shared" si="139"/>
        <v>21748475</v>
      </c>
      <c r="J678" s="465">
        <f t="shared" si="139"/>
        <v>23843513</v>
      </c>
      <c r="K678" s="603">
        <f t="shared" si="139"/>
        <v>23557565</v>
      </c>
      <c r="L678" s="564">
        <f t="shared" si="131"/>
        <v>-285948</v>
      </c>
      <c r="M678" s="565">
        <f t="shared" si="133"/>
        <v>99.758497834944507</v>
      </c>
      <c r="N678" s="565">
        <f t="shared" si="134"/>
        <v>98.562124509465718</v>
      </c>
    </row>
    <row r="679" spans="1:14" ht="46.55" customHeight="1" outlineLevel="7" x14ac:dyDescent="0.3">
      <c r="A679" s="444" t="s">
        <v>827</v>
      </c>
      <c r="B679" s="445" t="s">
        <v>536</v>
      </c>
      <c r="C679" s="445" t="s">
        <v>117</v>
      </c>
      <c r="D679" s="541" t="s">
        <v>138</v>
      </c>
      <c r="E679" s="541" t="s">
        <v>6</v>
      </c>
      <c r="F679" s="542">
        <v>20583160.210000001</v>
      </c>
      <c r="G679" s="520">
        <f t="shared" si="139"/>
        <v>23901235</v>
      </c>
      <c r="H679" s="471">
        <f t="shared" si="139"/>
        <v>17186408.539999999</v>
      </c>
      <c r="I679" s="471">
        <f t="shared" si="139"/>
        <v>21748475</v>
      </c>
      <c r="J679" s="520">
        <f t="shared" si="139"/>
        <v>23843513</v>
      </c>
      <c r="K679" s="610">
        <f t="shared" si="139"/>
        <v>23557565</v>
      </c>
      <c r="L679" s="564">
        <f t="shared" si="131"/>
        <v>-285948</v>
      </c>
      <c r="M679" s="565">
        <f t="shared" si="133"/>
        <v>99.758497834944507</v>
      </c>
      <c r="N679" s="565">
        <f t="shared" si="134"/>
        <v>98.562124509465718</v>
      </c>
    </row>
    <row r="680" spans="1:14" outlineLevel="6" x14ac:dyDescent="0.3">
      <c r="A680" s="450" t="s">
        <v>1048</v>
      </c>
      <c r="B680" s="439" t="s">
        <v>536</v>
      </c>
      <c r="C680" s="439" t="s">
        <v>117</v>
      </c>
      <c r="D680" s="539" t="s">
        <v>226</v>
      </c>
      <c r="E680" s="539" t="s">
        <v>6</v>
      </c>
      <c r="F680" s="540">
        <v>20583160.210000001</v>
      </c>
      <c r="G680" s="508">
        <f>G681+G688+G695</f>
        <v>23901235</v>
      </c>
      <c r="H680" s="446">
        <f>H681+H688+H695</f>
        <v>17186408.539999999</v>
      </c>
      <c r="I680" s="446">
        <f>I681+I688+I695</f>
        <v>21748475</v>
      </c>
      <c r="J680" s="508">
        <f>J681+J688+J695</f>
        <v>23843513</v>
      </c>
      <c r="K680" s="606">
        <f>K681+K688+K695</f>
        <v>23557565</v>
      </c>
      <c r="L680" s="564">
        <f t="shared" si="131"/>
        <v>-285948</v>
      </c>
      <c r="M680" s="565">
        <f t="shared" si="133"/>
        <v>99.758497834944507</v>
      </c>
      <c r="N680" s="565">
        <f t="shared" si="134"/>
        <v>98.562124509465718</v>
      </c>
    </row>
    <row r="681" spans="1:14" ht="39.75" customHeight="1" outlineLevel="7" x14ac:dyDescent="0.3">
      <c r="A681" s="438" t="s">
        <v>494</v>
      </c>
      <c r="B681" s="439" t="s">
        <v>536</v>
      </c>
      <c r="C681" s="439" t="s">
        <v>117</v>
      </c>
      <c r="D681" s="539" t="s">
        <v>535</v>
      </c>
      <c r="E681" s="539" t="s">
        <v>6</v>
      </c>
      <c r="F681" s="540">
        <v>4679801.09</v>
      </c>
      <c r="G681" s="465">
        <f>G682+G684+G686</f>
        <v>6389242</v>
      </c>
      <c r="H681" s="440">
        <f>H682+H684+H686</f>
        <v>4957074.93</v>
      </c>
      <c r="I681" s="440">
        <f>I682+I684+I686</f>
        <v>5189242</v>
      </c>
      <c r="J681" s="465">
        <f>J682+J684+J686</f>
        <v>5880410</v>
      </c>
      <c r="K681" s="603">
        <f>K682+K684+K686</f>
        <v>5400410</v>
      </c>
      <c r="L681" s="564">
        <f t="shared" si="131"/>
        <v>-480000</v>
      </c>
      <c r="M681" s="565">
        <f t="shared" si="133"/>
        <v>92.036113204038912</v>
      </c>
      <c r="N681" s="565">
        <f t="shared" si="134"/>
        <v>84.523484945475531</v>
      </c>
    </row>
    <row r="682" spans="1:14" ht="76.75" customHeight="1" outlineLevel="3" x14ac:dyDescent="0.3">
      <c r="A682" s="438" t="s">
        <v>11</v>
      </c>
      <c r="B682" s="439" t="s">
        <v>536</v>
      </c>
      <c r="C682" s="439" t="s">
        <v>117</v>
      </c>
      <c r="D682" s="539" t="s">
        <v>535</v>
      </c>
      <c r="E682" s="539" t="s">
        <v>12</v>
      </c>
      <c r="F682" s="540">
        <v>4322530.09</v>
      </c>
      <c r="G682" s="465">
        <f>G683</f>
        <v>5089242</v>
      </c>
      <c r="H682" s="440">
        <f>H683</f>
        <v>3737020.13</v>
      </c>
      <c r="I682" s="440">
        <f>I683</f>
        <v>5089242</v>
      </c>
      <c r="J682" s="465">
        <f>J683</f>
        <v>5300410</v>
      </c>
      <c r="K682" s="603">
        <f>K683</f>
        <v>5300410</v>
      </c>
      <c r="L682" s="564">
        <f t="shared" si="131"/>
        <v>0</v>
      </c>
      <c r="M682" s="565">
        <f t="shared" si="133"/>
        <v>104.14930160522923</v>
      </c>
      <c r="N682" s="565">
        <f t="shared" si="134"/>
        <v>104.14930160522921</v>
      </c>
    </row>
    <row r="683" spans="1:14" ht="34" outlineLevel="3" x14ac:dyDescent="0.3">
      <c r="A683" s="438" t="s">
        <v>13</v>
      </c>
      <c r="B683" s="439" t="s">
        <v>536</v>
      </c>
      <c r="C683" s="439" t="s">
        <v>117</v>
      </c>
      <c r="D683" s="539" t="s">
        <v>535</v>
      </c>
      <c r="E683" s="539" t="s">
        <v>14</v>
      </c>
      <c r="F683" s="540">
        <v>4322530.09</v>
      </c>
      <c r="G683" s="466">
        <f>[2]потребность!I621</f>
        <v>5089242</v>
      </c>
      <c r="H683" s="443">
        <v>3737020.13</v>
      </c>
      <c r="I683" s="442">
        <v>5089242</v>
      </c>
      <c r="J683" s="466">
        <v>5300410</v>
      </c>
      <c r="K683" s="604">
        <v>5300410</v>
      </c>
      <c r="L683" s="564">
        <f t="shared" si="131"/>
        <v>0</v>
      </c>
      <c r="M683" s="565">
        <f t="shared" si="133"/>
        <v>104.14930160522923</v>
      </c>
      <c r="N683" s="565">
        <f t="shared" si="134"/>
        <v>104.14930160522921</v>
      </c>
    </row>
    <row r="684" spans="1:14" ht="34" outlineLevel="3" x14ac:dyDescent="0.3">
      <c r="A684" s="438" t="s">
        <v>15</v>
      </c>
      <c r="B684" s="439" t="s">
        <v>536</v>
      </c>
      <c r="C684" s="439" t="s">
        <v>117</v>
      </c>
      <c r="D684" s="539" t="s">
        <v>535</v>
      </c>
      <c r="E684" s="539" t="s">
        <v>16</v>
      </c>
      <c r="F684" s="540">
        <v>310400</v>
      </c>
      <c r="G684" s="465">
        <f>G685</f>
        <v>1300000</v>
      </c>
      <c r="H684" s="440">
        <f>H685</f>
        <v>1220054.8</v>
      </c>
      <c r="I684" s="440">
        <f>I685</f>
        <v>100000</v>
      </c>
      <c r="J684" s="465">
        <f>J685</f>
        <v>580000</v>
      </c>
      <c r="K684" s="603">
        <f>K685</f>
        <v>100000</v>
      </c>
      <c r="L684" s="564">
        <f t="shared" si="131"/>
        <v>-480000</v>
      </c>
      <c r="M684" s="565">
        <f t="shared" si="133"/>
        <v>44.615384615384613</v>
      </c>
      <c r="N684" s="565">
        <f t="shared" si="134"/>
        <v>7.6923076923076925</v>
      </c>
    </row>
    <row r="685" spans="1:14" s="449" customFormat="1" ht="46.2" customHeight="1" outlineLevel="3" x14ac:dyDescent="0.3">
      <c r="A685" s="438" t="s">
        <v>17</v>
      </c>
      <c r="B685" s="439" t="s">
        <v>536</v>
      </c>
      <c r="C685" s="439" t="s">
        <v>117</v>
      </c>
      <c r="D685" s="539" t="s">
        <v>535</v>
      </c>
      <c r="E685" s="539" t="s">
        <v>18</v>
      </c>
      <c r="F685" s="540">
        <v>310400</v>
      </c>
      <c r="G685" s="466">
        <f>[2]потребность!I623+1200000</f>
        <v>1300000</v>
      </c>
      <c r="H685" s="443">
        <v>1220054.8</v>
      </c>
      <c r="I685" s="442">
        <v>100000</v>
      </c>
      <c r="J685" s="466">
        <v>580000</v>
      </c>
      <c r="K685" s="604">
        <f>580000-420000-60000</f>
        <v>100000</v>
      </c>
      <c r="L685" s="564">
        <f t="shared" si="131"/>
        <v>-480000</v>
      </c>
      <c r="M685" s="565">
        <f t="shared" si="133"/>
        <v>44.615384615384613</v>
      </c>
      <c r="N685" s="565">
        <f t="shared" si="134"/>
        <v>7.6923076923076925</v>
      </c>
    </row>
    <row r="686" spans="1:14" outlineLevel="3" x14ac:dyDescent="0.3">
      <c r="A686" s="438" t="s">
        <v>19</v>
      </c>
      <c r="B686" s="439" t="s">
        <v>536</v>
      </c>
      <c r="C686" s="439" t="s">
        <v>117</v>
      </c>
      <c r="D686" s="539" t="s">
        <v>535</v>
      </c>
      <c r="E686" s="539" t="s">
        <v>20</v>
      </c>
      <c r="F686" s="540">
        <v>46871</v>
      </c>
      <c r="G686" s="466">
        <f>G687</f>
        <v>0</v>
      </c>
      <c r="H686" s="442">
        <f>H687</f>
        <v>0</v>
      </c>
      <c r="I686" s="442">
        <f>I687</f>
        <v>0</v>
      </c>
      <c r="J686" s="466">
        <v>0</v>
      </c>
      <c r="K686" s="604">
        <v>0</v>
      </c>
      <c r="L686" s="564">
        <f t="shared" si="131"/>
        <v>0</v>
      </c>
      <c r="M686" s="565"/>
      <c r="N686" s="565"/>
    </row>
    <row r="687" spans="1:14" s="449" customFormat="1" outlineLevel="3" x14ac:dyDescent="0.3">
      <c r="A687" s="438" t="s">
        <v>21</v>
      </c>
      <c r="B687" s="439" t="s">
        <v>536</v>
      </c>
      <c r="C687" s="439" t="s">
        <v>117</v>
      </c>
      <c r="D687" s="539" t="s">
        <v>535</v>
      </c>
      <c r="E687" s="539" t="s">
        <v>22</v>
      </c>
      <c r="F687" s="540">
        <v>46871</v>
      </c>
      <c r="G687" s="466">
        <v>0</v>
      </c>
      <c r="H687" s="442">
        <v>0</v>
      </c>
      <c r="I687" s="442">
        <v>0</v>
      </c>
      <c r="J687" s="507">
        <v>0</v>
      </c>
      <c r="K687" s="605">
        <v>0</v>
      </c>
      <c r="L687" s="564">
        <f t="shared" si="131"/>
        <v>0</v>
      </c>
      <c r="M687" s="565"/>
      <c r="N687" s="565"/>
    </row>
    <row r="688" spans="1:14" ht="34" outlineLevel="3" x14ac:dyDescent="0.3">
      <c r="A688" s="438" t="s">
        <v>33</v>
      </c>
      <c r="B688" s="439" t="s">
        <v>536</v>
      </c>
      <c r="C688" s="439" t="s">
        <v>117</v>
      </c>
      <c r="D688" s="539" t="s">
        <v>154</v>
      </c>
      <c r="E688" s="539" t="s">
        <v>6</v>
      </c>
      <c r="F688" s="540">
        <v>13829667.76</v>
      </c>
      <c r="G688" s="465">
        <f>G689+G691+G693</f>
        <v>15354732</v>
      </c>
      <c r="H688" s="440">
        <f>H689+H691+H693</f>
        <v>10604991.219999999</v>
      </c>
      <c r="I688" s="440">
        <f>I689+I691+I693</f>
        <v>14477700</v>
      </c>
      <c r="J688" s="465">
        <f>J689+J691+J693</f>
        <v>15696868</v>
      </c>
      <c r="K688" s="603">
        <f>K689+K691+K693</f>
        <v>15890920</v>
      </c>
      <c r="L688" s="564">
        <f t="shared" si="131"/>
        <v>194052</v>
      </c>
      <c r="M688" s="565">
        <f t="shared" si="133"/>
        <v>102.2282121237935</v>
      </c>
      <c r="N688" s="565">
        <f t="shared" si="134"/>
        <v>103.492004940236</v>
      </c>
    </row>
    <row r="689" spans="1:15" ht="78.45" customHeight="1" outlineLevel="3" x14ac:dyDescent="0.3">
      <c r="A689" s="438" t="s">
        <v>11</v>
      </c>
      <c r="B689" s="439" t="s">
        <v>536</v>
      </c>
      <c r="C689" s="439" t="s">
        <v>117</v>
      </c>
      <c r="D689" s="539" t="s">
        <v>154</v>
      </c>
      <c r="E689" s="539" t="s">
        <v>12</v>
      </c>
      <c r="F689" s="540">
        <v>11317918.75</v>
      </c>
      <c r="G689" s="465">
        <f>G690</f>
        <v>12224586</v>
      </c>
      <c r="H689" s="440">
        <f>H690</f>
        <v>8887451.2799999993</v>
      </c>
      <c r="I689" s="440">
        <f>I690</f>
        <v>11638500</v>
      </c>
      <c r="J689" s="465">
        <f>J690</f>
        <v>12652855</v>
      </c>
      <c r="K689" s="603">
        <f>K690</f>
        <v>12652855</v>
      </c>
      <c r="L689" s="564">
        <f t="shared" si="131"/>
        <v>0</v>
      </c>
      <c r="M689" s="565">
        <f t="shared" si="133"/>
        <v>103.50334154465435</v>
      </c>
      <c r="N689" s="565">
        <f t="shared" si="134"/>
        <v>103.50334154465435</v>
      </c>
    </row>
    <row r="690" spans="1:15" outlineLevel="3" x14ac:dyDescent="0.3">
      <c r="A690" s="438" t="s">
        <v>34</v>
      </c>
      <c r="B690" s="439" t="s">
        <v>536</v>
      </c>
      <c r="C690" s="439" t="s">
        <v>117</v>
      </c>
      <c r="D690" s="539" t="s">
        <v>154</v>
      </c>
      <c r="E690" s="539" t="s">
        <v>35</v>
      </c>
      <c r="F690" s="540">
        <v>11317918.75</v>
      </c>
      <c r="G690" s="466">
        <f>11638500-64022+650000+108</f>
        <v>12224586</v>
      </c>
      <c r="H690" s="443">
        <v>8887451.2799999993</v>
      </c>
      <c r="I690" s="442">
        <v>11638500</v>
      </c>
      <c r="J690" s="466">
        <v>12652855</v>
      </c>
      <c r="K690" s="604">
        <v>12652855</v>
      </c>
      <c r="L690" s="564">
        <f t="shared" si="131"/>
        <v>0</v>
      </c>
      <c r="M690" s="565">
        <f t="shared" si="133"/>
        <v>103.50334154465435</v>
      </c>
      <c r="N690" s="565">
        <f t="shared" si="134"/>
        <v>103.50334154465435</v>
      </c>
    </row>
    <row r="691" spans="1:15" ht="34" outlineLevel="3" x14ac:dyDescent="0.3">
      <c r="A691" s="438" t="s">
        <v>15</v>
      </c>
      <c r="B691" s="439" t="s">
        <v>536</v>
      </c>
      <c r="C691" s="439" t="s">
        <v>117</v>
      </c>
      <c r="D691" s="539" t="s">
        <v>154</v>
      </c>
      <c r="E691" s="539" t="s">
        <v>16</v>
      </c>
      <c r="F691" s="540">
        <v>2478211.0099999998</v>
      </c>
      <c r="G691" s="465">
        <f>G692</f>
        <v>3090946</v>
      </c>
      <c r="H691" s="440">
        <f>H692</f>
        <v>1695350.94</v>
      </c>
      <c r="I691" s="440">
        <f>I692</f>
        <v>2800000</v>
      </c>
      <c r="J691" s="465">
        <f>J692</f>
        <v>3005948</v>
      </c>
      <c r="K691" s="603">
        <f>K692</f>
        <v>3200000</v>
      </c>
      <c r="L691" s="564">
        <f t="shared" si="131"/>
        <v>194052</v>
      </c>
      <c r="M691" s="565">
        <f t="shared" si="133"/>
        <v>97.250097542952872</v>
      </c>
      <c r="N691" s="565">
        <f t="shared" si="134"/>
        <v>103.52817551649235</v>
      </c>
      <c r="O691" s="391" t="s">
        <v>1031</v>
      </c>
    </row>
    <row r="692" spans="1:15" ht="34" outlineLevel="3" x14ac:dyDescent="0.3">
      <c r="A692" s="438" t="s">
        <v>17</v>
      </c>
      <c r="B692" s="439" t="s">
        <v>536</v>
      </c>
      <c r="C692" s="439" t="s">
        <v>117</v>
      </c>
      <c r="D692" s="539" t="s">
        <v>154</v>
      </c>
      <c r="E692" s="539" t="s">
        <v>18</v>
      </c>
      <c r="F692" s="540">
        <v>2478211.0099999998</v>
      </c>
      <c r="G692" s="466">
        <f>[2]потребность!I630+7425+240000</f>
        <v>3090946</v>
      </c>
      <c r="H692" s="443">
        <v>1695350.94</v>
      </c>
      <c r="I692" s="442">
        <v>2800000</v>
      </c>
      <c r="J692" s="466">
        <v>3005948</v>
      </c>
      <c r="K692" s="604">
        <f>3200000</f>
        <v>3200000</v>
      </c>
      <c r="L692" s="564">
        <f t="shared" si="131"/>
        <v>194052</v>
      </c>
      <c r="M692" s="565">
        <f t="shared" si="133"/>
        <v>97.250097542952872</v>
      </c>
      <c r="N692" s="565">
        <f t="shared" si="134"/>
        <v>103.52817551649235</v>
      </c>
    </row>
    <row r="693" spans="1:15" s="449" customFormat="1" outlineLevel="3" x14ac:dyDescent="0.3">
      <c r="A693" s="438" t="s">
        <v>19</v>
      </c>
      <c r="B693" s="439" t="s">
        <v>536</v>
      </c>
      <c r="C693" s="439" t="s">
        <v>117</v>
      </c>
      <c r="D693" s="539" t="s">
        <v>154</v>
      </c>
      <c r="E693" s="539" t="s">
        <v>20</v>
      </c>
      <c r="F693" s="540">
        <v>33538</v>
      </c>
      <c r="G693" s="465">
        <f>G694</f>
        <v>39200</v>
      </c>
      <c r="H693" s="440">
        <f>H694</f>
        <v>22189</v>
      </c>
      <c r="I693" s="440">
        <f>I694</f>
        <v>39200</v>
      </c>
      <c r="J693" s="465">
        <f>J694</f>
        <v>38065</v>
      </c>
      <c r="K693" s="603">
        <f>K694</f>
        <v>38065</v>
      </c>
      <c r="L693" s="564">
        <f t="shared" si="131"/>
        <v>0</v>
      </c>
      <c r="M693" s="565">
        <f t="shared" si="133"/>
        <v>97.104591836734699</v>
      </c>
      <c r="N693" s="565">
        <f t="shared" si="134"/>
        <v>97.104591836734699</v>
      </c>
    </row>
    <row r="694" spans="1:15" outlineLevel="3" x14ac:dyDescent="0.3">
      <c r="A694" s="438" t="s">
        <v>21</v>
      </c>
      <c r="B694" s="439" t="s">
        <v>536</v>
      </c>
      <c r="C694" s="439" t="s">
        <v>117</v>
      </c>
      <c r="D694" s="539" t="s">
        <v>154</v>
      </c>
      <c r="E694" s="539" t="s">
        <v>22</v>
      </c>
      <c r="F694" s="540">
        <v>33538</v>
      </c>
      <c r="G694" s="466">
        <v>39200</v>
      </c>
      <c r="H694" s="443">
        <v>22189</v>
      </c>
      <c r="I694" s="442">
        <v>39200</v>
      </c>
      <c r="J694" s="466">
        <v>38065</v>
      </c>
      <c r="K694" s="604">
        <v>38065</v>
      </c>
      <c r="L694" s="564">
        <f t="shared" si="131"/>
        <v>0</v>
      </c>
      <c r="M694" s="565">
        <f t="shared" si="133"/>
        <v>97.104591836734699</v>
      </c>
      <c r="N694" s="565">
        <f t="shared" si="134"/>
        <v>97.104591836734699</v>
      </c>
    </row>
    <row r="695" spans="1:15" ht="23.3" customHeight="1" outlineLevel="3" x14ac:dyDescent="0.3">
      <c r="A695" s="397" t="s">
        <v>36</v>
      </c>
      <c r="B695" s="439" t="s">
        <v>536</v>
      </c>
      <c r="C695" s="439" t="s">
        <v>117</v>
      </c>
      <c r="D695" s="539" t="s">
        <v>155</v>
      </c>
      <c r="E695" s="539" t="s">
        <v>6</v>
      </c>
      <c r="F695" s="540">
        <v>2073691.36</v>
      </c>
      <c r="G695" s="465">
        <f t="shared" ref="G695:K696" si="140">G696</f>
        <v>2157261</v>
      </c>
      <c r="H695" s="440">
        <f t="shared" si="140"/>
        <v>1624342.39</v>
      </c>
      <c r="I695" s="440">
        <f t="shared" si="140"/>
        <v>2081533</v>
      </c>
      <c r="J695" s="466">
        <f t="shared" si="140"/>
        <v>2266235</v>
      </c>
      <c r="K695" s="604">
        <f t="shared" si="140"/>
        <v>2266235</v>
      </c>
      <c r="L695" s="564">
        <f t="shared" si="131"/>
        <v>0</v>
      </c>
      <c r="M695" s="565">
        <f t="shared" si="133"/>
        <v>105.05149817291463</v>
      </c>
      <c r="N695" s="565">
        <f t="shared" si="134"/>
        <v>105.05149817291463</v>
      </c>
    </row>
    <row r="696" spans="1:15" ht="45.7" customHeight="1" outlineLevel="3" x14ac:dyDescent="0.3">
      <c r="A696" s="438" t="s">
        <v>37</v>
      </c>
      <c r="B696" s="439" t="s">
        <v>536</v>
      </c>
      <c r="C696" s="439" t="s">
        <v>117</v>
      </c>
      <c r="D696" s="539" t="s">
        <v>155</v>
      </c>
      <c r="E696" s="539" t="s">
        <v>38</v>
      </c>
      <c r="F696" s="540">
        <v>2073691.36</v>
      </c>
      <c r="G696" s="465">
        <f t="shared" si="140"/>
        <v>2157261</v>
      </c>
      <c r="H696" s="440">
        <f t="shared" si="140"/>
        <v>1624342.39</v>
      </c>
      <c r="I696" s="440">
        <f t="shared" si="140"/>
        <v>2081533</v>
      </c>
      <c r="J696" s="466">
        <f t="shared" si="140"/>
        <v>2266235</v>
      </c>
      <c r="K696" s="604">
        <f t="shared" si="140"/>
        <v>2266235</v>
      </c>
      <c r="L696" s="564">
        <f t="shared" si="131"/>
        <v>0</v>
      </c>
      <c r="M696" s="565">
        <f t="shared" si="133"/>
        <v>105.05149817291463</v>
      </c>
      <c r="N696" s="565">
        <f t="shared" si="134"/>
        <v>105.05149817291463</v>
      </c>
    </row>
    <row r="697" spans="1:15" ht="22.75" customHeight="1" outlineLevel="3" x14ac:dyDescent="0.3">
      <c r="A697" s="438" t="s">
        <v>39</v>
      </c>
      <c r="B697" s="439" t="s">
        <v>536</v>
      </c>
      <c r="C697" s="439" t="s">
        <v>117</v>
      </c>
      <c r="D697" s="539" t="s">
        <v>155</v>
      </c>
      <c r="E697" s="539" t="s">
        <v>40</v>
      </c>
      <c r="F697" s="540">
        <v>2073691.36</v>
      </c>
      <c r="G697" s="466">
        <f>2081533+64022+11706</f>
        <v>2157261</v>
      </c>
      <c r="H697" s="443">
        <v>1624342.39</v>
      </c>
      <c r="I697" s="442">
        <v>2081533</v>
      </c>
      <c r="J697" s="466">
        <v>2266235</v>
      </c>
      <c r="K697" s="604">
        <v>2266235</v>
      </c>
      <c r="L697" s="564">
        <f t="shared" si="131"/>
        <v>0</v>
      </c>
      <c r="M697" s="565">
        <f t="shared" si="133"/>
        <v>105.05149817291463</v>
      </c>
      <c r="N697" s="565">
        <f t="shared" si="134"/>
        <v>105.05149817291463</v>
      </c>
    </row>
    <row r="698" spans="1:15" ht="23.3" customHeight="1" outlineLevel="3" x14ac:dyDescent="0.3">
      <c r="A698" s="444" t="s">
        <v>85</v>
      </c>
      <c r="B698" s="445" t="s">
        <v>536</v>
      </c>
      <c r="C698" s="445" t="s">
        <v>86</v>
      </c>
      <c r="D698" s="541" t="s">
        <v>126</v>
      </c>
      <c r="E698" s="541" t="s">
        <v>6</v>
      </c>
      <c r="F698" s="540">
        <v>4717600.49</v>
      </c>
      <c r="G698" s="508">
        <f>G699+G705</f>
        <v>4489069</v>
      </c>
      <c r="H698" s="446">
        <f>H699+H705</f>
        <v>2535444.17</v>
      </c>
      <c r="I698" s="446">
        <f>I699+I705</f>
        <v>4489069</v>
      </c>
      <c r="J698" s="508">
        <f>J699+J705</f>
        <v>5476354</v>
      </c>
      <c r="K698" s="606">
        <f>K699+K705</f>
        <v>5476354</v>
      </c>
      <c r="L698" s="564">
        <f t="shared" si="131"/>
        <v>0</v>
      </c>
      <c r="M698" s="565">
        <f t="shared" si="133"/>
        <v>121.99309032674704</v>
      </c>
      <c r="N698" s="565">
        <f t="shared" si="134"/>
        <v>121.99309032674704</v>
      </c>
    </row>
    <row r="699" spans="1:15" outlineLevel="3" x14ac:dyDescent="0.3">
      <c r="A699" s="438" t="s">
        <v>94</v>
      </c>
      <c r="B699" s="439" t="s">
        <v>536</v>
      </c>
      <c r="C699" s="439" t="s">
        <v>95</v>
      </c>
      <c r="D699" s="539" t="s">
        <v>126</v>
      </c>
      <c r="E699" s="539" t="s">
        <v>6</v>
      </c>
      <c r="F699" s="540">
        <v>1640454.55</v>
      </c>
      <c r="G699" s="465">
        <f t="shared" ref="G699:K703" si="141">G700</f>
        <v>1310000</v>
      </c>
      <c r="H699" s="440">
        <f t="shared" si="141"/>
        <v>566956.52</v>
      </c>
      <c r="I699" s="440">
        <f t="shared" si="141"/>
        <v>1310000</v>
      </c>
      <c r="J699" s="465">
        <f t="shared" si="141"/>
        <v>1685000</v>
      </c>
      <c r="K699" s="603">
        <f t="shared" si="141"/>
        <v>1685000</v>
      </c>
      <c r="L699" s="564">
        <f t="shared" si="131"/>
        <v>0</v>
      </c>
      <c r="M699" s="565">
        <f t="shared" si="133"/>
        <v>128.62595419847329</v>
      </c>
      <c r="N699" s="565">
        <f t="shared" si="134"/>
        <v>128.62595419847329</v>
      </c>
    </row>
    <row r="700" spans="1:15" ht="34" outlineLevel="3" x14ac:dyDescent="0.3">
      <c r="A700" s="444" t="s">
        <v>825</v>
      </c>
      <c r="B700" s="445" t="s">
        <v>536</v>
      </c>
      <c r="C700" s="445" t="s">
        <v>95</v>
      </c>
      <c r="D700" s="541" t="s">
        <v>138</v>
      </c>
      <c r="E700" s="541" t="s">
        <v>6</v>
      </c>
      <c r="F700" s="542">
        <v>1640454.55</v>
      </c>
      <c r="G700" s="508">
        <f t="shared" si="141"/>
        <v>1310000</v>
      </c>
      <c r="H700" s="446">
        <f t="shared" si="141"/>
        <v>566956.52</v>
      </c>
      <c r="I700" s="446">
        <f t="shared" si="141"/>
        <v>1310000</v>
      </c>
      <c r="J700" s="508">
        <f t="shared" si="141"/>
        <v>1685000</v>
      </c>
      <c r="K700" s="606">
        <f t="shared" si="141"/>
        <v>1685000</v>
      </c>
      <c r="L700" s="564">
        <f t="shared" si="131"/>
        <v>0</v>
      </c>
      <c r="M700" s="565">
        <f t="shared" si="133"/>
        <v>128.62595419847329</v>
      </c>
      <c r="N700" s="565">
        <f t="shared" si="134"/>
        <v>128.62595419847329</v>
      </c>
    </row>
    <row r="701" spans="1:15" outlineLevel="3" x14ac:dyDescent="0.3">
      <c r="A701" s="450" t="s">
        <v>738</v>
      </c>
      <c r="B701" s="439" t="s">
        <v>536</v>
      </c>
      <c r="C701" s="439" t="s">
        <v>95</v>
      </c>
      <c r="D701" s="539" t="s">
        <v>736</v>
      </c>
      <c r="E701" s="539" t="s">
        <v>6</v>
      </c>
      <c r="F701" s="540">
        <v>1640454.55</v>
      </c>
      <c r="G701" s="465">
        <f t="shared" si="141"/>
        <v>1310000</v>
      </c>
      <c r="H701" s="440">
        <f t="shared" si="141"/>
        <v>566956.52</v>
      </c>
      <c r="I701" s="440">
        <f t="shared" si="141"/>
        <v>1310000</v>
      </c>
      <c r="J701" s="465">
        <f t="shared" si="141"/>
        <v>1685000</v>
      </c>
      <c r="K701" s="603">
        <f t="shared" si="141"/>
        <v>1685000</v>
      </c>
      <c r="L701" s="564">
        <f t="shared" si="131"/>
        <v>0</v>
      </c>
      <c r="M701" s="565">
        <f t="shared" si="133"/>
        <v>128.62595419847329</v>
      </c>
      <c r="N701" s="565">
        <f t="shared" si="134"/>
        <v>128.62595419847329</v>
      </c>
    </row>
    <row r="702" spans="1:15" ht="101.9" outlineLevel="3" x14ac:dyDescent="0.3">
      <c r="A702" s="393" t="s">
        <v>405</v>
      </c>
      <c r="B702" s="439" t="s">
        <v>536</v>
      </c>
      <c r="C702" s="439" t="s">
        <v>95</v>
      </c>
      <c r="D702" s="539" t="s">
        <v>737</v>
      </c>
      <c r="E702" s="539" t="s">
        <v>6</v>
      </c>
      <c r="F702" s="540">
        <v>1640454.55</v>
      </c>
      <c r="G702" s="465">
        <f t="shared" si="141"/>
        <v>1310000</v>
      </c>
      <c r="H702" s="440">
        <f t="shared" si="141"/>
        <v>566956.52</v>
      </c>
      <c r="I702" s="440">
        <f t="shared" si="141"/>
        <v>1310000</v>
      </c>
      <c r="J702" s="465">
        <f t="shared" si="141"/>
        <v>1685000</v>
      </c>
      <c r="K702" s="603">
        <f t="shared" si="141"/>
        <v>1685000</v>
      </c>
      <c r="L702" s="564">
        <f t="shared" si="131"/>
        <v>0</v>
      </c>
      <c r="M702" s="565">
        <f t="shared" si="133"/>
        <v>128.62595419847329</v>
      </c>
      <c r="N702" s="565">
        <f t="shared" si="134"/>
        <v>128.62595419847329</v>
      </c>
    </row>
    <row r="703" spans="1:15" ht="23.3" customHeight="1" outlineLevel="3" x14ac:dyDescent="0.3">
      <c r="A703" s="438" t="s">
        <v>90</v>
      </c>
      <c r="B703" s="439" t="s">
        <v>536</v>
      </c>
      <c r="C703" s="439" t="s">
        <v>95</v>
      </c>
      <c r="D703" s="539" t="s">
        <v>737</v>
      </c>
      <c r="E703" s="539" t="s">
        <v>91</v>
      </c>
      <c r="F703" s="540">
        <v>1640454.55</v>
      </c>
      <c r="G703" s="465">
        <f t="shared" si="141"/>
        <v>1310000</v>
      </c>
      <c r="H703" s="440">
        <f t="shared" si="141"/>
        <v>566956.52</v>
      </c>
      <c r="I703" s="440">
        <f t="shared" si="141"/>
        <v>1310000</v>
      </c>
      <c r="J703" s="465">
        <f t="shared" si="141"/>
        <v>1685000</v>
      </c>
      <c r="K703" s="603">
        <f t="shared" si="141"/>
        <v>1685000</v>
      </c>
      <c r="L703" s="564">
        <f t="shared" si="131"/>
        <v>0</v>
      </c>
      <c r="M703" s="565">
        <f t="shared" si="133"/>
        <v>128.62595419847329</v>
      </c>
      <c r="N703" s="565">
        <f t="shared" si="134"/>
        <v>128.62595419847329</v>
      </c>
    </row>
    <row r="704" spans="1:15" ht="34" outlineLevel="3" x14ac:dyDescent="0.3">
      <c r="A704" s="438" t="s">
        <v>97</v>
      </c>
      <c r="B704" s="439" t="s">
        <v>536</v>
      </c>
      <c r="C704" s="439" t="s">
        <v>95</v>
      </c>
      <c r="D704" s="539" t="s">
        <v>737</v>
      </c>
      <c r="E704" s="539" t="s">
        <v>98</v>
      </c>
      <c r="F704" s="540">
        <v>1640454.55</v>
      </c>
      <c r="G704" s="466">
        <v>1310000</v>
      </c>
      <c r="H704" s="443">
        <v>566956.52</v>
      </c>
      <c r="I704" s="442">
        <v>1310000</v>
      </c>
      <c r="J704" s="466">
        <v>1685000</v>
      </c>
      <c r="K704" s="604">
        <v>1685000</v>
      </c>
      <c r="L704" s="564">
        <f t="shared" si="131"/>
        <v>0</v>
      </c>
      <c r="M704" s="565">
        <f t="shared" si="133"/>
        <v>128.62595419847329</v>
      </c>
      <c r="N704" s="565">
        <f t="shared" si="134"/>
        <v>128.62595419847329</v>
      </c>
    </row>
    <row r="705" spans="1:14" outlineLevel="3" x14ac:dyDescent="0.3">
      <c r="A705" s="438" t="s">
        <v>123</v>
      </c>
      <c r="B705" s="439" t="s">
        <v>536</v>
      </c>
      <c r="C705" s="439" t="s">
        <v>124</v>
      </c>
      <c r="D705" s="539" t="s">
        <v>126</v>
      </c>
      <c r="E705" s="539" t="s">
        <v>6</v>
      </c>
      <c r="F705" s="540">
        <v>3077145.94</v>
      </c>
      <c r="G705" s="465">
        <f t="shared" ref="G705:K708" si="142">G706</f>
        <v>3179069</v>
      </c>
      <c r="H705" s="440">
        <f t="shared" si="142"/>
        <v>1968487.6500000001</v>
      </c>
      <c r="I705" s="440">
        <f t="shared" si="142"/>
        <v>3179069</v>
      </c>
      <c r="J705" s="465">
        <f t="shared" si="142"/>
        <v>3791354</v>
      </c>
      <c r="K705" s="603">
        <f t="shared" si="142"/>
        <v>3791354</v>
      </c>
      <c r="L705" s="564">
        <f t="shared" si="131"/>
        <v>0</v>
      </c>
      <c r="M705" s="565">
        <f t="shared" si="133"/>
        <v>119.2598839471556</v>
      </c>
      <c r="N705" s="565">
        <f t="shared" si="134"/>
        <v>119.25988394715559</v>
      </c>
    </row>
    <row r="706" spans="1:14" ht="39.75" customHeight="1" outlineLevel="3" x14ac:dyDescent="0.3">
      <c r="A706" s="444" t="s">
        <v>827</v>
      </c>
      <c r="B706" s="445" t="s">
        <v>536</v>
      </c>
      <c r="C706" s="445" t="s">
        <v>124</v>
      </c>
      <c r="D706" s="541" t="s">
        <v>138</v>
      </c>
      <c r="E706" s="541" t="s">
        <v>6</v>
      </c>
      <c r="F706" s="542">
        <v>3077145.94</v>
      </c>
      <c r="G706" s="508">
        <f t="shared" si="142"/>
        <v>3179069</v>
      </c>
      <c r="H706" s="446">
        <f t="shared" si="142"/>
        <v>1968487.6500000001</v>
      </c>
      <c r="I706" s="446">
        <f t="shared" si="142"/>
        <v>3179069</v>
      </c>
      <c r="J706" s="508">
        <f t="shared" si="142"/>
        <v>3791354</v>
      </c>
      <c r="K706" s="606">
        <f t="shared" si="142"/>
        <v>3791354</v>
      </c>
      <c r="L706" s="564">
        <f t="shared" si="131"/>
        <v>0</v>
      </c>
      <c r="M706" s="565">
        <f t="shared" si="133"/>
        <v>119.2598839471556</v>
      </c>
      <c r="N706" s="565">
        <f t="shared" si="134"/>
        <v>119.25988394715559</v>
      </c>
    </row>
    <row r="707" spans="1:14" ht="34" outlineLevel="3" x14ac:dyDescent="0.3">
      <c r="A707" s="438" t="s">
        <v>396</v>
      </c>
      <c r="B707" s="439" t="s">
        <v>536</v>
      </c>
      <c r="C707" s="439" t="s">
        <v>124</v>
      </c>
      <c r="D707" s="539" t="s">
        <v>139</v>
      </c>
      <c r="E707" s="539" t="s">
        <v>6</v>
      </c>
      <c r="F707" s="540">
        <v>3077145.94</v>
      </c>
      <c r="G707" s="465">
        <f t="shared" si="142"/>
        <v>3179069</v>
      </c>
      <c r="H707" s="440">
        <f t="shared" si="142"/>
        <v>1968487.6500000001</v>
      </c>
      <c r="I707" s="440">
        <f t="shared" si="142"/>
        <v>3179069</v>
      </c>
      <c r="J707" s="465">
        <f t="shared" si="142"/>
        <v>3791354</v>
      </c>
      <c r="K707" s="603">
        <f t="shared" si="142"/>
        <v>3791354</v>
      </c>
      <c r="L707" s="564">
        <f t="shared" si="131"/>
        <v>0</v>
      </c>
      <c r="M707" s="565">
        <f t="shared" si="133"/>
        <v>119.2598839471556</v>
      </c>
      <c r="N707" s="565">
        <f t="shared" si="134"/>
        <v>119.25988394715559</v>
      </c>
    </row>
    <row r="708" spans="1:14" ht="24.8" customHeight="1" outlineLevel="3" x14ac:dyDescent="0.3">
      <c r="A708" s="450" t="s">
        <v>204</v>
      </c>
      <c r="B708" s="439" t="s">
        <v>536</v>
      </c>
      <c r="C708" s="439" t="s">
        <v>124</v>
      </c>
      <c r="D708" s="539" t="s">
        <v>234</v>
      </c>
      <c r="E708" s="539" t="s">
        <v>6</v>
      </c>
      <c r="F708" s="540">
        <v>3077145.94</v>
      </c>
      <c r="G708" s="465">
        <f t="shared" si="142"/>
        <v>3179069</v>
      </c>
      <c r="H708" s="440">
        <f t="shared" si="142"/>
        <v>1968487.6500000001</v>
      </c>
      <c r="I708" s="440">
        <f t="shared" si="142"/>
        <v>3179069</v>
      </c>
      <c r="J708" s="465">
        <f t="shared" si="142"/>
        <v>3791354</v>
      </c>
      <c r="K708" s="603">
        <f t="shared" si="142"/>
        <v>3791354</v>
      </c>
      <c r="L708" s="564">
        <f t="shared" si="131"/>
        <v>0</v>
      </c>
      <c r="M708" s="565">
        <f t="shared" si="133"/>
        <v>119.2598839471556</v>
      </c>
      <c r="N708" s="565">
        <f t="shared" si="134"/>
        <v>119.25988394715559</v>
      </c>
    </row>
    <row r="709" spans="1:14" s="437" customFormat="1" ht="137.25" customHeight="1" x14ac:dyDescent="0.3">
      <c r="A709" s="393" t="s">
        <v>657</v>
      </c>
      <c r="B709" s="439" t="s">
        <v>536</v>
      </c>
      <c r="C709" s="439" t="s">
        <v>124</v>
      </c>
      <c r="D709" s="539" t="s">
        <v>156</v>
      </c>
      <c r="E709" s="539" t="s">
        <v>6</v>
      </c>
      <c r="F709" s="540">
        <v>3077145.94</v>
      </c>
      <c r="G709" s="465">
        <f>G712+G710</f>
        <v>3179069</v>
      </c>
      <c r="H709" s="440">
        <f>H712+H710</f>
        <v>1968487.6500000001</v>
      </c>
      <c r="I709" s="440">
        <f>I712+I710</f>
        <v>3179069</v>
      </c>
      <c r="J709" s="465">
        <f>J712+J710</f>
        <v>3791354</v>
      </c>
      <c r="K709" s="603">
        <f>K712+K710</f>
        <v>3791354</v>
      </c>
      <c r="L709" s="564">
        <f t="shared" ref="L709:L758" si="143">K709-J709</f>
        <v>0</v>
      </c>
      <c r="M709" s="565">
        <f t="shared" si="133"/>
        <v>119.2598839471556</v>
      </c>
      <c r="N709" s="565">
        <f t="shared" si="134"/>
        <v>119.25988394715559</v>
      </c>
    </row>
    <row r="710" spans="1:14" s="437" customFormat="1" ht="34" x14ac:dyDescent="0.3">
      <c r="A710" s="438" t="s">
        <v>15</v>
      </c>
      <c r="B710" s="439" t="s">
        <v>536</v>
      </c>
      <c r="C710" s="439" t="s">
        <v>124</v>
      </c>
      <c r="D710" s="539" t="s">
        <v>156</v>
      </c>
      <c r="E710" s="539" t="s">
        <v>16</v>
      </c>
      <c r="F710" s="540">
        <v>19534.14</v>
      </c>
      <c r="G710" s="465">
        <f>G711</f>
        <v>27000</v>
      </c>
      <c r="H710" s="440">
        <f>H711</f>
        <v>12323.04</v>
      </c>
      <c r="I710" s="440">
        <v>0</v>
      </c>
      <c r="J710" s="465">
        <f>J711</f>
        <v>0</v>
      </c>
      <c r="K710" s="603">
        <f>K711</f>
        <v>0</v>
      </c>
      <c r="L710" s="564">
        <f t="shared" si="143"/>
        <v>0</v>
      </c>
      <c r="M710" s="565">
        <f t="shared" si="133"/>
        <v>0</v>
      </c>
      <c r="N710" s="565">
        <f t="shared" si="134"/>
        <v>0</v>
      </c>
    </row>
    <row r="711" spans="1:14" s="437" customFormat="1" ht="34" x14ac:dyDescent="0.3">
      <c r="A711" s="438" t="s">
        <v>17</v>
      </c>
      <c r="B711" s="439" t="s">
        <v>536</v>
      </c>
      <c r="C711" s="439" t="s">
        <v>124</v>
      </c>
      <c r="D711" s="539" t="s">
        <v>156</v>
      </c>
      <c r="E711" s="539" t="s">
        <v>18</v>
      </c>
      <c r="F711" s="540">
        <v>19534.14</v>
      </c>
      <c r="G711" s="465">
        <f>22000+5000</f>
        <v>27000</v>
      </c>
      <c r="H711" s="441">
        <v>12323.04</v>
      </c>
      <c r="I711" s="440">
        <v>0</v>
      </c>
      <c r="J711" s="465">
        <v>0</v>
      </c>
      <c r="K711" s="603">
        <v>0</v>
      </c>
      <c r="L711" s="564">
        <f t="shared" si="143"/>
        <v>0</v>
      </c>
      <c r="M711" s="565">
        <f t="shared" ref="M711:M745" si="144">J711/G711%</f>
        <v>0</v>
      </c>
      <c r="N711" s="565">
        <f t="shared" ref="N711:N762" si="145">K711/G711*100</f>
        <v>0</v>
      </c>
    </row>
    <row r="712" spans="1:14" s="437" customFormat="1" x14ac:dyDescent="0.3">
      <c r="A712" s="438" t="s">
        <v>90</v>
      </c>
      <c r="B712" s="439" t="s">
        <v>536</v>
      </c>
      <c r="C712" s="439" t="s">
        <v>124</v>
      </c>
      <c r="D712" s="539" t="s">
        <v>156</v>
      </c>
      <c r="E712" s="539" t="s">
        <v>91</v>
      </c>
      <c r="F712" s="540">
        <v>3057611.8</v>
      </c>
      <c r="G712" s="465">
        <f>G713</f>
        <v>3152069</v>
      </c>
      <c r="H712" s="440">
        <f>H713</f>
        <v>1956164.61</v>
      </c>
      <c r="I712" s="440">
        <f>I713</f>
        <v>3179069</v>
      </c>
      <c r="J712" s="465">
        <f>J713</f>
        <v>3791354</v>
      </c>
      <c r="K712" s="603">
        <f>K713</f>
        <v>3791354</v>
      </c>
      <c r="L712" s="564">
        <f t="shared" si="143"/>
        <v>0</v>
      </c>
      <c r="M712" s="565">
        <f t="shared" si="144"/>
        <v>120.28144053953135</v>
      </c>
      <c r="N712" s="565">
        <f t="shared" si="145"/>
        <v>120.28144053953133</v>
      </c>
    </row>
    <row r="713" spans="1:14" s="437" customFormat="1" ht="39.25" customHeight="1" x14ac:dyDescent="0.3">
      <c r="A713" s="438" t="s">
        <v>97</v>
      </c>
      <c r="B713" s="439" t="s">
        <v>536</v>
      </c>
      <c r="C713" s="439" t="s">
        <v>124</v>
      </c>
      <c r="D713" s="539" t="s">
        <v>156</v>
      </c>
      <c r="E713" s="539" t="s">
        <v>98</v>
      </c>
      <c r="F713" s="540">
        <v>3057611.8</v>
      </c>
      <c r="G713" s="466">
        <f>3179069-22000-5000</f>
        <v>3152069</v>
      </c>
      <c r="H713" s="443">
        <v>1956164.61</v>
      </c>
      <c r="I713" s="442">
        <v>3179069</v>
      </c>
      <c r="J713" s="466">
        <v>3791354</v>
      </c>
      <c r="K713" s="604">
        <v>3791354</v>
      </c>
      <c r="L713" s="564">
        <f t="shared" si="143"/>
        <v>0</v>
      </c>
      <c r="M713" s="565">
        <f t="shared" si="144"/>
        <v>120.28144053953135</v>
      </c>
      <c r="N713" s="565">
        <f t="shared" si="145"/>
        <v>120.28144053953133</v>
      </c>
    </row>
    <row r="714" spans="1:14" s="437" customFormat="1" x14ac:dyDescent="0.3">
      <c r="A714" s="444" t="s">
        <v>100</v>
      </c>
      <c r="B714" s="439" t="s">
        <v>536</v>
      </c>
      <c r="C714" s="439" t="s">
        <v>101</v>
      </c>
      <c r="D714" s="541" t="s">
        <v>126</v>
      </c>
      <c r="E714" s="539" t="s">
        <v>6</v>
      </c>
      <c r="F714" s="540">
        <v>3619351.16</v>
      </c>
      <c r="G714" s="466">
        <f t="shared" ref="G714:K722" si="146">G715</f>
        <v>2084474.79</v>
      </c>
      <c r="H714" s="442">
        <f t="shared" si="146"/>
        <v>1444149.23</v>
      </c>
      <c r="I714" s="442">
        <f t="shared" si="146"/>
        <v>358800</v>
      </c>
      <c r="J714" s="466">
        <f t="shared" si="146"/>
        <v>358800</v>
      </c>
      <c r="K714" s="604">
        <f t="shared" si="146"/>
        <v>0</v>
      </c>
      <c r="L714" s="564">
        <f t="shared" si="143"/>
        <v>-358800</v>
      </c>
      <c r="M714" s="565">
        <f t="shared" si="144"/>
        <v>17.212969028039911</v>
      </c>
      <c r="N714" s="565">
        <f t="shared" si="145"/>
        <v>0</v>
      </c>
    </row>
    <row r="715" spans="1:14" x14ac:dyDescent="0.3">
      <c r="A715" s="438" t="s">
        <v>301</v>
      </c>
      <c r="B715" s="439" t="s">
        <v>536</v>
      </c>
      <c r="C715" s="439" t="s">
        <v>300</v>
      </c>
      <c r="D715" s="541" t="s">
        <v>126</v>
      </c>
      <c r="E715" s="539" t="s">
        <v>6</v>
      </c>
      <c r="F715" s="540">
        <v>3619351.16</v>
      </c>
      <c r="G715" s="466">
        <f t="shared" si="146"/>
        <v>2084474.79</v>
      </c>
      <c r="H715" s="442">
        <f t="shared" si="146"/>
        <v>1444149.23</v>
      </c>
      <c r="I715" s="442">
        <f t="shared" si="146"/>
        <v>358800</v>
      </c>
      <c r="J715" s="466">
        <f t="shared" si="146"/>
        <v>358800</v>
      </c>
      <c r="K715" s="604">
        <f t="shared" si="146"/>
        <v>0</v>
      </c>
      <c r="L715" s="564">
        <f t="shared" si="143"/>
        <v>-358800</v>
      </c>
      <c r="M715" s="565">
        <f t="shared" si="144"/>
        <v>17.212969028039911</v>
      </c>
      <c r="N715" s="565">
        <f t="shared" si="145"/>
        <v>0</v>
      </c>
    </row>
    <row r="716" spans="1:14" ht="44.5" customHeight="1" x14ac:dyDescent="0.3">
      <c r="A716" s="444" t="s">
        <v>377</v>
      </c>
      <c r="B716" s="439" t="s">
        <v>536</v>
      </c>
      <c r="C716" s="439" t="s">
        <v>300</v>
      </c>
      <c r="D716" s="541" t="s">
        <v>200</v>
      </c>
      <c r="E716" s="539" t="s">
        <v>6</v>
      </c>
      <c r="F716" s="542">
        <v>3619351.16</v>
      </c>
      <c r="G716" s="466">
        <f t="shared" si="146"/>
        <v>2084474.79</v>
      </c>
      <c r="H716" s="442">
        <f t="shared" si="146"/>
        <v>1444149.23</v>
      </c>
      <c r="I716" s="442">
        <f t="shared" si="146"/>
        <v>358800</v>
      </c>
      <c r="J716" s="466">
        <f t="shared" si="146"/>
        <v>358800</v>
      </c>
      <c r="K716" s="604">
        <f t="shared" si="146"/>
        <v>0</v>
      </c>
      <c r="L716" s="564">
        <f t="shared" si="143"/>
        <v>-358800</v>
      </c>
      <c r="M716" s="565">
        <f t="shared" si="144"/>
        <v>17.212969028039911</v>
      </c>
      <c r="N716" s="565">
        <f t="shared" si="145"/>
        <v>0</v>
      </c>
    </row>
    <row r="717" spans="1:14" ht="50.95" x14ac:dyDescent="0.3">
      <c r="A717" s="438" t="s">
        <v>213</v>
      </c>
      <c r="B717" s="439" t="s">
        <v>536</v>
      </c>
      <c r="C717" s="439" t="s">
        <v>300</v>
      </c>
      <c r="D717" s="539" t="s">
        <v>674</v>
      </c>
      <c r="E717" s="539" t="s">
        <v>6</v>
      </c>
      <c r="F717" s="540">
        <v>3619351.16</v>
      </c>
      <c r="G717" s="466">
        <f>G718+G731</f>
        <v>2084474.79</v>
      </c>
      <c r="H717" s="442">
        <f>H718+H731</f>
        <v>1444149.23</v>
      </c>
      <c r="I717" s="442">
        <f>I721</f>
        <v>358800</v>
      </c>
      <c r="J717" s="466">
        <f>J721</f>
        <v>358800</v>
      </c>
      <c r="K717" s="604">
        <f>K721</f>
        <v>0</v>
      </c>
      <c r="L717" s="564">
        <f t="shared" si="143"/>
        <v>-358800</v>
      </c>
      <c r="M717" s="565">
        <f t="shared" si="144"/>
        <v>17.212969028039911</v>
      </c>
      <c r="N717" s="565">
        <f t="shared" si="145"/>
        <v>0</v>
      </c>
    </row>
    <row r="718" spans="1:14" ht="45.7" customHeight="1" x14ac:dyDescent="0.3">
      <c r="A718" s="438" t="s">
        <v>925</v>
      </c>
      <c r="B718" s="439" t="s">
        <v>536</v>
      </c>
      <c r="C718" s="439" t="s">
        <v>300</v>
      </c>
      <c r="D718" s="539" t="s">
        <v>926</v>
      </c>
      <c r="E718" s="539" t="s">
        <v>6</v>
      </c>
      <c r="F718" s="539"/>
      <c r="G718" s="466">
        <f>G719</f>
        <v>1677418.74</v>
      </c>
      <c r="H718" s="442">
        <f>H719</f>
        <v>1128718.53</v>
      </c>
      <c r="I718" s="442">
        <v>0</v>
      </c>
      <c r="J718" s="466">
        <v>0</v>
      </c>
      <c r="K718" s="604">
        <v>0</v>
      </c>
      <c r="L718" s="564">
        <f t="shared" si="143"/>
        <v>0</v>
      </c>
      <c r="M718" s="565">
        <f t="shared" si="144"/>
        <v>0</v>
      </c>
      <c r="N718" s="565">
        <f t="shared" si="145"/>
        <v>0</v>
      </c>
    </row>
    <row r="719" spans="1:14" ht="34" x14ac:dyDescent="0.3">
      <c r="A719" s="438" t="s">
        <v>37</v>
      </c>
      <c r="B719" s="439" t="s">
        <v>536</v>
      </c>
      <c r="C719" s="439" t="s">
        <v>300</v>
      </c>
      <c r="D719" s="539" t="s">
        <v>926</v>
      </c>
      <c r="E719" s="539" t="s">
        <v>38</v>
      </c>
      <c r="F719" s="539"/>
      <c r="G719" s="466">
        <f>G720</f>
        <v>1677418.74</v>
      </c>
      <c r="H719" s="442">
        <f>H720</f>
        <v>1128718.53</v>
      </c>
      <c r="I719" s="442">
        <v>0</v>
      </c>
      <c r="J719" s="466">
        <v>0</v>
      </c>
      <c r="K719" s="604">
        <v>0</v>
      </c>
      <c r="L719" s="564">
        <f t="shared" si="143"/>
        <v>0</v>
      </c>
      <c r="M719" s="565">
        <f t="shared" si="144"/>
        <v>0</v>
      </c>
      <c r="N719" s="565">
        <f t="shared" si="145"/>
        <v>0</v>
      </c>
    </row>
    <row r="720" spans="1:14" ht="19.55" customHeight="1" x14ac:dyDescent="0.3">
      <c r="A720" s="438" t="s">
        <v>74</v>
      </c>
      <c r="B720" s="439" t="s">
        <v>536</v>
      </c>
      <c r="C720" s="439" t="s">
        <v>300</v>
      </c>
      <c r="D720" s="539" t="s">
        <v>926</v>
      </c>
      <c r="E720" s="539" t="s">
        <v>75</v>
      </c>
      <c r="F720" s="539"/>
      <c r="G720" s="466">
        <v>1677418.74</v>
      </c>
      <c r="H720" s="443">
        <v>1128718.53</v>
      </c>
      <c r="I720" s="442">
        <v>0</v>
      </c>
      <c r="J720" s="466">
        <v>0</v>
      </c>
      <c r="K720" s="604">
        <v>0</v>
      </c>
      <c r="L720" s="564">
        <f t="shared" si="143"/>
        <v>0</v>
      </c>
      <c r="M720" s="565">
        <f t="shared" si="144"/>
        <v>0</v>
      </c>
      <c r="N720" s="565">
        <f t="shared" si="145"/>
        <v>0</v>
      </c>
    </row>
    <row r="721" spans="1:14" x14ac:dyDescent="0.3">
      <c r="A721" s="438" t="s">
        <v>378</v>
      </c>
      <c r="B721" s="439" t="s">
        <v>536</v>
      </c>
      <c r="C721" s="439" t="s">
        <v>300</v>
      </c>
      <c r="D721" s="539" t="s">
        <v>303</v>
      </c>
      <c r="E721" s="539" t="s">
        <v>6</v>
      </c>
      <c r="F721" s="545"/>
      <c r="G721" s="466">
        <f>G722+G725+G728</f>
        <v>0</v>
      </c>
      <c r="H721" s="459">
        <f>H722+H725+H728</f>
        <v>0</v>
      </c>
      <c r="I721" s="459">
        <f t="shared" ref="I721:K723" si="147">I722</f>
        <v>358800</v>
      </c>
      <c r="J721" s="466">
        <f t="shared" si="147"/>
        <v>358800</v>
      </c>
      <c r="K721" s="604">
        <f t="shared" si="147"/>
        <v>0</v>
      </c>
      <c r="L721" s="564">
        <f t="shared" si="143"/>
        <v>-358800</v>
      </c>
      <c r="M721" s="565"/>
      <c r="N721" s="565"/>
    </row>
    <row r="722" spans="1:14" ht="34" x14ac:dyDescent="0.3">
      <c r="A722" s="438" t="s">
        <v>281</v>
      </c>
      <c r="B722" s="439" t="s">
        <v>536</v>
      </c>
      <c r="C722" s="439" t="s">
        <v>300</v>
      </c>
      <c r="D722" s="539" t="s">
        <v>302</v>
      </c>
      <c r="E722" s="539" t="s">
        <v>6</v>
      </c>
      <c r="F722" s="545"/>
      <c r="G722" s="466">
        <f t="shared" si="146"/>
        <v>0</v>
      </c>
      <c r="H722" s="459">
        <f t="shared" si="146"/>
        <v>0</v>
      </c>
      <c r="I722" s="459">
        <f t="shared" si="147"/>
        <v>358800</v>
      </c>
      <c r="J722" s="466">
        <f t="shared" si="147"/>
        <v>358800</v>
      </c>
      <c r="K722" s="604">
        <f t="shared" si="147"/>
        <v>0</v>
      </c>
      <c r="L722" s="564">
        <f t="shared" si="143"/>
        <v>-358800</v>
      </c>
      <c r="M722" s="565"/>
      <c r="N722" s="565"/>
    </row>
    <row r="723" spans="1:14" ht="34" x14ac:dyDescent="0.3">
      <c r="A723" s="438" t="s">
        <v>37</v>
      </c>
      <c r="B723" s="439" t="s">
        <v>536</v>
      </c>
      <c r="C723" s="439" t="s">
        <v>300</v>
      </c>
      <c r="D723" s="539" t="s">
        <v>302</v>
      </c>
      <c r="E723" s="539" t="s">
        <v>38</v>
      </c>
      <c r="F723" s="545"/>
      <c r="G723" s="466">
        <f>G724</f>
        <v>0</v>
      </c>
      <c r="H723" s="459">
        <f>H724</f>
        <v>0</v>
      </c>
      <c r="I723" s="459">
        <f t="shared" si="147"/>
        <v>358800</v>
      </c>
      <c r="J723" s="466">
        <f t="shared" si="147"/>
        <v>358800</v>
      </c>
      <c r="K723" s="604">
        <f t="shared" si="147"/>
        <v>0</v>
      </c>
      <c r="L723" s="564">
        <f t="shared" si="143"/>
        <v>-358800</v>
      </c>
      <c r="M723" s="565"/>
      <c r="N723" s="565"/>
    </row>
    <row r="724" spans="1:14" ht="18" customHeight="1" x14ac:dyDescent="0.3">
      <c r="A724" s="438" t="s">
        <v>74</v>
      </c>
      <c r="B724" s="439" t="s">
        <v>536</v>
      </c>
      <c r="C724" s="439" t="s">
        <v>300</v>
      </c>
      <c r="D724" s="539" t="s">
        <v>302</v>
      </c>
      <c r="E724" s="539" t="s">
        <v>75</v>
      </c>
      <c r="F724" s="545"/>
      <c r="G724" s="466">
        <f>[2]потребность!I659</f>
        <v>0</v>
      </c>
      <c r="H724" s="459">
        <v>0</v>
      </c>
      <c r="I724" s="459">
        <v>358800</v>
      </c>
      <c r="J724" s="466">
        <v>358800</v>
      </c>
      <c r="K724" s="604">
        <f>358800-358800</f>
        <v>0</v>
      </c>
      <c r="L724" s="564">
        <f t="shared" si="143"/>
        <v>-358800</v>
      </c>
      <c r="M724" s="565"/>
      <c r="N724" s="565"/>
    </row>
    <row r="725" spans="1:14" ht="50.95" x14ac:dyDescent="0.3">
      <c r="A725" s="438" t="s">
        <v>788</v>
      </c>
      <c r="B725" s="439" t="s">
        <v>536</v>
      </c>
      <c r="C725" s="439" t="s">
        <v>300</v>
      </c>
      <c r="D725" s="539" t="s">
        <v>764</v>
      </c>
      <c r="E725" s="539" t="s">
        <v>6</v>
      </c>
      <c r="F725" s="539"/>
      <c r="G725" s="466">
        <f>G726</f>
        <v>0</v>
      </c>
      <c r="H725" s="442">
        <f>H726</f>
        <v>0</v>
      </c>
      <c r="I725" s="442">
        <v>0</v>
      </c>
      <c r="J725" s="466">
        <v>0</v>
      </c>
      <c r="K725" s="604">
        <v>0</v>
      </c>
      <c r="L725" s="564">
        <f t="shared" si="143"/>
        <v>0</v>
      </c>
      <c r="M725" s="565"/>
      <c r="N725" s="565"/>
    </row>
    <row r="726" spans="1:14" ht="34" x14ac:dyDescent="0.3">
      <c r="A726" s="438" t="s">
        <v>37</v>
      </c>
      <c r="B726" s="439" t="s">
        <v>536</v>
      </c>
      <c r="C726" s="439" t="s">
        <v>300</v>
      </c>
      <c r="D726" s="539" t="s">
        <v>764</v>
      </c>
      <c r="E726" s="539" t="s">
        <v>38</v>
      </c>
      <c r="F726" s="539"/>
      <c r="G726" s="466">
        <f>G727</f>
        <v>0</v>
      </c>
      <c r="H726" s="442">
        <f>H727</f>
        <v>0</v>
      </c>
      <c r="I726" s="442">
        <v>0</v>
      </c>
      <c r="J726" s="466">
        <v>0</v>
      </c>
      <c r="K726" s="604">
        <v>0</v>
      </c>
      <c r="L726" s="564">
        <f t="shared" si="143"/>
        <v>0</v>
      </c>
      <c r="M726" s="565"/>
      <c r="N726" s="565"/>
    </row>
    <row r="727" spans="1:14" x14ac:dyDescent="0.3">
      <c r="A727" s="438" t="s">
        <v>74</v>
      </c>
      <c r="B727" s="439" t="s">
        <v>536</v>
      </c>
      <c r="C727" s="439" t="s">
        <v>300</v>
      </c>
      <c r="D727" s="539" t="s">
        <v>764</v>
      </c>
      <c r="E727" s="539" t="s">
        <v>75</v>
      </c>
      <c r="F727" s="539"/>
      <c r="G727" s="466">
        <v>0</v>
      </c>
      <c r="H727" s="442">
        <v>0</v>
      </c>
      <c r="I727" s="442">
        <v>0</v>
      </c>
      <c r="J727" s="466">
        <v>0</v>
      </c>
      <c r="K727" s="604">
        <v>0</v>
      </c>
      <c r="L727" s="564">
        <f t="shared" si="143"/>
        <v>0</v>
      </c>
      <c r="M727" s="565"/>
      <c r="N727" s="565"/>
    </row>
    <row r="728" spans="1:14" ht="67.95" x14ac:dyDescent="0.3">
      <c r="A728" s="438" t="s">
        <v>911</v>
      </c>
      <c r="B728" s="439" t="s">
        <v>536</v>
      </c>
      <c r="C728" s="439" t="s">
        <v>300</v>
      </c>
      <c r="D728" s="539" t="s">
        <v>769</v>
      </c>
      <c r="E728" s="539" t="s">
        <v>6</v>
      </c>
      <c r="F728" s="539"/>
      <c r="G728" s="466">
        <f>G729</f>
        <v>0</v>
      </c>
      <c r="H728" s="442">
        <f>H729</f>
        <v>0</v>
      </c>
      <c r="I728" s="442">
        <v>0</v>
      </c>
      <c r="J728" s="466">
        <v>0</v>
      </c>
      <c r="K728" s="604">
        <v>0</v>
      </c>
      <c r="L728" s="564">
        <f t="shared" si="143"/>
        <v>0</v>
      </c>
      <c r="M728" s="565"/>
      <c r="N728" s="565"/>
    </row>
    <row r="729" spans="1:14" ht="34" x14ac:dyDescent="0.3">
      <c r="A729" s="438" t="s">
        <v>37</v>
      </c>
      <c r="B729" s="439" t="s">
        <v>536</v>
      </c>
      <c r="C729" s="439" t="s">
        <v>300</v>
      </c>
      <c r="D729" s="539" t="s">
        <v>769</v>
      </c>
      <c r="E729" s="539" t="s">
        <v>38</v>
      </c>
      <c r="F729" s="539"/>
      <c r="G729" s="466">
        <f>G730</f>
        <v>0</v>
      </c>
      <c r="H729" s="442">
        <f>H730</f>
        <v>0</v>
      </c>
      <c r="I729" s="442">
        <v>0</v>
      </c>
      <c r="J729" s="466">
        <v>0</v>
      </c>
      <c r="K729" s="604">
        <v>0</v>
      </c>
      <c r="L729" s="564">
        <f t="shared" si="143"/>
        <v>0</v>
      </c>
      <c r="M729" s="565"/>
      <c r="N729" s="565"/>
    </row>
    <row r="730" spans="1:14" x14ac:dyDescent="0.3">
      <c r="A730" s="438" t="s">
        <v>74</v>
      </c>
      <c r="B730" s="439" t="s">
        <v>536</v>
      </c>
      <c r="C730" s="439" t="s">
        <v>300</v>
      </c>
      <c r="D730" s="539" t="s">
        <v>769</v>
      </c>
      <c r="E730" s="539" t="s">
        <v>75</v>
      </c>
      <c r="F730" s="539"/>
      <c r="G730" s="466">
        <v>0</v>
      </c>
      <c r="H730" s="442">
        <v>0</v>
      </c>
      <c r="I730" s="442">
        <v>0</v>
      </c>
      <c r="J730" s="466">
        <v>0</v>
      </c>
      <c r="K730" s="604">
        <v>0</v>
      </c>
      <c r="L730" s="564">
        <f t="shared" si="143"/>
        <v>0</v>
      </c>
      <c r="M730" s="565"/>
      <c r="N730" s="565"/>
    </row>
    <row r="731" spans="1:14" ht="42.45" customHeight="1" x14ac:dyDescent="0.3">
      <c r="A731" s="438" t="s">
        <v>102</v>
      </c>
      <c r="B731" s="439" t="s">
        <v>536</v>
      </c>
      <c r="C731" s="439" t="s">
        <v>300</v>
      </c>
      <c r="D731" s="539" t="s">
        <v>201</v>
      </c>
      <c r="E731" s="539" t="s">
        <v>6</v>
      </c>
      <c r="F731" s="539"/>
      <c r="G731" s="466">
        <f>G732</f>
        <v>407056.05</v>
      </c>
      <c r="H731" s="442">
        <f>H732</f>
        <v>315430.7</v>
      </c>
      <c r="I731" s="442">
        <v>0</v>
      </c>
      <c r="J731" s="466">
        <v>0</v>
      </c>
      <c r="K731" s="604">
        <v>0</v>
      </c>
      <c r="L731" s="564">
        <f t="shared" si="143"/>
        <v>0</v>
      </c>
      <c r="M731" s="565">
        <f t="shared" si="144"/>
        <v>0</v>
      </c>
      <c r="N731" s="565">
        <f t="shared" si="145"/>
        <v>0</v>
      </c>
    </row>
    <row r="732" spans="1:14" ht="34" x14ac:dyDescent="0.3">
      <c r="A732" s="438" t="s">
        <v>37</v>
      </c>
      <c r="B732" s="439" t="s">
        <v>536</v>
      </c>
      <c r="C732" s="439" t="s">
        <v>300</v>
      </c>
      <c r="D732" s="539" t="s">
        <v>201</v>
      </c>
      <c r="E732" s="539" t="s">
        <v>38</v>
      </c>
      <c r="F732" s="539"/>
      <c r="G732" s="466">
        <f>G733</f>
        <v>407056.05</v>
      </c>
      <c r="H732" s="442">
        <f>H733</f>
        <v>315430.7</v>
      </c>
      <c r="I732" s="442">
        <v>0</v>
      </c>
      <c r="J732" s="466">
        <v>0</v>
      </c>
      <c r="K732" s="604">
        <v>0</v>
      </c>
      <c r="L732" s="564">
        <f t="shared" si="143"/>
        <v>0</v>
      </c>
      <c r="M732" s="565">
        <f t="shared" si="144"/>
        <v>0</v>
      </c>
      <c r="N732" s="565">
        <f t="shared" si="145"/>
        <v>0</v>
      </c>
    </row>
    <row r="733" spans="1:14" x14ac:dyDescent="0.3">
      <c r="A733" s="438" t="s">
        <v>74</v>
      </c>
      <c r="B733" s="439" t="s">
        <v>536</v>
      </c>
      <c r="C733" s="439" t="s">
        <v>300</v>
      </c>
      <c r="D733" s="539" t="s">
        <v>201</v>
      </c>
      <c r="E733" s="539" t="s">
        <v>75</v>
      </c>
      <c r="F733" s="539"/>
      <c r="G733" s="466">
        <v>407056.05</v>
      </c>
      <c r="H733" s="443">
        <v>315430.7</v>
      </c>
      <c r="I733" s="442">
        <v>0</v>
      </c>
      <c r="J733" s="466">
        <v>0</v>
      </c>
      <c r="K733" s="604">
        <v>0</v>
      </c>
      <c r="L733" s="564">
        <f t="shared" si="143"/>
        <v>0</v>
      </c>
      <c r="M733" s="565">
        <f t="shared" si="144"/>
        <v>0</v>
      </c>
      <c r="N733" s="565">
        <f t="shared" si="145"/>
        <v>0</v>
      </c>
    </row>
    <row r="734" spans="1:14" ht="34" x14ac:dyDescent="0.3">
      <c r="A734" s="394" t="s">
        <v>750</v>
      </c>
      <c r="B734" s="472">
        <v>959</v>
      </c>
      <c r="C734" s="434" t="s">
        <v>5</v>
      </c>
      <c r="D734" s="537" t="s">
        <v>126</v>
      </c>
      <c r="E734" s="537" t="s">
        <v>6</v>
      </c>
      <c r="F734" s="538">
        <v>300218.82</v>
      </c>
      <c r="G734" s="521">
        <f>G735</f>
        <v>1627772</v>
      </c>
      <c r="H734" s="473">
        <f>H735</f>
        <v>1140137.2000000002</v>
      </c>
      <c r="I734" s="473">
        <f>I735</f>
        <v>1510000</v>
      </c>
      <c r="J734" s="521">
        <f>J735</f>
        <v>1745512</v>
      </c>
      <c r="K734" s="611">
        <f>K735</f>
        <v>1707622</v>
      </c>
      <c r="L734" s="564">
        <f t="shared" si="143"/>
        <v>-37890</v>
      </c>
      <c r="M734" s="565">
        <f t="shared" si="144"/>
        <v>107.23319973558951</v>
      </c>
      <c r="N734" s="565">
        <f t="shared" si="145"/>
        <v>104.90547816278939</v>
      </c>
    </row>
    <row r="735" spans="1:14" x14ac:dyDescent="0.3">
      <c r="A735" s="438" t="s">
        <v>7</v>
      </c>
      <c r="B735" s="439" t="s">
        <v>751</v>
      </c>
      <c r="C735" s="439" t="s">
        <v>8</v>
      </c>
      <c r="D735" s="539" t="s">
        <v>126</v>
      </c>
      <c r="E735" s="539" t="s">
        <v>6</v>
      </c>
      <c r="F735" s="540">
        <v>300218.82</v>
      </c>
      <c r="G735" s="466">
        <f t="shared" ref="G735:I736" si="148">G736</f>
        <v>1627772</v>
      </c>
      <c r="H735" s="442">
        <f t="shared" si="148"/>
        <v>1140137.2000000002</v>
      </c>
      <c r="I735" s="442">
        <f t="shared" si="148"/>
        <v>1510000</v>
      </c>
      <c r="J735" s="466">
        <f>J736+J748</f>
        <v>1745512</v>
      </c>
      <c r="K735" s="604">
        <f>K736+K748</f>
        <v>1707622</v>
      </c>
      <c r="L735" s="564">
        <f t="shared" si="143"/>
        <v>-37890</v>
      </c>
      <c r="M735" s="565">
        <f t="shared" si="144"/>
        <v>107.23319973558951</v>
      </c>
      <c r="N735" s="565">
        <f t="shared" si="145"/>
        <v>104.90547816278939</v>
      </c>
    </row>
    <row r="736" spans="1:14" ht="50.95" x14ac:dyDescent="0.3">
      <c r="A736" s="438" t="s">
        <v>9</v>
      </c>
      <c r="B736" s="439" t="s">
        <v>751</v>
      </c>
      <c r="C736" s="439" t="s">
        <v>10</v>
      </c>
      <c r="D736" s="539" t="s">
        <v>126</v>
      </c>
      <c r="E736" s="539" t="s">
        <v>6</v>
      </c>
      <c r="F736" s="540">
        <v>300218.82</v>
      </c>
      <c r="G736" s="465">
        <f t="shared" si="148"/>
        <v>1627772</v>
      </c>
      <c r="H736" s="440">
        <f t="shared" si="148"/>
        <v>1140137.2000000002</v>
      </c>
      <c r="I736" s="440">
        <f t="shared" si="148"/>
        <v>1510000</v>
      </c>
      <c r="J736" s="465">
        <f>J737</f>
        <v>1688872</v>
      </c>
      <c r="K736" s="603">
        <f>K737</f>
        <v>1688872</v>
      </c>
      <c r="L736" s="564">
        <f t="shared" si="143"/>
        <v>0</v>
      </c>
      <c r="M736" s="565">
        <f t="shared" si="144"/>
        <v>103.75359694109495</v>
      </c>
      <c r="N736" s="565">
        <f t="shared" si="145"/>
        <v>103.75359694109494</v>
      </c>
    </row>
    <row r="737" spans="1:14" ht="34" x14ac:dyDescent="0.3">
      <c r="A737" s="438" t="s">
        <v>132</v>
      </c>
      <c r="B737" s="439" t="s">
        <v>751</v>
      </c>
      <c r="C737" s="439" t="s">
        <v>10</v>
      </c>
      <c r="D737" s="539" t="s">
        <v>127</v>
      </c>
      <c r="E737" s="539" t="s">
        <v>6</v>
      </c>
      <c r="F737" s="540">
        <v>300218.82</v>
      </c>
      <c r="G737" s="465">
        <f>G738+G741</f>
        <v>1627772</v>
      </c>
      <c r="H737" s="440">
        <f>H738+H741</f>
        <v>1140137.2000000002</v>
      </c>
      <c r="I737" s="440">
        <f>I738+I741</f>
        <v>1510000</v>
      </c>
      <c r="J737" s="465">
        <f>J738+J741</f>
        <v>1688872</v>
      </c>
      <c r="K737" s="603">
        <f>K738+K741</f>
        <v>1688872</v>
      </c>
      <c r="L737" s="564">
        <f t="shared" si="143"/>
        <v>0</v>
      </c>
      <c r="M737" s="565">
        <f t="shared" si="144"/>
        <v>103.75359694109495</v>
      </c>
      <c r="N737" s="565">
        <f t="shared" si="145"/>
        <v>103.75359694109494</v>
      </c>
    </row>
    <row r="738" spans="1:14" x14ac:dyDescent="0.3">
      <c r="A738" s="438" t="s">
        <v>752</v>
      </c>
      <c r="B738" s="439" t="s">
        <v>751</v>
      </c>
      <c r="C738" s="439" t="s">
        <v>10</v>
      </c>
      <c r="D738" s="539" t="s">
        <v>143</v>
      </c>
      <c r="E738" s="539" t="s">
        <v>6</v>
      </c>
      <c r="F738" s="540">
        <v>174318.55</v>
      </c>
      <c r="G738" s="465">
        <f t="shared" ref="G738:K739" si="149">G739</f>
        <v>1347772</v>
      </c>
      <c r="H738" s="440">
        <f t="shared" si="149"/>
        <v>981643.31</v>
      </c>
      <c r="I738" s="440">
        <f t="shared" si="149"/>
        <v>1220000</v>
      </c>
      <c r="J738" s="466">
        <f t="shared" si="149"/>
        <v>1384096</v>
      </c>
      <c r="K738" s="604">
        <f t="shared" si="149"/>
        <v>1384096</v>
      </c>
      <c r="L738" s="564">
        <f t="shared" si="143"/>
        <v>0</v>
      </c>
      <c r="M738" s="565">
        <f t="shared" si="144"/>
        <v>102.69511460395378</v>
      </c>
      <c r="N738" s="565">
        <f t="shared" si="145"/>
        <v>102.69511460395377</v>
      </c>
    </row>
    <row r="739" spans="1:14" ht="84.9" x14ac:dyDescent="0.3">
      <c r="A739" s="438" t="s">
        <v>11</v>
      </c>
      <c r="B739" s="439" t="s">
        <v>751</v>
      </c>
      <c r="C739" s="439" t="s">
        <v>10</v>
      </c>
      <c r="D739" s="539" t="s">
        <v>143</v>
      </c>
      <c r="E739" s="539" t="s">
        <v>12</v>
      </c>
      <c r="F739" s="540">
        <v>174318.55</v>
      </c>
      <c r="G739" s="465">
        <f t="shared" si="149"/>
        <v>1347772</v>
      </c>
      <c r="H739" s="440">
        <f t="shared" si="149"/>
        <v>981643.31</v>
      </c>
      <c r="I739" s="440">
        <f t="shared" si="149"/>
        <v>1220000</v>
      </c>
      <c r="J739" s="466">
        <f t="shared" si="149"/>
        <v>1384096</v>
      </c>
      <c r="K739" s="604">
        <f t="shared" si="149"/>
        <v>1384096</v>
      </c>
      <c r="L739" s="564">
        <f t="shared" si="143"/>
        <v>0</v>
      </c>
      <c r="M739" s="565">
        <f t="shared" si="144"/>
        <v>102.69511460395378</v>
      </c>
      <c r="N739" s="565">
        <f t="shared" si="145"/>
        <v>102.69511460395377</v>
      </c>
    </row>
    <row r="740" spans="1:14" ht="34" x14ac:dyDescent="0.3">
      <c r="A740" s="438" t="s">
        <v>13</v>
      </c>
      <c r="B740" s="439" t="s">
        <v>751</v>
      </c>
      <c r="C740" s="439" t="s">
        <v>10</v>
      </c>
      <c r="D740" s="539" t="s">
        <v>143</v>
      </c>
      <c r="E740" s="539" t="s">
        <v>14</v>
      </c>
      <c r="F740" s="540">
        <v>174318.55</v>
      </c>
      <c r="G740" s="466">
        <f>[2]потребность!I672+248000-40228</f>
        <v>1347772</v>
      </c>
      <c r="H740" s="443">
        <v>981643.31</v>
      </c>
      <c r="I740" s="442">
        <f>'[2]прил 12'!F678</f>
        <v>1220000</v>
      </c>
      <c r="J740" s="466">
        <v>1384096</v>
      </c>
      <c r="K740" s="604">
        <v>1384096</v>
      </c>
      <c r="L740" s="564">
        <f t="shared" si="143"/>
        <v>0</v>
      </c>
      <c r="M740" s="565">
        <f t="shared" si="144"/>
        <v>102.69511460395378</v>
      </c>
      <c r="N740" s="565">
        <f t="shared" si="145"/>
        <v>102.69511460395377</v>
      </c>
    </row>
    <row r="741" spans="1:14" ht="45.7" customHeight="1" x14ac:dyDescent="0.3">
      <c r="A741" s="438" t="s">
        <v>494</v>
      </c>
      <c r="B741" s="439" t="s">
        <v>751</v>
      </c>
      <c r="C741" s="439" t="s">
        <v>10</v>
      </c>
      <c r="D741" s="539" t="s">
        <v>495</v>
      </c>
      <c r="E741" s="539" t="s">
        <v>6</v>
      </c>
      <c r="F741" s="540">
        <v>125900.27</v>
      </c>
      <c r="G741" s="466">
        <f>G742+G744</f>
        <v>280000</v>
      </c>
      <c r="H741" s="442">
        <f>H742+H744</f>
        <v>158493.89000000001</v>
      </c>
      <c r="I741" s="442">
        <f>I742+I744</f>
        <v>290000</v>
      </c>
      <c r="J741" s="466">
        <f>J742+J744+J746</f>
        <v>304776</v>
      </c>
      <c r="K741" s="604">
        <f>K742+K744+K746</f>
        <v>304776</v>
      </c>
      <c r="L741" s="564">
        <f t="shared" si="143"/>
        <v>0</v>
      </c>
      <c r="M741" s="565">
        <f t="shared" si="144"/>
        <v>108.84857142857143</v>
      </c>
      <c r="N741" s="565">
        <f t="shared" si="145"/>
        <v>108.84857142857143</v>
      </c>
    </row>
    <row r="742" spans="1:14" ht="84.9" x14ac:dyDescent="0.3">
      <c r="A742" s="438" t="s">
        <v>11</v>
      </c>
      <c r="B742" s="439" t="s">
        <v>751</v>
      </c>
      <c r="C742" s="439" t="s">
        <v>10</v>
      </c>
      <c r="D742" s="539" t="s">
        <v>495</v>
      </c>
      <c r="E742" s="539" t="s">
        <v>12</v>
      </c>
      <c r="F742" s="540">
        <v>14739.19</v>
      </c>
      <c r="G742" s="466">
        <f>G743</f>
        <v>200000</v>
      </c>
      <c r="H742" s="442">
        <f>H743</f>
        <v>148323.89000000001</v>
      </c>
      <c r="I742" s="442">
        <f>I743</f>
        <v>210000</v>
      </c>
      <c r="J742" s="466">
        <f>J743</f>
        <v>212776</v>
      </c>
      <c r="K742" s="604">
        <f>K743</f>
        <v>212776</v>
      </c>
      <c r="L742" s="564">
        <f t="shared" si="143"/>
        <v>0</v>
      </c>
      <c r="M742" s="565">
        <f t="shared" si="144"/>
        <v>106.38800000000001</v>
      </c>
      <c r="N742" s="565">
        <f t="shared" si="145"/>
        <v>106.38799999999999</v>
      </c>
    </row>
    <row r="743" spans="1:14" ht="34" x14ac:dyDescent="0.3">
      <c r="A743" s="438" t="s">
        <v>13</v>
      </c>
      <c r="B743" s="439" t="s">
        <v>751</v>
      </c>
      <c r="C743" s="439" t="s">
        <v>10</v>
      </c>
      <c r="D743" s="539" t="s">
        <v>495</v>
      </c>
      <c r="E743" s="539" t="s">
        <v>14</v>
      </c>
      <c r="F743" s="540">
        <v>14739.19</v>
      </c>
      <c r="G743" s="466">
        <f>[2]потребность!I675</f>
        <v>200000</v>
      </c>
      <c r="H743" s="443">
        <v>148323.89000000001</v>
      </c>
      <c r="I743" s="442">
        <f>'[2]прил 12'!F681</f>
        <v>210000</v>
      </c>
      <c r="J743" s="466">
        <v>212776</v>
      </c>
      <c r="K743" s="604">
        <v>212776</v>
      </c>
      <c r="L743" s="564">
        <f t="shared" si="143"/>
        <v>0</v>
      </c>
      <c r="M743" s="565">
        <f t="shared" si="144"/>
        <v>106.38800000000001</v>
      </c>
      <c r="N743" s="565">
        <f t="shared" si="145"/>
        <v>106.38799999999999</v>
      </c>
    </row>
    <row r="744" spans="1:14" ht="34" x14ac:dyDescent="0.3">
      <c r="A744" s="438" t="s">
        <v>15</v>
      </c>
      <c r="B744" s="439" t="s">
        <v>751</v>
      </c>
      <c r="C744" s="439" t="s">
        <v>10</v>
      </c>
      <c r="D744" s="539" t="s">
        <v>495</v>
      </c>
      <c r="E744" s="539" t="s">
        <v>16</v>
      </c>
      <c r="F744" s="540">
        <v>111161.08</v>
      </c>
      <c r="G744" s="466">
        <f>G745</f>
        <v>80000</v>
      </c>
      <c r="H744" s="442">
        <f>H745</f>
        <v>10170</v>
      </c>
      <c r="I744" s="442">
        <f>I745</f>
        <v>80000</v>
      </c>
      <c r="J744" s="466">
        <f>J745</f>
        <v>91500</v>
      </c>
      <c r="K744" s="604">
        <f>K745</f>
        <v>91500</v>
      </c>
      <c r="L744" s="564">
        <f t="shared" si="143"/>
        <v>0</v>
      </c>
      <c r="M744" s="565">
        <f t="shared" si="144"/>
        <v>114.375</v>
      </c>
      <c r="N744" s="565">
        <f t="shared" si="145"/>
        <v>114.375</v>
      </c>
    </row>
    <row r="745" spans="1:14" ht="42.8" customHeight="1" x14ac:dyDescent="0.3">
      <c r="A745" s="438" t="s">
        <v>17</v>
      </c>
      <c r="B745" s="439" t="s">
        <v>751</v>
      </c>
      <c r="C745" s="439" t="s">
        <v>10</v>
      </c>
      <c r="D745" s="539" t="s">
        <v>495</v>
      </c>
      <c r="E745" s="539" t="s">
        <v>18</v>
      </c>
      <c r="F745" s="540">
        <v>111161.08</v>
      </c>
      <c r="G745" s="466">
        <f>[2]потребность!I677</f>
        <v>80000</v>
      </c>
      <c r="H745" s="443">
        <v>10170</v>
      </c>
      <c r="I745" s="442">
        <f>'[2]прил 12'!F683</f>
        <v>80000</v>
      </c>
      <c r="J745" s="466">
        <v>91500</v>
      </c>
      <c r="K745" s="604">
        <v>91500</v>
      </c>
      <c r="L745" s="564">
        <f t="shared" si="143"/>
        <v>0</v>
      </c>
      <c r="M745" s="565">
        <f t="shared" si="144"/>
        <v>114.375</v>
      </c>
      <c r="N745" s="565">
        <f t="shared" si="145"/>
        <v>114.375</v>
      </c>
    </row>
    <row r="746" spans="1:14" ht="29.25" customHeight="1" x14ac:dyDescent="0.3">
      <c r="A746" s="438" t="s">
        <v>19</v>
      </c>
      <c r="B746" s="439" t="s">
        <v>751</v>
      </c>
      <c r="C746" s="439" t="s">
        <v>10</v>
      </c>
      <c r="D746" s="539" t="s">
        <v>495</v>
      </c>
      <c r="E746" s="539" t="s">
        <v>20</v>
      </c>
      <c r="F746" s="539"/>
      <c r="G746" s="466">
        <v>0</v>
      </c>
      <c r="H746" s="442">
        <v>0</v>
      </c>
      <c r="I746" s="442">
        <v>0</v>
      </c>
      <c r="J746" s="466">
        <f>J747</f>
        <v>500</v>
      </c>
      <c r="K746" s="604">
        <f>K747</f>
        <v>500</v>
      </c>
      <c r="L746" s="564">
        <f t="shared" si="143"/>
        <v>0</v>
      </c>
      <c r="M746" s="565"/>
      <c r="N746" s="565"/>
    </row>
    <row r="747" spans="1:14" ht="27.2" customHeight="1" x14ac:dyDescent="0.3">
      <c r="A747" s="438" t="s">
        <v>21</v>
      </c>
      <c r="B747" s="439" t="s">
        <v>751</v>
      </c>
      <c r="C747" s="439" t="s">
        <v>10</v>
      </c>
      <c r="D747" s="539" t="s">
        <v>495</v>
      </c>
      <c r="E747" s="539" t="s">
        <v>22</v>
      </c>
      <c r="F747" s="539"/>
      <c r="G747" s="466">
        <v>0</v>
      </c>
      <c r="H747" s="442">
        <v>0</v>
      </c>
      <c r="I747" s="442">
        <v>0</v>
      </c>
      <c r="J747" s="466">
        <v>500</v>
      </c>
      <c r="K747" s="604">
        <v>500</v>
      </c>
      <c r="L747" s="564">
        <f t="shared" si="143"/>
        <v>0</v>
      </c>
      <c r="M747" s="565"/>
      <c r="N747" s="565"/>
    </row>
    <row r="748" spans="1:14" ht="31.75" customHeight="1" x14ac:dyDescent="0.3">
      <c r="A748" s="438" t="s">
        <v>23</v>
      </c>
      <c r="B748" s="439" t="s">
        <v>751</v>
      </c>
      <c r="C748" s="439" t="s">
        <v>24</v>
      </c>
      <c r="D748" s="539" t="s">
        <v>126</v>
      </c>
      <c r="E748" s="539" t="s">
        <v>6</v>
      </c>
      <c r="F748" s="539"/>
      <c r="G748" s="466">
        <v>0</v>
      </c>
      <c r="H748" s="442">
        <v>0</v>
      </c>
      <c r="I748" s="442">
        <v>0</v>
      </c>
      <c r="J748" s="466">
        <f>J749+J754</f>
        <v>56640</v>
      </c>
      <c r="K748" s="604">
        <f>K749+K754</f>
        <v>18750</v>
      </c>
      <c r="L748" s="564">
        <f t="shared" si="143"/>
        <v>-37890</v>
      </c>
      <c r="M748" s="565"/>
      <c r="N748" s="565"/>
    </row>
    <row r="749" spans="1:14" ht="42.8" customHeight="1" x14ac:dyDescent="0.3">
      <c r="A749" s="444" t="s">
        <v>830</v>
      </c>
      <c r="B749" s="445" t="s">
        <v>751</v>
      </c>
      <c r="C749" s="445" t="s">
        <v>24</v>
      </c>
      <c r="D749" s="541" t="s">
        <v>128</v>
      </c>
      <c r="E749" s="541" t="s">
        <v>6</v>
      </c>
      <c r="F749" s="541"/>
      <c r="G749" s="466">
        <v>0</v>
      </c>
      <c r="H749" s="442">
        <v>0</v>
      </c>
      <c r="I749" s="442">
        <v>0</v>
      </c>
      <c r="J749" s="466">
        <f t="shared" ref="J749:K752" si="150">J750</f>
        <v>10000</v>
      </c>
      <c r="K749" s="604">
        <f t="shared" si="150"/>
        <v>10000</v>
      </c>
      <c r="L749" s="564">
        <f t="shared" si="143"/>
        <v>0</v>
      </c>
      <c r="M749" s="565"/>
      <c r="N749" s="565"/>
    </row>
    <row r="750" spans="1:14" ht="38.049999999999997" customHeight="1" x14ac:dyDescent="0.3">
      <c r="A750" s="450" t="s">
        <v>835</v>
      </c>
      <c r="B750" s="439" t="s">
        <v>751</v>
      </c>
      <c r="C750" s="439" t="s">
        <v>24</v>
      </c>
      <c r="D750" s="539" t="s">
        <v>315</v>
      </c>
      <c r="E750" s="539" t="s">
        <v>6</v>
      </c>
      <c r="F750" s="539"/>
      <c r="G750" s="466">
        <v>0</v>
      </c>
      <c r="H750" s="442">
        <v>0</v>
      </c>
      <c r="I750" s="442">
        <v>0</v>
      </c>
      <c r="J750" s="466">
        <f t="shared" si="150"/>
        <v>10000</v>
      </c>
      <c r="K750" s="604">
        <f t="shared" si="150"/>
        <v>10000</v>
      </c>
      <c r="L750" s="564">
        <f t="shared" si="143"/>
        <v>0</v>
      </c>
      <c r="M750" s="565"/>
      <c r="N750" s="565"/>
    </row>
    <row r="751" spans="1:14" ht="23.8" customHeight="1" x14ac:dyDescent="0.3">
      <c r="A751" s="450" t="s">
        <v>321</v>
      </c>
      <c r="B751" s="439" t="s">
        <v>751</v>
      </c>
      <c r="C751" s="439" t="s">
        <v>24</v>
      </c>
      <c r="D751" s="539" t="s">
        <v>316</v>
      </c>
      <c r="E751" s="539" t="s">
        <v>6</v>
      </c>
      <c r="F751" s="539"/>
      <c r="G751" s="466">
        <v>0</v>
      </c>
      <c r="H751" s="442">
        <v>0</v>
      </c>
      <c r="I751" s="442">
        <v>0</v>
      </c>
      <c r="J751" s="466">
        <f t="shared" si="150"/>
        <v>10000</v>
      </c>
      <c r="K751" s="604">
        <f t="shared" si="150"/>
        <v>10000</v>
      </c>
      <c r="L751" s="564">
        <f t="shared" si="143"/>
        <v>0</v>
      </c>
      <c r="M751" s="565"/>
      <c r="N751" s="565"/>
    </row>
    <row r="752" spans="1:14" ht="42.8" customHeight="1" x14ac:dyDescent="0.3">
      <c r="A752" s="438" t="s">
        <v>15</v>
      </c>
      <c r="B752" s="439" t="s">
        <v>751</v>
      </c>
      <c r="C752" s="439" t="s">
        <v>24</v>
      </c>
      <c r="D752" s="539" t="s">
        <v>316</v>
      </c>
      <c r="E752" s="539" t="s">
        <v>16</v>
      </c>
      <c r="F752" s="539"/>
      <c r="G752" s="466">
        <v>0</v>
      </c>
      <c r="H752" s="442">
        <v>0</v>
      </c>
      <c r="I752" s="442">
        <v>0</v>
      </c>
      <c r="J752" s="466">
        <f t="shared" si="150"/>
        <v>10000</v>
      </c>
      <c r="K752" s="604">
        <f t="shared" si="150"/>
        <v>10000</v>
      </c>
      <c r="L752" s="564">
        <f t="shared" si="143"/>
        <v>0</v>
      </c>
      <c r="M752" s="565"/>
      <c r="N752" s="565"/>
    </row>
    <row r="753" spans="1:14" ht="42.8" customHeight="1" x14ac:dyDescent="0.3">
      <c r="A753" s="438" t="s">
        <v>17</v>
      </c>
      <c r="B753" s="439" t="s">
        <v>751</v>
      </c>
      <c r="C753" s="439" t="s">
        <v>24</v>
      </c>
      <c r="D753" s="539" t="s">
        <v>316</v>
      </c>
      <c r="E753" s="539" t="s">
        <v>18</v>
      </c>
      <c r="F753" s="539"/>
      <c r="G753" s="466">
        <v>0</v>
      </c>
      <c r="H753" s="442">
        <v>0</v>
      </c>
      <c r="I753" s="442">
        <v>0</v>
      </c>
      <c r="J753" s="466">
        <v>10000</v>
      </c>
      <c r="K753" s="604">
        <v>10000</v>
      </c>
      <c r="L753" s="564">
        <f t="shared" si="143"/>
        <v>0</v>
      </c>
      <c r="M753" s="565"/>
      <c r="N753" s="565"/>
    </row>
    <row r="754" spans="1:14" ht="44.15" customHeight="1" x14ac:dyDescent="0.3">
      <c r="A754" s="451" t="s">
        <v>829</v>
      </c>
      <c r="B754" s="445" t="s">
        <v>751</v>
      </c>
      <c r="C754" s="439" t="s">
        <v>24</v>
      </c>
      <c r="D754" s="541" t="s">
        <v>317</v>
      </c>
      <c r="E754" s="541" t="s">
        <v>6</v>
      </c>
      <c r="F754" s="541"/>
      <c r="G754" s="466">
        <v>0</v>
      </c>
      <c r="H754" s="442">
        <v>0</v>
      </c>
      <c r="I754" s="442">
        <v>0</v>
      </c>
      <c r="J754" s="466">
        <f t="shared" ref="J754:K757" si="151">J755</f>
        <v>46640</v>
      </c>
      <c r="K754" s="604">
        <f t="shared" si="151"/>
        <v>8750</v>
      </c>
      <c r="L754" s="564">
        <f t="shared" si="143"/>
        <v>-37890</v>
      </c>
      <c r="M754" s="565"/>
      <c r="N754" s="565"/>
    </row>
    <row r="755" spans="1:14" ht="19.2" customHeight="1" x14ac:dyDescent="0.3">
      <c r="A755" s="450" t="s">
        <v>249</v>
      </c>
      <c r="B755" s="439" t="s">
        <v>751</v>
      </c>
      <c r="C755" s="439" t="s">
        <v>24</v>
      </c>
      <c r="D755" s="539" t="s">
        <v>318</v>
      </c>
      <c r="E755" s="539" t="s">
        <v>6</v>
      </c>
      <c r="F755" s="539"/>
      <c r="G755" s="466">
        <v>0</v>
      </c>
      <c r="H755" s="442">
        <v>0</v>
      </c>
      <c r="I755" s="442">
        <v>0</v>
      </c>
      <c r="J755" s="466">
        <f t="shared" si="151"/>
        <v>46640</v>
      </c>
      <c r="K755" s="604">
        <f t="shared" si="151"/>
        <v>8750</v>
      </c>
      <c r="L755" s="564">
        <f t="shared" si="143"/>
        <v>-37890</v>
      </c>
      <c r="M755" s="565"/>
      <c r="N755" s="565"/>
    </row>
    <row r="756" spans="1:14" ht="23.8" customHeight="1" x14ac:dyDescent="0.3">
      <c r="A756" s="438" t="s">
        <v>25</v>
      </c>
      <c r="B756" s="439" t="s">
        <v>751</v>
      </c>
      <c r="C756" s="439" t="s">
        <v>24</v>
      </c>
      <c r="D756" s="539" t="s">
        <v>329</v>
      </c>
      <c r="E756" s="539" t="s">
        <v>6</v>
      </c>
      <c r="F756" s="539"/>
      <c r="G756" s="466">
        <v>0</v>
      </c>
      <c r="H756" s="442">
        <v>0</v>
      </c>
      <c r="I756" s="442">
        <v>0</v>
      </c>
      <c r="J756" s="466">
        <f t="shared" si="151"/>
        <v>46640</v>
      </c>
      <c r="K756" s="604">
        <f t="shared" si="151"/>
        <v>8750</v>
      </c>
      <c r="L756" s="564">
        <f t="shared" si="143"/>
        <v>-37890</v>
      </c>
      <c r="M756" s="565"/>
      <c r="N756" s="565"/>
    </row>
    <row r="757" spans="1:14" ht="23.8" customHeight="1" x14ac:dyDescent="0.3">
      <c r="A757" s="438" t="s">
        <v>15</v>
      </c>
      <c r="B757" s="439" t="s">
        <v>751</v>
      </c>
      <c r="C757" s="439" t="s">
        <v>24</v>
      </c>
      <c r="D757" s="539" t="s">
        <v>329</v>
      </c>
      <c r="E757" s="539" t="s">
        <v>16</v>
      </c>
      <c r="F757" s="539"/>
      <c r="G757" s="466">
        <v>0</v>
      </c>
      <c r="H757" s="442">
        <v>0</v>
      </c>
      <c r="I757" s="442">
        <v>0</v>
      </c>
      <c r="J757" s="466">
        <f t="shared" si="151"/>
        <v>46640</v>
      </c>
      <c r="K757" s="604">
        <f t="shared" si="151"/>
        <v>8750</v>
      </c>
      <c r="L757" s="564">
        <f t="shared" si="143"/>
        <v>-37890</v>
      </c>
      <c r="M757" s="565"/>
      <c r="N757" s="565"/>
    </row>
    <row r="758" spans="1:14" ht="22.75" customHeight="1" x14ac:dyDescent="0.3">
      <c r="A758" s="438" t="s">
        <v>17</v>
      </c>
      <c r="B758" s="439" t="s">
        <v>751</v>
      </c>
      <c r="C758" s="439" t="s">
        <v>24</v>
      </c>
      <c r="D758" s="539" t="s">
        <v>329</v>
      </c>
      <c r="E758" s="539" t="s">
        <v>18</v>
      </c>
      <c r="F758" s="539"/>
      <c r="G758" s="466">
        <v>0</v>
      </c>
      <c r="H758" s="442">
        <v>0</v>
      </c>
      <c r="I758" s="442">
        <v>0</v>
      </c>
      <c r="J758" s="466">
        <v>46640</v>
      </c>
      <c r="K758" s="604">
        <v>8750</v>
      </c>
      <c r="L758" s="564">
        <f t="shared" si="143"/>
        <v>-37890</v>
      </c>
      <c r="M758" s="565"/>
      <c r="N758" s="565"/>
    </row>
    <row r="759" spans="1:14" x14ac:dyDescent="0.3">
      <c r="A759" s="399" t="s">
        <v>768</v>
      </c>
      <c r="B759" s="469"/>
      <c r="C759" s="469"/>
      <c r="D759" s="554"/>
      <c r="E759" s="552"/>
      <c r="F759" s="521">
        <v>988413094.71000004</v>
      </c>
      <c r="G759" s="506">
        <f>G7+G29+G512+G549+G734</f>
        <v>1058074805.61</v>
      </c>
      <c r="H759" s="435" t="e">
        <f>H7+H29+H512+H549+H734</f>
        <v>#REF!</v>
      </c>
      <c r="I759" s="435" t="e">
        <f>I7+I29+I512+I549+I734</f>
        <v>#REF!</v>
      </c>
      <c r="J759" s="506">
        <f>J7+J29+J512+J549+J734</f>
        <v>1001448650.3900001</v>
      </c>
      <c r="K759" s="602">
        <f>K7+K29+K512+K549+K734</f>
        <v>976194103.9000001</v>
      </c>
      <c r="L759" s="387">
        <f>J759-K759</f>
        <v>25254546.49000001</v>
      </c>
      <c r="M759" s="565">
        <f t="shared" ref="M759" si="152">J759/G759%</f>
        <v>94.648189814201857</v>
      </c>
      <c r="N759" s="565">
        <f t="shared" si="145"/>
        <v>92.261350400192725</v>
      </c>
    </row>
    <row r="760" spans="1:14" ht="50.95" x14ac:dyDescent="0.3">
      <c r="A760" s="475"/>
      <c r="B760" s="476"/>
      <c r="C760" s="476"/>
      <c r="D760" s="584" t="s">
        <v>1038</v>
      </c>
      <c r="E760" s="556"/>
      <c r="F760" s="524"/>
      <c r="G760" s="522">
        <v>16064380.279999999</v>
      </c>
      <c r="H760" s="478"/>
      <c r="I760" s="477"/>
      <c r="J760" s="522"/>
      <c r="K760" s="612"/>
      <c r="L760" s="479"/>
    </row>
    <row r="761" spans="1:14" x14ac:dyDescent="0.3">
      <c r="A761" s="475"/>
      <c r="B761" s="476"/>
      <c r="C761" s="476"/>
      <c r="D761" s="555" t="s">
        <v>798</v>
      </c>
      <c r="E761" s="556"/>
      <c r="F761" s="556"/>
      <c r="G761" s="522">
        <v>422970631.79000002</v>
      </c>
      <c r="H761" s="478"/>
      <c r="I761" s="477">
        <f>'[2]прил 12'!F685</f>
        <v>426818000</v>
      </c>
      <c r="J761" s="524">
        <f>J759-J762</f>
        <v>480003503.49000007</v>
      </c>
      <c r="K761" s="613">
        <f>K759-K762</f>
        <v>454844644.66000003</v>
      </c>
      <c r="L761" s="571">
        <f>K761-J761</f>
        <v>-25158858.830000043</v>
      </c>
      <c r="M761" s="565">
        <f t="shared" ref="M761:M762" si="153">J761/G761%</f>
        <v>113.48388455686356</v>
      </c>
      <c r="N761" s="565">
        <f t="shared" si="145"/>
        <v>107.53575082390709</v>
      </c>
    </row>
    <row r="762" spans="1:14" x14ac:dyDescent="0.3">
      <c r="A762" s="475"/>
      <c r="B762" s="476"/>
      <c r="C762" s="476"/>
      <c r="D762" s="555" t="s">
        <v>970</v>
      </c>
      <c r="E762" s="556"/>
      <c r="F762" s="556"/>
      <c r="G762" s="522">
        <v>619039793.53999996</v>
      </c>
      <c r="H762" s="478"/>
      <c r="I762" s="477">
        <f>'[2]прил 12'!F686</f>
        <v>482120951.43599993</v>
      </c>
      <c r="J762" s="524">
        <f>J46+J134+J139+J142+J147+J152+J157+J166+J187+J193+J207+J262+J269+J298+J307+J315+J327+J359+J367+J377+J408+J415+J418+J434+J445+J452+J455+J472+J478+J488+J494+J558+J577+J591+J597+J600+J613+J623+J626+J667+J702+J709+J725-135113.43-173500-32776.18-69324.76-33081.95-186904.51</f>
        <v>521445146.90000004</v>
      </c>
      <c r="K762" s="613">
        <f>K46+K134+K139+K142+K147+K152+K157+K166+K187+K193+K207+K262+K269+K298+K307+K315+K327+K359+K367+K377+K408+K415+K418+K434+K445+K452+K455+K472+K478+K488+K494+K558+K577+K591+K597+K600+K613+K623+K626+K667+K702+K709+K725-135113.43-173500-32776.18-69324.76-33081.95-186904.51</f>
        <v>521349459.24000007</v>
      </c>
      <c r="L762" s="480"/>
      <c r="M762" s="565">
        <f t="shared" si="153"/>
        <v>84.234511632620311</v>
      </c>
      <c r="N762" s="565">
        <f t="shared" si="145"/>
        <v>84.219054199835128</v>
      </c>
    </row>
    <row r="763" spans="1:14" x14ac:dyDescent="0.3">
      <c r="A763" s="475"/>
      <c r="B763" s="476"/>
      <c r="C763" s="476"/>
      <c r="D763" s="555" t="s">
        <v>978</v>
      </c>
      <c r="E763" s="556"/>
      <c r="F763" s="556"/>
      <c r="G763" s="522"/>
      <c r="H763" s="478"/>
      <c r="I763" s="477">
        <f>'[2]прил 12'!F687</f>
        <v>10670450</v>
      </c>
      <c r="J763" s="526"/>
      <c r="K763" s="614"/>
      <c r="L763" s="479"/>
    </row>
    <row r="764" spans="1:14" x14ac:dyDescent="0.3">
      <c r="A764" s="475"/>
      <c r="B764" s="476"/>
      <c r="C764" s="476"/>
      <c r="D764" s="555" t="s">
        <v>971</v>
      </c>
      <c r="E764" s="556"/>
      <c r="F764" s="556"/>
      <c r="G764" s="522">
        <f>G761+G762</f>
        <v>1042010425.3299999</v>
      </c>
      <c r="H764" s="478"/>
      <c r="I764" s="477">
        <f>I761+I762</f>
        <v>908938951.43599987</v>
      </c>
      <c r="J764" s="524">
        <f>J761+J762</f>
        <v>1001448650.3900001</v>
      </c>
      <c r="K764" s="615">
        <f>K761+K762</f>
        <v>976194103.9000001</v>
      </c>
      <c r="L764" s="479"/>
    </row>
    <row r="765" spans="1:14" x14ac:dyDescent="0.3">
      <c r="A765" s="475"/>
      <c r="B765" s="476"/>
      <c r="C765" s="476"/>
      <c r="D765" s="555"/>
      <c r="E765" s="556"/>
      <c r="F765" s="556"/>
      <c r="G765" s="522"/>
      <c r="H765" s="478"/>
      <c r="I765" s="477"/>
      <c r="J765" s="526">
        <v>164499000</v>
      </c>
      <c r="K765" s="614"/>
      <c r="L765" s="479"/>
    </row>
    <row r="766" spans="1:14" s="495" customFormat="1" x14ac:dyDescent="0.3">
      <c r="A766" s="475"/>
      <c r="B766" s="476"/>
      <c r="C766" s="476"/>
      <c r="D766" s="555"/>
      <c r="E766" s="556"/>
      <c r="F766" s="556"/>
      <c r="G766" s="522"/>
      <c r="H766" s="478"/>
      <c r="I766" s="477"/>
      <c r="J766" s="526">
        <v>250588957</v>
      </c>
      <c r="K766" s="614"/>
      <c r="L766" s="479"/>
    </row>
    <row r="767" spans="1:14" s="495" customFormat="1" x14ac:dyDescent="0.3">
      <c r="A767" s="475"/>
      <c r="B767" s="476"/>
      <c r="C767" s="476"/>
      <c r="D767" s="555"/>
      <c r="E767" s="556"/>
      <c r="F767" s="556"/>
      <c r="G767" s="522"/>
      <c r="H767" s="478"/>
      <c r="I767" s="477"/>
      <c r="J767" s="526">
        <v>37439000</v>
      </c>
      <c r="K767" s="614"/>
      <c r="L767" s="479"/>
    </row>
    <row r="768" spans="1:14" s="495" customFormat="1" x14ac:dyDescent="0.3">
      <c r="A768" s="419"/>
      <c r="B768" s="420"/>
      <c r="C768" s="420"/>
      <c r="D768" s="557"/>
      <c r="E768" s="500"/>
      <c r="F768" s="500"/>
      <c r="G768" s="528"/>
      <c r="H768" s="482"/>
      <c r="I768" s="481"/>
      <c r="J768" s="528"/>
      <c r="K768" s="599"/>
      <c r="L768" s="391"/>
    </row>
    <row r="769" spans="1:12" s="495" customFormat="1" x14ac:dyDescent="0.3">
      <c r="A769" s="419"/>
      <c r="B769" s="420"/>
      <c r="C769" s="420"/>
      <c r="D769" s="558" t="s">
        <v>875</v>
      </c>
      <c r="E769" s="500"/>
      <c r="F769" s="500"/>
      <c r="G769" s="528" t="e">
        <f>'[2]прил 7'!C14+'[2]прил 7'!C43</f>
        <v>#REF!</v>
      </c>
      <c r="H769" s="482"/>
      <c r="I769" s="481">
        <f>'[2]прил 7'!D14+'[2]прил 7'!D43</f>
        <v>0</v>
      </c>
      <c r="J769" s="528">
        <f>'[2]прил 7'!E14+'[2]прил 7'!E43</f>
        <v>0</v>
      </c>
      <c r="K769" s="599"/>
      <c r="L769" s="391"/>
    </row>
    <row r="770" spans="1:12" s="495" customFormat="1" x14ac:dyDescent="0.3">
      <c r="A770" s="419"/>
      <c r="B770" s="420"/>
      <c r="C770" s="420"/>
      <c r="D770" s="557"/>
      <c r="E770" s="500"/>
      <c r="F770" s="500"/>
      <c r="G770" s="529" t="e">
        <f>G769-G759</f>
        <v>#REF!</v>
      </c>
      <c r="H770" s="484"/>
      <c r="I770" s="483" t="e">
        <f>I769-I759</f>
        <v>#REF!</v>
      </c>
      <c r="J770" s="529">
        <f>J769-J759</f>
        <v>-1001448650.3900001</v>
      </c>
      <c r="K770" s="599"/>
      <c r="L770" s="391"/>
    </row>
    <row r="771" spans="1:12" s="495" customFormat="1" x14ac:dyDescent="0.3">
      <c r="A771" s="419"/>
      <c r="B771" s="420"/>
      <c r="C771" s="420"/>
      <c r="D771" s="557"/>
      <c r="E771" s="500"/>
      <c r="F771" s="500"/>
      <c r="G771" s="529" t="e">
        <f>'[2]прил 7'!C73-G759</f>
        <v>#REF!</v>
      </c>
      <c r="H771" s="484"/>
      <c r="I771" s="483" t="e">
        <f>'[2]прил 7'!D73-I759</f>
        <v>#REF!</v>
      </c>
      <c r="J771" s="529">
        <f>'[2]прил 7'!E73-J759</f>
        <v>-1001448650.3900001</v>
      </c>
      <c r="K771" s="599"/>
      <c r="L771" s="391"/>
    </row>
    <row r="772" spans="1:12" s="495" customFormat="1" x14ac:dyDescent="0.3">
      <c r="A772" s="419"/>
      <c r="B772" s="420"/>
      <c r="C772" s="474" t="s">
        <v>8</v>
      </c>
      <c r="D772" s="557"/>
      <c r="E772" s="500"/>
      <c r="F772" s="500"/>
      <c r="G772" s="528">
        <f>G8+G30++G513+G735</f>
        <v>124203453.10000001</v>
      </c>
      <c r="H772" s="482"/>
      <c r="I772" s="481">
        <f>I8+I30++I513+I735</f>
        <v>114096497.84</v>
      </c>
      <c r="J772" s="528">
        <f>J8+J30++J513+J735</f>
        <v>139360238.30000001</v>
      </c>
      <c r="K772" s="599"/>
      <c r="L772" s="391"/>
    </row>
    <row r="773" spans="1:12" s="495" customFormat="1" x14ac:dyDescent="0.3">
      <c r="A773" s="419"/>
      <c r="B773" s="420"/>
      <c r="C773" s="474" t="s">
        <v>26</v>
      </c>
      <c r="D773" s="557"/>
      <c r="E773" s="500"/>
      <c r="F773" s="500"/>
      <c r="G773" s="528">
        <f>G162</f>
        <v>1626656</v>
      </c>
      <c r="H773" s="482"/>
      <c r="I773" s="481">
        <f>I162</f>
        <v>1700240</v>
      </c>
      <c r="J773" s="528">
        <f>J162</f>
        <v>1951380</v>
      </c>
      <c r="K773" s="599"/>
      <c r="L773" s="391"/>
    </row>
    <row r="774" spans="1:12" s="495" customFormat="1" x14ac:dyDescent="0.3">
      <c r="A774" s="419"/>
      <c r="B774" s="420"/>
      <c r="C774" s="474" t="s">
        <v>42</v>
      </c>
      <c r="D774" s="557"/>
      <c r="E774" s="500"/>
      <c r="F774" s="500"/>
      <c r="G774" s="528">
        <f>G172</f>
        <v>991747.04</v>
      </c>
      <c r="H774" s="482"/>
      <c r="I774" s="481">
        <f>I172</f>
        <v>400000</v>
      </c>
      <c r="J774" s="528">
        <f>J172</f>
        <v>1805000</v>
      </c>
      <c r="K774" s="599"/>
      <c r="L774" s="391"/>
    </row>
    <row r="775" spans="1:12" s="495" customFormat="1" x14ac:dyDescent="0.3">
      <c r="A775" s="419"/>
      <c r="B775" s="420"/>
      <c r="C775" s="474" t="s">
        <v>46</v>
      </c>
      <c r="D775" s="557"/>
      <c r="E775" s="500"/>
      <c r="F775" s="500"/>
      <c r="G775" s="528">
        <f>G183</f>
        <v>29347683.93</v>
      </c>
      <c r="H775" s="482"/>
      <c r="I775" s="481">
        <f>I183</f>
        <v>14114514.17</v>
      </c>
      <c r="J775" s="528">
        <f>J183</f>
        <v>16168133.93</v>
      </c>
      <c r="K775" s="599"/>
      <c r="L775" s="391"/>
    </row>
    <row r="776" spans="1:12" s="495" customFormat="1" x14ac:dyDescent="0.3">
      <c r="A776" s="419"/>
      <c r="B776" s="420"/>
      <c r="C776" s="474" t="s">
        <v>55</v>
      </c>
      <c r="D776" s="557"/>
      <c r="E776" s="500"/>
      <c r="F776" s="500"/>
      <c r="G776" s="528">
        <f>G228</f>
        <v>125299209.63000001</v>
      </c>
      <c r="H776" s="482"/>
      <c r="I776" s="481">
        <f>I228</f>
        <v>48705734.209999993</v>
      </c>
      <c r="J776" s="528">
        <f>J228</f>
        <v>62278269.760000005</v>
      </c>
      <c r="K776" s="599"/>
      <c r="L776" s="391"/>
    </row>
    <row r="777" spans="1:12" s="495" customFormat="1" x14ac:dyDescent="0.3">
      <c r="A777" s="419"/>
      <c r="B777" s="420"/>
      <c r="C777" s="474" t="s">
        <v>65</v>
      </c>
      <c r="D777" s="557"/>
      <c r="E777" s="500"/>
      <c r="F777" s="500"/>
      <c r="G777" s="528">
        <f>G333</f>
        <v>555000</v>
      </c>
      <c r="H777" s="482"/>
      <c r="I777" s="481">
        <f>I333</f>
        <v>515000</v>
      </c>
      <c r="J777" s="528">
        <f>J333</f>
        <v>515000</v>
      </c>
      <c r="K777" s="599"/>
      <c r="L777" s="391"/>
    </row>
    <row r="778" spans="1:12" s="495" customFormat="1" x14ac:dyDescent="0.3">
      <c r="A778" s="419"/>
      <c r="B778" s="420"/>
      <c r="C778" s="474" t="s">
        <v>70</v>
      </c>
      <c r="D778" s="557"/>
      <c r="E778" s="500"/>
      <c r="F778" s="500"/>
      <c r="G778" s="528">
        <f>G349+G550</f>
        <v>659141952.93000007</v>
      </c>
      <c r="H778" s="482"/>
      <c r="I778" s="481" t="e">
        <f>I349+I550</f>
        <v>#REF!</v>
      </c>
      <c r="J778" s="528">
        <f>J349+J550</f>
        <v>631678734.47000003</v>
      </c>
      <c r="K778" s="599"/>
      <c r="L778" s="391"/>
    </row>
    <row r="779" spans="1:12" s="495" customFormat="1" x14ac:dyDescent="0.3">
      <c r="A779" s="419"/>
      <c r="B779" s="420"/>
      <c r="C779" s="474" t="s">
        <v>80</v>
      </c>
      <c r="D779" s="557"/>
      <c r="E779" s="500"/>
      <c r="F779" s="500"/>
      <c r="G779" s="528">
        <f>G370</f>
        <v>41452318.13000001</v>
      </c>
      <c r="H779" s="482"/>
      <c r="I779" s="481">
        <f>I370</f>
        <v>39865848.490000002</v>
      </c>
      <c r="J779" s="528">
        <f>J370</f>
        <v>43751559.600000001</v>
      </c>
      <c r="K779" s="599"/>
      <c r="L779" s="391"/>
    </row>
    <row r="780" spans="1:12" s="495" customFormat="1" x14ac:dyDescent="0.3">
      <c r="A780" s="419"/>
      <c r="B780" s="420"/>
      <c r="C780" s="474" t="s">
        <v>86</v>
      </c>
      <c r="D780" s="557"/>
      <c r="E780" s="500"/>
      <c r="F780" s="500"/>
      <c r="G780" s="530">
        <f>G421+G698</f>
        <v>58858914.619999997</v>
      </c>
      <c r="H780" s="486"/>
      <c r="I780" s="485">
        <f>I421+I698</f>
        <v>69985693.950000003</v>
      </c>
      <c r="J780" s="530">
        <f>J421+J698</f>
        <v>96001620.789999992</v>
      </c>
      <c r="K780" s="599"/>
      <c r="L780" s="391"/>
    </row>
    <row r="781" spans="1:12" s="495" customFormat="1" x14ac:dyDescent="0.3">
      <c r="A781" s="419"/>
      <c r="B781" s="420"/>
      <c r="C781" s="474" t="s">
        <v>101</v>
      </c>
      <c r="D781" s="557"/>
      <c r="E781" s="500"/>
      <c r="F781" s="500"/>
      <c r="G781" s="528">
        <f>G457+G714</f>
        <v>13240870.23</v>
      </c>
      <c r="H781" s="482"/>
      <c r="I781" s="481">
        <f>I457+I714</f>
        <v>2332029.4</v>
      </c>
      <c r="J781" s="528">
        <f>J457+J714</f>
        <v>4581713.54</v>
      </c>
      <c r="K781" s="599"/>
      <c r="L781" s="391"/>
    </row>
    <row r="782" spans="1:12" x14ac:dyDescent="0.3">
      <c r="C782" s="474" t="s">
        <v>104</v>
      </c>
      <c r="G782" s="528">
        <f>G505</f>
        <v>3357000</v>
      </c>
      <c r="I782" s="481">
        <f>I505</f>
        <v>2500000</v>
      </c>
      <c r="J782" s="528">
        <f>J505</f>
        <v>3357000</v>
      </c>
    </row>
    <row r="783" spans="1:12" x14ac:dyDescent="0.3">
      <c r="A783" s="487"/>
      <c r="G783" s="531">
        <f>SUBTOTAL(9,G772:G782)</f>
        <v>1058074805.6100001</v>
      </c>
      <c r="H783" s="489"/>
      <c r="I783" s="488" t="e">
        <f>SUBTOTAL(9,I772:I782)</f>
        <v>#REF!</v>
      </c>
      <c r="J783" s="531">
        <f>SUBTOTAL(9,J772:J782)</f>
        <v>1001448650.39</v>
      </c>
    </row>
    <row r="785" spans="1:13" x14ac:dyDescent="0.3">
      <c r="D785" s="554" t="s">
        <v>876</v>
      </c>
      <c r="G785" s="528">
        <f>G552+G588+G634+G660+G679+G700+G706</f>
        <v>644147559.35000002</v>
      </c>
      <c r="I785" s="481" t="e">
        <f>I552+I588+I634+I660+I679+I700+I706</f>
        <v>#REF!</v>
      </c>
      <c r="J785" s="528">
        <f>J552+J588+J634+J660+J679+J700+J706</f>
        <v>611858670.23000002</v>
      </c>
    </row>
    <row r="786" spans="1:13" x14ac:dyDescent="0.3">
      <c r="D786" s="554" t="s">
        <v>877</v>
      </c>
      <c r="G786" s="532">
        <f>G351+G372+G402</f>
        <v>58768849.760000005</v>
      </c>
      <c r="H786" s="491"/>
      <c r="I786" s="490">
        <f>I351+I372+I402</f>
        <v>59972938.369999997</v>
      </c>
      <c r="J786" s="532">
        <f>J351+J372+J402</f>
        <v>66781328.439999998</v>
      </c>
    </row>
    <row r="787" spans="1:13" x14ac:dyDescent="0.3">
      <c r="D787" s="554" t="s">
        <v>878</v>
      </c>
      <c r="G787" s="532">
        <f>G335</f>
        <v>470000</v>
      </c>
      <c r="H787" s="491"/>
      <c r="I787" s="490">
        <f>I335</f>
        <v>470000</v>
      </c>
      <c r="J787" s="532">
        <f>J335</f>
        <v>470000</v>
      </c>
    </row>
    <row r="788" spans="1:13" x14ac:dyDescent="0.3">
      <c r="D788" s="554" t="s">
        <v>879</v>
      </c>
      <c r="G788" s="528">
        <f>G459+G716</f>
        <v>13190870.23</v>
      </c>
      <c r="I788" s="481">
        <f>I459+I716</f>
        <v>2282029.4</v>
      </c>
      <c r="J788" s="528">
        <f>J459+J716</f>
        <v>4531713.54</v>
      </c>
    </row>
    <row r="789" spans="1:13" x14ac:dyDescent="0.3">
      <c r="D789" s="554" t="s">
        <v>880</v>
      </c>
      <c r="G789" s="528">
        <f>G428</f>
        <v>150000</v>
      </c>
      <c r="I789" s="481">
        <f>I428</f>
        <v>150000</v>
      </c>
      <c r="J789" s="528">
        <f>J428</f>
        <v>150000</v>
      </c>
    </row>
    <row r="790" spans="1:13" x14ac:dyDescent="0.3">
      <c r="D790" s="554" t="s">
        <v>881</v>
      </c>
      <c r="G790" s="528">
        <f>G19+G60+G535</f>
        <v>23565855</v>
      </c>
      <c r="I790" s="481">
        <f>I19+I60+I535</f>
        <v>25122401.030000001</v>
      </c>
      <c r="J790" s="528">
        <f>J19+J60+J535</f>
        <v>26677664</v>
      </c>
    </row>
    <row r="791" spans="1:13" x14ac:dyDescent="0.3">
      <c r="D791" s="554" t="s">
        <v>882</v>
      </c>
      <c r="G791" s="528">
        <f>G241+G273+G325</f>
        <v>69475792.460000008</v>
      </c>
      <c r="I791" s="481">
        <f>I241+I273+I325</f>
        <v>17293288.939999998</v>
      </c>
      <c r="J791" s="528">
        <f>J241+J273+J325</f>
        <v>37188514.200000003</v>
      </c>
    </row>
    <row r="792" spans="1:13" x14ac:dyDescent="0.3">
      <c r="D792" s="554" t="s">
        <v>883</v>
      </c>
      <c r="G792" s="528">
        <f>G85</f>
        <v>50000</v>
      </c>
      <c r="I792" s="481">
        <f>I85</f>
        <v>50000</v>
      </c>
      <c r="J792" s="528">
        <f>J85</f>
        <v>50000</v>
      </c>
    </row>
    <row r="793" spans="1:13" x14ac:dyDescent="0.3">
      <c r="D793" s="554" t="s">
        <v>884</v>
      </c>
      <c r="G793" s="528">
        <f>G214</f>
        <v>100000</v>
      </c>
      <c r="I793" s="481">
        <f>I214</f>
        <v>100000</v>
      </c>
      <c r="J793" s="528">
        <f>J214</f>
        <v>100000</v>
      </c>
    </row>
    <row r="794" spans="1:13" s="392" customFormat="1" x14ac:dyDescent="0.3">
      <c r="A794" s="419"/>
      <c r="B794" s="420"/>
      <c r="C794" s="420"/>
      <c r="D794" s="554" t="s">
        <v>885</v>
      </c>
      <c r="E794" s="500"/>
      <c r="F794" s="500"/>
      <c r="G794" s="528">
        <f>G433</f>
        <v>1276800</v>
      </c>
      <c r="H794" s="482"/>
      <c r="I794" s="481">
        <f>I433</f>
        <v>735609.95</v>
      </c>
      <c r="J794" s="528">
        <f>J433</f>
        <v>734438.26</v>
      </c>
      <c r="K794" s="599"/>
      <c r="L794" s="391"/>
      <c r="M794" s="495"/>
    </row>
    <row r="795" spans="1:13" s="392" customFormat="1" x14ac:dyDescent="0.3">
      <c r="A795" s="419"/>
      <c r="B795" s="420"/>
      <c r="C795" s="420"/>
      <c r="D795" s="554" t="s">
        <v>886</v>
      </c>
      <c r="E795" s="500"/>
      <c r="F795" s="500"/>
      <c r="G795" s="528">
        <f>G24+G90+G507</f>
        <v>5979054</v>
      </c>
      <c r="H795" s="482"/>
      <c r="I795" s="481">
        <f>I24+I90+I507</f>
        <v>4521373.5</v>
      </c>
      <c r="J795" s="528">
        <f>J24+J90+J507</f>
        <v>11050226</v>
      </c>
      <c r="K795" s="599"/>
      <c r="L795" s="391"/>
      <c r="M795" s="495"/>
    </row>
    <row r="796" spans="1:13" s="392" customFormat="1" x14ac:dyDescent="0.3">
      <c r="A796" s="419"/>
      <c r="B796" s="420"/>
      <c r="C796" s="420"/>
      <c r="D796" s="554" t="s">
        <v>887</v>
      </c>
      <c r="E796" s="500"/>
      <c r="F796" s="500"/>
      <c r="G796" s="528">
        <f>G202</f>
        <v>24051150</v>
      </c>
      <c r="H796" s="482"/>
      <c r="I796" s="481">
        <f>I202</f>
        <v>13157000</v>
      </c>
      <c r="J796" s="528">
        <f>J202</f>
        <v>13057000</v>
      </c>
      <c r="K796" s="599"/>
      <c r="L796" s="391"/>
      <c r="M796" s="495"/>
    </row>
    <row r="797" spans="1:13" s="392" customFormat="1" x14ac:dyDescent="0.3">
      <c r="A797" s="419"/>
      <c r="B797" s="420"/>
      <c r="C797" s="420"/>
      <c r="D797" s="554" t="s">
        <v>888</v>
      </c>
      <c r="E797" s="500"/>
      <c r="F797" s="500"/>
      <c r="G797" s="528">
        <f>G344</f>
        <v>85000</v>
      </c>
      <c r="H797" s="482"/>
      <c r="I797" s="481">
        <f>I344</f>
        <v>45000</v>
      </c>
      <c r="J797" s="528">
        <f>J344</f>
        <v>45000</v>
      </c>
      <c r="K797" s="599"/>
      <c r="L797" s="391"/>
      <c r="M797" s="495"/>
    </row>
    <row r="798" spans="1:13" s="392" customFormat="1" x14ac:dyDescent="0.3">
      <c r="A798" s="419"/>
      <c r="B798" s="420"/>
      <c r="C798" s="420"/>
      <c r="D798" s="554" t="s">
        <v>889</v>
      </c>
      <c r="E798" s="500"/>
      <c r="F798" s="500"/>
      <c r="G798" s="528">
        <f>G219</f>
        <v>3970400</v>
      </c>
      <c r="H798" s="482"/>
      <c r="I798" s="481">
        <f>I219</f>
        <v>430000</v>
      </c>
      <c r="J798" s="528">
        <f>J219</f>
        <v>1785000</v>
      </c>
      <c r="K798" s="599"/>
      <c r="L798" s="391"/>
      <c r="M798" s="495"/>
    </row>
    <row r="799" spans="1:13" s="392" customFormat="1" x14ac:dyDescent="0.3">
      <c r="A799" s="419"/>
      <c r="B799" s="420"/>
      <c r="C799" s="420"/>
      <c r="D799" s="554" t="s">
        <v>890</v>
      </c>
      <c r="E799" s="500"/>
      <c r="F799" s="500"/>
      <c r="G799" s="528">
        <f>G98+G230+G413</f>
        <v>10156930.949999999</v>
      </c>
      <c r="H799" s="482"/>
      <c r="I799" s="481">
        <f>I98+I230+I413</f>
        <v>7503364.5600000005</v>
      </c>
      <c r="J799" s="528">
        <f>J98+J230+J413</f>
        <v>8483649.4000000004</v>
      </c>
      <c r="K799" s="599"/>
      <c r="L799" s="391"/>
      <c r="M799" s="495"/>
    </row>
    <row r="800" spans="1:13" s="392" customFormat="1" x14ac:dyDescent="0.3">
      <c r="A800" s="419"/>
      <c r="B800" s="420"/>
      <c r="C800" s="420"/>
      <c r="D800" s="554" t="s">
        <v>895</v>
      </c>
      <c r="E800" s="500"/>
      <c r="F800" s="500"/>
      <c r="G800" s="528">
        <f>G196</f>
        <v>100000</v>
      </c>
      <c r="H800" s="482"/>
      <c r="I800" s="481">
        <f>I196</f>
        <v>100000</v>
      </c>
      <c r="J800" s="528">
        <f>J196</f>
        <v>100000</v>
      </c>
      <c r="K800" s="599"/>
      <c r="L800" s="391"/>
      <c r="M800" s="495"/>
    </row>
    <row r="801" spans="1:13" s="392" customFormat="1" x14ac:dyDescent="0.3">
      <c r="A801" s="419"/>
      <c r="B801" s="420"/>
      <c r="C801" s="420"/>
      <c r="D801" s="554" t="s">
        <v>891</v>
      </c>
      <c r="E801" s="500"/>
      <c r="F801" s="500"/>
      <c r="G801" s="528">
        <f>G500</f>
        <v>50000</v>
      </c>
      <c r="H801" s="482"/>
      <c r="I801" s="481">
        <f>I500</f>
        <v>50000</v>
      </c>
      <c r="J801" s="528">
        <f>J500</f>
        <v>50000</v>
      </c>
      <c r="K801" s="599"/>
      <c r="L801" s="391"/>
      <c r="M801" s="495"/>
    </row>
    <row r="802" spans="1:13" s="392" customFormat="1" x14ac:dyDescent="0.3">
      <c r="A802" s="419"/>
      <c r="B802" s="420"/>
      <c r="C802" s="420"/>
      <c r="D802" s="554" t="s">
        <v>892</v>
      </c>
      <c r="E802" s="500"/>
      <c r="F802" s="500"/>
      <c r="G802" s="528">
        <f>G287</f>
        <v>35927589.960000001</v>
      </c>
      <c r="H802" s="482"/>
      <c r="I802" s="481">
        <f>I287</f>
        <v>8938369</v>
      </c>
      <c r="J802" s="528">
        <f>J287</f>
        <v>9414506.0600000005</v>
      </c>
      <c r="K802" s="599"/>
      <c r="L802" s="391"/>
      <c r="M802" s="495"/>
    </row>
    <row r="803" spans="1:13" s="392" customFormat="1" x14ac:dyDescent="0.3">
      <c r="A803" s="419"/>
      <c r="B803" s="420"/>
      <c r="C803" s="420"/>
      <c r="D803" s="554" t="s">
        <v>893</v>
      </c>
      <c r="E803" s="500"/>
      <c r="F803" s="500"/>
      <c r="G803" s="528">
        <f>G304</f>
        <v>15345827.210000001</v>
      </c>
      <c r="H803" s="482"/>
      <c r="I803" s="481">
        <f>I304</f>
        <v>19974076.27</v>
      </c>
      <c r="J803" s="528">
        <f>J304</f>
        <v>13175249.5</v>
      </c>
      <c r="K803" s="599"/>
      <c r="L803" s="391"/>
      <c r="M803" s="495"/>
    </row>
    <row r="804" spans="1:13" s="392" customFormat="1" x14ac:dyDescent="0.3">
      <c r="A804" s="419"/>
      <c r="B804" s="420"/>
      <c r="C804" s="420"/>
      <c r="D804" s="554" t="s">
        <v>977</v>
      </c>
      <c r="E804" s="500"/>
      <c r="F804" s="500"/>
      <c r="G804" s="528">
        <v>50000</v>
      </c>
      <c r="H804" s="482"/>
      <c r="I804" s="481"/>
      <c r="J804" s="528"/>
      <c r="K804" s="599"/>
      <c r="L804" s="391"/>
      <c r="M804" s="495"/>
    </row>
    <row r="805" spans="1:13" s="392" customFormat="1" x14ac:dyDescent="0.3">
      <c r="A805" s="419"/>
      <c r="B805" s="420"/>
      <c r="C805" s="420"/>
      <c r="D805" s="554" t="s">
        <v>894</v>
      </c>
      <c r="E805" s="500"/>
      <c r="F805" s="500"/>
      <c r="G805" s="528">
        <f>G10+G32+G37+G44+G50+G55+G110+G164+G174+G179+G185+G191+G235+G423+G438+G443+G515+G530+G540+G737</f>
        <v>151163126.69</v>
      </c>
      <c r="H805" s="482"/>
      <c r="I805" s="481">
        <f>I10+I32+I37+I44+I50+I55+I110+I164+I174+I179+I185+I191+I235+I423+I438+I443+I515+I530+I540+I737</f>
        <v>152341492.47999999</v>
      </c>
      <c r="J805" s="528">
        <f>J10+J32+J37+J44+J50+J55+J110+J164+J174+J179+J185+J191+J235+J423+J438+J443+J515+J530+J540+J737</f>
        <v>195475380.75999999</v>
      </c>
      <c r="K805" s="599"/>
      <c r="L805" s="391"/>
      <c r="M805" s="495"/>
    </row>
    <row r="806" spans="1:13" s="392" customFormat="1" x14ac:dyDescent="0.3">
      <c r="A806" s="419"/>
      <c r="B806" s="420"/>
      <c r="C806" s="420"/>
      <c r="D806" s="500"/>
      <c r="E806" s="500"/>
      <c r="F806" s="500"/>
      <c r="G806" s="531">
        <f>SUBTOTAL(9,G785:G805)</f>
        <v>1058074805.6100001</v>
      </c>
      <c r="H806" s="489"/>
      <c r="I806" s="488" t="e">
        <f>SUBTOTAL(9,I785:I805)</f>
        <v>#REF!</v>
      </c>
      <c r="J806" s="531">
        <f>SUBTOTAL(9,J785:J805)</f>
        <v>1001178340.39</v>
      </c>
      <c r="K806" s="599"/>
      <c r="L806" s="391"/>
      <c r="M806" s="495"/>
    </row>
    <row r="807" spans="1:13" s="392" customFormat="1" x14ac:dyDescent="0.3">
      <c r="A807" s="419"/>
      <c r="B807" s="420" t="s">
        <v>896</v>
      </c>
      <c r="C807" s="420"/>
      <c r="D807" s="500"/>
      <c r="E807" s="500"/>
      <c r="F807" s="500"/>
      <c r="G807" s="531">
        <f>G426+G449</f>
        <v>25582766.18</v>
      </c>
      <c r="H807" s="489"/>
      <c r="I807" s="488">
        <f>I426+I449</f>
        <v>25861130.34</v>
      </c>
      <c r="J807" s="531">
        <f>J426+J449</f>
        <v>39431638.340000004</v>
      </c>
      <c r="K807" s="599"/>
      <c r="L807" s="391"/>
      <c r="M807" s="495"/>
    </row>
    <row r="809" spans="1:13" s="392" customFormat="1" x14ac:dyDescent="0.3">
      <c r="A809" s="419"/>
      <c r="B809" s="420" t="s">
        <v>774</v>
      </c>
      <c r="C809" s="420"/>
      <c r="D809" s="500"/>
      <c r="E809" s="500"/>
      <c r="F809" s="500"/>
      <c r="G809" s="528">
        <f>G11+G33+G38+G51+G114+G516+G519+G526+G681+G738+G741</f>
        <v>79038115.810000002</v>
      </c>
      <c r="H809" s="482"/>
      <c r="I809" s="481"/>
      <c r="J809" s="528"/>
      <c r="K809" s="599"/>
      <c r="L809" s="391"/>
      <c r="M809" s="495"/>
    </row>
    <row r="810" spans="1:13" s="482" customFormat="1" x14ac:dyDescent="0.3">
      <c r="A810" s="487" t="s">
        <v>775</v>
      </c>
      <c r="B810" s="420"/>
      <c r="C810" s="492">
        <v>25.55</v>
      </c>
      <c r="D810" s="500"/>
      <c r="E810" s="500"/>
      <c r="F810" s="500"/>
      <c r="G810" s="528">
        <f>'[2]прил 7'!C14*25.55%</f>
        <v>108068996.42234501</v>
      </c>
      <c r="I810" s="481"/>
      <c r="J810" s="528"/>
      <c r="K810" s="599"/>
      <c r="L810" s="391"/>
      <c r="M810" s="497"/>
    </row>
    <row r="811" spans="1:13" s="482" customFormat="1" x14ac:dyDescent="0.3">
      <c r="A811" s="487" t="s">
        <v>776</v>
      </c>
      <c r="B811" s="420"/>
      <c r="C811" s="420"/>
      <c r="D811" s="500"/>
      <c r="E811" s="500"/>
      <c r="F811" s="500"/>
      <c r="G811" s="528">
        <v>2136400</v>
      </c>
      <c r="I811" s="481"/>
      <c r="J811" s="528"/>
      <c r="K811" s="599"/>
      <c r="L811" s="391"/>
      <c r="M811" s="497"/>
    </row>
    <row r="812" spans="1:13" s="482" customFormat="1" x14ac:dyDescent="0.3">
      <c r="A812" s="487" t="s">
        <v>969</v>
      </c>
      <c r="B812" s="420"/>
      <c r="C812" s="420"/>
      <c r="D812" s="500"/>
      <c r="E812" s="500"/>
      <c r="F812" s="500"/>
      <c r="G812" s="528">
        <v>2136400</v>
      </c>
      <c r="I812" s="481"/>
      <c r="J812" s="528"/>
      <c r="K812" s="599"/>
      <c r="L812" s="391"/>
      <c r="M812" s="497"/>
    </row>
  </sheetData>
  <mergeCells count="3">
    <mergeCell ref="A2:G2"/>
    <mergeCell ref="A3:G3"/>
    <mergeCell ref="A4:G4"/>
  </mergeCells>
  <pageMargins left="0.25" right="0.25" top="0.75" bottom="0.75" header="0.3" footer="0.3"/>
  <pageSetup paperSize="9" scale="51" fitToHeight="0" orientation="portrait" r:id="rId1"/>
  <rowBreaks count="4" manualBreakCount="4">
    <brk id="95" max="13" man="1"/>
    <brk id="146" max="13" man="1"/>
    <brk id="427" max="13" man="1"/>
    <brk id="631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4.3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2"/>
  <sheetViews>
    <sheetView zoomScaleNormal="100" zoomScaleSheetLayoutView="89" workbookViewId="0">
      <selection activeCell="B16" sqref="B16"/>
    </sheetView>
  </sheetViews>
  <sheetFormatPr defaultRowHeight="18.350000000000001" x14ac:dyDescent="0.3"/>
  <cols>
    <col min="1" max="1" width="14.875" style="54" customWidth="1"/>
    <col min="2" max="2" width="40" style="54" customWidth="1"/>
    <col min="3" max="3" width="56.125" style="54" customWidth="1"/>
    <col min="4" max="14" width="9.125" style="54"/>
  </cols>
  <sheetData>
    <row r="1" spans="1:14" x14ac:dyDescent="0.3">
      <c r="C1" s="151" t="s">
        <v>433</v>
      </c>
      <c r="D1"/>
      <c r="E1"/>
      <c r="F1"/>
      <c r="G1"/>
      <c r="H1"/>
      <c r="I1"/>
      <c r="J1"/>
      <c r="K1"/>
      <c r="L1"/>
      <c r="M1"/>
      <c r="N1"/>
    </row>
    <row r="2" spans="1:14" x14ac:dyDescent="0.3">
      <c r="C2" s="150" t="s">
        <v>1053</v>
      </c>
      <c r="D2"/>
      <c r="E2"/>
      <c r="F2"/>
      <c r="G2"/>
      <c r="H2"/>
      <c r="I2"/>
      <c r="J2"/>
      <c r="K2"/>
      <c r="L2"/>
      <c r="M2"/>
      <c r="N2"/>
    </row>
    <row r="3" spans="1:14" x14ac:dyDescent="0.3">
      <c r="C3" s="150" t="s">
        <v>812</v>
      </c>
      <c r="D3"/>
      <c r="E3"/>
      <c r="F3"/>
      <c r="G3"/>
      <c r="H3"/>
      <c r="I3"/>
      <c r="J3"/>
      <c r="K3"/>
      <c r="L3"/>
      <c r="M3"/>
      <c r="N3"/>
    </row>
    <row r="4" spans="1:14" x14ac:dyDescent="0.3">
      <c r="C4" s="150" t="s">
        <v>1063</v>
      </c>
      <c r="D4"/>
      <c r="E4"/>
      <c r="F4"/>
      <c r="G4"/>
      <c r="H4"/>
      <c r="I4"/>
      <c r="J4"/>
      <c r="K4"/>
      <c r="L4"/>
      <c r="M4"/>
      <c r="N4"/>
    </row>
    <row r="5" spans="1:14" x14ac:dyDescent="0.3">
      <c r="A5" s="668" t="s">
        <v>813</v>
      </c>
      <c r="B5" s="668"/>
      <c r="C5" s="668"/>
      <c r="D5"/>
      <c r="E5"/>
      <c r="F5"/>
      <c r="G5"/>
      <c r="H5"/>
      <c r="I5"/>
      <c r="J5"/>
      <c r="K5"/>
      <c r="L5"/>
      <c r="M5"/>
      <c r="N5"/>
    </row>
    <row r="6" spans="1:14" x14ac:dyDescent="0.3">
      <c r="A6" s="669" t="s">
        <v>814</v>
      </c>
      <c r="B6" s="669"/>
      <c r="C6" s="669"/>
      <c r="D6"/>
      <c r="E6"/>
      <c r="F6"/>
      <c r="G6"/>
      <c r="H6"/>
      <c r="I6"/>
      <c r="J6"/>
      <c r="K6"/>
      <c r="L6"/>
      <c r="M6"/>
      <c r="N6"/>
    </row>
    <row r="7" spans="1:14" ht="21.25" customHeight="1" x14ac:dyDescent="0.3">
      <c r="A7" s="669" t="s">
        <v>542</v>
      </c>
      <c r="B7" s="669"/>
      <c r="C7" s="669"/>
      <c r="D7"/>
      <c r="E7"/>
      <c r="F7"/>
      <c r="G7"/>
      <c r="H7"/>
      <c r="I7"/>
      <c r="J7"/>
      <c r="K7"/>
      <c r="L7"/>
      <c r="M7"/>
      <c r="N7"/>
    </row>
    <row r="8" spans="1:14" x14ac:dyDescent="0.3">
      <c r="D8"/>
      <c r="E8"/>
      <c r="F8"/>
      <c r="G8"/>
      <c r="H8"/>
      <c r="I8"/>
      <c r="J8"/>
      <c r="K8"/>
      <c r="L8"/>
      <c r="M8"/>
      <c r="N8"/>
    </row>
    <row r="9" spans="1:14" ht="55.05" x14ac:dyDescent="0.25">
      <c r="A9" s="155" t="s">
        <v>815</v>
      </c>
      <c r="B9" s="155" t="s">
        <v>816</v>
      </c>
      <c r="C9" s="155" t="s">
        <v>242</v>
      </c>
      <c r="D9"/>
      <c r="E9"/>
      <c r="F9"/>
      <c r="G9"/>
      <c r="H9"/>
      <c r="I9"/>
      <c r="J9"/>
      <c r="K9"/>
      <c r="L9"/>
      <c r="M9"/>
      <c r="N9"/>
    </row>
    <row r="10" spans="1:14" ht="73.400000000000006" x14ac:dyDescent="0.3">
      <c r="A10" s="156">
        <v>955</v>
      </c>
      <c r="B10" s="157"/>
      <c r="C10" s="157" t="s">
        <v>817</v>
      </c>
      <c r="D10"/>
      <c r="E10"/>
      <c r="F10"/>
      <c r="G10"/>
      <c r="H10"/>
      <c r="I10"/>
      <c r="J10"/>
      <c r="K10"/>
      <c r="L10"/>
      <c r="M10"/>
      <c r="N10"/>
    </row>
    <row r="11" spans="1:14" ht="41.95" customHeight="1" x14ac:dyDescent="0.25">
      <c r="A11" s="156">
        <v>955</v>
      </c>
      <c r="B11" s="156" t="s">
        <v>819</v>
      </c>
      <c r="C11" s="158" t="s">
        <v>713</v>
      </c>
      <c r="D11"/>
      <c r="E11"/>
      <c r="F11"/>
      <c r="G11"/>
      <c r="H11"/>
      <c r="I11"/>
      <c r="J11"/>
      <c r="K11"/>
      <c r="L11"/>
      <c r="M11"/>
      <c r="N11"/>
    </row>
    <row r="12" spans="1:14" ht="55.05" x14ac:dyDescent="0.3">
      <c r="A12" s="156">
        <v>955</v>
      </c>
      <c r="B12" s="156" t="s">
        <v>818</v>
      </c>
      <c r="C12" s="157" t="s">
        <v>1082</v>
      </c>
      <c r="D12"/>
      <c r="E12"/>
      <c r="F12"/>
      <c r="G12"/>
      <c r="H12"/>
      <c r="I12"/>
      <c r="J12"/>
      <c r="K12"/>
      <c r="L12"/>
      <c r="M12"/>
      <c r="N12"/>
    </row>
  </sheetData>
  <mergeCells count="3">
    <mergeCell ref="A5:C5"/>
    <mergeCell ref="A6:C6"/>
    <mergeCell ref="A7:C7"/>
  </mergeCells>
  <pageMargins left="0.7" right="0.7" top="0.75" bottom="0.75" header="0.3" footer="0.3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79"/>
  <sheetViews>
    <sheetView view="pageBreakPreview" topLeftCell="A64" zoomScale="93" zoomScaleNormal="90" zoomScaleSheetLayoutView="93" workbookViewId="0">
      <selection activeCell="A43" sqref="A43"/>
    </sheetView>
  </sheetViews>
  <sheetFormatPr defaultRowHeight="15.65" outlineLevelRow="1" x14ac:dyDescent="0.25"/>
  <cols>
    <col min="1" max="1" width="31" style="237" customWidth="1"/>
    <col min="2" max="2" width="73.625" style="5" customWidth="1"/>
    <col min="3" max="3" width="21.375" style="5" customWidth="1"/>
    <col min="4" max="4" width="7" style="5" customWidth="1"/>
    <col min="5" max="5" width="5.375" style="5" customWidth="1"/>
    <col min="6" max="194" width="9.125" style="5"/>
    <col min="195" max="195" width="26.375" style="5" customWidth="1"/>
    <col min="196" max="196" width="78.375" style="5" customWidth="1"/>
    <col min="197" max="197" width="19.625" style="5" customWidth="1"/>
    <col min="198" max="256" width="9.125" style="5"/>
    <col min="257" max="257" width="24.375" style="5" customWidth="1"/>
    <col min="258" max="258" width="78.375" style="5" customWidth="1"/>
    <col min="259" max="259" width="18.125" style="5" customWidth="1"/>
    <col min="260" max="260" width="7" style="5" customWidth="1"/>
    <col min="261" max="261" width="5.375" style="5" customWidth="1"/>
    <col min="262" max="450" width="9.125" style="5"/>
    <col min="451" max="451" width="26.375" style="5" customWidth="1"/>
    <col min="452" max="452" width="78.375" style="5" customWidth="1"/>
    <col min="453" max="453" width="19.625" style="5" customWidth="1"/>
    <col min="454" max="512" width="9.125" style="5"/>
    <col min="513" max="513" width="24.375" style="5" customWidth="1"/>
    <col min="514" max="514" width="78.375" style="5" customWidth="1"/>
    <col min="515" max="515" width="18.125" style="5" customWidth="1"/>
    <col min="516" max="516" width="7" style="5" customWidth="1"/>
    <col min="517" max="517" width="5.375" style="5" customWidth="1"/>
    <col min="518" max="706" width="9.125" style="5"/>
    <col min="707" max="707" width="26.375" style="5" customWidth="1"/>
    <col min="708" max="708" width="78.375" style="5" customWidth="1"/>
    <col min="709" max="709" width="19.625" style="5" customWidth="1"/>
    <col min="710" max="768" width="9.125" style="5"/>
    <col min="769" max="769" width="24.375" style="5" customWidth="1"/>
    <col min="770" max="770" width="78.375" style="5" customWidth="1"/>
    <col min="771" max="771" width="18.125" style="5" customWidth="1"/>
    <col min="772" max="772" width="7" style="5" customWidth="1"/>
    <col min="773" max="773" width="5.375" style="5" customWidth="1"/>
    <col min="774" max="962" width="9.125" style="5"/>
    <col min="963" max="963" width="26.375" style="5" customWidth="1"/>
    <col min="964" max="964" width="78.375" style="5" customWidth="1"/>
    <col min="965" max="965" width="19.625" style="5" customWidth="1"/>
    <col min="966" max="1024" width="9.125" style="5"/>
    <col min="1025" max="1025" width="24.375" style="5" customWidth="1"/>
    <col min="1026" max="1026" width="78.375" style="5" customWidth="1"/>
    <col min="1027" max="1027" width="18.125" style="5" customWidth="1"/>
    <col min="1028" max="1028" width="7" style="5" customWidth="1"/>
    <col min="1029" max="1029" width="5.375" style="5" customWidth="1"/>
    <col min="1030" max="1218" width="9.125" style="5"/>
    <col min="1219" max="1219" width="26.375" style="5" customWidth="1"/>
    <col min="1220" max="1220" width="78.375" style="5" customWidth="1"/>
    <col min="1221" max="1221" width="19.625" style="5" customWidth="1"/>
    <col min="1222" max="1280" width="9.125" style="5"/>
    <col min="1281" max="1281" width="24.375" style="5" customWidth="1"/>
    <col min="1282" max="1282" width="78.375" style="5" customWidth="1"/>
    <col min="1283" max="1283" width="18.125" style="5" customWidth="1"/>
    <col min="1284" max="1284" width="7" style="5" customWidth="1"/>
    <col min="1285" max="1285" width="5.375" style="5" customWidth="1"/>
    <col min="1286" max="1474" width="9.125" style="5"/>
    <col min="1475" max="1475" width="26.375" style="5" customWidth="1"/>
    <col min="1476" max="1476" width="78.375" style="5" customWidth="1"/>
    <col min="1477" max="1477" width="19.625" style="5" customWidth="1"/>
    <col min="1478" max="1536" width="9.125" style="5"/>
    <col min="1537" max="1537" width="24.375" style="5" customWidth="1"/>
    <col min="1538" max="1538" width="78.375" style="5" customWidth="1"/>
    <col min="1539" max="1539" width="18.125" style="5" customWidth="1"/>
    <col min="1540" max="1540" width="7" style="5" customWidth="1"/>
    <col min="1541" max="1541" width="5.375" style="5" customWidth="1"/>
    <col min="1542" max="1730" width="9.125" style="5"/>
    <col min="1731" max="1731" width="26.375" style="5" customWidth="1"/>
    <col min="1732" max="1732" width="78.375" style="5" customWidth="1"/>
    <col min="1733" max="1733" width="19.625" style="5" customWidth="1"/>
    <col min="1734" max="1792" width="9.125" style="5"/>
    <col min="1793" max="1793" width="24.375" style="5" customWidth="1"/>
    <col min="1794" max="1794" width="78.375" style="5" customWidth="1"/>
    <col min="1795" max="1795" width="18.125" style="5" customWidth="1"/>
    <col min="1796" max="1796" width="7" style="5" customWidth="1"/>
    <col min="1797" max="1797" width="5.375" style="5" customWidth="1"/>
    <col min="1798" max="1986" width="9.125" style="5"/>
    <col min="1987" max="1987" width="26.375" style="5" customWidth="1"/>
    <col min="1988" max="1988" width="78.375" style="5" customWidth="1"/>
    <col min="1989" max="1989" width="19.625" style="5" customWidth="1"/>
    <col min="1990" max="2048" width="9.125" style="5"/>
    <col min="2049" max="2049" width="24.375" style="5" customWidth="1"/>
    <col min="2050" max="2050" width="78.375" style="5" customWidth="1"/>
    <col min="2051" max="2051" width="18.125" style="5" customWidth="1"/>
    <col min="2052" max="2052" width="7" style="5" customWidth="1"/>
    <col min="2053" max="2053" width="5.375" style="5" customWidth="1"/>
    <col min="2054" max="2242" width="9.125" style="5"/>
    <col min="2243" max="2243" width="26.375" style="5" customWidth="1"/>
    <col min="2244" max="2244" width="78.375" style="5" customWidth="1"/>
    <col min="2245" max="2245" width="19.625" style="5" customWidth="1"/>
    <col min="2246" max="2304" width="9.125" style="5"/>
    <col min="2305" max="2305" width="24.375" style="5" customWidth="1"/>
    <col min="2306" max="2306" width="78.375" style="5" customWidth="1"/>
    <col min="2307" max="2307" width="18.125" style="5" customWidth="1"/>
    <col min="2308" max="2308" width="7" style="5" customWidth="1"/>
    <col min="2309" max="2309" width="5.375" style="5" customWidth="1"/>
    <col min="2310" max="2498" width="9.125" style="5"/>
    <col min="2499" max="2499" width="26.375" style="5" customWidth="1"/>
    <col min="2500" max="2500" width="78.375" style="5" customWidth="1"/>
    <col min="2501" max="2501" width="19.625" style="5" customWidth="1"/>
    <col min="2502" max="2560" width="9.125" style="5"/>
    <col min="2561" max="2561" width="24.375" style="5" customWidth="1"/>
    <col min="2562" max="2562" width="78.375" style="5" customWidth="1"/>
    <col min="2563" max="2563" width="18.125" style="5" customWidth="1"/>
    <col min="2564" max="2564" width="7" style="5" customWidth="1"/>
    <col min="2565" max="2565" width="5.375" style="5" customWidth="1"/>
    <col min="2566" max="2754" width="9.125" style="5"/>
    <col min="2755" max="2755" width="26.375" style="5" customWidth="1"/>
    <col min="2756" max="2756" width="78.375" style="5" customWidth="1"/>
    <col min="2757" max="2757" width="19.625" style="5" customWidth="1"/>
    <col min="2758" max="2816" width="9.125" style="5"/>
    <col min="2817" max="2817" width="24.375" style="5" customWidth="1"/>
    <col min="2818" max="2818" width="78.375" style="5" customWidth="1"/>
    <col min="2819" max="2819" width="18.125" style="5" customWidth="1"/>
    <col min="2820" max="2820" width="7" style="5" customWidth="1"/>
    <col min="2821" max="2821" width="5.375" style="5" customWidth="1"/>
    <col min="2822" max="3010" width="9.125" style="5"/>
    <col min="3011" max="3011" width="26.375" style="5" customWidth="1"/>
    <col min="3012" max="3012" width="78.375" style="5" customWidth="1"/>
    <col min="3013" max="3013" width="19.625" style="5" customWidth="1"/>
    <col min="3014" max="3072" width="9.125" style="5"/>
    <col min="3073" max="3073" width="24.375" style="5" customWidth="1"/>
    <col min="3074" max="3074" width="78.375" style="5" customWidth="1"/>
    <col min="3075" max="3075" width="18.125" style="5" customWidth="1"/>
    <col min="3076" max="3076" width="7" style="5" customWidth="1"/>
    <col min="3077" max="3077" width="5.375" style="5" customWidth="1"/>
    <col min="3078" max="3266" width="9.125" style="5"/>
    <col min="3267" max="3267" width="26.375" style="5" customWidth="1"/>
    <col min="3268" max="3268" width="78.375" style="5" customWidth="1"/>
    <col min="3269" max="3269" width="19.625" style="5" customWidth="1"/>
    <col min="3270" max="3328" width="9.125" style="5"/>
    <col min="3329" max="3329" width="24.375" style="5" customWidth="1"/>
    <col min="3330" max="3330" width="78.375" style="5" customWidth="1"/>
    <col min="3331" max="3331" width="18.125" style="5" customWidth="1"/>
    <col min="3332" max="3332" width="7" style="5" customWidth="1"/>
    <col min="3333" max="3333" width="5.375" style="5" customWidth="1"/>
    <col min="3334" max="3522" width="9.125" style="5"/>
    <col min="3523" max="3523" width="26.375" style="5" customWidth="1"/>
    <col min="3524" max="3524" width="78.375" style="5" customWidth="1"/>
    <col min="3525" max="3525" width="19.625" style="5" customWidth="1"/>
    <col min="3526" max="3584" width="9.125" style="5"/>
    <col min="3585" max="3585" width="24.375" style="5" customWidth="1"/>
    <col min="3586" max="3586" width="78.375" style="5" customWidth="1"/>
    <col min="3587" max="3587" width="18.125" style="5" customWidth="1"/>
    <col min="3588" max="3588" width="7" style="5" customWidth="1"/>
    <col min="3589" max="3589" width="5.375" style="5" customWidth="1"/>
    <col min="3590" max="3778" width="9.125" style="5"/>
    <col min="3779" max="3779" width="26.375" style="5" customWidth="1"/>
    <col min="3780" max="3780" width="78.375" style="5" customWidth="1"/>
    <col min="3781" max="3781" width="19.625" style="5" customWidth="1"/>
    <col min="3782" max="3840" width="9.125" style="5"/>
    <col min="3841" max="3841" width="24.375" style="5" customWidth="1"/>
    <col min="3842" max="3842" width="78.375" style="5" customWidth="1"/>
    <col min="3843" max="3843" width="18.125" style="5" customWidth="1"/>
    <col min="3844" max="3844" width="7" style="5" customWidth="1"/>
    <col min="3845" max="3845" width="5.375" style="5" customWidth="1"/>
    <col min="3846" max="4034" width="9.125" style="5"/>
    <col min="4035" max="4035" width="26.375" style="5" customWidth="1"/>
    <col min="4036" max="4036" width="78.375" style="5" customWidth="1"/>
    <col min="4037" max="4037" width="19.625" style="5" customWidth="1"/>
    <col min="4038" max="4096" width="9.125" style="5"/>
    <col min="4097" max="4097" width="24.375" style="5" customWidth="1"/>
    <col min="4098" max="4098" width="78.375" style="5" customWidth="1"/>
    <col min="4099" max="4099" width="18.125" style="5" customWidth="1"/>
    <col min="4100" max="4100" width="7" style="5" customWidth="1"/>
    <col min="4101" max="4101" width="5.375" style="5" customWidth="1"/>
    <col min="4102" max="4290" width="9.125" style="5"/>
    <col min="4291" max="4291" width="26.375" style="5" customWidth="1"/>
    <col min="4292" max="4292" width="78.375" style="5" customWidth="1"/>
    <col min="4293" max="4293" width="19.625" style="5" customWidth="1"/>
    <col min="4294" max="4352" width="9.125" style="5"/>
    <col min="4353" max="4353" width="24.375" style="5" customWidth="1"/>
    <col min="4354" max="4354" width="78.375" style="5" customWidth="1"/>
    <col min="4355" max="4355" width="18.125" style="5" customWidth="1"/>
    <col min="4356" max="4356" width="7" style="5" customWidth="1"/>
    <col min="4357" max="4357" width="5.375" style="5" customWidth="1"/>
    <col min="4358" max="4546" width="9.125" style="5"/>
    <col min="4547" max="4547" width="26.375" style="5" customWidth="1"/>
    <col min="4548" max="4548" width="78.375" style="5" customWidth="1"/>
    <col min="4549" max="4549" width="19.625" style="5" customWidth="1"/>
    <col min="4550" max="4608" width="9.125" style="5"/>
    <col min="4609" max="4609" width="24.375" style="5" customWidth="1"/>
    <col min="4610" max="4610" width="78.375" style="5" customWidth="1"/>
    <col min="4611" max="4611" width="18.125" style="5" customWidth="1"/>
    <col min="4612" max="4612" width="7" style="5" customWidth="1"/>
    <col min="4613" max="4613" width="5.375" style="5" customWidth="1"/>
    <col min="4614" max="4802" width="9.125" style="5"/>
    <col min="4803" max="4803" width="26.375" style="5" customWidth="1"/>
    <col min="4804" max="4804" width="78.375" style="5" customWidth="1"/>
    <col min="4805" max="4805" width="19.625" style="5" customWidth="1"/>
    <col min="4806" max="4864" width="9.125" style="5"/>
    <col min="4865" max="4865" width="24.375" style="5" customWidth="1"/>
    <col min="4866" max="4866" width="78.375" style="5" customWidth="1"/>
    <col min="4867" max="4867" width="18.125" style="5" customWidth="1"/>
    <col min="4868" max="4868" width="7" style="5" customWidth="1"/>
    <col min="4869" max="4869" width="5.375" style="5" customWidth="1"/>
    <col min="4870" max="5058" width="9.125" style="5"/>
    <col min="5059" max="5059" width="26.375" style="5" customWidth="1"/>
    <col min="5060" max="5060" width="78.375" style="5" customWidth="1"/>
    <col min="5061" max="5061" width="19.625" style="5" customWidth="1"/>
    <col min="5062" max="5120" width="9.125" style="5"/>
    <col min="5121" max="5121" width="24.375" style="5" customWidth="1"/>
    <col min="5122" max="5122" width="78.375" style="5" customWidth="1"/>
    <col min="5123" max="5123" width="18.125" style="5" customWidth="1"/>
    <col min="5124" max="5124" width="7" style="5" customWidth="1"/>
    <col min="5125" max="5125" width="5.375" style="5" customWidth="1"/>
    <col min="5126" max="5314" width="9.125" style="5"/>
    <col min="5315" max="5315" width="26.375" style="5" customWidth="1"/>
    <col min="5316" max="5316" width="78.375" style="5" customWidth="1"/>
    <col min="5317" max="5317" width="19.625" style="5" customWidth="1"/>
    <col min="5318" max="5376" width="9.125" style="5"/>
    <col min="5377" max="5377" width="24.375" style="5" customWidth="1"/>
    <col min="5378" max="5378" width="78.375" style="5" customWidth="1"/>
    <col min="5379" max="5379" width="18.125" style="5" customWidth="1"/>
    <col min="5380" max="5380" width="7" style="5" customWidth="1"/>
    <col min="5381" max="5381" width="5.375" style="5" customWidth="1"/>
    <col min="5382" max="5570" width="9.125" style="5"/>
    <col min="5571" max="5571" width="26.375" style="5" customWidth="1"/>
    <col min="5572" max="5572" width="78.375" style="5" customWidth="1"/>
    <col min="5573" max="5573" width="19.625" style="5" customWidth="1"/>
    <col min="5574" max="5632" width="9.125" style="5"/>
    <col min="5633" max="5633" width="24.375" style="5" customWidth="1"/>
    <col min="5634" max="5634" width="78.375" style="5" customWidth="1"/>
    <col min="5635" max="5635" width="18.125" style="5" customWidth="1"/>
    <col min="5636" max="5636" width="7" style="5" customWidth="1"/>
    <col min="5637" max="5637" width="5.375" style="5" customWidth="1"/>
    <col min="5638" max="5826" width="9.125" style="5"/>
    <col min="5827" max="5827" width="26.375" style="5" customWidth="1"/>
    <col min="5828" max="5828" width="78.375" style="5" customWidth="1"/>
    <col min="5829" max="5829" width="19.625" style="5" customWidth="1"/>
    <col min="5830" max="5888" width="9.125" style="5"/>
    <col min="5889" max="5889" width="24.375" style="5" customWidth="1"/>
    <col min="5890" max="5890" width="78.375" style="5" customWidth="1"/>
    <col min="5891" max="5891" width="18.125" style="5" customWidth="1"/>
    <col min="5892" max="5892" width="7" style="5" customWidth="1"/>
    <col min="5893" max="5893" width="5.375" style="5" customWidth="1"/>
    <col min="5894" max="6082" width="9.125" style="5"/>
    <col min="6083" max="6083" width="26.375" style="5" customWidth="1"/>
    <col min="6084" max="6084" width="78.375" style="5" customWidth="1"/>
    <col min="6085" max="6085" width="19.625" style="5" customWidth="1"/>
    <col min="6086" max="6144" width="9.125" style="5"/>
    <col min="6145" max="6145" width="24.375" style="5" customWidth="1"/>
    <col min="6146" max="6146" width="78.375" style="5" customWidth="1"/>
    <col min="6147" max="6147" width="18.125" style="5" customWidth="1"/>
    <col min="6148" max="6148" width="7" style="5" customWidth="1"/>
    <col min="6149" max="6149" width="5.375" style="5" customWidth="1"/>
    <col min="6150" max="6338" width="9.125" style="5"/>
    <col min="6339" max="6339" width="26.375" style="5" customWidth="1"/>
    <col min="6340" max="6340" width="78.375" style="5" customWidth="1"/>
    <col min="6341" max="6341" width="19.625" style="5" customWidth="1"/>
    <col min="6342" max="6400" width="9.125" style="5"/>
    <col min="6401" max="6401" width="24.375" style="5" customWidth="1"/>
    <col min="6402" max="6402" width="78.375" style="5" customWidth="1"/>
    <col min="6403" max="6403" width="18.125" style="5" customWidth="1"/>
    <col min="6404" max="6404" width="7" style="5" customWidth="1"/>
    <col min="6405" max="6405" width="5.375" style="5" customWidth="1"/>
    <col min="6406" max="6594" width="9.125" style="5"/>
    <col min="6595" max="6595" width="26.375" style="5" customWidth="1"/>
    <col min="6596" max="6596" width="78.375" style="5" customWidth="1"/>
    <col min="6597" max="6597" width="19.625" style="5" customWidth="1"/>
    <col min="6598" max="6656" width="9.125" style="5"/>
    <col min="6657" max="6657" width="24.375" style="5" customWidth="1"/>
    <col min="6658" max="6658" width="78.375" style="5" customWidth="1"/>
    <col min="6659" max="6659" width="18.125" style="5" customWidth="1"/>
    <col min="6660" max="6660" width="7" style="5" customWidth="1"/>
    <col min="6661" max="6661" width="5.375" style="5" customWidth="1"/>
    <col min="6662" max="6850" width="9.125" style="5"/>
    <col min="6851" max="6851" width="26.375" style="5" customWidth="1"/>
    <col min="6852" max="6852" width="78.375" style="5" customWidth="1"/>
    <col min="6853" max="6853" width="19.625" style="5" customWidth="1"/>
    <col min="6854" max="6912" width="9.125" style="5"/>
    <col min="6913" max="6913" width="24.375" style="5" customWidth="1"/>
    <col min="6914" max="6914" width="78.375" style="5" customWidth="1"/>
    <col min="6915" max="6915" width="18.125" style="5" customWidth="1"/>
    <col min="6916" max="6916" width="7" style="5" customWidth="1"/>
    <col min="6917" max="6917" width="5.375" style="5" customWidth="1"/>
    <col min="6918" max="7106" width="9.125" style="5"/>
    <col min="7107" max="7107" width="26.375" style="5" customWidth="1"/>
    <col min="7108" max="7108" width="78.375" style="5" customWidth="1"/>
    <col min="7109" max="7109" width="19.625" style="5" customWidth="1"/>
    <col min="7110" max="7168" width="9.125" style="5"/>
    <col min="7169" max="7169" width="24.375" style="5" customWidth="1"/>
    <col min="7170" max="7170" width="78.375" style="5" customWidth="1"/>
    <col min="7171" max="7171" width="18.125" style="5" customWidth="1"/>
    <col min="7172" max="7172" width="7" style="5" customWidth="1"/>
    <col min="7173" max="7173" width="5.375" style="5" customWidth="1"/>
    <col min="7174" max="7362" width="9.125" style="5"/>
    <col min="7363" max="7363" width="26.375" style="5" customWidth="1"/>
    <col min="7364" max="7364" width="78.375" style="5" customWidth="1"/>
    <col min="7365" max="7365" width="19.625" style="5" customWidth="1"/>
    <col min="7366" max="7424" width="9.125" style="5"/>
    <col min="7425" max="7425" width="24.375" style="5" customWidth="1"/>
    <col min="7426" max="7426" width="78.375" style="5" customWidth="1"/>
    <col min="7427" max="7427" width="18.125" style="5" customWidth="1"/>
    <col min="7428" max="7428" width="7" style="5" customWidth="1"/>
    <col min="7429" max="7429" width="5.375" style="5" customWidth="1"/>
    <col min="7430" max="7618" width="9.125" style="5"/>
    <col min="7619" max="7619" width="26.375" style="5" customWidth="1"/>
    <col min="7620" max="7620" width="78.375" style="5" customWidth="1"/>
    <col min="7621" max="7621" width="19.625" style="5" customWidth="1"/>
    <col min="7622" max="7680" width="9.125" style="5"/>
    <col min="7681" max="7681" width="24.375" style="5" customWidth="1"/>
    <col min="7682" max="7682" width="78.375" style="5" customWidth="1"/>
    <col min="7683" max="7683" width="18.125" style="5" customWidth="1"/>
    <col min="7684" max="7684" width="7" style="5" customWidth="1"/>
    <col min="7685" max="7685" width="5.375" style="5" customWidth="1"/>
    <col min="7686" max="7874" width="9.125" style="5"/>
    <col min="7875" max="7875" width="26.375" style="5" customWidth="1"/>
    <col min="7876" max="7876" width="78.375" style="5" customWidth="1"/>
    <col min="7877" max="7877" width="19.625" style="5" customWidth="1"/>
    <col min="7878" max="7936" width="9.125" style="5"/>
    <col min="7937" max="7937" width="24.375" style="5" customWidth="1"/>
    <col min="7938" max="7938" width="78.375" style="5" customWidth="1"/>
    <col min="7939" max="7939" width="18.125" style="5" customWidth="1"/>
    <col min="7940" max="7940" width="7" style="5" customWidth="1"/>
    <col min="7941" max="7941" width="5.375" style="5" customWidth="1"/>
    <col min="7942" max="8130" width="9.125" style="5"/>
    <col min="8131" max="8131" width="26.375" style="5" customWidth="1"/>
    <col min="8132" max="8132" width="78.375" style="5" customWidth="1"/>
    <col min="8133" max="8133" width="19.625" style="5" customWidth="1"/>
    <col min="8134" max="8192" width="9.125" style="5"/>
    <col min="8193" max="8193" width="24.375" style="5" customWidth="1"/>
    <col min="8194" max="8194" width="78.375" style="5" customWidth="1"/>
    <col min="8195" max="8195" width="18.125" style="5" customWidth="1"/>
    <col min="8196" max="8196" width="7" style="5" customWidth="1"/>
    <col min="8197" max="8197" width="5.375" style="5" customWidth="1"/>
    <col min="8198" max="8386" width="9.125" style="5"/>
    <col min="8387" max="8387" width="26.375" style="5" customWidth="1"/>
    <col min="8388" max="8388" width="78.375" style="5" customWidth="1"/>
    <col min="8389" max="8389" width="19.625" style="5" customWidth="1"/>
    <col min="8390" max="8448" width="9.125" style="5"/>
    <col min="8449" max="8449" width="24.375" style="5" customWidth="1"/>
    <col min="8450" max="8450" width="78.375" style="5" customWidth="1"/>
    <col min="8451" max="8451" width="18.125" style="5" customWidth="1"/>
    <col min="8452" max="8452" width="7" style="5" customWidth="1"/>
    <col min="8453" max="8453" width="5.375" style="5" customWidth="1"/>
    <col min="8454" max="8642" width="9.125" style="5"/>
    <col min="8643" max="8643" width="26.375" style="5" customWidth="1"/>
    <col min="8644" max="8644" width="78.375" style="5" customWidth="1"/>
    <col min="8645" max="8645" width="19.625" style="5" customWidth="1"/>
    <col min="8646" max="8704" width="9.125" style="5"/>
    <col min="8705" max="8705" width="24.375" style="5" customWidth="1"/>
    <col min="8706" max="8706" width="78.375" style="5" customWidth="1"/>
    <col min="8707" max="8707" width="18.125" style="5" customWidth="1"/>
    <col min="8708" max="8708" width="7" style="5" customWidth="1"/>
    <col min="8709" max="8709" width="5.375" style="5" customWidth="1"/>
    <col min="8710" max="8898" width="9.125" style="5"/>
    <col min="8899" max="8899" width="26.375" style="5" customWidth="1"/>
    <col min="8900" max="8900" width="78.375" style="5" customWidth="1"/>
    <col min="8901" max="8901" width="19.625" style="5" customWidth="1"/>
    <col min="8902" max="8960" width="9.125" style="5"/>
    <col min="8961" max="8961" width="24.375" style="5" customWidth="1"/>
    <col min="8962" max="8962" width="78.375" style="5" customWidth="1"/>
    <col min="8963" max="8963" width="18.125" style="5" customWidth="1"/>
    <col min="8964" max="8964" width="7" style="5" customWidth="1"/>
    <col min="8965" max="8965" width="5.375" style="5" customWidth="1"/>
    <col min="8966" max="9154" width="9.125" style="5"/>
    <col min="9155" max="9155" width="26.375" style="5" customWidth="1"/>
    <col min="9156" max="9156" width="78.375" style="5" customWidth="1"/>
    <col min="9157" max="9157" width="19.625" style="5" customWidth="1"/>
    <col min="9158" max="9216" width="9.125" style="5"/>
    <col min="9217" max="9217" width="24.375" style="5" customWidth="1"/>
    <col min="9218" max="9218" width="78.375" style="5" customWidth="1"/>
    <col min="9219" max="9219" width="18.125" style="5" customWidth="1"/>
    <col min="9220" max="9220" width="7" style="5" customWidth="1"/>
    <col min="9221" max="9221" width="5.375" style="5" customWidth="1"/>
    <col min="9222" max="9410" width="9.125" style="5"/>
    <col min="9411" max="9411" width="26.375" style="5" customWidth="1"/>
    <col min="9412" max="9412" width="78.375" style="5" customWidth="1"/>
    <col min="9413" max="9413" width="19.625" style="5" customWidth="1"/>
    <col min="9414" max="9472" width="9.125" style="5"/>
    <col min="9473" max="9473" width="24.375" style="5" customWidth="1"/>
    <col min="9474" max="9474" width="78.375" style="5" customWidth="1"/>
    <col min="9475" max="9475" width="18.125" style="5" customWidth="1"/>
    <col min="9476" max="9476" width="7" style="5" customWidth="1"/>
    <col min="9477" max="9477" width="5.375" style="5" customWidth="1"/>
    <col min="9478" max="9666" width="9.125" style="5"/>
    <col min="9667" max="9667" width="26.375" style="5" customWidth="1"/>
    <col min="9668" max="9668" width="78.375" style="5" customWidth="1"/>
    <col min="9669" max="9669" width="19.625" style="5" customWidth="1"/>
    <col min="9670" max="9728" width="9.125" style="5"/>
    <col min="9729" max="9729" width="24.375" style="5" customWidth="1"/>
    <col min="9730" max="9730" width="78.375" style="5" customWidth="1"/>
    <col min="9731" max="9731" width="18.125" style="5" customWidth="1"/>
    <col min="9732" max="9732" width="7" style="5" customWidth="1"/>
    <col min="9733" max="9733" width="5.375" style="5" customWidth="1"/>
    <col min="9734" max="9922" width="9.125" style="5"/>
    <col min="9923" max="9923" width="26.375" style="5" customWidth="1"/>
    <col min="9924" max="9924" width="78.375" style="5" customWidth="1"/>
    <col min="9925" max="9925" width="19.625" style="5" customWidth="1"/>
    <col min="9926" max="9984" width="9.125" style="5"/>
    <col min="9985" max="9985" width="24.375" style="5" customWidth="1"/>
    <col min="9986" max="9986" width="78.375" style="5" customWidth="1"/>
    <col min="9987" max="9987" width="18.125" style="5" customWidth="1"/>
    <col min="9988" max="9988" width="7" style="5" customWidth="1"/>
    <col min="9989" max="9989" width="5.375" style="5" customWidth="1"/>
    <col min="9990" max="10178" width="9.125" style="5"/>
    <col min="10179" max="10179" width="26.375" style="5" customWidth="1"/>
    <col min="10180" max="10180" width="78.375" style="5" customWidth="1"/>
    <col min="10181" max="10181" width="19.625" style="5" customWidth="1"/>
    <col min="10182" max="10240" width="9.125" style="5"/>
    <col min="10241" max="10241" width="24.375" style="5" customWidth="1"/>
    <col min="10242" max="10242" width="78.375" style="5" customWidth="1"/>
    <col min="10243" max="10243" width="18.125" style="5" customWidth="1"/>
    <col min="10244" max="10244" width="7" style="5" customWidth="1"/>
    <col min="10245" max="10245" width="5.375" style="5" customWidth="1"/>
    <col min="10246" max="10434" width="9.125" style="5"/>
    <col min="10435" max="10435" width="26.375" style="5" customWidth="1"/>
    <col min="10436" max="10436" width="78.375" style="5" customWidth="1"/>
    <col min="10437" max="10437" width="19.625" style="5" customWidth="1"/>
    <col min="10438" max="10496" width="9.125" style="5"/>
    <col min="10497" max="10497" width="24.375" style="5" customWidth="1"/>
    <col min="10498" max="10498" width="78.375" style="5" customWidth="1"/>
    <col min="10499" max="10499" width="18.125" style="5" customWidth="1"/>
    <col min="10500" max="10500" width="7" style="5" customWidth="1"/>
    <col min="10501" max="10501" width="5.375" style="5" customWidth="1"/>
    <col min="10502" max="10690" width="9.125" style="5"/>
    <col min="10691" max="10691" width="26.375" style="5" customWidth="1"/>
    <col min="10692" max="10692" width="78.375" style="5" customWidth="1"/>
    <col min="10693" max="10693" width="19.625" style="5" customWidth="1"/>
    <col min="10694" max="10752" width="9.125" style="5"/>
    <col min="10753" max="10753" width="24.375" style="5" customWidth="1"/>
    <col min="10754" max="10754" width="78.375" style="5" customWidth="1"/>
    <col min="10755" max="10755" width="18.125" style="5" customWidth="1"/>
    <col min="10756" max="10756" width="7" style="5" customWidth="1"/>
    <col min="10757" max="10757" width="5.375" style="5" customWidth="1"/>
    <col min="10758" max="10946" width="9.125" style="5"/>
    <col min="10947" max="10947" width="26.375" style="5" customWidth="1"/>
    <col min="10948" max="10948" width="78.375" style="5" customWidth="1"/>
    <col min="10949" max="10949" width="19.625" style="5" customWidth="1"/>
    <col min="10950" max="11008" width="9.125" style="5"/>
    <col min="11009" max="11009" width="24.375" style="5" customWidth="1"/>
    <col min="11010" max="11010" width="78.375" style="5" customWidth="1"/>
    <col min="11011" max="11011" width="18.125" style="5" customWidth="1"/>
    <col min="11012" max="11012" width="7" style="5" customWidth="1"/>
    <col min="11013" max="11013" width="5.375" style="5" customWidth="1"/>
    <col min="11014" max="11202" width="9.125" style="5"/>
    <col min="11203" max="11203" width="26.375" style="5" customWidth="1"/>
    <col min="11204" max="11204" width="78.375" style="5" customWidth="1"/>
    <col min="11205" max="11205" width="19.625" style="5" customWidth="1"/>
    <col min="11206" max="11264" width="9.125" style="5"/>
    <col min="11265" max="11265" width="24.375" style="5" customWidth="1"/>
    <col min="11266" max="11266" width="78.375" style="5" customWidth="1"/>
    <col min="11267" max="11267" width="18.125" style="5" customWidth="1"/>
    <col min="11268" max="11268" width="7" style="5" customWidth="1"/>
    <col min="11269" max="11269" width="5.375" style="5" customWidth="1"/>
    <col min="11270" max="11458" width="9.125" style="5"/>
    <col min="11459" max="11459" width="26.375" style="5" customWidth="1"/>
    <col min="11460" max="11460" width="78.375" style="5" customWidth="1"/>
    <col min="11461" max="11461" width="19.625" style="5" customWidth="1"/>
    <col min="11462" max="11520" width="9.125" style="5"/>
    <col min="11521" max="11521" width="24.375" style="5" customWidth="1"/>
    <col min="11522" max="11522" width="78.375" style="5" customWidth="1"/>
    <col min="11523" max="11523" width="18.125" style="5" customWidth="1"/>
    <col min="11524" max="11524" width="7" style="5" customWidth="1"/>
    <col min="11525" max="11525" width="5.375" style="5" customWidth="1"/>
    <col min="11526" max="11714" width="9.125" style="5"/>
    <col min="11715" max="11715" width="26.375" style="5" customWidth="1"/>
    <col min="11716" max="11716" width="78.375" style="5" customWidth="1"/>
    <col min="11717" max="11717" width="19.625" style="5" customWidth="1"/>
    <col min="11718" max="11776" width="9.125" style="5"/>
    <col min="11777" max="11777" width="24.375" style="5" customWidth="1"/>
    <col min="11778" max="11778" width="78.375" style="5" customWidth="1"/>
    <col min="11779" max="11779" width="18.125" style="5" customWidth="1"/>
    <col min="11780" max="11780" width="7" style="5" customWidth="1"/>
    <col min="11781" max="11781" width="5.375" style="5" customWidth="1"/>
    <col min="11782" max="11970" width="9.125" style="5"/>
    <col min="11971" max="11971" width="26.375" style="5" customWidth="1"/>
    <col min="11972" max="11972" width="78.375" style="5" customWidth="1"/>
    <col min="11973" max="11973" width="19.625" style="5" customWidth="1"/>
    <col min="11974" max="12032" width="9.125" style="5"/>
    <col min="12033" max="12033" width="24.375" style="5" customWidth="1"/>
    <col min="12034" max="12034" width="78.375" style="5" customWidth="1"/>
    <col min="12035" max="12035" width="18.125" style="5" customWidth="1"/>
    <col min="12036" max="12036" width="7" style="5" customWidth="1"/>
    <col min="12037" max="12037" width="5.375" style="5" customWidth="1"/>
    <col min="12038" max="12226" width="9.125" style="5"/>
    <col min="12227" max="12227" width="26.375" style="5" customWidth="1"/>
    <col min="12228" max="12228" width="78.375" style="5" customWidth="1"/>
    <col min="12229" max="12229" width="19.625" style="5" customWidth="1"/>
    <col min="12230" max="12288" width="9.125" style="5"/>
    <col min="12289" max="12289" width="24.375" style="5" customWidth="1"/>
    <col min="12290" max="12290" width="78.375" style="5" customWidth="1"/>
    <col min="12291" max="12291" width="18.125" style="5" customWidth="1"/>
    <col min="12292" max="12292" width="7" style="5" customWidth="1"/>
    <col min="12293" max="12293" width="5.375" style="5" customWidth="1"/>
    <col min="12294" max="12482" width="9.125" style="5"/>
    <col min="12483" max="12483" width="26.375" style="5" customWidth="1"/>
    <col min="12484" max="12484" width="78.375" style="5" customWidth="1"/>
    <col min="12485" max="12485" width="19.625" style="5" customWidth="1"/>
    <col min="12486" max="12544" width="9.125" style="5"/>
    <col min="12545" max="12545" width="24.375" style="5" customWidth="1"/>
    <col min="12546" max="12546" width="78.375" style="5" customWidth="1"/>
    <col min="12547" max="12547" width="18.125" style="5" customWidth="1"/>
    <col min="12548" max="12548" width="7" style="5" customWidth="1"/>
    <col min="12549" max="12549" width="5.375" style="5" customWidth="1"/>
    <col min="12550" max="12738" width="9.125" style="5"/>
    <col min="12739" max="12739" width="26.375" style="5" customWidth="1"/>
    <col min="12740" max="12740" width="78.375" style="5" customWidth="1"/>
    <col min="12741" max="12741" width="19.625" style="5" customWidth="1"/>
    <col min="12742" max="12800" width="9.125" style="5"/>
    <col min="12801" max="12801" width="24.375" style="5" customWidth="1"/>
    <col min="12802" max="12802" width="78.375" style="5" customWidth="1"/>
    <col min="12803" max="12803" width="18.125" style="5" customWidth="1"/>
    <col min="12804" max="12804" width="7" style="5" customWidth="1"/>
    <col min="12805" max="12805" width="5.375" style="5" customWidth="1"/>
    <col min="12806" max="12994" width="9.125" style="5"/>
    <col min="12995" max="12995" width="26.375" style="5" customWidth="1"/>
    <col min="12996" max="12996" width="78.375" style="5" customWidth="1"/>
    <col min="12997" max="12997" width="19.625" style="5" customWidth="1"/>
    <col min="12998" max="13056" width="9.125" style="5"/>
    <col min="13057" max="13057" width="24.375" style="5" customWidth="1"/>
    <col min="13058" max="13058" width="78.375" style="5" customWidth="1"/>
    <col min="13059" max="13059" width="18.125" style="5" customWidth="1"/>
    <col min="13060" max="13060" width="7" style="5" customWidth="1"/>
    <col min="13061" max="13061" width="5.375" style="5" customWidth="1"/>
    <col min="13062" max="13250" width="9.125" style="5"/>
    <col min="13251" max="13251" width="26.375" style="5" customWidth="1"/>
    <col min="13252" max="13252" width="78.375" style="5" customWidth="1"/>
    <col min="13253" max="13253" width="19.625" style="5" customWidth="1"/>
    <col min="13254" max="13312" width="9.125" style="5"/>
    <col min="13313" max="13313" width="24.375" style="5" customWidth="1"/>
    <col min="13314" max="13314" width="78.375" style="5" customWidth="1"/>
    <col min="13315" max="13315" width="18.125" style="5" customWidth="1"/>
    <col min="13316" max="13316" width="7" style="5" customWidth="1"/>
    <col min="13317" max="13317" width="5.375" style="5" customWidth="1"/>
    <col min="13318" max="13506" width="9.125" style="5"/>
    <col min="13507" max="13507" width="26.375" style="5" customWidth="1"/>
    <col min="13508" max="13508" width="78.375" style="5" customWidth="1"/>
    <col min="13509" max="13509" width="19.625" style="5" customWidth="1"/>
    <col min="13510" max="13568" width="9.125" style="5"/>
    <col min="13569" max="13569" width="24.375" style="5" customWidth="1"/>
    <col min="13570" max="13570" width="78.375" style="5" customWidth="1"/>
    <col min="13571" max="13571" width="18.125" style="5" customWidth="1"/>
    <col min="13572" max="13572" width="7" style="5" customWidth="1"/>
    <col min="13573" max="13573" width="5.375" style="5" customWidth="1"/>
    <col min="13574" max="13762" width="9.125" style="5"/>
    <col min="13763" max="13763" width="26.375" style="5" customWidth="1"/>
    <col min="13764" max="13764" width="78.375" style="5" customWidth="1"/>
    <col min="13765" max="13765" width="19.625" style="5" customWidth="1"/>
    <col min="13766" max="13824" width="9.125" style="5"/>
    <col min="13825" max="13825" width="24.375" style="5" customWidth="1"/>
    <col min="13826" max="13826" width="78.375" style="5" customWidth="1"/>
    <col min="13827" max="13827" width="18.125" style="5" customWidth="1"/>
    <col min="13828" max="13828" width="7" style="5" customWidth="1"/>
    <col min="13829" max="13829" width="5.375" style="5" customWidth="1"/>
    <col min="13830" max="14018" width="9.125" style="5"/>
    <col min="14019" max="14019" width="26.375" style="5" customWidth="1"/>
    <col min="14020" max="14020" width="78.375" style="5" customWidth="1"/>
    <col min="14021" max="14021" width="19.625" style="5" customWidth="1"/>
    <col min="14022" max="14080" width="9.125" style="5"/>
    <col min="14081" max="14081" width="24.375" style="5" customWidth="1"/>
    <col min="14082" max="14082" width="78.375" style="5" customWidth="1"/>
    <col min="14083" max="14083" width="18.125" style="5" customWidth="1"/>
    <col min="14084" max="14084" width="7" style="5" customWidth="1"/>
    <col min="14085" max="14085" width="5.375" style="5" customWidth="1"/>
    <col min="14086" max="14274" width="9.125" style="5"/>
    <col min="14275" max="14275" width="26.375" style="5" customWidth="1"/>
    <col min="14276" max="14276" width="78.375" style="5" customWidth="1"/>
    <col min="14277" max="14277" width="19.625" style="5" customWidth="1"/>
    <col min="14278" max="14336" width="9.125" style="5"/>
    <col min="14337" max="14337" width="24.375" style="5" customWidth="1"/>
    <col min="14338" max="14338" width="78.375" style="5" customWidth="1"/>
    <col min="14339" max="14339" width="18.125" style="5" customWidth="1"/>
    <col min="14340" max="14340" width="7" style="5" customWidth="1"/>
    <col min="14341" max="14341" width="5.375" style="5" customWidth="1"/>
    <col min="14342" max="14530" width="9.125" style="5"/>
    <col min="14531" max="14531" width="26.375" style="5" customWidth="1"/>
    <col min="14532" max="14532" width="78.375" style="5" customWidth="1"/>
    <col min="14533" max="14533" width="19.625" style="5" customWidth="1"/>
    <col min="14534" max="14592" width="9.125" style="5"/>
    <col min="14593" max="14593" width="24.375" style="5" customWidth="1"/>
    <col min="14594" max="14594" width="78.375" style="5" customWidth="1"/>
    <col min="14595" max="14595" width="18.125" style="5" customWidth="1"/>
    <col min="14596" max="14596" width="7" style="5" customWidth="1"/>
    <col min="14597" max="14597" width="5.375" style="5" customWidth="1"/>
    <col min="14598" max="14786" width="9.125" style="5"/>
    <col min="14787" max="14787" width="26.375" style="5" customWidth="1"/>
    <col min="14788" max="14788" width="78.375" style="5" customWidth="1"/>
    <col min="14789" max="14789" width="19.625" style="5" customWidth="1"/>
    <col min="14790" max="14848" width="9.125" style="5"/>
    <col min="14849" max="14849" width="24.375" style="5" customWidth="1"/>
    <col min="14850" max="14850" width="78.375" style="5" customWidth="1"/>
    <col min="14851" max="14851" width="18.125" style="5" customWidth="1"/>
    <col min="14852" max="14852" width="7" style="5" customWidth="1"/>
    <col min="14853" max="14853" width="5.375" style="5" customWidth="1"/>
    <col min="14854" max="15042" width="9.125" style="5"/>
    <col min="15043" max="15043" width="26.375" style="5" customWidth="1"/>
    <col min="15044" max="15044" width="78.375" style="5" customWidth="1"/>
    <col min="15045" max="15045" width="19.625" style="5" customWidth="1"/>
    <col min="15046" max="15104" width="9.125" style="5"/>
    <col min="15105" max="15105" width="24.375" style="5" customWidth="1"/>
    <col min="15106" max="15106" width="78.375" style="5" customWidth="1"/>
    <col min="15107" max="15107" width="18.125" style="5" customWidth="1"/>
    <col min="15108" max="15108" width="7" style="5" customWidth="1"/>
    <col min="15109" max="15109" width="5.375" style="5" customWidth="1"/>
    <col min="15110" max="15298" width="9.125" style="5"/>
    <col min="15299" max="15299" width="26.375" style="5" customWidth="1"/>
    <col min="15300" max="15300" width="78.375" style="5" customWidth="1"/>
    <col min="15301" max="15301" width="19.625" style="5" customWidth="1"/>
    <col min="15302" max="15360" width="9.125" style="5"/>
    <col min="15361" max="15361" width="24.375" style="5" customWidth="1"/>
    <col min="15362" max="15362" width="78.375" style="5" customWidth="1"/>
    <col min="15363" max="15363" width="18.125" style="5" customWidth="1"/>
    <col min="15364" max="15364" width="7" style="5" customWidth="1"/>
    <col min="15365" max="15365" width="5.375" style="5" customWidth="1"/>
    <col min="15366" max="15554" width="9.125" style="5"/>
    <col min="15555" max="15555" width="26.375" style="5" customWidth="1"/>
    <col min="15556" max="15556" width="78.375" style="5" customWidth="1"/>
    <col min="15557" max="15557" width="19.625" style="5" customWidth="1"/>
    <col min="15558" max="15616" width="9.125" style="5"/>
    <col min="15617" max="15617" width="24.375" style="5" customWidth="1"/>
    <col min="15618" max="15618" width="78.375" style="5" customWidth="1"/>
    <col min="15619" max="15619" width="18.125" style="5" customWidth="1"/>
    <col min="15620" max="15620" width="7" style="5" customWidth="1"/>
    <col min="15621" max="15621" width="5.375" style="5" customWidth="1"/>
    <col min="15622" max="15810" width="9.125" style="5"/>
    <col min="15811" max="15811" width="26.375" style="5" customWidth="1"/>
    <col min="15812" max="15812" width="78.375" style="5" customWidth="1"/>
    <col min="15813" max="15813" width="19.625" style="5" customWidth="1"/>
    <col min="15814" max="15872" width="9.125" style="5"/>
    <col min="15873" max="15873" width="24.375" style="5" customWidth="1"/>
    <col min="15874" max="15874" width="78.375" style="5" customWidth="1"/>
    <col min="15875" max="15875" width="18.125" style="5" customWidth="1"/>
    <col min="15876" max="15876" width="7" style="5" customWidth="1"/>
    <col min="15877" max="15877" width="5.375" style="5" customWidth="1"/>
    <col min="15878" max="16066" width="9.125" style="5"/>
    <col min="16067" max="16067" width="26.375" style="5" customWidth="1"/>
    <col min="16068" max="16068" width="78.375" style="5" customWidth="1"/>
    <col min="16069" max="16069" width="19.625" style="5" customWidth="1"/>
    <col min="16070" max="16128" width="9.125" style="5"/>
    <col min="16129" max="16129" width="24.375" style="5" customWidth="1"/>
    <col min="16130" max="16130" width="78.375" style="5" customWidth="1"/>
    <col min="16131" max="16131" width="18.125" style="5" customWidth="1"/>
    <col min="16132" max="16132" width="7" style="5" customWidth="1"/>
    <col min="16133" max="16133" width="5.375" style="5" customWidth="1"/>
    <col min="16134" max="16322" width="9.125" style="5"/>
    <col min="16323" max="16323" width="26.375" style="5" customWidth="1"/>
    <col min="16324" max="16324" width="78.375" style="5" customWidth="1"/>
    <col min="16325" max="16325" width="19.625" style="5" customWidth="1"/>
    <col min="16326" max="16384" width="9.125" style="5"/>
  </cols>
  <sheetData>
    <row r="1" spans="1:6" ht="18.350000000000001" x14ac:dyDescent="0.3">
      <c r="B1" s="7"/>
      <c r="C1" s="278" t="s">
        <v>906</v>
      </c>
    </row>
    <row r="2" spans="1:6" ht="18.350000000000001" x14ac:dyDescent="0.3">
      <c r="B2" s="672" t="s">
        <v>957</v>
      </c>
      <c r="C2" s="672"/>
    </row>
    <row r="3" spans="1:6" ht="18.350000000000001" x14ac:dyDescent="0.3">
      <c r="B3" s="672" t="s">
        <v>905</v>
      </c>
      <c r="C3" s="672"/>
    </row>
    <row r="4" spans="1:6" ht="18.350000000000001" x14ac:dyDescent="0.3">
      <c r="B4" s="672" t="s">
        <v>958</v>
      </c>
      <c r="C4" s="672"/>
    </row>
    <row r="5" spans="1:6" ht="18.350000000000001" x14ac:dyDescent="0.3">
      <c r="C5" s="278" t="s">
        <v>254</v>
      </c>
    </row>
    <row r="6" spans="1:6" ht="18.350000000000001" x14ac:dyDescent="0.3">
      <c r="C6" s="278" t="s">
        <v>900</v>
      </c>
    </row>
    <row r="7" spans="1:6" ht="18.350000000000001" x14ac:dyDescent="0.3">
      <c r="C7" s="278" t="s">
        <v>812</v>
      </c>
    </row>
    <row r="8" spans="1:6" x14ac:dyDescent="0.25">
      <c r="C8" s="5" t="s">
        <v>902</v>
      </c>
    </row>
    <row r="10" spans="1:6" ht="22.75" customHeight="1" x14ac:dyDescent="0.3">
      <c r="A10" s="670" t="s">
        <v>241</v>
      </c>
      <c r="B10" s="670"/>
      <c r="C10" s="670"/>
    </row>
    <row r="11" spans="1:6" ht="18.7" customHeight="1" x14ac:dyDescent="0.3">
      <c r="A11" s="671" t="s">
        <v>757</v>
      </c>
      <c r="B11" s="671"/>
      <c r="C11" s="671"/>
    </row>
    <row r="12" spans="1:6" ht="16.5" customHeight="1" x14ac:dyDescent="0.25">
      <c r="C12" s="238" t="s">
        <v>408</v>
      </c>
    </row>
    <row r="13" spans="1:6" ht="70.5" customHeight="1" x14ac:dyDescent="0.3">
      <c r="A13" s="236" t="s">
        <v>159</v>
      </c>
      <c r="B13" s="64" t="s">
        <v>164</v>
      </c>
      <c r="C13" s="64" t="s">
        <v>743</v>
      </c>
      <c r="D13" s="152"/>
      <c r="E13" s="152"/>
    </row>
    <row r="14" spans="1:6" ht="16.5" customHeight="1" x14ac:dyDescent="0.3">
      <c r="A14" s="239" t="s">
        <v>165</v>
      </c>
      <c r="B14" s="240" t="s">
        <v>166</v>
      </c>
      <c r="C14" s="47">
        <f>C15+C19+C24+C27+C29+C33+C35+C37+C40+C17+C41</f>
        <v>422970631.79000002</v>
      </c>
      <c r="F14" s="5" t="e">
        <f>C14/C73*100</f>
        <v>#REF!</v>
      </c>
    </row>
    <row r="15" spans="1:6" ht="17.5" customHeight="1" x14ac:dyDescent="0.3">
      <c r="A15" s="239" t="s">
        <v>167</v>
      </c>
      <c r="B15" s="11" t="s">
        <v>168</v>
      </c>
      <c r="C15" s="48">
        <f>SUM(C16:C16)</f>
        <v>338407631.79000002</v>
      </c>
      <c r="F15" s="5" t="e">
        <f>C15/C73*100</f>
        <v>#REF!</v>
      </c>
    </row>
    <row r="16" spans="1:6" ht="15.8" customHeight="1" x14ac:dyDescent="0.3">
      <c r="A16" s="239" t="s">
        <v>169</v>
      </c>
      <c r="B16" s="11" t="s">
        <v>170</v>
      </c>
      <c r="C16" s="48">
        <f>351120000-12712368.21</f>
        <v>338407631.79000002</v>
      </c>
      <c r="D16" s="153"/>
      <c r="E16" s="153"/>
    </row>
    <row r="17" spans="1:6" ht="45" customHeight="1" x14ac:dyDescent="0.3">
      <c r="A17" s="239" t="s">
        <v>171</v>
      </c>
      <c r="B17" s="11" t="s">
        <v>172</v>
      </c>
      <c r="C17" s="48">
        <f>C18</f>
        <v>12030000</v>
      </c>
      <c r="F17" s="5" t="e">
        <f>C17/C73*100</f>
        <v>#REF!</v>
      </c>
    </row>
    <row r="18" spans="1:6" ht="39.75" customHeight="1" x14ac:dyDescent="0.3">
      <c r="A18" s="239" t="s">
        <v>173</v>
      </c>
      <c r="B18" s="11" t="s">
        <v>174</v>
      </c>
      <c r="C18" s="48">
        <v>12030000</v>
      </c>
    </row>
    <row r="19" spans="1:6" ht="17.5" customHeight="1" x14ac:dyDescent="0.3">
      <c r="A19" s="239" t="s">
        <v>175</v>
      </c>
      <c r="B19" s="11" t="s">
        <v>176</v>
      </c>
      <c r="C19" s="48">
        <f>SUM(C20:C23)</f>
        <v>27678000</v>
      </c>
      <c r="F19" s="5" t="e">
        <f>C19/C73*100</f>
        <v>#REF!</v>
      </c>
    </row>
    <row r="20" spans="1:6" ht="33.799999999999997" customHeight="1" x14ac:dyDescent="0.3">
      <c r="A20" s="239" t="s">
        <v>473</v>
      </c>
      <c r="B20" s="11" t="s">
        <v>474</v>
      </c>
      <c r="C20" s="48">
        <f>16000000+3000000</f>
        <v>19000000</v>
      </c>
      <c r="F20" s="5" t="e">
        <f>C20/C73*100</f>
        <v>#REF!</v>
      </c>
    </row>
    <row r="21" spans="1:6" ht="28.55" customHeight="1" x14ac:dyDescent="0.3">
      <c r="A21" s="239" t="s">
        <v>665</v>
      </c>
      <c r="B21" s="11" t="s">
        <v>666</v>
      </c>
      <c r="C21" s="48">
        <v>16000</v>
      </c>
    </row>
    <row r="22" spans="1:6" ht="17.5" customHeight="1" x14ac:dyDescent="0.3">
      <c r="A22" s="239" t="s">
        <v>177</v>
      </c>
      <c r="B22" s="11" t="s">
        <v>178</v>
      </c>
      <c r="C22" s="48">
        <f>1250000+62000</f>
        <v>1312000</v>
      </c>
      <c r="F22" s="5" t="e">
        <f>C22/C73*100</f>
        <v>#REF!</v>
      </c>
    </row>
    <row r="23" spans="1:6" ht="17.5" customHeight="1" x14ac:dyDescent="0.3">
      <c r="A23" s="239" t="s">
        <v>732</v>
      </c>
      <c r="B23" s="11" t="s">
        <v>607</v>
      </c>
      <c r="C23" s="48">
        <v>7350000</v>
      </c>
      <c r="F23" s="5" t="e">
        <f>C23/C73*100</f>
        <v>#REF!</v>
      </c>
    </row>
    <row r="24" spans="1:6" ht="26.5" customHeight="1" x14ac:dyDescent="0.3">
      <c r="A24" s="239" t="s">
        <v>476</v>
      </c>
      <c r="B24" s="11" t="s">
        <v>477</v>
      </c>
      <c r="C24" s="48">
        <f>C25+C26</f>
        <v>20336000</v>
      </c>
      <c r="F24" s="5" t="e">
        <f>C24/C73*100</f>
        <v>#REF!</v>
      </c>
    </row>
    <row r="25" spans="1:6" ht="18" customHeight="1" x14ac:dyDescent="0.3">
      <c r="A25" s="239" t="s">
        <v>640</v>
      </c>
      <c r="B25" s="11" t="s">
        <v>608</v>
      </c>
      <c r="C25" s="48">
        <v>4300000</v>
      </c>
      <c r="F25" s="5" t="e">
        <f>C25/C73*1010</f>
        <v>#REF!</v>
      </c>
    </row>
    <row r="26" spans="1:6" ht="16.5" customHeight="1" x14ac:dyDescent="0.3">
      <c r="A26" s="239" t="s">
        <v>479</v>
      </c>
      <c r="B26" s="11" t="s">
        <v>478</v>
      </c>
      <c r="C26" s="48">
        <f>22000000-5964000</f>
        <v>16036000</v>
      </c>
      <c r="F26" s="5" t="e">
        <f>C26/C73*100</f>
        <v>#REF!</v>
      </c>
    </row>
    <row r="27" spans="1:6" ht="23.3" customHeight="1" x14ac:dyDescent="0.3">
      <c r="A27" s="239" t="s">
        <v>179</v>
      </c>
      <c r="B27" s="11" t="s">
        <v>180</v>
      </c>
      <c r="C27" s="48">
        <f>C28</f>
        <v>2300000</v>
      </c>
      <c r="F27" s="5" t="e">
        <f>C27/C73*100</f>
        <v>#REF!</v>
      </c>
    </row>
    <row r="28" spans="1:6" ht="55.55" customHeight="1" x14ac:dyDescent="0.3">
      <c r="A28" s="239" t="s">
        <v>480</v>
      </c>
      <c r="B28" s="11" t="s">
        <v>481</v>
      </c>
      <c r="C28" s="48">
        <v>2300000</v>
      </c>
    </row>
    <row r="29" spans="1:6" ht="64.55" customHeight="1" x14ac:dyDescent="0.3">
      <c r="A29" s="239" t="s">
        <v>181</v>
      </c>
      <c r="B29" s="100" t="s">
        <v>182</v>
      </c>
      <c r="C29" s="48">
        <f>SUM(C30:C32)</f>
        <v>16430000</v>
      </c>
      <c r="D29" s="154"/>
      <c r="F29" s="5" t="e">
        <f>C29/C73*100</f>
        <v>#REF!</v>
      </c>
    </row>
    <row r="30" spans="1:6" ht="32.950000000000003" customHeight="1" x14ac:dyDescent="0.3">
      <c r="A30" s="239" t="s">
        <v>604</v>
      </c>
      <c r="B30" s="11" t="s">
        <v>609</v>
      </c>
      <c r="C30" s="48">
        <v>10480000</v>
      </c>
      <c r="D30" s="154"/>
      <c r="F30" s="5" t="e">
        <f>C30/C73*100</f>
        <v>#REF!</v>
      </c>
    </row>
    <row r="31" spans="1:6" ht="45" customHeight="1" x14ac:dyDescent="0.3">
      <c r="A31" s="239" t="s">
        <v>605</v>
      </c>
      <c r="B31" s="11" t="s">
        <v>610</v>
      </c>
      <c r="C31" s="48">
        <v>2950000</v>
      </c>
      <c r="D31" s="154"/>
      <c r="F31" s="5" t="e">
        <f>C31/C73*100</f>
        <v>#REF!</v>
      </c>
    </row>
    <row r="32" spans="1:6" ht="93.75" customHeight="1" x14ac:dyDescent="0.3">
      <c r="A32" s="239" t="s">
        <v>606</v>
      </c>
      <c r="B32" s="11" t="s">
        <v>611</v>
      </c>
      <c r="C32" s="48">
        <f>1800000+1200000</f>
        <v>3000000</v>
      </c>
      <c r="F32" s="5" t="e">
        <f>C32/C73*100</f>
        <v>#REF!</v>
      </c>
    </row>
    <row r="33" spans="1:6" ht="18" customHeight="1" x14ac:dyDescent="0.3">
      <c r="A33" s="239" t="s">
        <v>183</v>
      </c>
      <c r="B33" s="100" t="s">
        <v>184</v>
      </c>
      <c r="C33" s="48">
        <f>SUM(C34:C34)</f>
        <v>163000</v>
      </c>
      <c r="F33" s="5" t="e">
        <f>C33/C73*100</f>
        <v>#REF!</v>
      </c>
    </row>
    <row r="34" spans="1:6" ht="32.299999999999997" customHeight="1" x14ac:dyDescent="0.3">
      <c r="A34" s="239" t="s">
        <v>185</v>
      </c>
      <c r="B34" s="11" t="s">
        <v>186</v>
      </c>
      <c r="C34" s="48">
        <v>163000</v>
      </c>
    </row>
    <row r="35" spans="1:6" ht="41.3" customHeight="1" x14ac:dyDescent="0.3">
      <c r="A35" s="239" t="s">
        <v>187</v>
      </c>
      <c r="B35" s="11" t="s">
        <v>188</v>
      </c>
      <c r="C35" s="48">
        <f>C36</f>
        <v>742000</v>
      </c>
      <c r="F35" s="5" t="e">
        <f>C35/C73*100</f>
        <v>#REF!</v>
      </c>
    </row>
    <row r="36" spans="1:6" ht="58.75" customHeight="1" x14ac:dyDescent="0.3">
      <c r="A36" s="239" t="s">
        <v>630</v>
      </c>
      <c r="B36" s="11" t="s">
        <v>612</v>
      </c>
      <c r="C36" s="48">
        <v>742000</v>
      </c>
    </row>
    <row r="37" spans="1:6" ht="64.55" customHeight="1" x14ac:dyDescent="0.3">
      <c r="A37" s="239" t="s">
        <v>189</v>
      </c>
      <c r="B37" s="11" t="s">
        <v>190</v>
      </c>
      <c r="C37" s="48">
        <f>C38+C39</f>
        <v>3892000</v>
      </c>
      <c r="F37" s="5" t="e">
        <f>C37/C73*100</f>
        <v>#REF!</v>
      </c>
    </row>
    <row r="38" spans="1:6" ht="50.3" customHeight="1" x14ac:dyDescent="0.3">
      <c r="A38" s="239" t="s">
        <v>733</v>
      </c>
      <c r="B38" s="11" t="s">
        <v>734</v>
      </c>
      <c r="C38" s="48">
        <f>1000000+992000</f>
        <v>1992000</v>
      </c>
      <c r="F38" s="5" t="e">
        <f>C38/C73*100</f>
        <v>#REF!</v>
      </c>
    </row>
    <row r="39" spans="1:6" ht="32.950000000000003" customHeight="1" x14ac:dyDescent="0.3">
      <c r="A39" s="239" t="s">
        <v>632</v>
      </c>
      <c r="B39" s="11" t="s">
        <v>614</v>
      </c>
      <c r="C39" s="48">
        <f>600000+940000+360000</f>
        <v>1900000</v>
      </c>
      <c r="F39" s="5" t="e">
        <f>C39/C73*100</f>
        <v>#REF!</v>
      </c>
    </row>
    <row r="40" spans="1:6" ht="27" customHeight="1" outlineLevel="1" x14ac:dyDescent="0.3">
      <c r="A40" s="239" t="s">
        <v>191</v>
      </c>
      <c r="B40" s="100" t="s">
        <v>192</v>
      </c>
      <c r="C40" s="48">
        <f>550000+350000</f>
        <v>900000</v>
      </c>
      <c r="F40" s="5" t="e">
        <f>C40/C73*100</f>
        <v>#REF!</v>
      </c>
    </row>
    <row r="41" spans="1:6" ht="23.95" customHeight="1" outlineLevel="1" x14ac:dyDescent="0.3">
      <c r="A41" s="239" t="s">
        <v>482</v>
      </c>
      <c r="B41" s="100" t="s">
        <v>483</v>
      </c>
      <c r="C41" s="48">
        <v>92000</v>
      </c>
      <c r="F41" s="5" t="e">
        <f>C41/C73*100</f>
        <v>#REF!</v>
      </c>
    </row>
    <row r="42" spans="1:6" ht="21.75" customHeight="1" outlineLevel="1" x14ac:dyDescent="0.3">
      <c r="A42" s="239" t="s">
        <v>633</v>
      </c>
      <c r="B42" s="11" t="s">
        <v>615</v>
      </c>
      <c r="C42" s="48">
        <v>92000</v>
      </c>
    </row>
    <row r="43" spans="1:6" ht="27" customHeight="1" outlineLevel="1" x14ac:dyDescent="0.3">
      <c r="A43" s="22" t="s">
        <v>193</v>
      </c>
      <c r="B43" s="22" t="s">
        <v>194</v>
      </c>
      <c r="C43" s="51" t="e">
        <f>C44</f>
        <v>#REF!</v>
      </c>
    </row>
    <row r="44" spans="1:6" ht="58.75" customHeight="1" x14ac:dyDescent="0.3">
      <c r="A44" s="23" t="s">
        <v>195</v>
      </c>
      <c r="B44" s="23" t="s">
        <v>243</v>
      </c>
      <c r="C44" s="53" t="e">
        <f>C48+C59+C71+C45</f>
        <v>#REF!</v>
      </c>
    </row>
    <row r="45" spans="1:6" ht="32.950000000000003" customHeight="1" x14ac:dyDescent="0.3">
      <c r="A45" s="23" t="s">
        <v>702</v>
      </c>
      <c r="B45" s="23" t="s">
        <v>703</v>
      </c>
      <c r="C45" s="53" t="e">
        <f>C47+C46</f>
        <v>#REF!</v>
      </c>
    </row>
    <row r="46" spans="1:6" ht="32.6" customHeight="1" x14ac:dyDescent="0.3">
      <c r="A46" s="23" t="s">
        <v>719</v>
      </c>
      <c r="B46" s="23" t="s">
        <v>718</v>
      </c>
      <c r="C46" s="53" t="e">
        <f>'прил 9 динамика'!#REF!</f>
        <v>#REF!</v>
      </c>
    </row>
    <row r="47" spans="1:6" ht="27" customHeight="1" x14ac:dyDescent="0.3">
      <c r="A47" s="23" t="s">
        <v>704</v>
      </c>
      <c r="B47" s="23" t="s">
        <v>705</v>
      </c>
      <c r="C47" s="53">
        <f>40328000+25000000</f>
        <v>65328000</v>
      </c>
    </row>
    <row r="48" spans="1:6" ht="39.25" customHeight="1" x14ac:dyDescent="0.3">
      <c r="A48" s="23" t="s">
        <v>298</v>
      </c>
      <c r="B48" s="23" t="s">
        <v>289</v>
      </c>
      <c r="C48" s="53">
        <f>C51+C52+C54+C58+C50+C49+C53+C55+C56+C57</f>
        <v>111405517.77</v>
      </c>
    </row>
    <row r="49" spans="1:3" ht="73.400000000000006" hidden="1" x14ac:dyDescent="0.3">
      <c r="A49" s="23" t="s">
        <v>672</v>
      </c>
      <c r="B49" s="23" t="s">
        <v>671</v>
      </c>
      <c r="C49" s="53">
        <v>0</v>
      </c>
    </row>
    <row r="50" spans="1:3" ht="55.05" hidden="1" x14ac:dyDescent="0.3">
      <c r="A50" s="23" t="s">
        <v>670</v>
      </c>
      <c r="B50" s="23" t="s">
        <v>669</v>
      </c>
      <c r="C50" s="53">
        <v>0</v>
      </c>
    </row>
    <row r="51" spans="1:3" ht="91.7" hidden="1" x14ac:dyDescent="0.3">
      <c r="A51" s="23" t="s">
        <v>634</v>
      </c>
      <c r="B51" s="23" t="s">
        <v>616</v>
      </c>
      <c r="C51" s="53">
        <v>0</v>
      </c>
    </row>
    <row r="52" spans="1:3" ht="41.3" customHeight="1" x14ac:dyDescent="0.3">
      <c r="A52" s="23" t="s">
        <v>635</v>
      </c>
      <c r="B52" s="25" t="s">
        <v>617</v>
      </c>
      <c r="C52" s="53">
        <v>21338979.699999999</v>
      </c>
    </row>
    <row r="53" spans="1:3" ht="40.1" customHeight="1" x14ac:dyDescent="0.3">
      <c r="A53" s="23" t="s">
        <v>668</v>
      </c>
      <c r="B53" s="25" t="s">
        <v>667</v>
      </c>
      <c r="C53" s="53">
        <f>568859.04+534440.96</f>
        <v>1103300</v>
      </c>
    </row>
    <row r="54" spans="1:3" ht="36.700000000000003" x14ac:dyDescent="0.3">
      <c r="A54" s="23" t="s">
        <v>636</v>
      </c>
      <c r="B54" s="25" t="s">
        <v>618</v>
      </c>
      <c r="C54" s="53">
        <v>6583307.1100000003</v>
      </c>
    </row>
    <row r="55" spans="1:3" ht="91.7" x14ac:dyDescent="0.3">
      <c r="A55" s="23" t="s">
        <v>903</v>
      </c>
      <c r="B55" s="25" t="s">
        <v>873</v>
      </c>
      <c r="C55" s="53">
        <f>2430452.42-338690.1</f>
        <v>2091762.3199999998</v>
      </c>
    </row>
    <row r="56" spans="1:3" ht="36.700000000000003" x14ac:dyDescent="0.3">
      <c r="A56" s="23" t="s">
        <v>912</v>
      </c>
      <c r="B56" s="23" t="s">
        <v>913</v>
      </c>
      <c r="C56" s="53">
        <f>37531190.49+0.96</f>
        <v>37531191.450000003</v>
      </c>
    </row>
    <row r="57" spans="1:3" ht="73.400000000000006" x14ac:dyDescent="0.3">
      <c r="A57" s="23" t="s">
        <v>652</v>
      </c>
      <c r="B57" s="23" t="s">
        <v>934</v>
      </c>
      <c r="C57" s="53">
        <v>1273913.69</v>
      </c>
    </row>
    <row r="58" spans="1:3" ht="28.2" customHeight="1" x14ac:dyDescent="0.3">
      <c r="A58" s="23" t="s">
        <v>637</v>
      </c>
      <c r="B58" s="23" t="s">
        <v>619</v>
      </c>
      <c r="C58" s="53">
        <f>53153379.78-2430452.42+0.99+6000000-16678063.64+1438198.79</f>
        <v>41483063.5</v>
      </c>
    </row>
    <row r="59" spans="1:3" ht="36.700000000000003" x14ac:dyDescent="0.3">
      <c r="A59" s="24" t="s">
        <v>287</v>
      </c>
      <c r="B59" s="23" t="s">
        <v>251</v>
      </c>
      <c r="C59" s="53">
        <f>C68+C60+C63+C61+C64+C66+C67+C65+C70+C69+C62</f>
        <v>414405175.76999998</v>
      </c>
    </row>
    <row r="60" spans="1:3" ht="36.700000000000003" x14ac:dyDescent="0.3">
      <c r="A60" s="23" t="s">
        <v>638</v>
      </c>
      <c r="B60" s="23" t="s">
        <v>620</v>
      </c>
      <c r="C60" s="53">
        <f>381597148.43-16214571.04+798619.76+399245.78+8134803.8+3863214</f>
        <v>378578460.72999996</v>
      </c>
    </row>
    <row r="61" spans="1:3" ht="91.7" x14ac:dyDescent="0.3">
      <c r="A61" s="23" t="s">
        <v>639</v>
      </c>
      <c r="B61" s="25" t="s">
        <v>621</v>
      </c>
      <c r="C61" s="53">
        <v>3179069</v>
      </c>
    </row>
    <row r="62" spans="1:3" ht="91.7" x14ac:dyDescent="0.3">
      <c r="A62" s="23" t="s">
        <v>914</v>
      </c>
      <c r="B62" s="25" t="s">
        <v>915</v>
      </c>
      <c r="C62" s="53">
        <v>16214571.039999999</v>
      </c>
    </row>
    <row r="63" spans="1:3" ht="55.05" x14ac:dyDescent="0.3">
      <c r="A63" s="23" t="s">
        <v>641</v>
      </c>
      <c r="B63" s="25" t="s">
        <v>622</v>
      </c>
      <c r="C63" s="53">
        <v>1383656</v>
      </c>
    </row>
    <row r="64" spans="1:3" ht="81" customHeight="1" x14ac:dyDescent="0.3">
      <c r="A64" s="23" t="s">
        <v>642</v>
      </c>
      <c r="B64" s="25" t="s">
        <v>623</v>
      </c>
      <c r="C64" s="53">
        <v>219244</v>
      </c>
    </row>
    <row r="65" spans="1:3" ht="55.05" hidden="1" x14ac:dyDescent="0.3">
      <c r="A65" s="23" t="s">
        <v>643</v>
      </c>
      <c r="B65" s="25" t="s">
        <v>624</v>
      </c>
      <c r="C65" s="53">
        <f>1035455.64-1035455.64</f>
        <v>0</v>
      </c>
    </row>
    <row r="66" spans="1:3" ht="73.400000000000006" x14ac:dyDescent="0.3">
      <c r="A66" s="23" t="s">
        <v>644</v>
      </c>
      <c r="B66" s="25" t="s">
        <v>625</v>
      </c>
      <c r="C66" s="53">
        <v>10876600</v>
      </c>
    </row>
    <row r="67" spans="1:3" ht="36.700000000000003" hidden="1" x14ac:dyDescent="0.3">
      <c r="A67" s="23" t="s">
        <v>645</v>
      </c>
      <c r="B67" s="25" t="s">
        <v>626</v>
      </c>
      <c r="C67" s="53">
        <v>0</v>
      </c>
    </row>
    <row r="68" spans="1:3" ht="36.700000000000003" x14ac:dyDescent="0.3">
      <c r="A68" s="23" t="s">
        <v>646</v>
      </c>
      <c r="B68" s="23" t="s">
        <v>627</v>
      </c>
      <c r="C68" s="53">
        <f>1442603+61365</f>
        <v>1503968</v>
      </c>
    </row>
    <row r="69" spans="1:3" ht="18.350000000000001" x14ac:dyDescent="0.3">
      <c r="A69" s="23" t="s">
        <v>730</v>
      </c>
      <c r="B69" s="23" t="s">
        <v>731</v>
      </c>
      <c r="C69" s="53">
        <v>353579</v>
      </c>
    </row>
    <row r="70" spans="1:3" ht="36.700000000000003" x14ac:dyDescent="0.3">
      <c r="A70" s="23" t="s">
        <v>647</v>
      </c>
      <c r="B70" s="23" t="s">
        <v>628</v>
      </c>
      <c r="C70" s="53">
        <v>2096028</v>
      </c>
    </row>
    <row r="71" spans="1:3" ht="18.350000000000001" x14ac:dyDescent="0.3">
      <c r="A71" s="23" t="s">
        <v>560</v>
      </c>
      <c r="B71" s="23" t="s">
        <v>561</v>
      </c>
      <c r="C71" s="53">
        <f>C72</f>
        <v>20475000</v>
      </c>
    </row>
    <row r="72" spans="1:3" ht="73.400000000000006" x14ac:dyDescent="0.3">
      <c r="A72" s="23" t="s">
        <v>648</v>
      </c>
      <c r="B72" s="23" t="s">
        <v>629</v>
      </c>
      <c r="C72" s="53">
        <v>20475000</v>
      </c>
    </row>
    <row r="73" spans="1:3" ht="18.350000000000001" x14ac:dyDescent="0.3">
      <c r="A73" s="26"/>
      <c r="B73" s="27" t="s">
        <v>125</v>
      </c>
      <c r="C73" s="51" t="e">
        <f>C14+C43</f>
        <v>#REF!</v>
      </c>
    </row>
    <row r="79" spans="1:3" x14ac:dyDescent="0.25">
      <c r="C79" s="5" t="e">
        <f>C43/C73*100</f>
        <v>#REF!</v>
      </c>
    </row>
  </sheetData>
  <mergeCells count="5">
    <mergeCell ref="A10:C10"/>
    <mergeCell ref="A11:C11"/>
    <mergeCell ref="B2:C2"/>
    <mergeCell ref="B3:C3"/>
    <mergeCell ref="B4:C4"/>
  </mergeCells>
  <pageMargins left="0.98425196850393704" right="0.39370078740157483" top="0.39370078740157483" bottom="0.39370078740157483" header="0.31496062992125984" footer="0.31496062992125984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view="pageBreakPreview" topLeftCell="A34" zoomScale="93" zoomScaleNormal="100" zoomScaleSheetLayoutView="93" workbookViewId="0">
      <selection activeCell="B40" sqref="B40"/>
    </sheetView>
  </sheetViews>
  <sheetFormatPr defaultRowHeight="18.350000000000001" x14ac:dyDescent="0.3"/>
  <cols>
    <col min="1" max="1" width="28" style="14" customWidth="1"/>
    <col min="2" max="2" width="65.375" style="15" customWidth="1"/>
    <col min="3" max="3" width="20.875" style="42" customWidth="1"/>
    <col min="4" max="4" width="18.875" style="42" customWidth="1"/>
    <col min="5" max="5" width="18.875" style="5" customWidth="1"/>
    <col min="6" max="6" width="18" style="5" customWidth="1"/>
    <col min="7" max="7" width="17.375" style="5" customWidth="1"/>
    <col min="8" max="257" width="9.125" style="5"/>
    <col min="258" max="258" width="26.375" style="5" customWidth="1"/>
    <col min="259" max="259" width="78.375" style="5" customWidth="1"/>
    <col min="260" max="260" width="19.625" style="5" customWidth="1"/>
    <col min="261" max="513" width="9.125" style="5"/>
    <col min="514" max="514" width="26.375" style="5" customWidth="1"/>
    <col min="515" max="515" width="78.375" style="5" customWidth="1"/>
    <col min="516" max="516" width="19.625" style="5" customWidth="1"/>
    <col min="517" max="769" width="9.125" style="5"/>
    <col min="770" max="770" width="26.375" style="5" customWidth="1"/>
    <col min="771" max="771" width="78.375" style="5" customWidth="1"/>
    <col min="772" max="772" width="19.625" style="5" customWidth="1"/>
    <col min="773" max="1025" width="9.125" style="5"/>
    <col min="1026" max="1026" width="26.375" style="5" customWidth="1"/>
    <col min="1027" max="1027" width="78.375" style="5" customWidth="1"/>
    <col min="1028" max="1028" width="19.625" style="5" customWidth="1"/>
    <col min="1029" max="1281" width="9.125" style="5"/>
    <col min="1282" max="1282" width="26.375" style="5" customWidth="1"/>
    <col min="1283" max="1283" width="78.375" style="5" customWidth="1"/>
    <col min="1284" max="1284" width="19.625" style="5" customWidth="1"/>
    <col min="1285" max="1537" width="9.125" style="5"/>
    <col min="1538" max="1538" width="26.375" style="5" customWidth="1"/>
    <col min="1539" max="1539" width="78.375" style="5" customWidth="1"/>
    <col min="1540" max="1540" width="19.625" style="5" customWidth="1"/>
    <col min="1541" max="1793" width="9.125" style="5"/>
    <col min="1794" max="1794" width="26.375" style="5" customWidth="1"/>
    <col min="1795" max="1795" width="78.375" style="5" customWidth="1"/>
    <col min="1796" max="1796" width="19.625" style="5" customWidth="1"/>
    <col min="1797" max="2049" width="9.125" style="5"/>
    <col min="2050" max="2050" width="26.375" style="5" customWidth="1"/>
    <col min="2051" max="2051" width="78.375" style="5" customWidth="1"/>
    <col min="2052" max="2052" width="19.625" style="5" customWidth="1"/>
    <col min="2053" max="2305" width="9.125" style="5"/>
    <col min="2306" max="2306" width="26.375" style="5" customWidth="1"/>
    <col min="2307" max="2307" width="78.375" style="5" customWidth="1"/>
    <col min="2308" max="2308" width="19.625" style="5" customWidth="1"/>
    <col min="2309" max="2561" width="9.125" style="5"/>
    <col min="2562" max="2562" width="26.375" style="5" customWidth="1"/>
    <col min="2563" max="2563" width="78.375" style="5" customWidth="1"/>
    <col min="2564" max="2564" width="19.625" style="5" customWidth="1"/>
    <col min="2565" max="2817" width="9.125" style="5"/>
    <col min="2818" max="2818" width="26.375" style="5" customWidth="1"/>
    <col min="2819" max="2819" width="78.375" style="5" customWidth="1"/>
    <col min="2820" max="2820" width="19.625" style="5" customWidth="1"/>
    <col min="2821" max="3073" width="9.125" style="5"/>
    <col min="3074" max="3074" width="26.375" style="5" customWidth="1"/>
    <col min="3075" max="3075" width="78.375" style="5" customWidth="1"/>
    <col min="3076" max="3076" width="19.625" style="5" customWidth="1"/>
    <col min="3077" max="3329" width="9.125" style="5"/>
    <col min="3330" max="3330" width="26.375" style="5" customWidth="1"/>
    <col min="3331" max="3331" width="78.375" style="5" customWidth="1"/>
    <col min="3332" max="3332" width="19.625" style="5" customWidth="1"/>
    <col min="3333" max="3585" width="9.125" style="5"/>
    <col min="3586" max="3586" width="26.375" style="5" customWidth="1"/>
    <col min="3587" max="3587" width="78.375" style="5" customWidth="1"/>
    <col min="3588" max="3588" width="19.625" style="5" customWidth="1"/>
    <col min="3589" max="3841" width="9.125" style="5"/>
    <col min="3842" max="3842" width="26.375" style="5" customWidth="1"/>
    <col min="3843" max="3843" width="78.375" style="5" customWidth="1"/>
    <col min="3844" max="3844" width="19.625" style="5" customWidth="1"/>
    <col min="3845" max="4097" width="9.125" style="5"/>
    <col min="4098" max="4098" width="26.375" style="5" customWidth="1"/>
    <col min="4099" max="4099" width="78.375" style="5" customWidth="1"/>
    <col min="4100" max="4100" width="19.625" style="5" customWidth="1"/>
    <col min="4101" max="4353" width="9.125" style="5"/>
    <col min="4354" max="4354" width="26.375" style="5" customWidth="1"/>
    <col min="4355" max="4355" width="78.375" style="5" customWidth="1"/>
    <col min="4356" max="4356" width="19.625" style="5" customWidth="1"/>
    <col min="4357" max="4609" width="9.125" style="5"/>
    <col min="4610" max="4610" width="26.375" style="5" customWidth="1"/>
    <col min="4611" max="4611" width="78.375" style="5" customWidth="1"/>
    <col min="4612" max="4612" width="19.625" style="5" customWidth="1"/>
    <col min="4613" max="4865" width="9.125" style="5"/>
    <col min="4866" max="4866" width="26.375" style="5" customWidth="1"/>
    <col min="4867" max="4867" width="78.375" style="5" customWidth="1"/>
    <col min="4868" max="4868" width="19.625" style="5" customWidth="1"/>
    <col min="4869" max="5121" width="9.125" style="5"/>
    <col min="5122" max="5122" width="26.375" style="5" customWidth="1"/>
    <col min="5123" max="5123" width="78.375" style="5" customWidth="1"/>
    <col min="5124" max="5124" width="19.625" style="5" customWidth="1"/>
    <col min="5125" max="5377" width="9.125" style="5"/>
    <col min="5378" max="5378" width="26.375" style="5" customWidth="1"/>
    <col min="5379" max="5379" width="78.375" style="5" customWidth="1"/>
    <col min="5380" max="5380" width="19.625" style="5" customWidth="1"/>
    <col min="5381" max="5633" width="9.125" style="5"/>
    <col min="5634" max="5634" width="26.375" style="5" customWidth="1"/>
    <col min="5635" max="5635" width="78.375" style="5" customWidth="1"/>
    <col min="5636" max="5636" width="19.625" style="5" customWidth="1"/>
    <col min="5637" max="5889" width="9.125" style="5"/>
    <col min="5890" max="5890" width="26.375" style="5" customWidth="1"/>
    <col min="5891" max="5891" width="78.375" style="5" customWidth="1"/>
    <col min="5892" max="5892" width="19.625" style="5" customWidth="1"/>
    <col min="5893" max="6145" width="9.125" style="5"/>
    <col min="6146" max="6146" width="26.375" style="5" customWidth="1"/>
    <col min="6147" max="6147" width="78.375" style="5" customWidth="1"/>
    <col min="6148" max="6148" width="19.625" style="5" customWidth="1"/>
    <col min="6149" max="6401" width="9.125" style="5"/>
    <col min="6402" max="6402" width="26.375" style="5" customWidth="1"/>
    <col min="6403" max="6403" width="78.375" style="5" customWidth="1"/>
    <col min="6404" max="6404" width="19.625" style="5" customWidth="1"/>
    <col min="6405" max="6657" width="9.125" style="5"/>
    <col min="6658" max="6658" width="26.375" style="5" customWidth="1"/>
    <col min="6659" max="6659" width="78.375" style="5" customWidth="1"/>
    <col min="6660" max="6660" width="19.625" style="5" customWidth="1"/>
    <col min="6661" max="6913" width="9.125" style="5"/>
    <col min="6914" max="6914" width="26.375" style="5" customWidth="1"/>
    <col min="6915" max="6915" width="78.375" style="5" customWidth="1"/>
    <col min="6916" max="6916" width="19.625" style="5" customWidth="1"/>
    <col min="6917" max="7169" width="9.125" style="5"/>
    <col min="7170" max="7170" width="26.375" style="5" customWidth="1"/>
    <col min="7171" max="7171" width="78.375" style="5" customWidth="1"/>
    <col min="7172" max="7172" width="19.625" style="5" customWidth="1"/>
    <col min="7173" max="7425" width="9.125" style="5"/>
    <col min="7426" max="7426" width="26.375" style="5" customWidth="1"/>
    <col min="7427" max="7427" width="78.375" style="5" customWidth="1"/>
    <col min="7428" max="7428" width="19.625" style="5" customWidth="1"/>
    <col min="7429" max="7681" width="9.125" style="5"/>
    <col min="7682" max="7682" width="26.375" style="5" customWidth="1"/>
    <col min="7683" max="7683" width="78.375" style="5" customWidth="1"/>
    <col min="7684" max="7684" width="19.625" style="5" customWidth="1"/>
    <col min="7685" max="7937" width="9.125" style="5"/>
    <col min="7938" max="7938" width="26.375" style="5" customWidth="1"/>
    <col min="7939" max="7939" width="78.375" style="5" customWidth="1"/>
    <col min="7940" max="7940" width="19.625" style="5" customWidth="1"/>
    <col min="7941" max="8193" width="9.125" style="5"/>
    <col min="8194" max="8194" width="26.375" style="5" customWidth="1"/>
    <col min="8195" max="8195" width="78.375" style="5" customWidth="1"/>
    <col min="8196" max="8196" width="19.625" style="5" customWidth="1"/>
    <col min="8197" max="8449" width="9.125" style="5"/>
    <col min="8450" max="8450" width="26.375" style="5" customWidth="1"/>
    <col min="8451" max="8451" width="78.375" style="5" customWidth="1"/>
    <col min="8452" max="8452" width="19.625" style="5" customWidth="1"/>
    <col min="8453" max="8705" width="9.125" style="5"/>
    <col min="8706" max="8706" width="26.375" style="5" customWidth="1"/>
    <col min="8707" max="8707" width="78.375" style="5" customWidth="1"/>
    <col min="8708" max="8708" width="19.625" style="5" customWidth="1"/>
    <col min="8709" max="8961" width="9.125" style="5"/>
    <col min="8962" max="8962" width="26.375" style="5" customWidth="1"/>
    <col min="8963" max="8963" width="78.375" style="5" customWidth="1"/>
    <col min="8964" max="8964" width="19.625" style="5" customWidth="1"/>
    <col min="8965" max="9217" width="9.125" style="5"/>
    <col min="9218" max="9218" width="26.375" style="5" customWidth="1"/>
    <col min="9219" max="9219" width="78.375" style="5" customWidth="1"/>
    <col min="9220" max="9220" width="19.625" style="5" customWidth="1"/>
    <col min="9221" max="9473" width="9.125" style="5"/>
    <col min="9474" max="9474" width="26.375" style="5" customWidth="1"/>
    <col min="9475" max="9475" width="78.375" style="5" customWidth="1"/>
    <col min="9476" max="9476" width="19.625" style="5" customWidth="1"/>
    <col min="9477" max="9729" width="9.125" style="5"/>
    <col min="9730" max="9730" width="26.375" style="5" customWidth="1"/>
    <col min="9731" max="9731" width="78.375" style="5" customWidth="1"/>
    <col min="9732" max="9732" width="19.625" style="5" customWidth="1"/>
    <col min="9733" max="9985" width="9.125" style="5"/>
    <col min="9986" max="9986" width="26.375" style="5" customWidth="1"/>
    <col min="9987" max="9987" width="78.375" style="5" customWidth="1"/>
    <col min="9988" max="9988" width="19.625" style="5" customWidth="1"/>
    <col min="9989" max="10241" width="9.125" style="5"/>
    <col min="10242" max="10242" width="26.375" style="5" customWidth="1"/>
    <col min="10243" max="10243" width="78.375" style="5" customWidth="1"/>
    <col min="10244" max="10244" width="19.625" style="5" customWidth="1"/>
    <col min="10245" max="10497" width="9.125" style="5"/>
    <col min="10498" max="10498" width="26.375" style="5" customWidth="1"/>
    <col min="10499" max="10499" width="78.375" style="5" customWidth="1"/>
    <col min="10500" max="10500" width="19.625" style="5" customWidth="1"/>
    <col min="10501" max="10753" width="9.125" style="5"/>
    <col min="10754" max="10754" width="26.375" style="5" customWidth="1"/>
    <col min="10755" max="10755" width="78.375" style="5" customWidth="1"/>
    <col min="10756" max="10756" width="19.625" style="5" customWidth="1"/>
    <col min="10757" max="11009" width="9.125" style="5"/>
    <col min="11010" max="11010" width="26.375" style="5" customWidth="1"/>
    <col min="11011" max="11011" width="78.375" style="5" customWidth="1"/>
    <col min="11012" max="11012" width="19.625" style="5" customWidth="1"/>
    <col min="11013" max="11265" width="9.125" style="5"/>
    <col min="11266" max="11266" width="26.375" style="5" customWidth="1"/>
    <col min="11267" max="11267" width="78.375" style="5" customWidth="1"/>
    <col min="11268" max="11268" width="19.625" style="5" customWidth="1"/>
    <col min="11269" max="11521" width="9.125" style="5"/>
    <col min="11522" max="11522" width="26.375" style="5" customWidth="1"/>
    <col min="11523" max="11523" width="78.375" style="5" customWidth="1"/>
    <col min="11524" max="11524" width="19.625" style="5" customWidth="1"/>
    <col min="11525" max="11777" width="9.125" style="5"/>
    <col min="11778" max="11778" width="26.375" style="5" customWidth="1"/>
    <col min="11779" max="11779" width="78.375" style="5" customWidth="1"/>
    <col min="11780" max="11780" width="19.625" style="5" customWidth="1"/>
    <col min="11781" max="12033" width="9.125" style="5"/>
    <col min="12034" max="12034" width="26.375" style="5" customWidth="1"/>
    <col min="12035" max="12035" width="78.375" style="5" customWidth="1"/>
    <col min="12036" max="12036" width="19.625" style="5" customWidth="1"/>
    <col min="12037" max="12289" width="9.125" style="5"/>
    <col min="12290" max="12290" width="26.375" style="5" customWidth="1"/>
    <col min="12291" max="12291" width="78.375" style="5" customWidth="1"/>
    <col min="12292" max="12292" width="19.625" style="5" customWidth="1"/>
    <col min="12293" max="12545" width="9.125" style="5"/>
    <col min="12546" max="12546" width="26.375" style="5" customWidth="1"/>
    <col min="12547" max="12547" width="78.375" style="5" customWidth="1"/>
    <col min="12548" max="12548" width="19.625" style="5" customWidth="1"/>
    <col min="12549" max="12801" width="9.125" style="5"/>
    <col min="12802" max="12802" width="26.375" style="5" customWidth="1"/>
    <col min="12803" max="12803" width="78.375" style="5" customWidth="1"/>
    <col min="12804" max="12804" width="19.625" style="5" customWidth="1"/>
    <col min="12805" max="13057" width="9.125" style="5"/>
    <col min="13058" max="13058" width="26.375" style="5" customWidth="1"/>
    <col min="13059" max="13059" width="78.375" style="5" customWidth="1"/>
    <col min="13060" max="13060" width="19.625" style="5" customWidth="1"/>
    <col min="13061" max="13313" width="9.125" style="5"/>
    <col min="13314" max="13314" width="26.375" style="5" customWidth="1"/>
    <col min="13315" max="13315" width="78.375" style="5" customWidth="1"/>
    <col min="13316" max="13316" width="19.625" style="5" customWidth="1"/>
    <col min="13317" max="13569" width="9.125" style="5"/>
    <col min="13570" max="13570" width="26.375" style="5" customWidth="1"/>
    <col min="13571" max="13571" width="78.375" style="5" customWidth="1"/>
    <col min="13572" max="13572" width="19.625" style="5" customWidth="1"/>
    <col min="13573" max="13825" width="9.125" style="5"/>
    <col min="13826" max="13826" width="26.375" style="5" customWidth="1"/>
    <col min="13827" max="13827" width="78.375" style="5" customWidth="1"/>
    <col min="13828" max="13828" width="19.625" style="5" customWidth="1"/>
    <col min="13829" max="14081" width="9.125" style="5"/>
    <col min="14082" max="14082" width="26.375" style="5" customWidth="1"/>
    <col min="14083" max="14083" width="78.375" style="5" customWidth="1"/>
    <col min="14084" max="14084" width="19.625" style="5" customWidth="1"/>
    <col min="14085" max="14337" width="9.125" style="5"/>
    <col min="14338" max="14338" width="26.375" style="5" customWidth="1"/>
    <col min="14339" max="14339" width="78.375" style="5" customWidth="1"/>
    <col min="14340" max="14340" width="19.625" style="5" customWidth="1"/>
    <col min="14341" max="14593" width="9.125" style="5"/>
    <col min="14594" max="14594" width="26.375" style="5" customWidth="1"/>
    <col min="14595" max="14595" width="78.375" style="5" customWidth="1"/>
    <col min="14596" max="14596" width="19.625" style="5" customWidth="1"/>
    <col min="14597" max="14849" width="9.125" style="5"/>
    <col min="14850" max="14850" width="26.375" style="5" customWidth="1"/>
    <col min="14851" max="14851" width="78.375" style="5" customWidth="1"/>
    <col min="14852" max="14852" width="19.625" style="5" customWidth="1"/>
    <col min="14853" max="15105" width="9.125" style="5"/>
    <col min="15106" max="15106" width="26.375" style="5" customWidth="1"/>
    <col min="15107" max="15107" width="78.375" style="5" customWidth="1"/>
    <col min="15108" max="15108" width="19.625" style="5" customWidth="1"/>
    <col min="15109" max="15361" width="9.125" style="5"/>
    <col min="15362" max="15362" width="26.375" style="5" customWidth="1"/>
    <col min="15363" max="15363" width="78.375" style="5" customWidth="1"/>
    <col min="15364" max="15364" width="19.625" style="5" customWidth="1"/>
    <col min="15365" max="15617" width="9.125" style="5"/>
    <col min="15618" max="15618" width="26.375" style="5" customWidth="1"/>
    <col min="15619" max="15619" width="78.375" style="5" customWidth="1"/>
    <col min="15620" max="15620" width="19.625" style="5" customWidth="1"/>
    <col min="15621" max="15873" width="9.125" style="5"/>
    <col min="15874" max="15874" width="26.375" style="5" customWidth="1"/>
    <col min="15875" max="15875" width="78.375" style="5" customWidth="1"/>
    <col min="15876" max="15876" width="19.625" style="5" customWidth="1"/>
    <col min="15877" max="16129" width="9.125" style="5"/>
    <col min="16130" max="16130" width="26.375" style="5" customWidth="1"/>
    <col min="16131" max="16131" width="78.375" style="5" customWidth="1"/>
    <col min="16132" max="16132" width="19.625" style="5" customWidth="1"/>
    <col min="16133" max="16384" width="9.125" style="5"/>
  </cols>
  <sheetData>
    <row r="1" spans="1:7" x14ac:dyDescent="0.3">
      <c r="C1" s="44"/>
      <c r="D1" s="86"/>
    </row>
    <row r="2" spans="1:7" x14ac:dyDescent="0.3">
      <c r="C2" s="44"/>
      <c r="D2" s="86"/>
    </row>
    <row r="3" spans="1:7" x14ac:dyDescent="0.3">
      <c r="C3" s="44"/>
      <c r="D3" s="86"/>
    </row>
    <row r="4" spans="1:7" x14ac:dyDescent="0.3">
      <c r="B4" s="673"/>
      <c r="C4" s="673"/>
      <c r="D4" s="89"/>
    </row>
    <row r="5" spans="1:7" x14ac:dyDescent="0.3">
      <c r="C5" s="44"/>
      <c r="D5" s="86"/>
    </row>
    <row r="6" spans="1:7" x14ac:dyDescent="0.3">
      <c r="C6" s="44"/>
      <c r="D6" s="86"/>
    </row>
    <row r="7" spans="1:7" x14ac:dyDescent="0.3">
      <c r="C7" s="44"/>
      <c r="D7" s="86"/>
    </row>
    <row r="8" spans="1:7" x14ac:dyDescent="0.3">
      <c r="C8" s="44"/>
      <c r="D8" s="86"/>
    </row>
    <row r="9" spans="1:7" x14ac:dyDescent="0.3">
      <c r="A9" s="670" t="s">
        <v>241</v>
      </c>
      <c r="B9" s="670"/>
      <c r="C9" s="670"/>
      <c r="D9" s="88"/>
    </row>
    <row r="10" spans="1:7" x14ac:dyDescent="0.3">
      <c r="A10" s="671" t="s">
        <v>757</v>
      </c>
      <c r="B10" s="671"/>
      <c r="C10" s="671"/>
      <c r="D10" s="87"/>
    </row>
    <row r="11" spans="1:7" x14ac:dyDescent="0.3">
      <c r="C11" s="40" t="s">
        <v>408</v>
      </c>
      <c r="D11" s="40"/>
    </row>
    <row r="12" spans="1:7" ht="57.75" customHeight="1" x14ac:dyDescent="0.3">
      <c r="A12" s="16" t="s">
        <v>159</v>
      </c>
      <c r="B12" s="17" t="s">
        <v>164</v>
      </c>
      <c r="C12" s="92" t="s">
        <v>742</v>
      </c>
      <c r="D12" s="92" t="s">
        <v>744</v>
      </c>
      <c r="E12" s="64" t="s">
        <v>743</v>
      </c>
      <c r="F12" s="64" t="s">
        <v>745</v>
      </c>
      <c r="G12" s="64" t="s">
        <v>746</v>
      </c>
    </row>
    <row r="13" spans="1:7" ht="36.700000000000003" x14ac:dyDescent="0.3">
      <c r="A13" s="18" t="s">
        <v>165</v>
      </c>
      <c r="B13" s="19" t="s">
        <v>166</v>
      </c>
      <c r="C13" s="47">
        <f>C14+C18+C23+C26+C28+C32+C34+C36+C39+C16+C40</f>
        <v>340648250</v>
      </c>
      <c r="D13" s="47">
        <f>D14+D18+D23+D26+D28+D32+D34+D36+D39+D16+D40</f>
        <v>171881000</v>
      </c>
      <c r="E13" s="47">
        <f>E14+E18+E23+E26+E28+E32+E34+E36+E39+E16+E40</f>
        <v>434727000</v>
      </c>
      <c r="F13" s="94">
        <f>E13-C13</f>
        <v>94078750</v>
      </c>
      <c r="G13" s="93">
        <f>E13-D13</f>
        <v>262846000</v>
      </c>
    </row>
    <row r="14" spans="1:7" ht="36.700000000000003" x14ac:dyDescent="0.3">
      <c r="A14" s="18" t="s">
        <v>167</v>
      </c>
      <c r="B14" s="20" t="s">
        <v>168</v>
      </c>
      <c r="C14" s="48">
        <f>SUM(C15:C15)</f>
        <v>267566100</v>
      </c>
      <c r="D14" s="48">
        <f>SUM(D15:D15)</f>
        <v>111000000</v>
      </c>
      <c r="E14" s="48">
        <f>SUM(E15:E15)</f>
        <v>351120000</v>
      </c>
      <c r="F14" s="94">
        <f t="shared" ref="F14:F68" si="0">E14-C14</f>
        <v>83553900</v>
      </c>
      <c r="G14" s="93">
        <f t="shared" ref="G14:G68" si="1">E14-D14</f>
        <v>240120000</v>
      </c>
    </row>
    <row r="15" spans="1:7" ht="36.700000000000003" x14ac:dyDescent="0.3">
      <c r="A15" s="18" t="s">
        <v>169</v>
      </c>
      <c r="B15" s="20" t="s">
        <v>170</v>
      </c>
      <c r="C15" s="48">
        <v>267566100</v>
      </c>
      <c r="D15" s="48">
        <f>'прил 8'!C11</f>
        <v>111000000</v>
      </c>
      <c r="E15" s="48">
        <v>351120000</v>
      </c>
      <c r="F15" s="94">
        <f t="shared" si="0"/>
        <v>83553900</v>
      </c>
      <c r="G15" s="93">
        <f t="shared" si="1"/>
        <v>240120000</v>
      </c>
    </row>
    <row r="16" spans="1:7" ht="36.700000000000003" x14ac:dyDescent="0.3">
      <c r="A16" s="18" t="s">
        <v>171</v>
      </c>
      <c r="B16" s="20" t="s">
        <v>172</v>
      </c>
      <c r="C16" s="48">
        <f>C17</f>
        <v>10961000</v>
      </c>
      <c r="D16" s="48">
        <f>D17</f>
        <v>14066000</v>
      </c>
      <c r="E16" s="48">
        <f>E17</f>
        <v>12030000</v>
      </c>
      <c r="F16" s="94">
        <f t="shared" si="0"/>
        <v>1069000</v>
      </c>
      <c r="G16" s="93">
        <f t="shared" si="1"/>
        <v>-2036000</v>
      </c>
    </row>
    <row r="17" spans="1:7" ht="36.700000000000003" x14ac:dyDescent="0.3">
      <c r="A17" s="18" t="s">
        <v>173</v>
      </c>
      <c r="B17" s="20" t="s">
        <v>174</v>
      </c>
      <c r="C17" s="48">
        <v>10961000</v>
      </c>
      <c r="D17" s="48">
        <f>'прил 8'!C13</f>
        <v>14066000</v>
      </c>
      <c r="E17" s="48">
        <v>12030000</v>
      </c>
      <c r="F17" s="94">
        <f t="shared" si="0"/>
        <v>1069000</v>
      </c>
      <c r="G17" s="93">
        <f t="shared" si="1"/>
        <v>-2036000</v>
      </c>
    </row>
    <row r="18" spans="1:7" ht="36.700000000000003" x14ac:dyDescent="0.3">
      <c r="A18" s="18" t="s">
        <v>175</v>
      </c>
      <c r="B18" s="20" t="s">
        <v>176</v>
      </c>
      <c r="C18" s="48">
        <f>SUM(C19:C22)</f>
        <v>9545000</v>
      </c>
      <c r="D18" s="48">
        <f>SUM(D19:D22)</f>
        <v>7100000</v>
      </c>
      <c r="E18" s="48">
        <f>SUM(E19:E22)</f>
        <v>24600000</v>
      </c>
      <c r="F18" s="94">
        <f t="shared" si="0"/>
        <v>15055000</v>
      </c>
      <c r="G18" s="93">
        <f t="shared" si="1"/>
        <v>17500000</v>
      </c>
    </row>
    <row r="19" spans="1:7" ht="36.700000000000003" x14ac:dyDescent="0.3">
      <c r="A19" s="18" t="s">
        <v>473</v>
      </c>
      <c r="B19" s="20" t="s">
        <v>474</v>
      </c>
      <c r="C19" s="48">
        <v>525000</v>
      </c>
      <c r="D19" s="48">
        <f>'прил 8'!C15</f>
        <v>1050000</v>
      </c>
      <c r="E19" s="48">
        <v>16000000</v>
      </c>
      <c r="F19" s="94">
        <f t="shared" si="0"/>
        <v>15475000</v>
      </c>
      <c r="G19" s="93">
        <f t="shared" si="1"/>
        <v>14950000</v>
      </c>
    </row>
    <row r="20" spans="1:7" ht="36.700000000000003" x14ac:dyDescent="0.3">
      <c r="A20" s="18" t="s">
        <v>665</v>
      </c>
      <c r="B20" s="20" t="s">
        <v>666</v>
      </c>
      <c r="C20" s="48">
        <v>2500000</v>
      </c>
      <c r="D20" s="48">
        <v>0</v>
      </c>
      <c r="E20" s="48">
        <v>0</v>
      </c>
      <c r="F20" s="94">
        <f t="shared" si="0"/>
        <v>-2500000</v>
      </c>
      <c r="G20" s="93">
        <f t="shared" si="1"/>
        <v>0</v>
      </c>
    </row>
    <row r="21" spans="1:7" ht="36.700000000000003" x14ac:dyDescent="0.3">
      <c r="A21" s="18" t="s">
        <v>177</v>
      </c>
      <c r="B21" s="20" t="s">
        <v>178</v>
      </c>
      <c r="C21" s="48">
        <v>2800000</v>
      </c>
      <c r="D21" s="48">
        <f>'прил 8'!C16</f>
        <v>1350000</v>
      </c>
      <c r="E21" s="48">
        <v>1250000</v>
      </c>
      <c r="F21" s="94">
        <f t="shared" si="0"/>
        <v>-1550000</v>
      </c>
      <c r="G21" s="93">
        <f t="shared" si="1"/>
        <v>-100000</v>
      </c>
    </row>
    <row r="22" spans="1:7" ht="55.05" x14ac:dyDescent="0.3">
      <c r="A22" s="18" t="s">
        <v>732</v>
      </c>
      <c r="B22" s="20" t="s">
        <v>607</v>
      </c>
      <c r="C22" s="48">
        <v>3720000</v>
      </c>
      <c r="D22" s="48">
        <f>'прил 8'!C17</f>
        <v>4700000</v>
      </c>
      <c r="E22" s="48">
        <v>7350000</v>
      </c>
      <c r="F22" s="94">
        <f t="shared" si="0"/>
        <v>3630000</v>
      </c>
      <c r="G22" s="93">
        <f t="shared" si="1"/>
        <v>2650000</v>
      </c>
    </row>
    <row r="23" spans="1:7" ht="36.700000000000003" x14ac:dyDescent="0.3">
      <c r="A23" s="18" t="s">
        <v>476</v>
      </c>
      <c r="B23" s="20" t="s">
        <v>477</v>
      </c>
      <c r="C23" s="48">
        <f>C24+C25</f>
        <v>27900000</v>
      </c>
      <c r="D23" s="48">
        <f>D24+D25</f>
        <v>16700000</v>
      </c>
      <c r="E23" s="48">
        <f>E24+E25</f>
        <v>26300000</v>
      </c>
      <c r="F23" s="94">
        <f t="shared" si="0"/>
        <v>-1600000</v>
      </c>
      <c r="G23" s="93">
        <f t="shared" si="1"/>
        <v>9600000</v>
      </c>
    </row>
    <row r="24" spans="1:7" ht="36.700000000000003" customHeight="1" x14ac:dyDescent="0.3">
      <c r="A24" s="18" t="s">
        <v>640</v>
      </c>
      <c r="B24" s="20" t="s">
        <v>608</v>
      </c>
      <c r="C24" s="48">
        <v>3900000</v>
      </c>
      <c r="D24" s="48">
        <f>'прил 8'!C19</f>
        <v>5700000</v>
      </c>
      <c r="E24" s="48">
        <v>4300000</v>
      </c>
      <c r="F24" s="94">
        <f t="shared" si="0"/>
        <v>400000</v>
      </c>
      <c r="G24" s="93">
        <f t="shared" si="1"/>
        <v>-1400000</v>
      </c>
    </row>
    <row r="25" spans="1:7" ht="18.7" customHeight="1" x14ac:dyDescent="0.3">
      <c r="A25" s="18" t="s">
        <v>479</v>
      </c>
      <c r="B25" s="20" t="s">
        <v>478</v>
      </c>
      <c r="C25" s="48">
        <v>24000000</v>
      </c>
      <c r="D25" s="48">
        <f>'прил 8'!C20</f>
        <v>11000000</v>
      </c>
      <c r="E25" s="48">
        <v>22000000</v>
      </c>
      <c r="F25" s="94">
        <f t="shared" si="0"/>
        <v>-2000000</v>
      </c>
      <c r="G25" s="93">
        <f t="shared" si="1"/>
        <v>11000000</v>
      </c>
    </row>
    <row r="26" spans="1:7" ht="36.700000000000003" x14ac:dyDescent="0.3">
      <c r="A26" s="18" t="s">
        <v>179</v>
      </c>
      <c r="B26" s="20" t="s">
        <v>180</v>
      </c>
      <c r="C26" s="48">
        <f>C27</f>
        <v>2600000</v>
      </c>
      <c r="D26" s="48">
        <f>D27</f>
        <v>2500000</v>
      </c>
      <c r="E26" s="48">
        <f>E27</f>
        <v>2300000</v>
      </c>
      <c r="F26" s="94">
        <f t="shared" si="0"/>
        <v>-300000</v>
      </c>
      <c r="G26" s="93">
        <f t="shared" si="1"/>
        <v>-200000</v>
      </c>
    </row>
    <row r="27" spans="1:7" ht="55.05" x14ac:dyDescent="0.3">
      <c r="A27" s="18" t="s">
        <v>480</v>
      </c>
      <c r="B27" s="20" t="s">
        <v>481</v>
      </c>
      <c r="C27" s="48">
        <v>2600000</v>
      </c>
      <c r="D27" s="48">
        <f>'прил 8'!C22</f>
        <v>2500000</v>
      </c>
      <c r="E27" s="48">
        <v>2300000</v>
      </c>
      <c r="F27" s="94">
        <f t="shared" si="0"/>
        <v>-300000</v>
      </c>
      <c r="G27" s="93">
        <f t="shared" si="1"/>
        <v>-200000</v>
      </c>
    </row>
    <row r="28" spans="1:7" ht="36" customHeight="1" x14ac:dyDescent="0.3">
      <c r="A28" s="18" t="s">
        <v>181</v>
      </c>
      <c r="B28" s="21" t="s">
        <v>182</v>
      </c>
      <c r="C28" s="48">
        <f>SUM(C29:C31)</f>
        <v>15470000</v>
      </c>
      <c r="D28" s="48">
        <f>SUM(D29:D31)</f>
        <v>16050000</v>
      </c>
      <c r="E28" s="48">
        <f>SUM(E29:E31)</f>
        <v>15230000</v>
      </c>
      <c r="F28" s="94">
        <f t="shared" si="0"/>
        <v>-240000</v>
      </c>
      <c r="G28" s="93">
        <f t="shared" si="1"/>
        <v>-820000</v>
      </c>
    </row>
    <row r="29" spans="1:7" ht="73.55" customHeight="1" x14ac:dyDescent="0.3">
      <c r="A29" s="18" t="s">
        <v>604</v>
      </c>
      <c r="B29" s="20" t="s">
        <v>609</v>
      </c>
      <c r="C29" s="48">
        <v>10370000</v>
      </c>
      <c r="D29" s="48">
        <f>'прил 8'!C24</f>
        <v>10500000</v>
      </c>
      <c r="E29" s="48">
        <v>10480000</v>
      </c>
      <c r="F29" s="94">
        <f t="shared" si="0"/>
        <v>110000</v>
      </c>
      <c r="G29" s="93">
        <f t="shared" si="1"/>
        <v>-20000</v>
      </c>
    </row>
    <row r="30" spans="1:7" ht="37.549999999999997" customHeight="1" x14ac:dyDescent="0.3">
      <c r="A30" s="18" t="s">
        <v>605</v>
      </c>
      <c r="B30" s="20" t="s">
        <v>610</v>
      </c>
      <c r="C30" s="48">
        <v>3100000</v>
      </c>
      <c r="D30" s="48">
        <f>'прил 8'!C25</f>
        <v>2750000</v>
      </c>
      <c r="E30" s="48">
        <v>2950000</v>
      </c>
      <c r="F30" s="94">
        <f t="shared" si="0"/>
        <v>-150000</v>
      </c>
      <c r="G30" s="93">
        <f t="shared" si="1"/>
        <v>200000</v>
      </c>
    </row>
    <row r="31" spans="1:7" ht="74.25" customHeight="1" x14ac:dyDescent="0.3">
      <c r="A31" s="18" t="s">
        <v>606</v>
      </c>
      <c r="B31" s="20" t="s">
        <v>611</v>
      </c>
      <c r="C31" s="48">
        <v>2000000</v>
      </c>
      <c r="D31" s="48">
        <f>'прил 8'!C26</f>
        <v>2800000</v>
      </c>
      <c r="E31" s="48">
        <v>1800000</v>
      </c>
      <c r="F31" s="94">
        <f t="shared" si="0"/>
        <v>-200000</v>
      </c>
      <c r="G31" s="93">
        <f t="shared" si="1"/>
        <v>-1000000</v>
      </c>
    </row>
    <row r="32" spans="1:7" ht="23.95" customHeight="1" x14ac:dyDescent="0.3">
      <c r="A32" s="18" t="s">
        <v>183</v>
      </c>
      <c r="B32" s="21" t="s">
        <v>184</v>
      </c>
      <c r="C32" s="48">
        <f>SUM(C33:C33)</f>
        <v>191000</v>
      </c>
      <c r="D32" s="48">
        <f>SUM(D33:D33)</f>
        <v>133000</v>
      </c>
      <c r="E32" s="48">
        <f>SUM(E33:E33)</f>
        <v>163000</v>
      </c>
      <c r="F32" s="94">
        <f t="shared" si="0"/>
        <v>-28000</v>
      </c>
      <c r="G32" s="93">
        <f t="shared" si="1"/>
        <v>30000</v>
      </c>
    </row>
    <row r="33" spans="1:7" ht="36.700000000000003" x14ac:dyDescent="0.3">
      <c r="A33" s="18" t="s">
        <v>185</v>
      </c>
      <c r="B33" s="20" t="s">
        <v>186</v>
      </c>
      <c r="C33" s="48">
        <v>191000</v>
      </c>
      <c r="D33" s="48">
        <f>'прил 8'!C28</f>
        <v>133000</v>
      </c>
      <c r="E33" s="48">
        <v>163000</v>
      </c>
      <c r="F33" s="94">
        <f t="shared" si="0"/>
        <v>-28000</v>
      </c>
      <c r="G33" s="93">
        <f t="shared" si="1"/>
        <v>30000</v>
      </c>
    </row>
    <row r="34" spans="1:7" ht="55.05" x14ac:dyDescent="0.3">
      <c r="A34" s="18" t="s">
        <v>187</v>
      </c>
      <c r="B34" s="20" t="s">
        <v>188</v>
      </c>
      <c r="C34" s="48">
        <f>C35</f>
        <v>1314300</v>
      </c>
      <c r="D34" s="48">
        <f>D35</f>
        <v>804000</v>
      </c>
      <c r="E34" s="48">
        <f>E35</f>
        <v>742000</v>
      </c>
      <c r="F34" s="94">
        <f t="shared" si="0"/>
        <v>-572300</v>
      </c>
      <c r="G34" s="93">
        <f t="shared" si="1"/>
        <v>-62000</v>
      </c>
    </row>
    <row r="35" spans="1:7" ht="36.700000000000003" customHeight="1" x14ac:dyDescent="0.3">
      <c r="A35" s="18" t="s">
        <v>630</v>
      </c>
      <c r="B35" s="20" t="s">
        <v>612</v>
      </c>
      <c r="C35" s="48">
        <v>1314300</v>
      </c>
      <c r="D35" s="48">
        <f>'прил 8'!C30</f>
        <v>804000</v>
      </c>
      <c r="E35" s="48">
        <v>742000</v>
      </c>
      <c r="F35" s="94">
        <f t="shared" si="0"/>
        <v>-572300</v>
      </c>
      <c r="G35" s="93">
        <f t="shared" si="1"/>
        <v>-62000</v>
      </c>
    </row>
    <row r="36" spans="1:7" ht="36.700000000000003" x14ac:dyDescent="0.3">
      <c r="A36" s="18" t="s">
        <v>189</v>
      </c>
      <c r="B36" s="20" t="s">
        <v>190</v>
      </c>
      <c r="C36" s="48">
        <f>C37+C38</f>
        <v>3872850</v>
      </c>
      <c r="D36" s="48">
        <f>D37+D38</f>
        <v>2600000</v>
      </c>
      <c r="E36" s="48">
        <f>E37+E38</f>
        <v>1600000</v>
      </c>
      <c r="F36" s="94">
        <f t="shared" si="0"/>
        <v>-2272850</v>
      </c>
      <c r="G36" s="93">
        <f t="shared" si="1"/>
        <v>-1000000</v>
      </c>
    </row>
    <row r="37" spans="1:7" ht="77.3" customHeight="1" x14ac:dyDescent="0.3">
      <c r="A37" s="18" t="s">
        <v>733</v>
      </c>
      <c r="B37" s="20" t="s">
        <v>734</v>
      </c>
      <c r="C37" s="48">
        <v>2620850</v>
      </c>
      <c r="D37" s="48">
        <f>'прил 8'!C32</f>
        <v>1000000</v>
      </c>
      <c r="E37" s="48">
        <v>1000000</v>
      </c>
      <c r="F37" s="94">
        <f t="shared" si="0"/>
        <v>-1620850</v>
      </c>
      <c r="G37" s="93">
        <f t="shared" si="1"/>
        <v>0</v>
      </c>
    </row>
    <row r="38" spans="1:7" ht="57.25" customHeight="1" x14ac:dyDescent="0.3">
      <c r="A38" s="18" t="s">
        <v>632</v>
      </c>
      <c r="B38" s="20" t="s">
        <v>614</v>
      </c>
      <c r="C38" s="48">
        <v>1252000</v>
      </c>
      <c r="D38" s="48">
        <f>'прил 8'!C33</f>
        <v>1600000</v>
      </c>
      <c r="E38" s="48">
        <v>600000</v>
      </c>
      <c r="F38" s="94">
        <f t="shared" si="0"/>
        <v>-652000</v>
      </c>
      <c r="G38" s="93">
        <f t="shared" si="1"/>
        <v>-1000000</v>
      </c>
    </row>
    <row r="39" spans="1:7" ht="36.700000000000003" x14ac:dyDescent="0.3">
      <c r="A39" s="18" t="s">
        <v>191</v>
      </c>
      <c r="B39" s="21" t="s">
        <v>192</v>
      </c>
      <c r="C39" s="49">
        <v>1200000</v>
      </c>
      <c r="D39" s="49">
        <f>'прил 8'!C34</f>
        <v>900000</v>
      </c>
      <c r="E39" s="49">
        <v>550000</v>
      </c>
      <c r="F39" s="94">
        <f t="shared" si="0"/>
        <v>-650000</v>
      </c>
      <c r="G39" s="93">
        <f t="shared" si="1"/>
        <v>-350000</v>
      </c>
    </row>
    <row r="40" spans="1:7" ht="18.7" customHeight="1" x14ac:dyDescent="0.3">
      <c r="A40" s="18" t="s">
        <v>482</v>
      </c>
      <c r="B40" s="21" t="s">
        <v>483</v>
      </c>
      <c r="C40" s="49">
        <f>C41</f>
        <v>28000</v>
      </c>
      <c r="D40" s="49">
        <f>D41</f>
        <v>28000</v>
      </c>
      <c r="E40" s="49">
        <v>92000</v>
      </c>
      <c r="F40" s="94">
        <f t="shared" si="0"/>
        <v>64000</v>
      </c>
      <c r="G40" s="93">
        <f t="shared" si="1"/>
        <v>64000</v>
      </c>
    </row>
    <row r="41" spans="1:7" ht="18.7" customHeight="1" x14ac:dyDescent="0.3">
      <c r="A41" s="18" t="s">
        <v>633</v>
      </c>
      <c r="B41" s="20" t="s">
        <v>615</v>
      </c>
      <c r="C41" s="48">
        <v>28000</v>
      </c>
      <c r="D41" s="48">
        <v>28000</v>
      </c>
      <c r="E41" s="48">
        <v>92000</v>
      </c>
      <c r="F41" s="94">
        <f t="shared" si="0"/>
        <v>64000</v>
      </c>
      <c r="G41" s="93">
        <f t="shared" si="1"/>
        <v>64000</v>
      </c>
    </row>
    <row r="42" spans="1:7" s="6" customFormat="1" ht="20.25" customHeight="1" collapsed="1" x14ac:dyDescent="0.3">
      <c r="A42" s="22" t="s">
        <v>193</v>
      </c>
      <c r="B42" s="22" t="s">
        <v>194</v>
      </c>
      <c r="C42" s="50">
        <f>C43</f>
        <v>704392468.36000001</v>
      </c>
      <c r="D42" s="50" t="e">
        <f>D43</f>
        <v>#REF!</v>
      </c>
      <c r="E42" s="50">
        <f>E43</f>
        <v>507367719.21999991</v>
      </c>
      <c r="F42" s="94">
        <f t="shared" si="0"/>
        <v>-197024749.1400001</v>
      </c>
      <c r="G42" s="93" t="e">
        <f t="shared" si="1"/>
        <v>#REF!</v>
      </c>
    </row>
    <row r="43" spans="1:7" ht="38.25" customHeight="1" x14ac:dyDescent="0.3">
      <c r="A43" s="23" t="s">
        <v>195</v>
      </c>
      <c r="B43" s="23" t="s">
        <v>243</v>
      </c>
      <c r="C43" s="46">
        <f>C47+C55+C66+C44</f>
        <v>704392468.36000001</v>
      </c>
      <c r="D43" s="46" t="e">
        <f>D47+D55+D66+D44</f>
        <v>#REF!</v>
      </c>
      <c r="E43" s="46">
        <f>E47+E55+E66+E44</f>
        <v>507367719.21999991</v>
      </c>
      <c r="F43" s="94">
        <f t="shared" si="0"/>
        <v>-197024749.1400001</v>
      </c>
      <c r="G43" s="93" t="e">
        <f t="shared" si="1"/>
        <v>#REF!</v>
      </c>
    </row>
    <row r="44" spans="1:7" ht="38.25" customHeight="1" x14ac:dyDescent="0.3">
      <c r="A44" s="23" t="s">
        <v>702</v>
      </c>
      <c r="B44" s="23" t="s">
        <v>703</v>
      </c>
      <c r="C44" s="46">
        <f>C46+C45</f>
        <v>58735270</v>
      </c>
      <c r="D44" s="46">
        <f>D46+D45</f>
        <v>0</v>
      </c>
      <c r="E44" s="46">
        <f>E46+E45</f>
        <v>40328000</v>
      </c>
      <c r="F44" s="94">
        <f t="shared" si="0"/>
        <v>-18407270</v>
      </c>
      <c r="G44" s="93">
        <f t="shared" si="1"/>
        <v>40328000</v>
      </c>
    </row>
    <row r="45" spans="1:7" ht="38.25" customHeight="1" x14ac:dyDescent="0.3">
      <c r="A45" s="23" t="s">
        <v>719</v>
      </c>
      <c r="B45" s="23" t="s">
        <v>718</v>
      </c>
      <c r="C45" s="46">
        <f>6062770+11069500</f>
        <v>17132270</v>
      </c>
      <c r="D45" s="46">
        <v>0</v>
      </c>
      <c r="E45" s="46"/>
      <c r="F45" s="94">
        <f t="shared" si="0"/>
        <v>-17132270</v>
      </c>
      <c r="G45" s="93">
        <f t="shared" si="1"/>
        <v>0</v>
      </c>
    </row>
    <row r="46" spans="1:7" ht="38.25" customHeight="1" x14ac:dyDescent="0.3">
      <c r="A46" s="23" t="s">
        <v>704</v>
      </c>
      <c r="B46" s="23" t="s">
        <v>705</v>
      </c>
      <c r="C46" s="46">
        <v>41603000</v>
      </c>
      <c r="D46" s="46">
        <v>0</v>
      </c>
      <c r="E46" s="46">
        <v>40328000</v>
      </c>
      <c r="F46" s="94">
        <f t="shared" si="0"/>
        <v>-1275000</v>
      </c>
      <c r="G46" s="93">
        <f t="shared" si="1"/>
        <v>40328000</v>
      </c>
    </row>
    <row r="47" spans="1:7" ht="38.25" customHeight="1" x14ac:dyDescent="0.3">
      <c r="A47" s="23" t="s">
        <v>298</v>
      </c>
      <c r="B47" s="23" t="s">
        <v>289</v>
      </c>
      <c r="C47" s="46">
        <f>C50+C51+C53+C54+C49+C48+C52</f>
        <v>255574957.72999999</v>
      </c>
      <c r="D47" s="46" t="e">
        <f>D50+D51+D53+D54+D49+D48+D52</f>
        <v>#REF!</v>
      </c>
      <c r="E47" s="46">
        <f>E50+E51+E53+E54+E49+E48+E52</f>
        <v>57911798.879999995</v>
      </c>
      <c r="F47" s="94">
        <f t="shared" si="0"/>
        <v>-197663158.84999999</v>
      </c>
      <c r="G47" s="93" t="e">
        <f t="shared" si="1"/>
        <v>#REF!</v>
      </c>
    </row>
    <row r="48" spans="1:7" ht="75.25" customHeight="1" x14ac:dyDescent="0.3">
      <c r="A48" s="23" t="s">
        <v>672</v>
      </c>
      <c r="B48" s="23" t="s">
        <v>671</v>
      </c>
      <c r="C48" s="46">
        <v>2383135.7799999998</v>
      </c>
      <c r="D48" s="46">
        <f>'прил 8'!C42</f>
        <v>2869484.71</v>
      </c>
      <c r="E48" s="46">
        <v>0</v>
      </c>
      <c r="F48" s="94">
        <f t="shared" si="0"/>
        <v>-2383135.7799999998</v>
      </c>
      <c r="G48" s="93">
        <f t="shared" si="1"/>
        <v>-2869484.71</v>
      </c>
    </row>
    <row r="49" spans="1:9" ht="58.75" customHeight="1" x14ac:dyDescent="0.3">
      <c r="A49" s="23" t="s">
        <v>670</v>
      </c>
      <c r="B49" s="23" t="s">
        <v>669</v>
      </c>
      <c r="C49" s="46">
        <v>2966378</v>
      </c>
      <c r="D49" s="46">
        <v>0</v>
      </c>
      <c r="E49" s="46">
        <v>0</v>
      </c>
      <c r="F49" s="94">
        <f t="shared" si="0"/>
        <v>-2966378</v>
      </c>
      <c r="G49" s="93">
        <f t="shared" si="1"/>
        <v>0</v>
      </c>
    </row>
    <row r="50" spans="1:9" ht="93.25" customHeight="1" x14ac:dyDescent="0.3">
      <c r="A50" s="23" t="s">
        <v>634</v>
      </c>
      <c r="B50" s="23" t="s">
        <v>616</v>
      </c>
      <c r="C50" s="46">
        <v>30570498.050000001</v>
      </c>
      <c r="D50" s="46">
        <v>0</v>
      </c>
      <c r="E50" s="46">
        <v>0</v>
      </c>
      <c r="F50" s="94">
        <f t="shared" si="0"/>
        <v>-30570498.050000001</v>
      </c>
      <c r="G50" s="93">
        <f t="shared" si="1"/>
        <v>0</v>
      </c>
    </row>
    <row r="51" spans="1:9" ht="38.25" customHeight="1" x14ac:dyDescent="0.3">
      <c r="A51" s="23" t="s">
        <v>635</v>
      </c>
      <c r="B51" s="25" t="s">
        <v>617</v>
      </c>
      <c r="C51" s="46">
        <f>143460299.73+12533781.91</f>
        <v>155994081.63999999</v>
      </c>
      <c r="D51" s="46">
        <v>0</v>
      </c>
      <c r="E51" s="46">
        <v>0</v>
      </c>
      <c r="F51" s="94">
        <f t="shared" si="0"/>
        <v>-155994081.63999999</v>
      </c>
      <c r="G51" s="93">
        <f t="shared" si="1"/>
        <v>0</v>
      </c>
    </row>
    <row r="52" spans="1:9" ht="55.55" customHeight="1" x14ac:dyDescent="0.3">
      <c r="A52" s="23" t="s">
        <v>668</v>
      </c>
      <c r="B52" s="25" t="s">
        <v>667</v>
      </c>
      <c r="C52" s="46">
        <v>385100</v>
      </c>
      <c r="D52" s="46" t="e">
        <f>'прил 8'!#REF!</f>
        <v>#REF!</v>
      </c>
      <c r="E52" s="46">
        <v>579843.25</v>
      </c>
      <c r="F52" s="94">
        <f t="shared" si="0"/>
        <v>194743.25</v>
      </c>
      <c r="G52" s="93" t="e">
        <f t="shared" si="1"/>
        <v>#REF!</v>
      </c>
    </row>
    <row r="53" spans="1:9" ht="57.75" customHeight="1" x14ac:dyDescent="0.3">
      <c r="A53" s="23" t="s">
        <v>636</v>
      </c>
      <c r="B53" s="25" t="s">
        <v>618</v>
      </c>
      <c r="C53" s="46">
        <v>6815762.04</v>
      </c>
      <c r="D53" s="46">
        <f>'прил 8'!C46</f>
        <v>7566254.9699999997</v>
      </c>
      <c r="E53" s="46">
        <v>6609028.2699999996</v>
      </c>
      <c r="F53" s="94">
        <f t="shared" si="0"/>
        <v>-206733.77000000048</v>
      </c>
      <c r="G53" s="93">
        <f t="shared" si="1"/>
        <v>-957226.70000000019</v>
      </c>
    </row>
    <row r="54" spans="1:9" ht="20.25" customHeight="1" x14ac:dyDescent="0.3">
      <c r="A54" s="23" t="s">
        <v>637</v>
      </c>
      <c r="B54" s="23" t="s">
        <v>619</v>
      </c>
      <c r="C54" s="46">
        <f>43080093.06-2966378+6000000+346287.16+10000000</f>
        <v>56460002.219999999</v>
      </c>
      <c r="D54" s="46">
        <f>'прил 8'!C49</f>
        <v>13347230.880000001</v>
      </c>
      <c r="E54" s="46">
        <f>703249+36003230.04+7160868.76+6855579.56</f>
        <v>50722927.359999999</v>
      </c>
      <c r="F54" s="94">
        <f t="shared" si="0"/>
        <v>-5737074.8599999994</v>
      </c>
      <c r="G54" s="93">
        <f t="shared" si="1"/>
        <v>37375696.479999997</v>
      </c>
    </row>
    <row r="55" spans="1:9" ht="18.7" customHeight="1" x14ac:dyDescent="0.3">
      <c r="A55" s="24" t="s">
        <v>287</v>
      </c>
      <c r="B55" s="23" t="s">
        <v>251</v>
      </c>
      <c r="C55" s="46">
        <f>C63+C56+C58+C57+C59+C61+C62+C60+C65+C64</f>
        <v>369490240.63</v>
      </c>
      <c r="D55" s="46">
        <f>D63+D56+D58+D57+D59+D61+D62+D60+D65+D64</f>
        <v>471367332.85999995</v>
      </c>
      <c r="E55" s="46">
        <f>E63+E56+E58+E57+E59+E61+E62+E60+E65+E64</f>
        <v>388652920.33999991</v>
      </c>
      <c r="F55" s="94">
        <f t="shared" si="0"/>
        <v>19162679.709999919</v>
      </c>
      <c r="G55" s="93">
        <f t="shared" si="1"/>
        <v>-82714412.520000041</v>
      </c>
    </row>
    <row r="56" spans="1:9" ht="55.05" x14ac:dyDescent="0.3">
      <c r="A56" s="23" t="s">
        <v>638</v>
      </c>
      <c r="B56" s="23" t="s">
        <v>620</v>
      </c>
      <c r="C56" s="46">
        <f>352889962.26+6226250-10506056</f>
        <v>348610156.25999999</v>
      </c>
      <c r="D56" s="46">
        <f>'прил 8'!C51</f>
        <v>448553416.85999995</v>
      </c>
      <c r="E56" s="46">
        <f>238943015.2+830909+81227204+1847300+324127.09+1310000+3387.08+1950219+21927344.4+6117450+12971400+704151.93</f>
        <v>368156507.69999993</v>
      </c>
      <c r="F56" s="94">
        <f t="shared" si="0"/>
        <v>19546351.439999938</v>
      </c>
      <c r="G56" s="93">
        <f t="shared" si="1"/>
        <v>-80396909.160000026</v>
      </c>
    </row>
    <row r="57" spans="1:9" ht="75.75" customHeight="1" x14ac:dyDescent="0.3">
      <c r="A57" s="23" t="s">
        <v>639</v>
      </c>
      <c r="B57" s="25" t="s">
        <v>621</v>
      </c>
      <c r="C57" s="46">
        <f>3404117</f>
        <v>3404117</v>
      </c>
      <c r="D57" s="46">
        <f>'прил 8'!C52</f>
        <v>3943108</v>
      </c>
      <c r="E57" s="46">
        <v>3179069</v>
      </c>
      <c r="F57" s="94">
        <f t="shared" si="0"/>
        <v>-225048</v>
      </c>
      <c r="G57" s="93">
        <f t="shared" si="1"/>
        <v>-764039</v>
      </c>
      <c r="I57" s="5" t="s">
        <v>51</v>
      </c>
    </row>
    <row r="58" spans="1:9" ht="37.549999999999997" customHeight="1" x14ac:dyDescent="0.3">
      <c r="A58" s="23" t="s">
        <v>641</v>
      </c>
      <c r="B58" s="25" t="s">
        <v>622</v>
      </c>
      <c r="C58" s="46">
        <v>1334332</v>
      </c>
      <c r="D58" s="46">
        <f>'прил 8'!C54</f>
        <v>1741840</v>
      </c>
      <c r="E58" s="46">
        <v>1348180</v>
      </c>
      <c r="F58" s="94">
        <f t="shared" si="0"/>
        <v>13848</v>
      </c>
      <c r="G58" s="93">
        <f t="shared" si="1"/>
        <v>-393660</v>
      </c>
    </row>
    <row r="59" spans="1:9" ht="56.25" customHeight="1" x14ac:dyDescent="0.3">
      <c r="A59" s="23" t="s">
        <v>642</v>
      </c>
      <c r="B59" s="25" t="s">
        <v>623</v>
      </c>
      <c r="C59" s="46">
        <v>32752.48</v>
      </c>
      <c r="D59" s="46">
        <f>'прил 8'!C55</f>
        <v>11023</v>
      </c>
      <c r="E59" s="46">
        <v>193185</v>
      </c>
      <c r="F59" s="94">
        <f t="shared" si="0"/>
        <v>160432.51999999999</v>
      </c>
      <c r="G59" s="93">
        <f t="shared" si="1"/>
        <v>182162</v>
      </c>
    </row>
    <row r="60" spans="1:9" ht="56.25" customHeight="1" x14ac:dyDescent="0.3">
      <c r="A60" s="23" t="s">
        <v>643</v>
      </c>
      <c r="B60" s="25" t="s">
        <v>624</v>
      </c>
      <c r="C60" s="46">
        <v>1021243.89</v>
      </c>
      <c r="D60" s="46">
        <f>'прил 8'!C56</f>
        <v>0</v>
      </c>
      <c r="E60" s="46">
        <v>1035455.64</v>
      </c>
      <c r="F60" s="94">
        <f t="shared" si="0"/>
        <v>14211.75</v>
      </c>
      <c r="G60" s="93">
        <f t="shared" si="1"/>
        <v>1035455.64</v>
      </c>
    </row>
    <row r="61" spans="1:9" ht="56.25" customHeight="1" x14ac:dyDescent="0.3">
      <c r="A61" s="23" t="s">
        <v>644</v>
      </c>
      <c r="B61" s="25" t="s">
        <v>625</v>
      </c>
      <c r="C61" s="46">
        <v>11114600</v>
      </c>
      <c r="D61" s="46">
        <f>'прил 8'!C57</f>
        <v>13236200</v>
      </c>
      <c r="E61" s="46">
        <v>10876600</v>
      </c>
      <c r="F61" s="94">
        <f t="shared" si="0"/>
        <v>-238000</v>
      </c>
      <c r="G61" s="93">
        <f t="shared" si="1"/>
        <v>-2359600</v>
      </c>
    </row>
    <row r="62" spans="1:9" ht="38.25" customHeight="1" x14ac:dyDescent="0.3">
      <c r="A62" s="23" t="s">
        <v>645</v>
      </c>
      <c r="B62" s="25" t="s">
        <v>626</v>
      </c>
      <c r="C62" s="46">
        <v>307152</v>
      </c>
      <c r="D62" s="46">
        <v>0</v>
      </c>
      <c r="E62" s="46">
        <v>0</v>
      </c>
      <c r="F62" s="94">
        <f t="shared" si="0"/>
        <v>-307152</v>
      </c>
      <c r="G62" s="93">
        <f t="shared" si="1"/>
        <v>0</v>
      </c>
    </row>
    <row r="63" spans="1:9" ht="55.05" x14ac:dyDescent="0.3">
      <c r="A63" s="23" t="s">
        <v>646</v>
      </c>
      <c r="B63" s="23" t="s">
        <v>627</v>
      </c>
      <c r="C63" s="46">
        <f>1361162+34030+272232-272232</f>
        <v>1395192</v>
      </c>
      <c r="D63" s="46">
        <f>'прил 8'!C58</f>
        <v>1490622</v>
      </c>
      <c r="E63" s="46">
        <v>1414316</v>
      </c>
      <c r="F63" s="94">
        <f t="shared" si="0"/>
        <v>19124</v>
      </c>
      <c r="G63" s="93">
        <f t="shared" si="1"/>
        <v>-76306</v>
      </c>
    </row>
    <row r="64" spans="1:9" ht="36.700000000000003" x14ac:dyDescent="0.3">
      <c r="A64" s="23" t="s">
        <v>730</v>
      </c>
      <c r="B64" s="23" t="s">
        <v>731</v>
      </c>
      <c r="C64" s="46">
        <v>272232</v>
      </c>
      <c r="D64" s="46">
        <v>0</v>
      </c>
      <c r="E64" s="46">
        <v>353579</v>
      </c>
      <c r="F64" s="94">
        <f t="shared" si="0"/>
        <v>81347</v>
      </c>
      <c r="G64" s="93">
        <f t="shared" si="1"/>
        <v>353579</v>
      </c>
    </row>
    <row r="65" spans="1:7" ht="36.700000000000003" x14ac:dyDescent="0.3">
      <c r="A65" s="23" t="s">
        <v>647</v>
      </c>
      <c r="B65" s="23" t="s">
        <v>628</v>
      </c>
      <c r="C65" s="46">
        <v>1998463</v>
      </c>
      <c r="D65" s="46">
        <f>'прил 8'!C59</f>
        <v>2391123</v>
      </c>
      <c r="E65" s="46">
        <v>2096028</v>
      </c>
      <c r="F65" s="94">
        <f t="shared" si="0"/>
        <v>97565</v>
      </c>
      <c r="G65" s="93">
        <f t="shared" si="1"/>
        <v>-295095</v>
      </c>
    </row>
    <row r="66" spans="1:7" ht="36.700000000000003" x14ac:dyDescent="0.3">
      <c r="A66" s="23" t="s">
        <v>560</v>
      </c>
      <c r="B66" s="23" t="s">
        <v>561</v>
      </c>
      <c r="C66" s="46">
        <f>C67</f>
        <v>20592000</v>
      </c>
      <c r="D66" s="46">
        <f>D67</f>
        <v>23400000</v>
      </c>
      <c r="E66" s="46">
        <f>E67</f>
        <v>20475000</v>
      </c>
      <c r="F66" s="94">
        <f t="shared" si="0"/>
        <v>-117000</v>
      </c>
      <c r="G66" s="93">
        <f t="shared" si="1"/>
        <v>-2925000</v>
      </c>
    </row>
    <row r="67" spans="1:7" ht="55.55" customHeight="1" x14ac:dyDescent="0.3">
      <c r="A67" s="23" t="s">
        <v>648</v>
      </c>
      <c r="B67" s="23" t="s">
        <v>629</v>
      </c>
      <c r="C67" s="46">
        <v>20592000</v>
      </c>
      <c r="D67" s="46">
        <f>'прил 8'!C62</f>
        <v>23400000</v>
      </c>
      <c r="E67" s="46">
        <v>20475000</v>
      </c>
      <c r="F67" s="94">
        <f t="shared" si="0"/>
        <v>-117000</v>
      </c>
      <c r="G67" s="93">
        <f t="shared" si="1"/>
        <v>-2925000</v>
      </c>
    </row>
    <row r="68" spans="1:7" x14ac:dyDescent="0.3">
      <c r="A68" s="26"/>
      <c r="B68" s="27" t="s">
        <v>125</v>
      </c>
      <c r="C68" s="51">
        <f>C13+C42</f>
        <v>1045040718.36</v>
      </c>
      <c r="D68" s="51" t="e">
        <f>D13+D42</f>
        <v>#REF!</v>
      </c>
      <c r="E68" s="51">
        <f>E13+E42</f>
        <v>942094719.21999991</v>
      </c>
      <c r="F68" s="94">
        <f t="shared" si="0"/>
        <v>-102945999.1400001</v>
      </c>
      <c r="G68" s="93" t="e">
        <f t="shared" si="1"/>
        <v>#REF!</v>
      </c>
    </row>
    <row r="69" spans="1:7" x14ac:dyDescent="0.3">
      <c r="A69" s="28"/>
      <c r="B69" s="29"/>
      <c r="C69" s="41"/>
      <c r="D69" s="41"/>
    </row>
    <row r="70" spans="1:7" x14ac:dyDescent="0.3">
      <c r="A70" s="28"/>
      <c r="B70" s="29"/>
      <c r="C70" s="41"/>
      <c r="D70" s="41"/>
    </row>
  </sheetData>
  <mergeCells count="3">
    <mergeCell ref="A10:C10"/>
    <mergeCell ref="A9:C9"/>
    <mergeCell ref="B4:C4"/>
  </mergeCells>
  <pageMargins left="0.78740157480314965" right="0.78740157480314965" top="0.74803149606299213" bottom="0.55118110236220474" header="0.31496062992125984" footer="0.31496062992125984"/>
  <pageSetup paperSize="9" scale="4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74"/>
  <sheetViews>
    <sheetView topLeftCell="A34" zoomScaleNormal="100" zoomScaleSheetLayoutView="93" workbookViewId="0">
      <selection activeCell="B59" sqref="B59"/>
    </sheetView>
  </sheetViews>
  <sheetFormatPr defaultRowHeight="15.65" outlineLevelRow="1" x14ac:dyDescent="0.25"/>
  <cols>
    <col min="1" max="1" width="29.125" style="237" customWidth="1"/>
    <col min="2" max="2" width="56.625" style="375" customWidth="1"/>
    <col min="3" max="3" width="18.375" style="5" customWidth="1"/>
    <col min="4" max="4" width="23.875" style="5" hidden="1" customWidth="1"/>
    <col min="5" max="5" width="19.375" style="5" hidden="1" customWidth="1"/>
    <col min="6" max="6" width="15.375" style="5" bestFit="1" customWidth="1"/>
    <col min="7" max="192" width="9" style="5"/>
    <col min="193" max="193" width="26.375" style="5" customWidth="1"/>
    <col min="194" max="194" width="78.375" style="5" customWidth="1"/>
    <col min="195" max="195" width="19.625" style="5" customWidth="1"/>
    <col min="196" max="254" width="9" style="5"/>
    <col min="255" max="255" width="24.375" style="5" customWidth="1"/>
    <col min="256" max="256" width="78.375" style="5" customWidth="1"/>
    <col min="257" max="257" width="18.125" style="5" customWidth="1"/>
    <col min="258" max="258" width="7" style="5" customWidth="1"/>
    <col min="259" max="259" width="5.375" style="5" customWidth="1"/>
    <col min="260" max="448" width="9" style="5"/>
    <col min="449" max="449" width="26.375" style="5" customWidth="1"/>
    <col min="450" max="450" width="78.375" style="5" customWidth="1"/>
    <col min="451" max="451" width="19.625" style="5" customWidth="1"/>
    <col min="452" max="510" width="9" style="5"/>
    <col min="511" max="511" width="24.375" style="5" customWidth="1"/>
    <col min="512" max="512" width="78.375" style="5" customWidth="1"/>
    <col min="513" max="513" width="18.125" style="5" customWidth="1"/>
    <col min="514" max="514" width="7" style="5" customWidth="1"/>
    <col min="515" max="515" width="5.375" style="5" customWidth="1"/>
    <col min="516" max="704" width="9" style="5"/>
    <col min="705" max="705" width="26.375" style="5" customWidth="1"/>
    <col min="706" max="706" width="78.375" style="5" customWidth="1"/>
    <col min="707" max="707" width="19.625" style="5" customWidth="1"/>
    <col min="708" max="766" width="9" style="5"/>
    <col min="767" max="767" width="24.375" style="5" customWidth="1"/>
    <col min="768" max="768" width="78.375" style="5" customWidth="1"/>
    <col min="769" max="769" width="18.125" style="5" customWidth="1"/>
    <col min="770" max="770" width="7" style="5" customWidth="1"/>
    <col min="771" max="771" width="5.375" style="5" customWidth="1"/>
    <col min="772" max="960" width="9" style="5"/>
    <col min="961" max="961" width="26.375" style="5" customWidth="1"/>
    <col min="962" max="962" width="78.375" style="5" customWidth="1"/>
    <col min="963" max="963" width="19.625" style="5" customWidth="1"/>
    <col min="964" max="1022" width="9" style="5"/>
    <col min="1023" max="1023" width="24.375" style="5" customWidth="1"/>
    <col min="1024" max="1024" width="78.375" style="5" customWidth="1"/>
    <col min="1025" max="1025" width="18.125" style="5" customWidth="1"/>
    <col min="1026" max="1026" width="7" style="5" customWidth="1"/>
    <col min="1027" max="1027" width="5.375" style="5" customWidth="1"/>
    <col min="1028" max="1216" width="9" style="5"/>
    <col min="1217" max="1217" width="26.375" style="5" customWidth="1"/>
    <col min="1218" max="1218" width="78.375" style="5" customWidth="1"/>
    <col min="1219" max="1219" width="19.625" style="5" customWidth="1"/>
    <col min="1220" max="1278" width="9" style="5"/>
    <col min="1279" max="1279" width="24.375" style="5" customWidth="1"/>
    <col min="1280" max="1280" width="78.375" style="5" customWidth="1"/>
    <col min="1281" max="1281" width="18.125" style="5" customWidth="1"/>
    <col min="1282" max="1282" width="7" style="5" customWidth="1"/>
    <col min="1283" max="1283" width="5.375" style="5" customWidth="1"/>
    <col min="1284" max="1472" width="9" style="5"/>
    <col min="1473" max="1473" width="26.375" style="5" customWidth="1"/>
    <col min="1474" max="1474" width="78.375" style="5" customWidth="1"/>
    <col min="1475" max="1475" width="19.625" style="5" customWidth="1"/>
    <col min="1476" max="1534" width="9" style="5"/>
    <col min="1535" max="1535" width="24.375" style="5" customWidth="1"/>
    <col min="1536" max="1536" width="78.375" style="5" customWidth="1"/>
    <col min="1537" max="1537" width="18.125" style="5" customWidth="1"/>
    <col min="1538" max="1538" width="7" style="5" customWidth="1"/>
    <col min="1539" max="1539" width="5.375" style="5" customWidth="1"/>
    <col min="1540" max="1728" width="9" style="5"/>
    <col min="1729" max="1729" width="26.375" style="5" customWidth="1"/>
    <col min="1730" max="1730" width="78.375" style="5" customWidth="1"/>
    <col min="1731" max="1731" width="19.625" style="5" customWidth="1"/>
    <col min="1732" max="1790" width="9" style="5"/>
    <col min="1791" max="1791" width="24.375" style="5" customWidth="1"/>
    <col min="1792" max="1792" width="78.375" style="5" customWidth="1"/>
    <col min="1793" max="1793" width="18.125" style="5" customWidth="1"/>
    <col min="1794" max="1794" width="7" style="5" customWidth="1"/>
    <col min="1795" max="1795" width="5.375" style="5" customWidth="1"/>
    <col min="1796" max="1984" width="9" style="5"/>
    <col min="1985" max="1985" width="26.375" style="5" customWidth="1"/>
    <col min="1986" max="1986" width="78.375" style="5" customWidth="1"/>
    <col min="1987" max="1987" width="19.625" style="5" customWidth="1"/>
    <col min="1988" max="2046" width="9" style="5"/>
    <col min="2047" max="2047" width="24.375" style="5" customWidth="1"/>
    <col min="2048" max="2048" width="78.375" style="5" customWidth="1"/>
    <col min="2049" max="2049" width="18.125" style="5" customWidth="1"/>
    <col min="2050" max="2050" width="7" style="5" customWidth="1"/>
    <col min="2051" max="2051" width="5.375" style="5" customWidth="1"/>
    <col min="2052" max="2240" width="9" style="5"/>
    <col min="2241" max="2241" width="26.375" style="5" customWidth="1"/>
    <col min="2242" max="2242" width="78.375" style="5" customWidth="1"/>
    <col min="2243" max="2243" width="19.625" style="5" customWidth="1"/>
    <col min="2244" max="2302" width="9" style="5"/>
    <col min="2303" max="2303" width="24.375" style="5" customWidth="1"/>
    <col min="2304" max="2304" width="78.375" style="5" customWidth="1"/>
    <col min="2305" max="2305" width="18.125" style="5" customWidth="1"/>
    <col min="2306" max="2306" width="7" style="5" customWidth="1"/>
    <col min="2307" max="2307" width="5.375" style="5" customWidth="1"/>
    <col min="2308" max="2496" width="9" style="5"/>
    <col min="2497" max="2497" width="26.375" style="5" customWidth="1"/>
    <col min="2498" max="2498" width="78.375" style="5" customWidth="1"/>
    <col min="2499" max="2499" width="19.625" style="5" customWidth="1"/>
    <col min="2500" max="2558" width="9" style="5"/>
    <col min="2559" max="2559" width="24.375" style="5" customWidth="1"/>
    <col min="2560" max="2560" width="78.375" style="5" customWidth="1"/>
    <col min="2561" max="2561" width="18.125" style="5" customWidth="1"/>
    <col min="2562" max="2562" width="7" style="5" customWidth="1"/>
    <col min="2563" max="2563" width="5.375" style="5" customWidth="1"/>
    <col min="2564" max="2752" width="9" style="5"/>
    <col min="2753" max="2753" width="26.375" style="5" customWidth="1"/>
    <col min="2754" max="2754" width="78.375" style="5" customWidth="1"/>
    <col min="2755" max="2755" width="19.625" style="5" customWidth="1"/>
    <col min="2756" max="2814" width="9" style="5"/>
    <col min="2815" max="2815" width="24.375" style="5" customWidth="1"/>
    <col min="2816" max="2816" width="78.375" style="5" customWidth="1"/>
    <col min="2817" max="2817" width="18.125" style="5" customWidth="1"/>
    <col min="2818" max="2818" width="7" style="5" customWidth="1"/>
    <col min="2819" max="2819" width="5.375" style="5" customWidth="1"/>
    <col min="2820" max="3008" width="9" style="5"/>
    <col min="3009" max="3009" width="26.375" style="5" customWidth="1"/>
    <col min="3010" max="3010" width="78.375" style="5" customWidth="1"/>
    <col min="3011" max="3011" width="19.625" style="5" customWidth="1"/>
    <col min="3012" max="3070" width="9" style="5"/>
    <col min="3071" max="3071" width="24.375" style="5" customWidth="1"/>
    <col min="3072" max="3072" width="78.375" style="5" customWidth="1"/>
    <col min="3073" max="3073" width="18.125" style="5" customWidth="1"/>
    <col min="3074" max="3074" width="7" style="5" customWidth="1"/>
    <col min="3075" max="3075" width="5.375" style="5" customWidth="1"/>
    <col min="3076" max="3264" width="9" style="5"/>
    <col min="3265" max="3265" width="26.375" style="5" customWidth="1"/>
    <col min="3266" max="3266" width="78.375" style="5" customWidth="1"/>
    <col min="3267" max="3267" width="19.625" style="5" customWidth="1"/>
    <col min="3268" max="3326" width="9" style="5"/>
    <col min="3327" max="3327" width="24.375" style="5" customWidth="1"/>
    <col min="3328" max="3328" width="78.375" style="5" customWidth="1"/>
    <col min="3329" max="3329" width="18.125" style="5" customWidth="1"/>
    <col min="3330" max="3330" width="7" style="5" customWidth="1"/>
    <col min="3331" max="3331" width="5.375" style="5" customWidth="1"/>
    <col min="3332" max="3520" width="9" style="5"/>
    <col min="3521" max="3521" width="26.375" style="5" customWidth="1"/>
    <col min="3522" max="3522" width="78.375" style="5" customWidth="1"/>
    <col min="3523" max="3523" width="19.625" style="5" customWidth="1"/>
    <col min="3524" max="3582" width="9" style="5"/>
    <col min="3583" max="3583" width="24.375" style="5" customWidth="1"/>
    <col min="3584" max="3584" width="78.375" style="5" customWidth="1"/>
    <col min="3585" max="3585" width="18.125" style="5" customWidth="1"/>
    <col min="3586" max="3586" width="7" style="5" customWidth="1"/>
    <col min="3587" max="3587" width="5.375" style="5" customWidth="1"/>
    <col min="3588" max="3776" width="9" style="5"/>
    <col min="3777" max="3777" width="26.375" style="5" customWidth="1"/>
    <col min="3778" max="3778" width="78.375" style="5" customWidth="1"/>
    <col min="3779" max="3779" width="19.625" style="5" customWidth="1"/>
    <col min="3780" max="3838" width="9" style="5"/>
    <col min="3839" max="3839" width="24.375" style="5" customWidth="1"/>
    <col min="3840" max="3840" width="78.375" style="5" customWidth="1"/>
    <col min="3841" max="3841" width="18.125" style="5" customWidth="1"/>
    <col min="3842" max="3842" width="7" style="5" customWidth="1"/>
    <col min="3843" max="3843" width="5.375" style="5" customWidth="1"/>
    <col min="3844" max="4032" width="9" style="5"/>
    <col min="4033" max="4033" width="26.375" style="5" customWidth="1"/>
    <col min="4034" max="4034" width="78.375" style="5" customWidth="1"/>
    <col min="4035" max="4035" width="19.625" style="5" customWidth="1"/>
    <col min="4036" max="4094" width="9" style="5"/>
    <col min="4095" max="4095" width="24.375" style="5" customWidth="1"/>
    <col min="4096" max="4096" width="78.375" style="5" customWidth="1"/>
    <col min="4097" max="4097" width="18.125" style="5" customWidth="1"/>
    <col min="4098" max="4098" width="7" style="5" customWidth="1"/>
    <col min="4099" max="4099" width="5.375" style="5" customWidth="1"/>
    <col min="4100" max="4288" width="9" style="5"/>
    <col min="4289" max="4289" width="26.375" style="5" customWidth="1"/>
    <col min="4290" max="4290" width="78.375" style="5" customWidth="1"/>
    <col min="4291" max="4291" width="19.625" style="5" customWidth="1"/>
    <col min="4292" max="4350" width="9" style="5"/>
    <col min="4351" max="4351" width="24.375" style="5" customWidth="1"/>
    <col min="4352" max="4352" width="78.375" style="5" customWidth="1"/>
    <col min="4353" max="4353" width="18.125" style="5" customWidth="1"/>
    <col min="4354" max="4354" width="7" style="5" customWidth="1"/>
    <col min="4355" max="4355" width="5.375" style="5" customWidth="1"/>
    <col min="4356" max="4544" width="9" style="5"/>
    <col min="4545" max="4545" width="26.375" style="5" customWidth="1"/>
    <col min="4546" max="4546" width="78.375" style="5" customWidth="1"/>
    <col min="4547" max="4547" width="19.625" style="5" customWidth="1"/>
    <col min="4548" max="4606" width="9" style="5"/>
    <col min="4607" max="4607" width="24.375" style="5" customWidth="1"/>
    <col min="4608" max="4608" width="78.375" style="5" customWidth="1"/>
    <col min="4609" max="4609" width="18.125" style="5" customWidth="1"/>
    <col min="4610" max="4610" width="7" style="5" customWidth="1"/>
    <col min="4611" max="4611" width="5.375" style="5" customWidth="1"/>
    <col min="4612" max="4800" width="9" style="5"/>
    <col min="4801" max="4801" width="26.375" style="5" customWidth="1"/>
    <col min="4802" max="4802" width="78.375" style="5" customWidth="1"/>
    <col min="4803" max="4803" width="19.625" style="5" customWidth="1"/>
    <col min="4804" max="4862" width="9" style="5"/>
    <col min="4863" max="4863" width="24.375" style="5" customWidth="1"/>
    <col min="4864" max="4864" width="78.375" style="5" customWidth="1"/>
    <col min="4865" max="4865" width="18.125" style="5" customWidth="1"/>
    <col min="4866" max="4866" width="7" style="5" customWidth="1"/>
    <col min="4867" max="4867" width="5.375" style="5" customWidth="1"/>
    <col min="4868" max="5056" width="9" style="5"/>
    <col min="5057" max="5057" width="26.375" style="5" customWidth="1"/>
    <col min="5058" max="5058" width="78.375" style="5" customWidth="1"/>
    <col min="5059" max="5059" width="19.625" style="5" customWidth="1"/>
    <col min="5060" max="5118" width="9" style="5"/>
    <col min="5119" max="5119" width="24.375" style="5" customWidth="1"/>
    <col min="5120" max="5120" width="78.375" style="5" customWidth="1"/>
    <col min="5121" max="5121" width="18.125" style="5" customWidth="1"/>
    <col min="5122" max="5122" width="7" style="5" customWidth="1"/>
    <col min="5123" max="5123" width="5.375" style="5" customWidth="1"/>
    <col min="5124" max="5312" width="9" style="5"/>
    <col min="5313" max="5313" width="26.375" style="5" customWidth="1"/>
    <col min="5314" max="5314" width="78.375" style="5" customWidth="1"/>
    <col min="5315" max="5315" width="19.625" style="5" customWidth="1"/>
    <col min="5316" max="5374" width="9" style="5"/>
    <col min="5375" max="5375" width="24.375" style="5" customWidth="1"/>
    <col min="5376" max="5376" width="78.375" style="5" customWidth="1"/>
    <col min="5377" max="5377" width="18.125" style="5" customWidth="1"/>
    <col min="5378" max="5378" width="7" style="5" customWidth="1"/>
    <col min="5379" max="5379" width="5.375" style="5" customWidth="1"/>
    <col min="5380" max="5568" width="9" style="5"/>
    <col min="5569" max="5569" width="26.375" style="5" customWidth="1"/>
    <col min="5570" max="5570" width="78.375" style="5" customWidth="1"/>
    <col min="5571" max="5571" width="19.625" style="5" customWidth="1"/>
    <col min="5572" max="5630" width="9" style="5"/>
    <col min="5631" max="5631" width="24.375" style="5" customWidth="1"/>
    <col min="5632" max="5632" width="78.375" style="5" customWidth="1"/>
    <col min="5633" max="5633" width="18.125" style="5" customWidth="1"/>
    <col min="5634" max="5634" width="7" style="5" customWidth="1"/>
    <col min="5635" max="5635" width="5.375" style="5" customWidth="1"/>
    <col min="5636" max="5824" width="9" style="5"/>
    <col min="5825" max="5825" width="26.375" style="5" customWidth="1"/>
    <col min="5826" max="5826" width="78.375" style="5" customWidth="1"/>
    <col min="5827" max="5827" width="19.625" style="5" customWidth="1"/>
    <col min="5828" max="5886" width="9" style="5"/>
    <col min="5887" max="5887" width="24.375" style="5" customWidth="1"/>
    <col min="5888" max="5888" width="78.375" style="5" customWidth="1"/>
    <col min="5889" max="5889" width="18.125" style="5" customWidth="1"/>
    <col min="5890" max="5890" width="7" style="5" customWidth="1"/>
    <col min="5891" max="5891" width="5.375" style="5" customWidth="1"/>
    <col min="5892" max="6080" width="9" style="5"/>
    <col min="6081" max="6081" width="26.375" style="5" customWidth="1"/>
    <col min="6082" max="6082" width="78.375" style="5" customWidth="1"/>
    <col min="6083" max="6083" width="19.625" style="5" customWidth="1"/>
    <col min="6084" max="6142" width="9" style="5"/>
    <col min="6143" max="6143" width="24.375" style="5" customWidth="1"/>
    <col min="6144" max="6144" width="78.375" style="5" customWidth="1"/>
    <col min="6145" max="6145" width="18.125" style="5" customWidth="1"/>
    <col min="6146" max="6146" width="7" style="5" customWidth="1"/>
    <col min="6147" max="6147" width="5.375" style="5" customWidth="1"/>
    <col min="6148" max="6336" width="9" style="5"/>
    <col min="6337" max="6337" width="26.375" style="5" customWidth="1"/>
    <col min="6338" max="6338" width="78.375" style="5" customWidth="1"/>
    <col min="6339" max="6339" width="19.625" style="5" customWidth="1"/>
    <col min="6340" max="6398" width="9" style="5"/>
    <col min="6399" max="6399" width="24.375" style="5" customWidth="1"/>
    <col min="6400" max="6400" width="78.375" style="5" customWidth="1"/>
    <col min="6401" max="6401" width="18.125" style="5" customWidth="1"/>
    <col min="6402" max="6402" width="7" style="5" customWidth="1"/>
    <col min="6403" max="6403" width="5.375" style="5" customWidth="1"/>
    <col min="6404" max="6592" width="9" style="5"/>
    <col min="6593" max="6593" width="26.375" style="5" customWidth="1"/>
    <col min="6594" max="6594" width="78.375" style="5" customWidth="1"/>
    <col min="6595" max="6595" width="19.625" style="5" customWidth="1"/>
    <col min="6596" max="6654" width="9" style="5"/>
    <col min="6655" max="6655" width="24.375" style="5" customWidth="1"/>
    <col min="6656" max="6656" width="78.375" style="5" customWidth="1"/>
    <col min="6657" max="6657" width="18.125" style="5" customWidth="1"/>
    <col min="6658" max="6658" width="7" style="5" customWidth="1"/>
    <col min="6659" max="6659" width="5.375" style="5" customWidth="1"/>
    <col min="6660" max="6848" width="9" style="5"/>
    <col min="6849" max="6849" width="26.375" style="5" customWidth="1"/>
    <col min="6850" max="6850" width="78.375" style="5" customWidth="1"/>
    <col min="6851" max="6851" width="19.625" style="5" customWidth="1"/>
    <col min="6852" max="6910" width="9" style="5"/>
    <col min="6911" max="6911" width="24.375" style="5" customWidth="1"/>
    <col min="6912" max="6912" width="78.375" style="5" customWidth="1"/>
    <col min="6913" max="6913" width="18.125" style="5" customWidth="1"/>
    <col min="6914" max="6914" width="7" style="5" customWidth="1"/>
    <col min="6915" max="6915" width="5.375" style="5" customWidth="1"/>
    <col min="6916" max="7104" width="9" style="5"/>
    <col min="7105" max="7105" width="26.375" style="5" customWidth="1"/>
    <col min="7106" max="7106" width="78.375" style="5" customWidth="1"/>
    <col min="7107" max="7107" width="19.625" style="5" customWidth="1"/>
    <col min="7108" max="7166" width="9" style="5"/>
    <col min="7167" max="7167" width="24.375" style="5" customWidth="1"/>
    <col min="7168" max="7168" width="78.375" style="5" customWidth="1"/>
    <col min="7169" max="7169" width="18.125" style="5" customWidth="1"/>
    <col min="7170" max="7170" width="7" style="5" customWidth="1"/>
    <col min="7171" max="7171" width="5.375" style="5" customWidth="1"/>
    <col min="7172" max="7360" width="9" style="5"/>
    <col min="7361" max="7361" width="26.375" style="5" customWidth="1"/>
    <col min="7362" max="7362" width="78.375" style="5" customWidth="1"/>
    <col min="7363" max="7363" width="19.625" style="5" customWidth="1"/>
    <col min="7364" max="7422" width="9" style="5"/>
    <col min="7423" max="7423" width="24.375" style="5" customWidth="1"/>
    <col min="7424" max="7424" width="78.375" style="5" customWidth="1"/>
    <col min="7425" max="7425" width="18.125" style="5" customWidth="1"/>
    <col min="7426" max="7426" width="7" style="5" customWidth="1"/>
    <col min="7427" max="7427" width="5.375" style="5" customWidth="1"/>
    <col min="7428" max="7616" width="9" style="5"/>
    <col min="7617" max="7617" width="26.375" style="5" customWidth="1"/>
    <col min="7618" max="7618" width="78.375" style="5" customWidth="1"/>
    <col min="7619" max="7619" width="19.625" style="5" customWidth="1"/>
    <col min="7620" max="7678" width="9" style="5"/>
    <col min="7679" max="7679" width="24.375" style="5" customWidth="1"/>
    <col min="7680" max="7680" width="78.375" style="5" customWidth="1"/>
    <col min="7681" max="7681" width="18.125" style="5" customWidth="1"/>
    <col min="7682" max="7682" width="7" style="5" customWidth="1"/>
    <col min="7683" max="7683" width="5.375" style="5" customWidth="1"/>
    <col min="7684" max="7872" width="9" style="5"/>
    <col min="7873" max="7873" width="26.375" style="5" customWidth="1"/>
    <col min="7874" max="7874" width="78.375" style="5" customWidth="1"/>
    <col min="7875" max="7875" width="19.625" style="5" customWidth="1"/>
    <col min="7876" max="7934" width="9" style="5"/>
    <col min="7935" max="7935" width="24.375" style="5" customWidth="1"/>
    <col min="7936" max="7936" width="78.375" style="5" customWidth="1"/>
    <col min="7937" max="7937" width="18.125" style="5" customWidth="1"/>
    <col min="7938" max="7938" width="7" style="5" customWidth="1"/>
    <col min="7939" max="7939" width="5.375" style="5" customWidth="1"/>
    <col min="7940" max="8128" width="9" style="5"/>
    <col min="8129" max="8129" width="26.375" style="5" customWidth="1"/>
    <col min="8130" max="8130" width="78.375" style="5" customWidth="1"/>
    <col min="8131" max="8131" width="19.625" style="5" customWidth="1"/>
    <col min="8132" max="8190" width="9" style="5"/>
    <col min="8191" max="8191" width="24.375" style="5" customWidth="1"/>
    <col min="8192" max="8192" width="78.375" style="5" customWidth="1"/>
    <col min="8193" max="8193" width="18.125" style="5" customWidth="1"/>
    <col min="8194" max="8194" width="7" style="5" customWidth="1"/>
    <col min="8195" max="8195" width="5.375" style="5" customWidth="1"/>
    <col min="8196" max="8384" width="9" style="5"/>
    <col min="8385" max="8385" width="26.375" style="5" customWidth="1"/>
    <col min="8386" max="8386" width="78.375" style="5" customWidth="1"/>
    <col min="8387" max="8387" width="19.625" style="5" customWidth="1"/>
    <col min="8388" max="8446" width="9" style="5"/>
    <col min="8447" max="8447" width="24.375" style="5" customWidth="1"/>
    <col min="8448" max="8448" width="78.375" style="5" customWidth="1"/>
    <col min="8449" max="8449" width="18.125" style="5" customWidth="1"/>
    <col min="8450" max="8450" width="7" style="5" customWidth="1"/>
    <col min="8451" max="8451" width="5.375" style="5" customWidth="1"/>
    <col min="8452" max="8640" width="9" style="5"/>
    <col min="8641" max="8641" width="26.375" style="5" customWidth="1"/>
    <col min="8642" max="8642" width="78.375" style="5" customWidth="1"/>
    <col min="8643" max="8643" width="19.625" style="5" customWidth="1"/>
    <col min="8644" max="8702" width="9" style="5"/>
    <col min="8703" max="8703" width="24.375" style="5" customWidth="1"/>
    <col min="8704" max="8704" width="78.375" style="5" customWidth="1"/>
    <col min="8705" max="8705" width="18.125" style="5" customWidth="1"/>
    <col min="8706" max="8706" width="7" style="5" customWidth="1"/>
    <col min="8707" max="8707" width="5.375" style="5" customWidth="1"/>
    <col min="8708" max="8896" width="9" style="5"/>
    <col min="8897" max="8897" width="26.375" style="5" customWidth="1"/>
    <col min="8898" max="8898" width="78.375" style="5" customWidth="1"/>
    <col min="8899" max="8899" width="19.625" style="5" customWidth="1"/>
    <col min="8900" max="8958" width="9" style="5"/>
    <col min="8959" max="8959" width="24.375" style="5" customWidth="1"/>
    <col min="8960" max="8960" width="78.375" style="5" customWidth="1"/>
    <col min="8961" max="8961" width="18.125" style="5" customWidth="1"/>
    <col min="8962" max="8962" width="7" style="5" customWidth="1"/>
    <col min="8963" max="8963" width="5.375" style="5" customWidth="1"/>
    <col min="8964" max="9152" width="9" style="5"/>
    <col min="9153" max="9153" width="26.375" style="5" customWidth="1"/>
    <col min="9154" max="9154" width="78.375" style="5" customWidth="1"/>
    <col min="9155" max="9155" width="19.625" style="5" customWidth="1"/>
    <col min="9156" max="9214" width="9" style="5"/>
    <col min="9215" max="9215" width="24.375" style="5" customWidth="1"/>
    <col min="9216" max="9216" width="78.375" style="5" customWidth="1"/>
    <col min="9217" max="9217" width="18.125" style="5" customWidth="1"/>
    <col min="9218" max="9218" width="7" style="5" customWidth="1"/>
    <col min="9219" max="9219" width="5.375" style="5" customWidth="1"/>
    <col min="9220" max="9408" width="9" style="5"/>
    <col min="9409" max="9409" width="26.375" style="5" customWidth="1"/>
    <col min="9410" max="9410" width="78.375" style="5" customWidth="1"/>
    <col min="9411" max="9411" width="19.625" style="5" customWidth="1"/>
    <col min="9412" max="9470" width="9" style="5"/>
    <col min="9471" max="9471" width="24.375" style="5" customWidth="1"/>
    <col min="9472" max="9472" width="78.375" style="5" customWidth="1"/>
    <col min="9473" max="9473" width="18.125" style="5" customWidth="1"/>
    <col min="9474" max="9474" width="7" style="5" customWidth="1"/>
    <col min="9475" max="9475" width="5.375" style="5" customWidth="1"/>
    <col min="9476" max="9664" width="9" style="5"/>
    <col min="9665" max="9665" width="26.375" style="5" customWidth="1"/>
    <col min="9666" max="9666" width="78.375" style="5" customWidth="1"/>
    <col min="9667" max="9667" width="19.625" style="5" customWidth="1"/>
    <col min="9668" max="9726" width="9" style="5"/>
    <col min="9727" max="9727" width="24.375" style="5" customWidth="1"/>
    <col min="9728" max="9728" width="78.375" style="5" customWidth="1"/>
    <col min="9729" max="9729" width="18.125" style="5" customWidth="1"/>
    <col min="9730" max="9730" width="7" style="5" customWidth="1"/>
    <col min="9731" max="9731" width="5.375" style="5" customWidth="1"/>
    <col min="9732" max="9920" width="9" style="5"/>
    <col min="9921" max="9921" width="26.375" style="5" customWidth="1"/>
    <col min="9922" max="9922" width="78.375" style="5" customWidth="1"/>
    <col min="9923" max="9923" width="19.625" style="5" customWidth="1"/>
    <col min="9924" max="9982" width="9" style="5"/>
    <col min="9983" max="9983" width="24.375" style="5" customWidth="1"/>
    <col min="9984" max="9984" width="78.375" style="5" customWidth="1"/>
    <col min="9985" max="9985" width="18.125" style="5" customWidth="1"/>
    <col min="9986" max="9986" width="7" style="5" customWidth="1"/>
    <col min="9987" max="9987" width="5.375" style="5" customWidth="1"/>
    <col min="9988" max="10176" width="9" style="5"/>
    <col min="10177" max="10177" width="26.375" style="5" customWidth="1"/>
    <col min="10178" max="10178" width="78.375" style="5" customWidth="1"/>
    <col min="10179" max="10179" width="19.625" style="5" customWidth="1"/>
    <col min="10180" max="10238" width="9" style="5"/>
    <col min="10239" max="10239" width="24.375" style="5" customWidth="1"/>
    <col min="10240" max="10240" width="78.375" style="5" customWidth="1"/>
    <col min="10241" max="10241" width="18.125" style="5" customWidth="1"/>
    <col min="10242" max="10242" width="7" style="5" customWidth="1"/>
    <col min="10243" max="10243" width="5.375" style="5" customWidth="1"/>
    <col min="10244" max="10432" width="9" style="5"/>
    <col min="10433" max="10433" width="26.375" style="5" customWidth="1"/>
    <col min="10434" max="10434" width="78.375" style="5" customWidth="1"/>
    <col min="10435" max="10435" width="19.625" style="5" customWidth="1"/>
    <col min="10436" max="10494" width="9" style="5"/>
    <col min="10495" max="10495" width="24.375" style="5" customWidth="1"/>
    <col min="10496" max="10496" width="78.375" style="5" customWidth="1"/>
    <col min="10497" max="10497" width="18.125" style="5" customWidth="1"/>
    <col min="10498" max="10498" width="7" style="5" customWidth="1"/>
    <col min="10499" max="10499" width="5.375" style="5" customWidth="1"/>
    <col min="10500" max="10688" width="9" style="5"/>
    <col min="10689" max="10689" width="26.375" style="5" customWidth="1"/>
    <col min="10690" max="10690" width="78.375" style="5" customWidth="1"/>
    <col min="10691" max="10691" width="19.625" style="5" customWidth="1"/>
    <col min="10692" max="10750" width="9" style="5"/>
    <col min="10751" max="10751" width="24.375" style="5" customWidth="1"/>
    <col min="10752" max="10752" width="78.375" style="5" customWidth="1"/>
    <col min="10753" max="10753" width="18.125" style="5" customWidth="1"/>
    <col min="10754" max="10754" width="7" style="5" customWidth="1"/>
    <col min="10755" max="10755" width="5.375" style="5" customWidth="1"/>
    <col min="10756" max="10944" width="9" style="5"/>
    <col min="10945" max="10945" width="26.375" style="5" customWidth="1"/>
    <col min="10946" max="10946" width="78.375" style="5" customWidth="1"/>
    <col min="10947" max="10947" width="19.625" style="5" customWidth="1"/>
    <col min="10948" max="11006" width="9" style="5"/>
    <col min="11007" max="11007" width="24.375" style="5" customWidth="1"/>
    <col min="11008" max="11008" width="78.375" style="5" customWidth="1"/>
    <col min="11009" max="11009" width="18.125" style="5" customWidth="1"/>
    <col min="11010" max="11010" width="7" style="5" customWidth="1"/>
    <col min="11011" max="11011" width="5.375" style="5" customWidth="1"/>
    <col min="11012" max="11200" width="9" style="5"/>
    <col min="11201" max="11201" width="26.375" style="5" customWidth="1"/>
    <col min="11202" max="11202" width="78.375" style="5" customWidth="1"/>
    <col min="11203" max="11203" width="19.625" style="5" customWidth="1"/>
    <col min="11204" max="11262" width="9" style="5"/>
    <col min="11263" max="11263" width="24.375" style="5" customWidth="1"/>
    <col min="11264" max="11264" width="78.375" style="5" customWidth="1"/>
    <col min="11265" max="11265" width="18.125" style="5" customWidth="1"/>
    <col min="11266" max="11266" width="7" style="5" customWidth="1"/>
    <col min="11267" max="11267" width="5.375" style="5" customWidth="1"/>
    <col min="11268" max="11456" width="9" style="5"/>
    <col min="11457" max="11457" width="26.375" style="5" customWidth="1"/>
    <col min="11458" max="11458" width="78.375" style="5" customWidth="1"/>
    <col min="11459" max="11459" width="19.625" style="5" customWidth="1"/>
    <col min="11460" max="11518" width="9" style="5"/>
    <col min="11519" max="11519" width="24.375" style="5" customWidth="1"/>
    <col min="11520" max="11520" width="78.375" style="5" customWidth="1"/>
    <col min="11521" max="11521" width="18.125" style="5" customWidth="1"/>
    <col min="11522" max="11522" width="7" style="5" customWidth="1"/>
    <col min="11523" max="11523" width="5.375" style="5" customWidth="1"/>
    <col min="11524" max="11712" width="9" style="5"/>
    <col min="11713" max="11713" width="26.375" style="5" customWidth="1"/>
    <col min="11714" max="11714" width="78.375" style="5" customWidth="1"/>
    <col min="11715" max="11715" width="19.625" style="5" customWidth="1"/>
    <col min="11716" max="11774" width="9" style="5"/>
    <col min="11775" max="11775" width="24.375" style="5" customWidth="1"/>
    <col min="11776" max="11776" width="78.375" style="5" customWidth="1"/>
    <col min="11777" max="11777" width="18.125" style="5" customWidth="1"/>
    <col min="11778" max="11778" width="7" style="5" customWidth="1"/>
    <col min="11779" max="11779" width="5.375" style="5" customWidth="1"/>
    <col min="11780" max="11968" width="9" style="5"/>
    <col min="11969" max="11969" width="26.375" style="5" customWidth="1"/>
    <col min="11970" max="11970" width="78.375" style="5" customWidth="1"/>
    <col min="11971" max="11971" width="19.625" style="5" customWidth="1"/>
    <col min="11972" max="12030" width="9" style="5"/>
    <col min="12031" max="12031" width="24.375" style="5" customWidth="1"/>
    <col min="12032" max="12032" width="78.375" style="5" customWidth="1"/>
    <col min="12033" max="12033" width="18.125" style="5" customWidth="1"/>
    <col min="12034" max="12034" width="7" style="5" customWidth="1"/>
    <col min="12035" max="12035" width="5.375" style="5" customWidth="1"/>
    <col min="12036" max="12224" width="9" style="5"/>
    <col min="12225" max="12225" width="26.375" style="5" customWidth="1"/>
    <col min="12226" max="12226" width="78.375" style="5" customWidth="1"/>
    <col min="12227" max="12227" width="19.625" style="5" customWidth="1"/>
    <col min="12228" max="12286" width="9" style="5"/>
    <col min="12287" max="12287" width="24.375" style="5" customWidth="1"/>
    <col min="12288" max="12288" width="78.375" style="5" customWidth="1"/>
    <col min="12289" max="12289" width="18.125" style="5" customWidth="1"/>
    <col min="12290" max="12290" width="7" style="5" customWidth="1"/>
    <col min="12291" max="12291" width="5.375" style="5" customWidth="1"/>
    <col min="12292" max="12480" width="9" style="5"/>
    <col min="12481" max="12481" width="26.375" style="5" customWidth="1"/>
    <col min="12482" max="12482" width="78.375" style="5" customWidth="1"/>
    <col min="12483" max="12483" width="19.625" style="5" customWidth="1"/>
    <col min="12484" max="12542" width="9" style="5"/>
    <col min="12543" max="12543" width="24.375" style="5" customWidth="1"/>
    <col min="12544" max="12544" width="78.375" style="5" customWidth="1"/>
    <col min="12545" max="12545" width="18.125" style="5" customWidth="1"/>
    <col min="12546" max="12546" width="7" style="5" customWidth="1"/>
    <col min="12547" max="12547" width="5.375" style="5" customWidth="1"/>
    <col min="12548" max="12736" width="9" style="5"/>
    <col min="12737" max="12737" width="26.375" style="5" customWidth="1"/>
    <col min="12738" max="12738" width="78.375" style="5" customWidth="1"/>
    <col min="12739" max="12739" width="19.625" style="5" customWidth="1"/>
    <col min="12740" max="12798" width="9" style="5"/>
    <col min="12799" max="12799" width="24.375" style="5" customWidth="1"/>
    <col min="12800" max="12800" width="78.375" style="5" customWidth="1"/>
    <col min="12801" max="12801" width="18.125" style="5" customWidth="1"/>
    <col min="12802" max="12802" width="7" style="5" customWidth="1"/>
    <col min="12803" max="12803" width="5.375" style="5" customWidth="1"/>
    <col min="12804" max="12992" width="9" style="5"/>
    <col min="12993" max="12993" width="26.375" style="5" customWidth="1"/>
    <col min="12994" max="12994" width="78.375" style="5" customWidth="1"/>
    <col min="12995" max="12995" width="19.625" style="5" customWidth="1"/>
    <col min="12996" max="13054" width="9" style="5"/>
    <col min="13055" max="13055" width="24.375" style="5" customWidth="1"/>
    <col min="13056" max="13056" width="78.375" style="5" customWidth="1"/>
    <col min="13057" max="13057" width="18.125" style="5" customWidth="1"/>
    <col min="13058" max="13058" width="7" style="5" customWidth="1"/>
    <col min="13059" max="13059" width="5.375" style="5" customWidth="1"/>
    <col min="13060" max="13248" width="9" style="5"/>
    <col min="13249" max="13249" width="26.375" style="5" customWidth="1"/>
    <col min="13250" max="13250" width="78.375" style="5" customWidth="1"/>
    <col min="13251" max="13251" width="19.625" style="5" customWidth="1"/>
    <col min="13252" max="13310" width="9" style="5"/>
    <col min="13311" max="13311" width="24.375" style="5" customWidth="1"/>
    <col min="13312" max="13312" width="78.375" style="5" customWidth="1"/>
    <col min="13313" max="13313" width="18.125" style="5" customWidth="1"/>
    <col min="13314" max="13314" width="7" style="5" customWidth="1"/>
    <col min="13315" max="13315" width="5.375" style="5" customWidth="1"/>
    <col min="13316" max="13504" width="9" style="5"/>
    <col min="13505" max="13505" width="26.375" style="5" customWidth="1"/>
    <col min="13506" max="13506" width="78.375" style="5" customWidth="1"/>
    <col min="13507" max="13507" width="19.625" style="5" customWidth="1"/>
    <col min="13508" max="13566" width="9" style="5"/>
    <col min="13567" max="13567" width="24.375" style="5" customWidth="1"/>
    <col min="13568" max="13568" width="78.375" style="5" customWidth="1"/>
    <col min="13569" max="13569" width="18.125" style="5" customWidth="1"/>
    <col min="13570" max="13570" width="7" style="5" customWidth="1"/>
    <col min="13571" max="13571" width="5.375" style="5" customWidth="1"/>
    <col min="13572" max="13760" width="9" style="5"/>
    <col min="13761" max="13761" width="26.375" style="5" customWidth="1"/>
    <col min="13762" max="13762" width="78.375" style="5" customWidth="1"/>
    <col min="13763" max="13763" width="19.625" style="5" customWidth="1"/>
    <col min="13764" max="13822" width="9" style="5"/>
    <col min="13823" max="13823" width="24.375" style="5" customWidth="1"/>
    <col min="13824" max="13824" width="78.375" style="5" customWidth="1"/>
    <col min="13825" max="13825" width="18.125" style="5" customWidth="1"/>
    <col min="13826" max="13826" width="7" style="5" customWidth="1"/>
    <col min="13827" max="13827" width="5.375" style="5" customWidth="1"/>
    <col min="13828" max="14016" width="9" style="5"/>
    <col min="14017" max="14017" width="26.375" style="5" customWidth="1"/>
    <col min="14018" max="14018" width="78.375" style="5" customWidth="1"/>
    <col min="14019" max="14019" width="19.625" style="5" customWidth="1"/>
    <col min="14020" max="14078" width="9" style="5"/>
    <col min="14079" max="14079" width="24.375" style="5" customWidth="1"/>
    <col min="14080" max="14080" width="78.375" style="5" customWidth="1"/>
    <col min="14081" max="14081" width="18.125" style="5" customWidth="1"/>
    <col min="14082" max="14082" width="7" style="5" customWidth="1"/>
    <col min="14083" max="14083" width="5.375" style="5" customWidth="1"/>
    <col min="14084" max="14272" width="9" style="5"/>
    <col min="14273" max="14273" width="26.375" style="5" customWidth="1"/>
    <col min="14274" max="14274" width="78.375" style="5" customWidth="1"/>
    <col min="14275" max="14275" width="19.625" style="5" customWidth="1"/>
    <col min="14276" max="14334" width="9" style="5"/>
    <col min="14335" max="14335" width="24.375" style="5" customWidth="1"/>
    <col min="14336" max="14336" width="78.375" style="5" customWidth="1"/>
    <col min="14337" max="14337" width="18.125" style="5" customWidth="1"/>
    <col min="14338" max="14338" width="7" style="5" customWidth="1"/>
    <col min="14339" max="14339" width="5.375" style="5" customWidth="1"/>
    <col min="14340" max="14528" width="9" style="5"/>
    <col min="14529" max="14529" width="26.375" style="5" customWidth="1"/>
    <col min="14530" max="14530" width="78.375" style="5" customWidth="1"/>
    <col min="14531" max="14531" width="19.625" style="5" customWidth="1"/>
    <col min="14532" max="14590" width="9" style="5"/>
    <col min="14591" max="14591" width="24.375" style="5" customWidth="1"/>
    <col min="14592" max="14592" width="78.375" style="5" customWidth="1"/>
    <col min="14593" max="14593" width="18.125" style="5" customWidth="1"/>
    <col min="14594" max="14594" width="7" style="5" customWidth="1"/>
    <col min="14595" max="14595" width="5.375" style="5" customWidth="1"/>
    <col min="14596" max="14784" width="9" style="5"/>
    <col min="14785" max="14785" width="26.375" style="5" customWidth="1"/>
    <col min="14786" max="14786" width="78.375" style="5" customWidth="1"/>
    <col min="14787" max="14787" width="19.625" style="5" customWidth="1"/>
    <col min="14788" max="14846" width="9" style="5"/>
    <col min="14847" max="14847" width="24.375" style="5" customWidth="1"/>
    <col min="14848" max="14848" width="78.375" style="5" customWidth="1"/>
    <col min="14849" max="14849" width="18.125" style="5" customWidth="1"/>
    <col min="14850" max="14850" width="7" style="5" customWidth="1"/>
    <col min="14851" max="14851" width="5.375" style="5" customWidth="1"/>
    <col min="14852" max="15040" width="9" style="5"/>
    <col min="15041" max="15041" width="26.375" style="5" customWidth="1"/>
    <col min="15042" max="15042" width="78.375" style="5" customWidth="1"/>
    <col min="15043" max="15043" width="19.625" style="5" customWidth="1"/>
    <col min="15044" max="15102" width="9" style="5"/>
    <col min="15103" max="15103" width="24.375" style="5" customWidth="1"/>
    <col min="15104" max="15104" width="78.375" style="5" customWidth="1"/>
    <col min="15105" max="15105" width="18.125" style="5" customWidth="1"/>
    <col min="15106" max="15106" width="7" style="5" customWidth="1"/>
    <col min="15107" max="15107" width="5.375" style="5" customWidth="1"/>
    <col min="15108" max="15296" width="9" style="5"/>
    <col min="15297" max="15297" width="26.375" style="5" customWidth="1"/>
    <col min="15298" max="15298" width="78.375" style="5" customWidth="1"/>
    <col min="15299" max="15299" width="19.625" style="5" customWidth="1"/>
    <col min="15300" max="15358" width="9" style="5"/>
    <col min="15359" max="15359" width="24.375" style="5" customWidth="1"/>
    <col min="15360" max="15360" width="78.375" style="5" customWidth="1"/>
    <col min="15361" max="15361" width="18.125" style="5" customWidth="1"/>
    <col min="15362" max="15362" width="7" style="5" customWidth="1"/>
    <col min="15363" max="15363" width="5.375" style="5" customWidth="1"/>
    <col min="15364" max="15552" width="9" style="5"/>
    <col min="15553" max="15553" width="26.375" style="5" customWidth="1"/>
    <col min="15554" max="15554" width="78.375" style="5" customWidth="1"/>
    <col min="15555" max="15555" width="19.625" style="5" customWidth="1"/>
    <col min="15556" max="15614" width="9" style="5"/>
    <col min="15615" max="15615" width="24.375" style="5" customWidth="1"/>
    <col min="15616" max="15616" width="78.375" style="5" customWidth="1"/>
    <col min="15617" max="15617" width="18.125" style="5" customWidth="1"/>
    <col min="15618" max="15618" width="7" style="5" customWidth="1"/>
    <col min="15619" max="15619" width="5.375" style="5" customWidth="1"/>
    <col min="15620" max="15808" width="9" style="5"/>
    <col min="15809" max="15809" width="26.375" style="5" customWidth="1"/>
    <col min="15810" max="15810" width="78.375" style="5" customWidth="1"/>
    <col min="15811" max="15811" width="19.625" style="5" customWidth="1"/>
    <col min="15812" max="15870" width="9" style="5"/>
    <col min="15871" max="15871" width="24.375" style="5" customWidth="1"/>
    <col min="15872" max="15872" width="78.375" style="5" customWidth="1"/>
    <col min="15873" max="15873" width="18.125" style="5" customWidth="1"/>
    <col min="15874" max="15874" width="7" style="5" customWidth="1"/>
    <col min="15875" max="15875" width="5.375" style="5" customWidth="1"/>
    <col min="15876" max="16064" width="9" style="5"/>
    <col min="16065" max="16065" width="26.375" style="5" customWidth="1"/>
    <col min="16066" max="16066" width="78.375" style="5" customWidth="1"/>
    <col min="16067" max="16067" width="19.625" style="5" customWidth="1"/>
    <col min="16068" max="16126" width="9" style="5"/>
    <col min="16127" max="16127" width="24.375" style="5" customWidth="1"/>
    <col min="16128" max="16128" width="78.375" style="5" customWidth="1"/>
    <col min="16129" max="16129" width="18.125" style="5" customWidth="1"/>
    <col min="16130" max="16130" width="7" style="5" customWidth="1"/>
    <col min="16131" max="16131" width="5.375" style="5" customWidth="1"/>
    <col min="16132" max="16320" width="9" style="5"/>
    <col min="16321" max="16321" width="26.375" style="5" customWidth="1"/>
    <col min="16322" max="16322" width="78.375" style="5" customWidth="1"/>
    <col min="16323" max="16323" width="19.625" style="5" customWidth="1"/>
    <col min="16324" max="16384" width="9" style="5"/>
  </cols>
  <sheetData>
    <row r="1" spans="1:5" ht="18.350000000000001" x14ac:dyDescent="0.3">
      <c r="C1" s="304" t="s">
        <v>254</v>
      </c>
    </row>
    <row r="2" spans="1:5" ht="18.350000000000001" x14ac:dyDescent="0.3">
      <c r="C2" s="304" t="s">
        <v>1053</v>
      </c>
    </row>
    <row r="3" spans="1:5" ht="18.350000000000001" x14ac:dyDescent="0.3">
      <c r="C3" s="304" t="s">
        <v>812</v>
      </c>
    </row>
    <row r="4" spans="1:5" x14ac:dyDescent="0.25">
      <c r="C4" s="5" t="s">
        <v>1072</v>
      </c>
    </row>
    <row r="6" spans="1:5" ht="22.75" customHeight="1" x14ac:dyDescent="0.3">
      <c r="A6" s="670" t="s">
        <v>241</v>
      </c>
      <c r="B6" s="670"/>
      <c r="C6" s="670"/>
    </row>
    <row r="7" spans="1:5" ht="18.7" customHeight="1" x14ac:dyDescent="0.3">
      <c r="A7" s="671" t="s">
        <v>1052</v>
      </c>
      <c r="B7" s="671"/>
      <c r="C7" s="671"/>
    </row>
    <row r="8" spans="1:5" ht="16.5" customHeight="1" x14ac:dyDescent="0.25">
      <c r="C8" s="238" t="s">
        <v>408</v>
      </c>
    </row>
    <row r="9" spans="1:5" ht="52.5" customHeight="1" x14ac:dyDescent="0.25">
      <c r="A9" s="573" t="s">
        <v>159</v>
      </c>
      <c r="B9" s="380" t="s">
        <v>164</v>
      </c>
      <c r="C9" s="381" t="s">
        <v>1073</v>
      </c>
      <c r="D9" s="382" t="s">
        <v>972</v>
      </c>
      <c r="E9" s="381" t="s">
        <v>973</v>
      </c>
    </row>
    <row r="10" spans="1:5" ht="27.7" customHeight="1" x14ac:dyDescent="0.3">
      <c r="A10" s="574" t="s">
        <v>165</v>
      </c>
      <c r="B10" s="383" t="s">
        <v>166</v>
      </c>
      <c r="C10" s="384">
        <f>C11+C15+C20+C23+C25+C29+C31+C33+C36+C13+C37</f>
        <v>166721000</v>
      </c>
      <c r="D10" s="385">
        <f>D11+D13+D15+D20+D23+D25+D29+D31+D33+D36+D37</f>
        <v>426818000</v>
      </c>
      <c r="E10" s="387" t="e">
        <f>#REF!-D10</f>
        <v>#REF!</v>
      </c>
    </row>
    <row r="11" spans="1:5" ht="29.25" customHeight="1" x14ac:dyDescent="0.3">
      <c r="A11" s="574" t="s">
        <v>167</v>
      </c>
      <c r="B11" s="388" t="s">
        <v>168</v>
      </c>
      <c r="C11" s="387">
        <f>SUM(C12:C12)</f>
        <v>107722000</v>
      </c>
      <c r="D11" s="389">
        <f>D12</f>
        <v>340274000</v>
      </c>
      <c r="E11" s="387" t="e">
        <f>#REF!-D11</f>
        <v>#REF!</v>
      </c>
    </row>
    <row r="12" spans="1:5" ht="28.55" customHeight="1" x14ac:dyDescent="0.3">
      <c r="A12" s="574" t="s">
        <v>169</v>
      </c>
      <c r="B12" s="388" t="s">
        <v>170</v>
      </c>
      <c r="C12" s="387">
        <f>105500000+2222000</f>
        <v>107722000</v>
      </c>
      <c r="D12" s="390">
        <v>340274000</v>
      </c>
      <c r="E12" s="387" t="e">
        <f>#REF!-D12</f>
        <v>#REF!</v>
      </c>
    </row>
    <row r="13" spans="1:5" ht="56.25" customHeight="1" x14ac:dyDescent="0.3">
      <c r="A13" s="574" t="s">
        <v>171</v>
      </c>
      <c r="B13" s="388" t="s">
        <v>486</v>
      </c>
      <c r="C13" s="387">
        <f>C14</f>
        <v>13057000</v>
      </c>
      <c r="D13" s="390">
        <f>D14</f>
        <v>13057000</v>
      </c>
      <c r="E13" s="387" t="e">
        <f>#REF!-D13</f>
        <v>#REF!</v>
      </c>
    </row>
    <row r="14" spans="1:5" ht="39.75" customHeight="1" x14ac:dyDescent="0.3">
      <c r="A14" s="574" t="s">
        <v>173</v>
      </c>
      <c r="B14" s="388" t="s">
        <v>174</v>
      </c>
      <c r="C14" s="387">
        <v>13057000</v>
      </c>
      <c r="D14" s="390">
        <v>13057000</v>
      </c>
      <c r="E14" s="387" t="e">
        <f>#REF!-D14</f>
        <v>#REF!</v>
      </c>
    </row>
    <row r="15" spans="1:5" ht="20.25" customHeight="1" x14ac:dyDescent="0.3">
      <c r="A15" s="574" t="s">
        <v>175</v>
      </c>
      <c r="B15" s="388" t="s">
        <v>176</v>
      </c>
      <c r="C15" s="387">
        <f>C16+C17+C18+C19</f>
        <v>7030000</v>
      </c>
      <c r="D15" s="390">
        <f>D16+D18+D19</f>
        <v>25450000</v>
      </c>
      <c r="E15" s="387" t="e">
        <f>#REF!-D15</f>
        <v>#REF!</v>
      </c>
    </row>
    <row r="16" spans="1:5" ht="37.549999999999997" customHeight="1" x14ac:dyDescent="0.3">
      <c r="A16" s="574" t="s">
        <v>473</v>
      </c>
      <c r="B16" s="388" t="s">
        <v>474</v>
      </c>
      <c r="C16" s="387">
        <v>1000000</v>
      </c>
      <c r="D16" s="390">
        <v>16500000</v>
      </c>
      <c r="E16" s="387" t="e">
        <f>#REF!-D16</f>
        <v>#REF!</v>
      </c>
    </row>
    <row r="17" spans="1:5" ht="35.35" customHeight="1" x14ac:dyDescent="0.3">
      <c r="A17" s="574" t="s">
        <v>665</v>
      </c>
      <c r="B17" s="388" t="s">
        <v>1084</v>
      </c>
      <c r="C17" s="387">
        <v>30000</v>
      </c>
      <c r="D17" s="391">
        <v>0</v>
      </c>
      <c r="E17" s="387" t="e">
        <f>#REF!-D17</f>
        <v>#REF!</v>
      </c>
    </row>
    <row r="18" spans="1:5" ht="29.9" customHeight="1" x14ac:dyDescent="0.3">
      <c r="A18" s="574" t="s">
        <v>177</v>
      </c>
      <c r="B18" s="388" t="s">
        <v>178</v>
      </c>
      <c r="C18" s="387">
        <v>1300000</v>
      </c>
      <c r="D18" s="390">
        <v>1250000</v>
      </c>
      <c r="E18" s="387" t="e">
        <f>#REF!-D18</f>
        <v>#REF!</v>
      </c>
    </row>
    <row r="19" spans="1:5" ht="55.2" customHeight="1" x14ac:dyDescent="0.3">
      <c r="A19" s="574" t="s">
        <v>732</v>
      </c>
      <c r="B19" s="388" t="s">
        <v>607</v>
      </c>
      <c r="C19" s="387">
        <v>4700000</v>
      </c>
      <c r="D19" s="390">
        <v>7700000</v>
      </c>
      <c r="E19" s="387" t="e">
        <f>#REF!-D19</f>
        <v>#REF!</v>
      </c>
    </row>
    <row r="20" spans="1:5" ht="26.5" customHeight="1" x14ac:dyDescent="0.3">
      <c r="A20" s="574" t="s">
        <v>476</v>
      </c>
      <c r="B20" s="388" t="s">
        <v>477</v>
      </c>
      <c r="C20" s="387">
        <f>C21+C22</f>
        <v>16000000</v>
      </c>
      <c r="D20" s="390">
        <f>D21+D22</f>
        <v>27500000</v>
      </c>
      <c r="E20" s="387" t="e">
        <f>#REF!-D20</f>
        <v>#REF!</v>
      </c>
    </row>
    <row r="21" spans="1:5" ht="53.35" customHeight="1" x14ac:dyDescent="0.3">
      <c r="A21" s="574" t="s">
        <v>640</v>
      </c>
      <c r="B21" s="388" t="s">
        <v>608</v>
      </c>
      <c r="C21" s="387">
        <v>5000000</v>
      </c>
      <c r="D21" s="390">
        <v>4500000</v>
      </c>
      <c r="E21" s="387" t="e">
        <f>#REF!-D21</f>
        <v>#REF!</v>
      </c>
    </row>
    <row r="22" spans="1:5" ht="34" customHeight="1" x14ac:dyDescent="0.3">
      <c r="A22" s="574" t="s">
        <v>479</v>
      </c>
      <c r="B22" s="388" t="s">
        <v>478</v>
      </c>
      <c r="C22" s="387">
        <v>11000000</v>
      </c>
      <c r="D22" s="390">
        <v>23000000</v>
      </c>
      <c r="E22" s="387" t="e">
        <f>#REF!-D22</f>
        <v>#REF!</v>
      </c>
    </row>
    <row r="23" spans="1:5" ht="23.3" customHeight="1" x14ac:dyDescent="0.3">
      <c r="A23" s="574" t="s">
        <v>179</v>
      </c>
      <c r="B23" s="388" t="s">
        <v>180</v>
      </c>
      <c r="C23" s="387">
        <f>C24</f>
        <v>2400000</v>
      </c>
      <c r="D23" s="390">
        <f>D24</f>
        <v>2300000</v>
      </c>
      <c r="E23" s="387" t="e">
        <f>#REF!-D23</f>
        <v>#REF!</v>
      </c>
    </row>
    <row r="24" spans="1:5" ht="66.25" customHeight="1" x14ac:dyDescent="0.3">
      <c r="A24" s="574" t="s">
        <v>480</v>
      </c>
      <c r="B24" s="388" t="s">
        <v>481</v>
      </c>
      <c r="C24" s="387">
        <v>2400000</v>
      </c>
      <c r="D24" s="390">
        <v>2300000</v>
      </c>
      <c r="E24" s="387" t="e">
        <f>#REF!-D24</f>
        <v>#REF!</v>
      </c>
    </row>
    <row r="25" spans="1:5" ht="55.55" customHeight="1" x14ac:dyDescent="0.3">
      <c r="A25" s="574" t="s">
        <v>181</v>
      </c>
      <c r="B25" s="393" t="s">
        <v>182</v>
      </c>
      <c r="C25" s="387">
        <f>SUM(C26:C28)</f>
        <v>15980000</v>
      </c>
      <c r="D25" s="390">
        <f>D26+D27+D28</f>
        <v>15090000</v>
      </c>
      <c r="E25" s="387" t="e">
        <f>#REF!-D25</f>
        <v>#REF!</v>
      </c>
    </row>
    <row r="26" spans="1:5" ht="107.5" customHeight="1" x14ac:dyDescent="0.3">
      <c r="A26" s="574" t="s">
        <v>604</v>
      </c>
      <c r="B26" s="388" t="s">
        <v>609</v>
      </c>
      <c r="C26" s="387">
        <v>10480000</v>
      </c>
      <c r="D26" s="390">
        <v>10500000</v>
      </c>
      <c r="E26" s="387" t="e">
        <f>#REF!-D26</f>
        <v>#REF!</v>
      </c>
    </row>
    <row r="27" spans="1:5" ht="54" customHeight="1" x14ac:dyDescent="0.3">
      <c r="A27" s="574" t="s">
        <v>605</v>
      </c>
      <c r="B27" s="388" t="s">
        <v>610</v>
      </c>
      <c r="C27" s="387">
        <v>2600000</v>
      </c>
      <c r="D27" s="390">
        <v>2990000</v>
      </c>
      <c r="E27" s="387" t="e">
        <f>#REF!-D27</f>
        <v>#REF!</v>
      </c>
    </row>
    <row r="28" spans="1:5" ht="101.25" customHeight="1" x14ac:dyDescent="0.3">
      <c r="A28" s="574" t="s">
        <v>606</v>
      </c>
      <c r="B28" s="388" t="s">
        <v>611</v>
      </c>
      <c r="C28" s="387">
        <v>2900000</v>
      </c>
      <c r="D28" s="390">
        <v>1600000</v>
      </c>
      <c r="E28" s="387" t="e">
        <f>#REF!-D28</f>
        <v>#REF!</v>
      </c>
    </row>
    <row r="29" spans="1:5" ht="38.049999999999997" customHeight="1" x14ac:dyDescent="0.3">
      <c r="A29" s="574" t="s">
        <v>183</v>
      </c>
      <c r="B29" s="393" t="s">
        <v>184</v>
      </c>
      <c r="C29" s="387">
        <f>SUM(C30:C30)</f>
        <v>133000</v>
      </c>
      <c r="D29" s="390">
        <f>D30</f>
        <v>163000</v>
      </c>
      <c r="E29" s="387" t="e">
        <f>#REF!-D29</f>
        <v>#REF!</v>
      </c>
    </row>
    <row r="30" spans="1:5" ht="32.299999999999997" customHeight="1" x14ac:dyDescent="0.3">
      <c r="A30" s="574" t="s">
        <v>185</v>
      </c>
      <c r="B30" s="388" t="s">
        <v>186</v>
      </c>
      <c r="C30" s="387">
        <v>133000</v>
      </c>
      <c r="D30" s="390">
        <v>163000</v>
      </c>
      <c r="E30" s="387" t="e">
        <f>#REF!-D30</f>
        <v>#REF!</v>
      </c>
    </row>
    <row r="31" spans="1:5" ht="37.549999999999997" customHeight="1" x14ac:dyDescent="0.3">
      <c r="A31" s="574" t="s">
        <v>187</v>
      </c>
      <c r="B31" s="388" t="s">
        <v>1085</v>
      </c>
      <c r="C31" s="387">
        <f>C32</f>
        <v>804000</v>
      </c>
      <c r="D31" s="390">
        <f>D32</f>
        <v>742000</v>
      </c>
      <c r="E31" s="387" t="e">
        <f>#REF!-D31</f>
        <v>#REF!</v>
      </c>
    </row>
    <row r="32" spans="1:5" ht="58.75" customHeight="1" x14ac:dyDescent="0.3">
      <c r="A32" s="574" t="s">
        <v>630</v>
      </c>
      <c r="B32" s="388" t="s">
        <v>612</v>
      </c>
      <c r="C32" s="387">
        <v>804000</v>
      </c>
      <c r="D32" s="390">
        <v>742000</v>
      </c>
      <c r="E32" s="387" t="e">
        <f>#REF!-D32</f>
        <v>#REF!</v>
      </c>
    </row>
    <row r="33" spans="1:6" ht="39.25" customHeight="1" x14ac:dyDescent="0.3">
      <c r="A33" s="574" t="s">
        <v>189</v>
      </c>
      <c r="B33" s="388" t="s">
        <v>190</v>
      </c>
      <c r="C33" s="387">
        <f>C34+C35</f>
        <v>2600000</v>
      </c>
      <c r="D33" s="390">
        <f>D34+D35</f>
        <v>1600000</v>
      </c>
      <c r="E33" s="387" t="e">
        <f>#REF!-D33</f>
        <v>#REF!</v>
      </c>
    </row>
    <row r="34" spans="1:6" ht="99.7" customHeight="1" x14ac:dyDescent="0.3">
      <c r="A34" s="574" t="s">
        <v>733</v>
      </c>
      <c r="B34" s="388" t="s">
        <v>734</v>
      </c>
      <c r="C34" s="387">
        <v>1000000</v>
      </c>
      <c r="D34" s="390">
        <v>1000000</v>
      </c>
      <c r="E34" s="387" t="e">
        <f>#REF!-D34</f>
        <v>#REF!</v>
      </c>
    </row>
    <row r="35" spans="1:6" ht="68.3" customHeight="1" x14ac:dyDescent="0.3">
      <c r="A35" s="574" t="s">
        <v>632</v>
      </c>
      <c r="B35" s="388" t="s">
        <v>614</v>
      </c>
      <c r="C35" s="387">
        <v>1600000</v>
      </c>
      <c r="D35" s="390">
        <v>600000</v>
      </c>
      <c r="E35" s="387" t="e">
        <f>#REF!-D35</f>
        <v>#REF!</v>
      </c>
    </row>
    <row r="36" spans="1:6" ht="27" customHeight="1" outlineLevel="1" x14ac:dyDescent="0.3">
      <c r="A36" s="574" t="s">
        <v>191</v>
      </c>
      <c r="B36" s="393" t="s">
        <v>192</v>
      </c>
      <c r="C36" s="387">
        <v>900000</v>
      </c>
      <c r="D36" s="390">
        <v>550000</v>
      </c>
      <c r="E36" s="387" t="e">
        <f>#REF!-D36</f>
        <v>#REF!</v>
      </c>
    </row>
    <row r="37" spans="1:6" ht="23.95" customHeight="1" outlineLevel="1" x14ac:dyDescent="0.3">
      <c r="A37" s="574" t="s">
        <v>482</v>
      </c>
      <c r="B37" s="393" t="s">
        <v>483</v>
      </c>
      <c r="C37" s="387">
        <f>C38</f>
        <v>95000</v>
      </c>
      <c r="D37" s="390">
        <f>D38</f>
        <v>92000</v>
      </c>
      <c r="E37" s="387" t="e">
        <f>#REF!-D37</f>
        <v>#REF!</v>
      </c>
    </row>
    <row r="38" spans="1:6" ht="21.75" customHeight="1" outlineLevel="1" x14ac:dyDescent="0.3">
      <c r="A38" s="574" t="s">
        <v>633</v>
      </c>
      <c r="B38" s="388" t="s">
        <v>615</v>
      </c>
      <c r="C38" s="387">
        <v>95000</v>
      </c>
      <c r="D38" s="390">
        <v>92000</v>
      </c>
      <c r="E38" s="387" t="e">
        <f>#REF!-D38</f>
        <v>#REF!</v>
      </c>
    </row>
    <row r="39" spans="1:6" ht="27" customHeight="1" outlineLevel="1" x14ac:dyDescent="0.3">
      <c r="A39" s="575" t="s">
        <v>193</v>
      </c>
      <c r="B39" s="394" t="s">
        <v>194</v>
      </c>
      <c r="C39" s="386">
        <f>C40</f>
        <v>809473103.9000001</v>
      </c>
      <c r="D39" s="395" t="e">
        <f>D40</f>
        <v>#REF!</v>
      </c>
      <c r="E39" s="387" t="e">
        <f>#REF!-D39</f>
        <v>#REF!</v>
      </c>
    </row>
    <row r="40" spans="1:6" ht="58.75" customHeight="1" x14ac:dyDescent="0.3">
      <c r="A40" s="576" t="s">
        <v>195</v>
      </c>
      <c r="B40" s="397" t="s">
        <v>243</v>
      </c>
      <c r="C40" s="387">
        <f>C44+C54+C66+C41</f>
        <v>809473103.9000001</v>
      </c>
      <c r="D40" s="398" t="e">
        <f>D44+D54+D66</f>
        <v>#REF!</v>
      </c>
      <c r="E40" s="387" t="e">
        <f>#REF!-D40</f>
        <v>#REF!</v>
      </c>
    </row>
    <row r="41" spans="1:6" ht="37.549999999999997" customHeight="1" x14ac:dyDescent="0.3">
      <c r="A41" s="575" t="s">
        <v>702</v>
      </c>
      <c r="B41" s="394" t="s">
        <v>703</v>
      </c>
      <c r="C41" s="386">
        <f>C42+C43</f>
        <v>288027957</v>
      </c>
      <c r="D41" s="395">
        <v>0</v>
      </c>
      <c r="E41" s="387" t="e">
        <f>#REF!-D41</f>
        <v>#REF!</v>
      </c>
      <c r="F41" s="163"/>
    </row>
    <row r="42" spans="1:6" ht="57.75" customHeight="1" x14ac:dyDescent="0.3">
      <c r="A42" s="576" t="s">
        <v>1081</v>
      </c>
      <c r="B42" s="397" t="s">
        <v>1083</v>
      </c>
      <c r="C42" s="387">
        <v>250588957</v>
      </c>
      <c r="D42" s="398">
        <v>0</v>
      </c>
      <c r="E42" s="387" t="e">
        <f>#REF!-D42</f>
        <v>#REF!</v>
      </c>
    </row>
    <row r="43" spans="1:6" ht="27" customHeight="1" x14ac:dyDescent="0.3">
      <c r="A43" s="576" t="s">
        <v>704</v>
      </c>
      <c r="B43" s="397" t="s">
        <v>705</v>
      </c>
      <c r="C43" s="387">
        <v>37439000</v>
      </c>
      <c r="D43" s="398">
        <v>0</v>
      </c>
      <c r="E43" s="387" t="e">
        <f>#REF!-D43</f>
        <v>#REF!</v>
      </c>
    </row>
    <row r="44" spans="1:6" ht="39.25" customHeight="1" x14ac:dyDescent="0.3">
      <c r="A44" s="575" t="s">
        <v>298</v>
      </c>
      <c r="B44" s="394" t="s">
        <v>289</v>
      </c>
      <c r="C44" s="386">
        <f>C47+C50+C53+C46+C45+C49+C51+C48+C52</f>
        <v>31279405.859999999</v>
      </c>
      <c r="D44" s="386" t="e">
        <f>D48+#REF!+D49+D50+D51+#REF!+#REF!+D52+D53</f>
        <v>#REF!</v>
      </c>
      <c r="E44" s="387" t="e">
        <f>#REF!-D44</f>
        <v>#REF!</v>
      </c>
    </row>
    <row r="45" spans="1:6" ht="84.9" hidden="1" x14ac:dyDescent="0.3">
      <c r="A45" s="576" t="s">
        <v>672</v>
      </c>
      <c r="B45" s="397" t="s">
        <v>671</v>
      </c>
      <c r="C45" s="387"/>
      <c r="D45" s="398"/>
      <c r="E45" s="387" t="e">
        <f>#REF!-D45</f>
        <v>#REF!</v>
      </c>
    </row>
    <row r="46" spans="1:6" ht="50.95" hidden="1" x14ac:dyDescent="0.3">
      <c r="A46" s="576" t="s">
        <v>670</v>
      </c>
      <c r="B46" s="397" t="s">
        <v>669</v>
      </c>
      <c r="C46" s="387"/>
      <c r="D46" s="398"/>
      <c r="E46" s="387" t="e">
        <f>#REF!-D46</f>
        <v>#REF!</v>
      </c>
    </row>
    <row r="47" spans="1:6" ht="101.9" hidden="1" x14ac:dyDescent="0.3">
      <c r="A47" s="576" t="s">
        <v>634</v>
      </c>
      <c r="B47" s="397" t="s">
        <v>616</v>
      </c>
      <c r="C47" s="387"/>
      <c r="D47" s="398"/>
      <c r="E47" s="387" t="e">
        <f>#REF!-D47</f>
        <v>#REF!</v>
      </c>
    </row>
    <row r="48" spans="1:6" ht="74.05" customHeight="1" x14ac:dyDescent="0.3">
      <c r="A48" s="576" t="s">
        <v>672</v>
      </c>
      <c r="B48" s="397" t="s">
        <v>671</v>
      </c>
      <c r="C48" s="387">
        <v>2892074.61</v>
      </c>
      <c r="D48" s="398">
        <v>2498730</v>
      </c>
      <c r="E48" s="387" t="e">
        <f>#REF!-D48</f>
        <v>#REF!</v>
      </c>
    </row>
    <row r="49" spans="1:5" ht="50.95" customHeight="1" x14ac:dyDescent="0.3">
      <c r="A49" s="576" t="s">
        <v>668</v>
      </c>
      <c r="B49" s="397" t="s">
        <v>667</v>
      </c>
      <c r="C49" s="387">
        <v>560938.26</v>
      </c>
      <c r="D49" s="398">
        <v>562109.94999999995</v>
      </c>
      <c r="E49" s="387" t="e">
        <f>#REF!-D49</f>
        <v>#REF!</v>
      </c>
    </row>
    <row r="50" spans="1:5" ht="50.95" customHeight="1" x14ac:dyDescent="0.3">
      <c r="A50" s="576" t="s">
        <v>636</v>
      </c>
      <c r="B50" s="397" t="s">
        <v>618</v>
      </c>
      <c r="C50" s="387">
        <v>6935785.6799999997</v>
      </c>
      <c r="D50" s="398">
        <v>6583307.1100000003</v>
      </c>
      <c r="E50" s="387" t="e">
        <f>#REF!-D50</f>
        <v>#REF!</v>
      </c>
    </row>
    <row r="51" spans="1:5" ht="106" customHeight="1" x14ac:dyDescent="0.3">
      <c r="A51" s="576" t="s">
        <v>903</v>
      </c>
      <c r="B51" s="397" t="s">
        <v>997</v>
      </c>
      <c r="C51" s="387">
        <v>1104785.3600000001</v>
      </c>
      <c r="D51" s="398">
        <v>3301263.62</v>
      </c>
      <c r="E51" s="387" t="e">
        <f>#REF!-D51</f>
        <v>#REF!</v>
      </c>
    </row>
    <row r="52" spans="1:5" ht="103.95" customHeight="1" x14ac:dyDescent="0.3">
      <c r="A52" s="576" t="s">
        <v>652</v>
      </c>
      <c r="B52" s="397" t="s">
        <v>995</v>
      </c>
      <c r="C52" s="387">
        <v>4368667.47</v>
      </c>
      <c r="D52" s="398">
        <v>4367650</v>
      </c>
      <c r="E52" s="387" t="e">
        <f>#REF!-D52</f>
        <v>#REF!</v>
      </c>
    </row>
    <row r="53" spans="1:5" ht="28.2" customHeight="1" x14ac:dyDescent="0.3">
      <c r="A53" s="576" t="s">
        <v>637</v>
      </c>
      <c r="B53" s="397" t="s">
        <v>619</v>
      </c>
      <c r="C53" s="387">
        <v>15417154.48</v>
      </c>
      <c r="D53" s="398">
        <v>13288679.59</v>
      </c>
      <c r="E53" s="387" t="e">
        <f>#REF!-D53</f>
        <v>#REF!</v>
      </c>
    </row>
    <row r="54" spans="1:5" ht="34" x14ac:dyDescent="0.3">
      <c r="A54" s="577" t="s">
        <v>287</v>
      </c>
      <c r="B54" s="394" t="s">
        <v>251</v>
      </c>
      <c r="C54" s="386">
        <f>C55+C56+C57+C58+C59+C61+C63+C64+C65</f>
        <v>469105741.04000002</v>
      </c>
      <c r="D54" s="386">
        <f>D55+D56+D57+D58+D59+D61+D63+D64+D65</f>
        <v>431044211.17000002</v>
      </c>
      <c r="E54" s="387" t="e">
        <f>#REF!-D54</f>
        <v>#REF!</v>
      </c>
    </row>
    <row r="55" spans="1:5" ht="50.95" x14ac:dyDescent="0.3">
      <c r="A55" s="576" t="s">
        <v>638</v>
      </c>
      <c r="B55" s="397" t="s">
        <v>620</v>
      </c>
      <c r="C55" s="387">
        <v>424955905.04000002</v>
      </c>
      <c r="D55" s="398">
        <v>395359722.13</v>
      </c>
      <c r="E55" s="387" t="e">
        <f>#REF!-D55</f>
        <v>#REF!</v>
      </c>
    </row>
    <row r="56" spans="1:5" ht="101.9" x14ac:dyDescent="0.3">
      <c r="A56" s="576" t="s">
        <v>639</v>
      </c>
      <c r="B56" s="397" t="s">
        <v>621</v>
      </c>
      <c r="C56" s="387">
        <v>3791354</v>
      </c>
      <c r="D56" s="398">
        <v>3179069</v>
      </c>
      <c r="E56" s="387" t="e">
        <f>#REF!-D56</f>
        <v>#REF!</v>
      </c>
    </row>
    <row r="57" spans="1:5" ht="87.8" customHeight="1" x14ac:dyDescent="0.3">
      <c r="A57" s="576" t="s">
        <v>914</v>
      </c>
      <c r="B57" s="397" t="s">
        <v>1086</v>
      </c>
      <c r="C57" s="387">
        <v>21307950</v>
      </c>
      <c r="D57" s="398">
        <v>16214571.039999999</v>
      </c>
      <c r="E57" s="387" t="e">
        <f>#REF!-D57</f>
        <v>#REF!</v>
      </c>
    </row>
    <row r="58" spans="1:5" ht="68.3" customHeight="1" x14ac:dyDescent="0.3">
      <c r="A58" s="576" t="s">
        <v>641</v>
      </c>
      <c r="B58" s="397" t="s">
        <v>1087</v>
      </c>
      <c r="C58" s="387">
        <v>1681380</v>
      </c>
      <c r="D58" s="398">
        <v>1430240</v>
      </c>
      <c r="E58" s="387" t="e">
        <f>#REF!-D58</f>
        <v>#REF!</v>
      </c>
    </row>
    <row r="59" spans="1:5" ht="87.8" customHeight="1" x14ac:dyDescent="0.3">
      <c r="A59" s="576" t="s">
        <v>642</v>
      </c>
      <c r="B59" s="397" t="s">
        <v>623</v>
      </c>
      <c r="C59" s="387">
        <v>12402</v>
      </c>
      <c r="D59" s="398">
        <v>13010</v>
      </c>
      <c r="E59" s="387" t="e">
        <f>#REF!-D59</f>
        <v>#REF!</v>
      </c>
    </row>
    <row r="60" spans="1:5" ht="67.95" hidden="1" x14ac:dyDescent="0.3">
      <c r="A60" s="576" t="s">
        <v>643</v>
      </c>
      <c r="B60" s="397" t="s">
        <v>624</v>
      </c>
      <c r="C60" s="387"/>
      <c r="D60" s="395" t="e">
        <f>D10+D39</f>
        <v>#REF!</v>
      </c>
      <c r="E60" s="387" t="e">
        <f>#REF!-D60</f>
        <v>#REF!</v>
      </c>
    </row>
    <row r="61" spans="1:5" ht="81.7" customHeight="1" x14ac:dyDescent="0.3">
      <c r="A61" s="576" t="s">
        <v>644</v>
      </c>
      <c r="B61" s="397" t="s">
        <v>625</v>
      </c>
      <c r="C61" s="387">
        <v>13236200</v>
      </c>
      <c r="D61" s="387">
        <v>10876600</v>
      </c>
      <c r="E61" s="387" t="e">
        <f>#REF!-D61</f>
        <v>#REF!</v>
      </c>
    </row>
    <row r="62" spans="1:5" ht="50.95" hidden="1" x14ac:dyDescent="0.3">
      <c r="A62" s="576" t="s">
        <v>645</v>
      </c>
      <c r="B62" s="397" t="s">
        <v>626</v>
      </c>
      <c r="C62" s="387"/>
      <c r="D62" s="387"/>
      <c r="E62" s="387" t="e">
        <f>#REF!-D62</f>
        <v>#REF!</v>
      </c>
    </row>
    <row r="63" spans="1:5" ht="50.95" x14ac:dyDescent="0.3">
      <c r="A63" s="576" t="s">
        <v>646</v>
      </c>
      <c r="B63" s="397" t="s">
        <v>627</v>
      </c>
      <c r="C63" s="387">
        <v>1490622</v>
      </c>
      <c r="D63" s="387">
        <v>1442603</v>
      </c>
      <c r="E63" s="387" t="e">
        <f>#REF!-D63</f>
        <v>#REF!</v>
      </c>
    </row>
    <row r="64" spans="1:5" ht="24.8" customHeight="1" x14ac:dyDescent="0.3">
      <c r="A64" s="576" t="s">
        <v>730</v>
      </c>
      <c r="B64" s="397" t="s">
        <v>731</v>
      </c>
      <c r="C64" s="387">
        <v>353579</v>
      </c>
      <c r="D64" s="387">
        <v>353579</v>
      </c>
      <c r="E64" s="387" t="e">
        <f>#REF!-D64</f>
        <v>#REF!</v>
      </c>
    </row>
    <row r="65" spans="1:5" ht="40.75" customHeight="1" x14ac:dyDescent="0.3">
      <c r="A65" s="576" t="s">
        <v>647</v>
      </c>
      <c r="B65" s="397" t="s">
        <v>628</v>
      </c>
      <c r="C65" s="387">
        <v>2276349</v>
      </c>
      <c r="D65" s="387">
        <v>2174817</v>
      </c>
      <c r="E65" s="387" t="e">
        <f>#REF!-D65</f>
        <v>#REF!</v>
      </c>
    </row>
    <row r="66" spans="1:5" ht="17" x14ac:dyDescent="0.3">
      <c r="A66" s="575" t="s">
        <v>560</v>
      </c>
      <c r="B66" s="394" t="s">
        <v>561</v>
      </c>
      <c r="C66" s="386">
        <v>21060000</v>
      </c>
      <c r="D66" s="386">
        <f>D67</f>
        <v>20475000</v>
      </c>
      <c r="E66" s="387" t="e">
        <f>#REF!-D66</f>
        <v>#REF!</v>
      </c>
    </row>
    <row r="67" spans="1:5" ht="84.75" customHeight="1" x14ac:dyDescent="0.3">
      <c r="A67" s="576" t="s">
        <v>648</v>
      </c>
      <c r="B67" s="397" t="s">
        <v>1000</v>
      </c>
      <c r="C67" s="387">
        <v>21060000</v>
      </c>
      <c r="D67" s="387">
        <v>20475000</v>
      </c>
      <c r="E67" s="387" t="e">
        <f>#REF!-D67</f>
        <v>#REF!</v>
      </c>
    </row>
    <row r="68" spans="1:5" ht="17" x14ac:dyDescent="0.3">
      <c r="A68" s="577"/>
      <c r="B68" s="399" t="s">
        <v>125</v>
      </c>
      <c r="C68" s="386">
        <f>C10+C39</f>
        <v>976194103.9000001</v>
      </c>
      <c r="D68" s="400"/>
      <c r="E68" s="387" t="e">
        <f>#REF!-D68</f>
        <v>#REF!</v>
      </c>
    </row>
    <row r="74" spans="1:5" x14ac:dyDescent="0.25">
      <c r="C74" s="5">
        <f>C39/C68*100</f>
        <v>82.921326882232577</v>
      </c>
    </row>
  </sheetData>
  <mergeCells count="2">
    <mergeCell ref="A6:C6"/>
    <mergeCell ref="A7:C7"/>
  </mergeCells>
  <pageMargins left="0.98425196850393704" right="0.39370078740157483" top="0.39370078740157483" bottom="0.39370078740157483" header="0.31496062992125984" footer="0.31496062992125984"/>
  <pageSetup paperSize="9" scale="6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7"/>
  <sheetViews>
    <sheetView topLeftCell="A4" zoomScaleNormal="100" zoomScaleSheetLayoutView="90" workbookViewId="0">
      <selection activeCell="B51" sqref="B51"/>
    </sheetView>
  </sheetViews>
  <sheetFormatPr defaultRowHeight="18.350000000000001" x14ac:dyDescent="0.3"/>
  <cols>
    <col min="1" max="1" width="30.375" style="241" customWidth="1"/>
    <col min="2" max="2" width="66.625" style="7" customWidth="1"/>
    <col min="3" max="4" width="19.875" style="7" customWidth="1"/>
    <col min="5" max="5" width="15.375" style="5" bestFit="1" customWidth="1"/>
    <col min="6" max="6" width="17.625" style="5" customWidth="1"/>
    <col min="7" max="256" width="9.125" style="5"/>
    <col min="257" max="257" width="26.375" style="5" customWidth="1"/>
    <col min="258" max="258" width="78.375" style="5" customWidth="1"/>
    <col min="259" max="259" width="19.625" style="5" customWidth="1"/>
    <col min="260" max="512" width="9.125" style="5"/>
    <col min="513" max="513" width="26.375" style="5" customWidth="1"/>
    <col min="514" max="514" width="78.375" style="5" customWidth="1"/>
    <col min="515" max="515" width="19.625" style="5" customWidth="1"/>
    <col min="516" max="768" width="9.125" style="5"/>
    <col min="769" max="769" width="26.375" style="5" customWidth="1"/>
    <col min="770" max="770" width="78.375" style="5" customWidth="1"/>
    <col min="771" max="771" width="19.625" style="5" customWidth="1"/>
    <col min="772" max="1024" width="9.125" style="5"/>
    <col min="1025" max="1025" width="26.375" style="5" customWidth="1"/>
    <col min="1026" max="1026" width="78.375" style="5" customWidth="1"/>
    <col min="1027" max="1027" width="19.625" style="5" customWidth="1"/>
    <col min="1028" max="1280" width="9.125" style="5"/>
    <col min="1281" max="1281" width="26.375" style="5" customWidth="1"/>
    <col min="1282" max="1282" width="78.375" style="5" customWidth="1"/>
    <col min="1283" max="1283" width="19.625" style="5" customWidth="1"/>
    <col min="1284" max="1536" width="9.125" style="5"/>
    <col min="1537" max="1537" width="26.375" style="5" customWidth="1"/>
    <col min="1538" max="1538" width="78.375" style="5" customWidth="1"/>
    <col min="1539" max="1539" width="19.625" style="5" customWidth="1"/>
    <col min="1540" max="1792" width="9.125" style="5"/>
    <col min="1793" max="1793" width="26.375" style="5" customWidth="1"/>
    <col min="1794" max="1794" width="78.375" style="5" customWidth="1"/>
    <col min="1795" max="1795" width="19.625" style="5" customWidth="1"/>
    <col min="1796" max="2048" width="9.125" style="5"/>
    <col min="2049" max="2049" width="26.375" style="5" customWidth="1"/>
    <col min="2050" max="2050" width="78.375" style="5" customWidth="1"/>
    <col min="2051" max="2051" width="19.625" style="5" customWidth="1"/>
    <col min="2052" max="2304" width="9.125" style="5"/>
    <col min="2305" max="2305" width="26.375" style="5" customWidth="1"/>
    <col min="2306" max="2306" width="78.375" style="5" customWidth="1"/>
    <col min="2307" max="2307" width="19.625" style="5" customWidth="1"/>
    <col min="2308" max="2560" width="9.125" style="5"/>
    <col min="2561" max="2561" width="26.375" style="5" customWidth="1"/>
    <col min="2562" max="2562" width="78.375" style="5" customWidth="1"/>
    <col min="2563" max="2563" width="19.625" style="5" customWidth="1"/>
    <col min="2564" max="2816" width="9.125" style="5"/>
    <col min="2817" max="2817" width="26.375" style="5" customWidth="1"/>
    <col min="2818" max="2818" width="78.375" style="5" customWidth="1"/>
    <col min="2819" max="2819" width="19.625" style="5" customWidth="1"/>
    <col min="2820" max="3072" width="9.125" style="5"/>
    <col min="3073" max="3073" width="26.375" style="5" customWidth="1"/>
    <col min="3074" max="3074" width="78.375" style="5" customWidth="1"/>
    <col min="3075" max="3075" width="19.625" style="5" customWidth="1"/>
    <col min="3076" max="3328" width="9.125" style="5"/>
    <col min="3329" max="3329" width="26.375" style="5" customWidth="1"/>
    <col min="3330" max="3330" width="78.375" style="5" customWidth="1"/>
    <col min="3331" max="3331" width="19.625" style="5" customWidth="1"/>
    <col min="3332" max="3584" width="9.125" style="5"/>
    <col min="3585" max="3585" width="26.375" style="5" customWidth="1"/>
    <col min="3586" max="3586" width="78.375" style="5" customWidth="1"/>
    <col min="3587" max="3587" width="19.625" style="5" customWidth="1"/>
    <col min="3588" max="3840" width="9.125" style="5"/>
    <col min="3841" max="3841" width="26.375" style="5" customWidth="1"/>
    <col min="3842" max="3842" width="78.375" style="5" customWidth="1"/>
    <col min="3843" max="3843" width="19.625" style="5" customWidth="1"/>
    <col min="3844" max="4096" width="9.125" style="5"/>
    <col min="4097" max="4097" width="26.375" style="5" customWidth="1"/>
    <col min="4098" max="4098" width="78.375" style="5" customWidth="1"/>
    <col min="4099" max="4099" width="19.625" style="5" customWidth="1"/>
    <col min="4100" max="4352" width="9.125" style="5"/>
    <col min="4353" max="4353" width="26.375" style="5" customWidth="1"/>
    <col min="4354" max="4354" width="78.375" style="5" customWidth="1"/>
    <col min="4355" max="4355" width="19.625" style="5" customWidth="1"/>
    <col min="4356" max="4608" width="9.125" style="5"/>
    <col min="4609" max="4609" width="26.375" style="5" customWidth="1"/>
    <col min="4610" max="4610" width="78.375" style="5" customWidth="1"/>
    <col min="4611" max="4611" width="19.625" style="5" customWidth="1"/>
    <col min="4612" max="4864" width="9.125" style="5"/>
    <col min="4865" max="4865" width="26.375" style="5" customWidth="1"/>
    <col min="4866" max="4866" width="78.375" style="5" customWidth="1"/>
    <col min="4867" max="4867" width="19.625" style="5" customWidth="1"/>
    <col min="4868" max="5120" width="9.125" style="5"/>
    <col min="5121" max="5121" width="26.375" style="5" customWidth="1"/>
    <col min="5122" max="5122" width="78.375" style="5" customWidth="1"/>
    <col min="5123" max="5123" width="19.625" style="5" customWidth="1"/>
    <col min="5124" max="5376" width="9.125" style="5"/>
    <col min="5377" max="5377" width="26.375" style="5" customWidth="1"/>
    <col min="5378" max="5378" width="78.375" style="5" customWidth="1"/>
    <col min="5379" max="5379" width="19.625" style="5" customWidth="1"/>
    <col min="5380" max="5632" width="9.125" style="5"/>
    <col min="5633" max="5633" width="26.375" style="5" customWidth="1"/>
    <col min="5634" max="5634" width="78.375" style="5" customWidth="1"/>
    <col min="5635" max="5635" width="19.625" style="5" customWidth="1"/>
    <col min="5636" max="5888" width="9.125" style="5"/>
    <col min="5889" max="5889" width="26.375" style="5" customWidth="1"/>
    <col min="5890" max="5890" width="78.375" style="5" customWidth="1"/>
    <col min="5891" max="5891" width="19.625" style="5" customWidth="1"/>
    <col min="5892" max="6144" width="9.125" style="5"/>
    <col min="6145" max="6145" width="26.375" style="5" customWidth="1"/>
    <col min="6146" max="6146" width="78.375" style="5" customWidth="1"/>
    <col min="6147" max="6147" width="19.625" style="5" customWidth="1"/>
    <col min="6148" max="6400" width="9.125" style="5"/>
    <col min="6401" max="6401" width="26.375" style="5" customWidth="1"/>
    <col min="6402" max="6402" width="78.375" style="5" customWidth="1"/>
    <col min="6403" max="6403" width="19.625" style="5" customWidth="1"/>
    <col min="6404" max="6656" width="9.125" style="5"/>
    <col min="6657" max="6657" width="26.375" style="5" customWidth="1"/>
    <col min="6658" max="6658" width="78.375" style="5" customWidth="1"/>
    <col min="6659" max="6659" width="19.625" style="5" customWidth="1"/>
    <col min="6660" max="6912" width="9.125" style="5"/>
    <col min="6913" max="6913" width="26.375" style="5" customWidth="1"/>
    <col min="6914" max="6914" width="78.375" style="5" customWidth="1"/>
    <col min="6915" max="6915" width="19.625" style="5" customWidth="1"/>
    <col min="6916" max="7168" width="9.125" style="5"/>
    <col min="7169" max="7169" width="26.375" style="5" customWidth="1"/>
    <col min="7170" max="7170" width="78.375" style="5" customWidth="1"/>
    <col min="7171" max="7171" width="19.625" style="5" customWidth="1"/>
    <col min="7172" max="7424" width="9.125" style="5"/>
    <col min="7425" max="7425" width="26.375" style="5" customWidth="1"/>
    <col min="7426" max="7426" width="78.375" style="5" customWidth="1"/>
    <col min="7427" max="7427" width="19.625" style="5" customWidth="1"/>
    <col min="7428" max="7680" width="9.125" style="5"/>
    <col min="7681" max="7681" width="26.375" style="5" customWidth="1"/>
    <col min="7682" max="7682" width="78.375" style="5" customWidth="1"/>
    <col min="7683" max="7683" width="19.625" style="5" customWidth="1"/>
    <col min="7684" max="7936" width="9.125" style="5"/>
    <col min="7937" max="7937" width="26.375" style="5" customWidth="1"/>
    <col min="7938" max="7938" width="78.375" style="5" customWidth="1"/>
    <col min="7939" max="7939" width="19.625" style="5" customWidth="1"/>
    <col min="7940" max="8192" width="9.125" style="5"/>
    <col min="8193" max="8193" width="26.375" style="5" customWidth="1"/>
    <col min="8194" max="8194" width="78.375" style="5" customWidth="1"/>
    <col min="8195" max="8195" width="19.625" style="5" customWidth="1"/>
    <col min="8196" max="8448" width="9.125" style="5"/>
    <col min="8449" max="8449" width="26.375" style="5" customWidth="1"/>
    <col min="8450" max="8450" width="78.375" style="5" customWidth="1"/>
    <col min="8451" max="8451" width="19.625" style="5" customWidth="1"/>
    <col min="8452" max="8704" width="9.125" style="5"/>
    <col min="8705" max="8705" width="26.375" style="5" customWidth="1"/>
    <col min="8706" max="8706" width="78.375" style="5" customWidth="1"/>
    <col min="8707" max="8707" width="19.625" style="5" customWidth="1"/>
    <col min="8708" max="8960" width="9.125" style="5"/>
    <col min="8961" max="8961" width="26.375" style="5" customWidth="1"/>
    <col min="8962" max="8962" width="78.375" style="5" customWidth="1"/>
    <col min="8963" max="8963" width="19.625" style="5" customWidth="1"/>
    <col min="8964" max="9216" width="9.125" style="5"/>
    <col min="9217" max="9217" width="26.375" style="5" customWidth="1"/>
    <col min="9218" max="9218" width="78.375" style="5" customWidth="1"/>
    <col min="9219" max="9219" width="19.625" style="5" customWidth="1"/>
    <col min="9220" max="9472" width="9.125" style="5"/>
    <col min="9473" max="9473" width="26.375" style="5" customWidth="1"/>
    <col min="9474" max="9474" width="78.375" style="5" customWidth="1"/>
    <col min="9475" max="9475" width="19.625" style="5" customWidth="1"/>
    <col min="9476" max="9728" width="9.125" style="5"/>
    <col min="9729" max="9729" width="26.375" style="5" customWidth="1"/>
    <col min="9730" max="9730" width="78.375" style="5" customWidth="1"/>
    <col min="9731" max="9731" width="19.625" style="5" customWidth="1"/>
    <col min="9732" max="9984" width="9.125" style="5"/>
    <col min="9985" max="9985" width="26.375" style="5" customWidth="1"/>
    <col min="9986" max="9986" width="78.375" style="5" customWidth="1"/>
    <col min="9987" max="9987" width="19.625" style="5" customWidth="1"/>
    <col min="9988" max="10240" width="9.125" style="5"/>
    <col min="10241" max="10241" width="26.375" style="5" customWidth="1"/>
    <col min="10242" max="10242" width="78.375" style="5" customWidth="1"/>
    <col min="10243" max="10243" width="19.625" style="5" customWidth="1"/>
    <col min="10244" max="10496" width="9.125" style="5"/>
    <col min="10497" max="10497" width="26.375" style="5" customWidth="1"/>
    <col min="10498" max="10498" width="78.375" style="5" customWidth="1"/>
    <col min="10499" max="10499" width="19.625" style="5" customWidth="1"/>
    <col min="10500" max="10752" width="9.125" style="5"/>
    <col min="10753" max="10753" width="26.375" style="5" customWidth="1"/>
    <col min="10754" max="10754" width="78.375" style="5" customWidth="1"/>
    <col min="10755" max="10755" width="19.625" style="5" customWidth="1"/>
    <col min="10756" max="11008" width="9.125" style="5"/>
    <col min="11009" max="11009" width="26.375" style="5" customWidth="1"/>
    <col min="11010" max="11010" width="78.375" style="5" customWidth="1"/>
    <col min="11011" max="11011" width="19.625" style="5" customWidth="1"/>
    <col min="11012" max="11264" width="9.125" style="5"/>
    <col min="11265" max="11265" width="26.375" style="5" customWidth="1"/>
    <col min="11266" max="11266" width="78.375" style="5" customWidth="1"/>
    <col min="11267" max="11267" width="19.625" style="5" customWidth="1"/>
    <col min="11268" max="11520" width="9.125" style="5"/>
    <col min="11521" max="11521" width="26.375" style="5" customWidth="1"/>
    <col min="11522" max="11522" width="78.375" style="5" customWidth="1"/>
    <col min="11523" max="11523" width="19.625" style="5" customWidth="1"/>
    <col min="11524" max="11776" width="9.125" style="5"/>
    <col min="11777" max="11777" width="26.375" style="5" customWidth="1"/>
    <col min="11778" max="11778" width="78.375" style="5" customWidth="1"/>
    <col min="11779" max="11779" width="19.625" style="5" customWidth="1"/>
    <col min="11780" max="12032" width="9.125" style="5"/>
    <col min="12033" max="12033" width="26.375" style="5" customWidth="1"/>
    <col min="12034" max="12034" width="78.375" style="5" customWidth="1"/>
    <col min="12035" max="12035" width="19.625" style="5" customWidth="1"/>
    <col min="12036" max="12288" width="9.125" style="5"/>
    <col min="12289" max="12289" width="26.375" style="5" customWidth="1"/>
    <col min="12290" max="12290" width="78.375" style="5" customWidth="1"/>
    <col min="12291" max="12291" width="19.625" style="5" customWidth="1"/>
    <col min="12292" max="12544" width="9.125" style="5"/>
    <col min="12545" max="12545" width="26.375" style="5" customWidth="1"/>
    <col min="12546" max="12546" width="78.375" style="5" customWidth="1"/>
    <col min="12547" max="12547" width="19.625" style="5" customWidth="1"/>
    <col min="12548" max="12800" width="9.125" style="5"/>
    <col min="12801" max="12801" width="26.375" style="5" customWidth="1"/>
    <col min="12802" max="12802" width="78.375" style="5" customWidth="1"/>
    <col min="12803" max="12803" width="19.625" style="5" customWidth="1"/>
    <col min="12804" max="13056" width="9.125" style="5"/>
    <col min="13057" max="13057" width="26.375" style="5" customWidth="1"/>
    <col min="13058" max="13058" width="78.375" style="5" customWidth="1"/>
    <col min="13059" max="13059" width="19.625" style="5" customWidth="1"/>
    <col min="13060" max="13312" width="9.125" style="5"/>
    <col min="13313" max="13313" width="26.375" style="5" customWidth="1"/>
    <col min="13314" max="13314" width="78.375" style="5" customWidth="1"/>
    <col min="13315" max="13315" width="19.625" style="5" customWidth="1"/>
    <col min="13316" max="13568" width="9.125" style="5"/>
    <col min="13569" max="13569" width="26.375" style="5" customWidth="1"/>
    <col min="13570" max="13570" width="78.375" style="5" customWidth="1"/>
    <col min="13571" max="13571" width="19.625" style="5" customWidth="1"/>
    <col min="13572" max="13824" width="9.125" style="5"/>
    <col min="13825" max="13825" width="26.375" style="5" customWidth="1"/>
    <col min="13826" max="13826" width="78.375" style="5" customWidth="1"/>
    <col min="13827" max="13827" width="19.625" style="5" customWidth="1"/>
    <col min="13828" max="14080" width="9.125" style="5"/>
    <col min="14081" max="14081" width="26.375" style="5" customWidth="1"/>
    <col min="14082" max="14082" width="78.375" style="5" customWidth="1"/>
    <col min="14083" max="14083" width="19.625" style="5" customWidth="1"/>
    <col min="14084" max="14336" width="9.125" style="5"/>
    <col min="14337" max="14337" width="26.375" style="5" customWidth="1"/>
    <col min="14338" max="14338" width="78.375" style="5" customWidth="1"/>
    <col min="14339" max="14339" width="19.625" style="5" customWidth="1"/>
    <col min="14340" max="14592" width="9.125" style="5"/>
    <col min="14593" max="14593" width="26.375" style="5" customWidth="1"/>
    <col min="14594" max="14594" width="78.375" style="5" customWidth="1"/>
    <col min="14595" max="14595" width="19.625" style="5" customWidth="1"/>
    <col min="14596" max="14848" width="9.125" style="5"/>
    <col min="14849" max="14849" width="26.375" style="5" customWidth="1"/>
    <col min="14850" max="14850" width="78.375" style="5" customWidth="1"/>
    <col min="14851" max="14851" width="19.625" style="5" customWidth="1"/>
    <col min="14852" max="15104" width="9.125" style="5"/>
    <col min="15105" max="15105" width="26.375" style="5" customWidth="1"/>
    <col min="15106" max="15106" width="78.375" style="5" customWidth="1"/>
    <col min="15107" max="15107" width="19.625" style="5" customWidth="1"/>
    <col min="15108" max="15360" width="9.125" style="5"/>
    <col min="15361" max="15361" width="26.375" style="5" customWidth="1"/>
    <col min="15362" max="15362" width="78.375" style="5" customWidth="1"/>
    <col min="15363" max="15363" width="19.625" style="5" customWidth="1"/>
    <col min="15364" max="15616" width="9.125" style="5"/>
    <col min="15617" max="15617" width="26.375" style="5" customWidth="1"/>
    <col min="15618" max="15618" width="78.375" style="5" customWidth="1"/>
    <col min="15619" max="15619" width="19.625" style="5" customWidth="1"/>
    <col min="15620" max="15872" width="9.125" style="5"/>
    <col min="15873" max="15873" width="26.375" style="5" customWidth="1"/>
    <col min="15874" max="15874" width="78.375" style="5" customWidth="1"/>
    <col min="15875" max="15875" width="19.625" style="5" customWidth="1"/>
    <col min="15876" max="16128" width="9.125" style="5"/>
    <col min="16129" max="16129" width="26.375" style="5" customWidth="1"/>
    <col min="16130" max="16130" width="78.375" style="5" customWidth="1"/>
    <col min="16131" max="16131" width="19.625" style="5" customWidth="1"/>
    <col min="16132" max="16384" width="9.125" style="5"/>
  </cols>
  <sheetData>
    <row r="1" spans="1:6" x14ac:dyDescent="0.3">
      <c r="D1" s="234" t="s">
        <v>434</v>
      </c>
    </row>
    <row r="2" spans="1:6" x14ac:dyDescent="0.3">
      <c r="D2" s="234" t="s">
        <v>928</v>
      </c>
    </row>
    <row r="3" spans="1:6" x14ac:dyDescent="0.3">
      <c r="D3" s="234" t="s">
        <v>653</v>
      </c>
    </row>
    <row r="4" spans="1:6" x14ac:dyDescent="0.3">
      <c r="D4" s="234" t="s">
        <v>1074</v>
      </c>
    </row>
    <row r="5" spans="1:6" x14ac:dyDescent="0.3">
      <c r="A5" s="670" t="s">
        <v>241</v>
      </c>
      <c r="B5" s="670"/>
      <c r="C5" s="670"/>
      <c r="D5" s="670"/>
    </row>
    <row r="6" spans="1:6" x14ac:dyDescent="0.3">
      <c r="A6" s="671" t="s">
        <v>1075</v>
      </c>
      <c r="B6" s="671"/>
      <c r="C6" s="671"/>
      <c r="D6" s="671"/>
    </row>
    <row r="7" spans="1:6" x14ac:dyDescent="0.3">
      <c r="D7" s="191" t="s">
        <v>408</v>
      </c>
    </row>
    <row r="8" spans="1:6" ht="52.5" customHeight="1" x14ac:dyDescent="0.3">
      <c r="A8" s="23" t="s">
        <v>159</v>
      </c>
      <c r="B8" s="64" t="s">
        <v>164</v>
      </c>
      <c r="C8" s="64" t="s">
        <v>747</v>
      </c>
      <c r="D8" s="64" t="s">
        <v>1034</v>
      </c>
    </row>
    <row r="9" spans="1:6" ht="19.55" customHeight="1" x14ac:dyDescent="0.3">
      <c r="A9" s="66" t="s">
        <v>484</v>
      </c>
      <c r="B9" s="67" t="s">
        <v>166</v>
      </c>
      <c r="C9" s="76">
        <f>C10+C12+C14+C18+C21+C23+C27+C29+C31+C34+C35</f>
        <v>171948000</v>
      </c>
      <c r="D9" s="76">
        <f>D10+D12+D14+D18+D21+D23+D27+D29+D31+D34+D35</f>
        <v>172218000</v>
      </c>
      <c r="E9" s="5">
        <f>C9/C63*100</f>
        <v>17.812967271117301</v>
      </c>
      <c r="F9" s="5">
        <f>D9/D63*100</f>
        <v>17.715929976660206</v>
      </c>
    </row>
    <row r="10" spans="1:6" ht="19.55" customHeight="1" x14ac:dyDescent="0.3">
      <c r="A10" s="68" t="s">
        <v>167</v>
      </c>
      <c r="B10" s="69" t="s">
        <v>485</v>
      </c>
      <c r="C10" s="74">
        <f>C11</f>
        <v>111000000</v>
      </c>
      <c r="D10" s="74">
        <f>D11</f>
        <v>111000000</v>
      </c>
      <c r="E10" s="5">
        <f>C10/C63*100</f>
        <v>11.499054173901529</v>
      </c>
      <c r="F10" s="5">
        <f>D10/D63*100</f>
        <v>11.418482547755071</v>
      </c>
    </row>
    <row r="11" spans="1:6" ht="19.55" customHeight="1" x14ac:dyDescent="0.3">
      <c r="A11" s="68" t="s">
        <v>169</v>
      </c>
      <c r="B11" s="68" t="s">
        <v>170</v>
      </c>
      <c r="C11" s="75">
        <v>111000000</v>
      </c>
      <c r="D11" s="75">
        <v>111000000</v>
      </c>
    </row>
    <row r="12" spans="1:6" ht="55.05" x14ac:dyDescent="0.3">
      <c r="A12" s="68" t="s">
        <v>171</v>
      </c>
      <c r="B12" s="70" t="s">
        <v>486</v>
      </c>
      <c r="C12" s="75">
        <f>C13</f>
        <v>14066000</v>
      </c>
      <c r="D12" s="75">
        <f>D13</f>
        <v>14066000</v>
      </c>
      <c r="E12" s="5">
        <f>C12/C63*100</f>
        <v>1.4571684325234135</v>
      </c>
      <c r="F12" s="5">
        <f>D12/D63*100</f>
        <v>1.446958337988494</v>
      </c>
    </row>
    <row r="13" spans="1:6" ht="36.700000000000003" x14ac:dyDescent="0.3">
      <c r="A13" s="68" t="s">
        <v>173</v>
      </c>
      <c r="B13" s="70" t="s">
        <v>174</v>
      </c>
      <c r="C13" s="75">
        <v>14066000</v>
      </c>
      <c r="D13" s="75">
        <v>14066000</v>
      </c>
    </row>
    <row r="14" spans="1:6" ht="21.25" customHeight="1" x14ac:dyDescent="0.3">
      <c r="A14" s="71" t="s">
        <v>175</v>
      </c>
      <c r="B14" s="71" t="s">
        <v>487</v>
      </c>
      <c r="C14" s="75">
        <f>C15+C16+C17</f>
        <v>7100000</v>
      </c>
      <c r="D14" s="75">
        <f>D15+D16+D17</f>
        <v>7170000</v>
      </c>
      <c r="E14" s="5">
        <f>C14/C63*100</f>
        <v>0.73552508679910689</v>
      </c>
      <c r="F14" s="5">
        <f>D14/D63*100</f>
        <v>0.73757225105769253</v>
      </c>
    </row>
    <row r="15" spans="1:6" ht="36.700000000000003" customHeight="1" x14ac:dyDescent="0.3">
      <c r="A15" s="68" t="s">
        <v>473</v>
      </c>
      <c r="B15" s="68" t="s">
        <v>474</v>
      </c>
      <c r="C15" s="75">
        <v>1050000</v>
      </c>
      <c r="D15" s="75">
        <v>1070000</v>
      </c>
    </row>
    <row r="16" spans="1:6" ht="19.55" customHeight="1" x14ac:dyDescent="0.3">
      <c r="A16" s="72" t="s">
        <v>488</v>
      </c>
      <c r="B16" s="72" t="s">
        <v>178</v>
      </c>
      <c r="C16" s="75">
        <v>1350000</v>
      </c>
      <c r="D16" s="75">
        <v>1400000</v>
      </c>
    </row>
    <row r="17" spans="1:6" ht="55.05" x14ac:dyDescent="0.3">
      <c r="A17" s="72" t="s">
        <v>475</v>
      </c>
      <c r="B17" s="72" t="s">
        <v>607</v>
      </c>
      <c r="C17" s="75">
        <v>4700000</v>
      </c>
      <c r="D17" s="75">
        <v>4700000</v>
      </c>
    </row>
    <row r="18" spans="1:6" ht="18.7" customHeight="1" x14ac:dyDescent="0.3">
      <c r="A18" s="72" t="s">
        <v>476</v>
      </c>
      <c r="B18" s="72" t="s">
        <v>477</v>
      </c>
      <c r="C18" s="75">
        <f>C19+C20</f>
        <v>16700000</v>
      </c>
      <c r="D18" s="75">
        <f>D19+D20</f>
        <v>16700000</v>
      </c>
      <c r="E18" s="5">
        <f>C18/C63*100</f>
        <v>1.7300378802176175</v>
      </c>
      <c r="F18" s="5">
        <f>D18/D63*100</f>
        <v>1.7179158427703578</v>
      </c>
    </row>
    <row r="19" spans="1:6" ht="55.05" x14ac:dyDescent="0.3">
      <c r="A19" s="72" t="s">
        <v>640</v>
      </c>
      <c r="B19" s="72" t="s">
        <v>608</v>
      </c>
      <c r="C19" s="75">
        <v>5700000</v>
      </c>
      <c r="D19" s="75">
        <v>5700000</v>
      </c>
    </row>
    <row r="20" spans="1:6" ht="23.95" customHeight="1" x14ac:dyDescent="0.3">
      <c r="A20" s="72" t="s">
        <v>479</v>
      </c>
      <c r="B20" s="72" t="s">
        <v>478</v>
      </c>
      <c r="C20" s="75">
        <v>11000000</v>
      </c>
      <c r="D20" s="75">
        <v>11000000</v>
      </c>
    </row>
    <row r="21" spans="1:6" x14ac:dyDescent="0.3">
      <c r="A21" s="71" t="s">
        <v>179</v>
      </c>
      <c r="B21" s="71" t="s">
        <v>489</v>
      </c>
      <c r="C21" s="75">
        <f>C22</f>
        <v>2500000</v>
      </c>
      <c r="D21" s="75">
        <f>D22</f>
        <v>2600000</v>
      </c>
      <c r="E21" s="5">
        <f>C21/C63*100</f>
        <v>0.25898770661940379</v>
      </c>
      <c r="F21" s="5">
        <f>D21/D63*100</f>
        <v>0.26745995156903773</v>
      </c>
    </row>
    <row r="22" spans="1:6" ht="55.55" customHeight="1" x14ac:dyDescent="0.3">
      <c r="A22" s="72" t="s">
        <v>480</v>
      </c>
      <c r="B22" s="73" t="s">
        <v>481</v>
      </c>
      <c r="C22" s="75">
        <v>2500000</v>
      </c>
      <c r="D22" s="75">
        <v>2600000</v>
      </c>
    </row>
    <row r="23" spans="1:6" ht="55.05" x14ac:dyDescent="0.3">
      <c r="A23" s="72" t="s">
        <v>181</v>
      </c>
      <c r="B23" s="72" t="s">
        <v>490</v>
      </c>
      <c r="C23" s="75">
        <f>C24+C25+C26</f>
        <v>16050000</v>
      </c>
      <c r="D23" s="75">
        <f>D24+D25+D26</f>
        <v>16080000</v>
      </c>
      <c r="E23" s="5">
        <f>C23/C63*100</f>
        <v>1.6627010764965724</v>
      </c>
      <c r="F23" s="5">
        <f>D23/D63*100</f>
        <v>1.6541369312423564</v>
      </c>
    </row>
    <row r="24" spans="1:6" ht="110.05" x14ac:dyDescent="0.3">
      <c r="A24" s="72" t="s">
        <v>604</v>
      </c>
      <c r="B24" s="73" t="s">
        <v>609</v>
      </c>
      <c r="C24" s="75">
        <v>10500000</v>
      </c>
      <c r="D24" s="75">
        <v>10500000</v>
      </c>
    </row>
    <row r="25" spans="1:6" ht="60.8" customHeight="1" x14ac:dyDescent="0.3">
      <c r="A25" s="72" t="s">
        <v>605</v>
      </c>
      <c r="B25" s="79" t="s">
        <v>610</v>
      </c>
      <c r="C25" s="75">
        <v>2750000</v>
      </c>
      <c r="D25" s="75">
        <v>2880000</v>
      </c>
    </row>
    <row r="26" spans="1:6" ht="110.05" x14ac:dyDescent="0.3">
      <c r="A26" s="72" t="s">
        <v>606</v>
      </c>
      <c r="B26" s="73" t="s">
        <v>611</v>
      </c>
      <c r="C26" s="75">
        <v>2800000</v>
      </c>
      <c r="D26" s="75">
        <v>2700000</v>
      </c>
    </row>
    <row r="27" spans="1:6" ht="36.700000000000003" x14ac:dyDescent="0.3">
      <c r="A27" s="72" t="s">
        <v>183</v>
      </c>
      <c r="B27" s="71" t="s">
        <v>491</v>
      </c>
      <c r="C27" s="75">
        <f>C28</f>
        <v>133000</v>
      </c>
      <c r="D27" s="75">
        <f>D28</f>
        <v>133000</v>
      </c>
      <c r="E27" s="5">
        <f>C27/C63*100</f>
        <v>1.3778145992152284E-2</v>
      </c>
      <c r="F27" s="5">
        <f>D27/D63*100</f>
        <v>1.3681605214877697E-2</v>
      </c>
    </row>
    <row r="28" spans="1:6" ht="19.55" customHeight="1" x14ac:dyDescent="0.3">
      <c r="A28" s="72" t="s">
        <v>185</v>
      </c>
      <c r="B28" s="73" t="s">
        <v>186</v>
      </c>
      <c r="C28" s="75">
        <v>133000</v>
      </c>
      <c r="D28" s="75">
        <v>133000</v>
      </c>
    </row>
    <row r="29" spans="1:6" ht="39.75" customHeight="1" x14ac:dyDescent="0.3">
      <c r="A29" s="72" t="s">
        <v>187</v>
      </c>
      <c r="B29" s="71" t="s">
        <v>1088</v>
      </c>
      <c r="C29" s="75">
        <f>C30</f>
        <v>804000</v>
      </c>
      <c r="D29" s="75">
        <f>D30</f>
        <v>804000</v>
      </c>
      <c r="E29" s="5">
        <f>C29/C63*100</f>
        <v>8.3290446448800265E-2</v>
      </c>
      <c r="F29" s="5">
        <f>D29/D63*100</f>
        <v>8.2706846562117811E-2</v>
      </c>
    </row>
    <row r="30" spans="1:6" ht="57.25" customHeight="1" x14ac:dyDescent="0.3">
      <c r="A30" s="72" t="s">
        <v>630</v>
      </c>
      <c r="B30" s="73" t="s">
        <v>612</v>
      </c>
      <c r="C30" s="75">
        <v>804000</v>
      </c>
      <c r="D30" s="75">
        <v>804000</v>
      </c>
    </row>
    <row r="31" spans="1:6" ht="36" customHeight="1" x14ac:dyDescent="0.3">
      <c r="A31" s="72" t="s">
        <v>189</v>
      </c>
      <c r="B31" s="73" t="s">
        <v>492</v>
      </c>
      <c r="C31" s="75">
        <f>C32+C33</f>
        <v>2600000</v>
      </c>
      <c r="D31" s="75">
        <f>D32+D33</f>
        <v>2620000</v>
      </c>
      <c r="E31" s="5">
        <f>C31/C63*100</f>
        <v>0.26934721488417995</v>
      </c>
      <c r="F31" s="5">
        <f>D31/D63*100</f>
        <v>0.26951733581187648</v>
      </c>
    </row>
    <row r="32" spans="1:6" ht="113.3" customHeight="1" x14ac:dyDescent="0.3">
      <c r="A32" s="72" t="s">
        <v>631</v>
      </c>
      <c r="B32" s="73" t="s">
        <v>613</v>
      </c>
      <c r="C32" s="75">
        <v>1000000</v>
      </c>
      <c r="D32" s="75">
        <v>1000000</v>
      </c>
    </row>
    <row r="33" spans="1:6" ht="54" customHeight="1" x14ac:dyDescent="0.3">
      <c r="A33" s="72" t="s">
        <v>632</v>
      </c>
      <c r="B33" s="73" t="s">
        <v>649</v>
      </c>
      <c r="C33" s="75">
        <v>1600000</v>
      </c>
      <c r="D33" s="75">
        <v>1620000</v>
      </c>
    </row>
    <row r="34" spans="1:6" x14ac:dyDescent="0.3">
      <c r="A34" s="72" t="s">
        <v>191</v>
      </c>
      <c r="B34" s="71" t="s">
        <v>192</v>
      </c>
      <c r="C34" s="75">
        <v>900000</v>
      </c>
      <c r="D34" s="75">
        <v>950000</v>
      </c>
      <c r="E34" s="5">
        <f>C34/C63*100</f>
        <v>9.3235574382985381E-2</v>
      </c>
      <c r="F34" s="5">
        <f>D34/D63*100</f>
        <v>9.7725751534840699E-2</v>
      </c>
    </row>
    <row r="35" spans="1:6" x14ac:dyDescent="0.3">
      <c r="A35" s="69" t="s">
        <v>482</v>
      </c>
      <c r="B35" s="68" t="s">
        <v>483</v>
      </c>
      <c r="C35" s="75">
        <v>95000</v>
      </c>
      <c r="D35" s="75">
        <v>95000</v>
      </c>
      <c r="E35" s="5">
        <f>C35/C63*100</f>
        <v>9.8415328515373442E-3</v>
      </c>
      <c r="F35" s="5">
        <f>D35/D63*100</f>
        <v>9.7725751534840696E-3</v>
      </c>
    </row>
    <row r="36" spans="1:6" ht="32.299999999999997" customHeight="1" x14ac:dyDescent="0.3">
      <c r="A36" s="72" t="s">
        <v>633</v>
      </c>
      <c r="B36" s="71" t="s">
        <v>615</v>
      </c>
      <c r="C36" s="75">
        <v>95000</v>
      </c>
      <c r="D36" s="75">
        <v>95000</v>
      </c>
    </row>
    <row r="37" spans="1:6" s="6" customFormat="1" ht="18" customHeight="1" collapsed="1" x14ac:dyDescent="0.3">
      <c r="A37" s="22" t="s">
        <v>193</v>
      </c>
      <c r="B37" s="22" t="s">
        <v>194</v>
      </c>
      <c r="C37" s="51">
        <f>C38</f>
        <v>793348782.8599999</v>
      </c>
      <c r="D37" s="51">
        <f>D38</f>
        <v>799890154.78999996</v>
      </c>
      <c r="E37" s="263">
        <f>D37-C37</f>
        <v>6541371.9300000668</v>
      </c>
    </row>
    <row r="38" spans="1:6" ht="55.05" x14ac:dyDescent="0.3">
      <c r="A38" s="24" t="s">
        <v>195</v>
      </c>
      <c r="B38" s="23" t="s">
        <v>243</v>
      </c>
      <c r="C38" s="53">
        <f>C39+C41+C50+C61</f>
        <v>793348782.8599999</v>
      </c>
      <c r="D38" s="53">
        <f>D39+D41+D50+D61</f>
        <v>799890154.78999996</v>
      </c>
      <c r="E38" s="263">
        <f t="shared" ref="E38:E63" si="0">D38-C38</f>
        <v>6541371.9300000668</v>
      </c>
      <c r="F38" s="163"/>
    </row>
    <row r="39" spans="1:6" ht="36.700000000000003" x14ac:dyDescent="0.3">
      <c r="A39" s="575" t="s">
        <v>702</v>
      </c>
      <c r="B39" s="138" t="s">
        <v>703</v>
      </c>
      <c r="C39" s="53">
        <f>C40</f>
        <v>243734664</v>
      </c>
      <c r="D39" s="53">
        <f>D40</f>
        <v>223721298</v>
      </c>
      <c r="E39" s="263">
        <f t="shared" si="0"/>
        <v>-20013366</v>
      </c>
    </row>
    <row r="40" spans="1:6" ht="55.05" x14ac:dyDescent="0.25">
      <c r="A40" s="576" t="s">
        <v>1081</v>
      </c>
      <c r="B40" s="25" t="s">
        <v>982</v>
      </c>
      <c r="C40" s="581">
        <v>243734664</v>
      </c>
      <c r="D40" s="581">
        <v>223721298</v>
      </c>
      <c r="E40" s="263">
        <f t="shared" si="0"/>
        <v>-20013366</v>
      </c>
    </row>
    <row r="41" spans="1:6" ht="36.700000000000003" x14ac:dyDescent="0.3">
      <c r="A41" s="22" t="s">
        <v>298</v>
      </c>
      <c r="B41" s="22" t="s">
        <v>289</v>
      </c>
      <c r="C41" s="51">
        <f>C42+C43+C44+C45+C46+C47+C49</f>
        <v>33185257</v>
      </c>
      <c r="D41" s="51">
        <f>D42+D43+D44+D45+D46+D47+D49+D48</f>
        <v>34960291.010000005</v>
      </c>
      <c r="E41" s="263">
        <f t="shared" si="0"/>
        <v>1775034.0100000054</v>
      </c>
    </row>
    <row r="42" spans="1:6" ht="81.7" customHeight="1" x14ac:dyDescent="0.3">
      <c r="A42" s="23" t="s">
        <v>672</v>
      </c>
      <c r="B42" s="23" t="s">
        <v>671</v>
      </c>
      <c r="C42" s="101">
        <v>2869484.71</v>
      </c>
      <c r="D42" s="101">
        <v>2872483.88</v>
      </c>
      <c r="E42" s="263">
        <f t="shared" si="0"/>
        <v>2999.1699999999255</v>
      </c>
    </row>
    <row r="43" spans="1:6" ht="40.1" customHeight="1" x14ac:dyDescent="0.3">
      <c r="A43" s="25" t="s">
        <v>652</v>
      </c>
      <c r="B43" s="25" t="s">
        <v>650</v>
      </c>
      <c r="C43" s="53">
        <v>0</v>
      </c>
      <c r="D43" s="53">
        <v>0</v>
      </c>
      <c r="E43" s="263">
        <f t="shared" si="0"/>
        <v>0</v>
      </c>
    </row>
    <row r="44" spans="1:6" ht="113.3" customHeight="1" x14ac:dyDescent="0.3">
      <c r="A44" s="23" t="s">
        <v>1039</v>
      </c>
      <c r="B44" s="23" t="s">
        <v>1040</v>
      </c>
      <c r="C44" s="593">
        <v>8786836.7400000002</v>
      </c>
      <c r="D44" s="593">
        <v>8786836.7400000002</v>
      </c>
      <c r="E44" s="263">
        <f t="shared" si="0"/>
        <v>0</v>
      </c>
    </row>
    <row r="45" spans="1:6" ht="60.45" customHeight="1" x14ac:dyDescent="0.25">
      <c r="A45" s="25" t="s">
        <v>668</v>
      </c>
      <c r="B45" s="11" t="s">
        <v>667</v>
      </c>
      <c r="C45" s="588">
        <f>615449.7</f>
        <v>615449.69999999995</v>
      </c>
      <c r="D45" s="588">
        <f>586049.38</f>
        <v>586049.38</v>
      </c>
      <c r="E45" s="263">
        <f t="shared" si="0"/>
        <v>-29400.319999999949</v>
      </c>
    </row>
    <row r="46" spans="1:6" ht="62.15" customHeight="1" x14ac:dyDescent="0.3">
      <c r="A46" s="23" t="s">
        <v>636</v>
      </c>
      <c r="B46" s="11" t="s">
        <v>618</v>
      </c>
      <c r="C46" s="592">
        <v>7566254.9699999997</v>
      </c>
      <c r="D46" s="592">
        <v>7566254.9699999997</v>
      </c>
      <c r="E46" s="263">
        <f t="shared" si="0"/>
        <v>0</v>
      </c>
    </row>
    <row r="47" spans="1:6" ht="91.2" customHeight="1" x14ac:dyDescent="0.3">
      <c r="A47" s="23" t="s">
        <v>903</v>
      </c>
      <c r="B47" s="11" t="s">
        <v>873</v>
      </c>
      <c r="C47" s="53">
        <v>0</v>
      </c>
      <c r="D47" s="53">
        <v>0</v>
      </c>
      <c r="E47" s="263">
        <f t="shared" si="0"/>
        <v>0</v>
      </c>
    </row>
    <row r="48" spans="1:6" ht="91.2" customHeight="1" x14ac:dyDescent="0.3">
      <c r="A48" s="135" t="s">
        <v>1093</v>
      </c>
      <c r="B48" s="11" t="s">
        <v>1092</v>
      </c>
      <c r="C48" s="53"/>
      <c r="D48" s="53">
        <v>1800874.42</v>
      </c>
      <c r="E48" s="263"/>
    </row>
    <row r="49" spans="1:5" x14ac:dyDescent="0.3">
      <c r="A49" s="23" t="s">
        <v>637</v>
      </c>
      <c r="B49" s="23" t="s">
        <v>619</v>
      </c>
      <c r="C49" s="53">
        <f>'прил 10 '!B20+'прил 10 '!B21+'прил 10 '!B22</f>
        <v>13347230.880000001</v>
      </c>
      <c r="D49" s="53">
        <f>'прил 10 '!C20+'прил 10 '!C21+'прил 10 '!C22</f>
        <v>13347791.619999999</v>
      </c>
      <c r="E49" s="263">
        <f t="shared" si="0"/>
        <v>560.73999999836087</v>
      </c>
    </row>
    <row r="50" spans="1:5" ht="36.700000000000003" x14ac:dyDescent="0.3">
      <c r="A50" s="26" t="s">
        <v>287</v>
      </c>
      <c r="B50" s="22" t="s">
        <v>251</v>
      </c>
      <c r="C50" s="51">
        <f>C51+C52+C53+C54+C55+C57+C58+C59+C60</f>
        <v>493028861.85999995</v>
      </c>
      <c r="D50" s="51">
        <f>D51+D52+D53+D54+D55+D57+D58+D59+D60</f>
        <v>517808565.77999997</v>
      </c>
      <c r="E50" s="263">
        <f t="shared" si="0"/>
        <v>24779703.920000017</v>
      </c>
    </row>
    <row r="51" spans="1:5" ht="55.05" x14ac:dyDescent="0.3">
      <c r="A51" s="23" t="s">
        <v>638</v>
      </c>
      <c r="B51" s="23" t="s">
        <v>620</v>
      </c>
      <c r="C51" s="53">
        <f>274599363+992018+95578740+324127.09+1310000+1847300+3387.08+2124542+37279299.5+7109400+27385240.19</f>
        <v>448553416.85999995</v>
      </c>
      <c r="D51" s="53">
        <f>291895405+1029099+101331115+324127.09+1310000+1847300+3387.08+2203220+38580374.42+7109400+27385240.19</f>
        <v>473018667.77999997</v>
      </c>
      <c r="E51" s="263">
        <f t="shared" si="0"/>
        <v>24465250.920000017</v>
      </c>
    </row>
    <row r="52" spans="1:5" ht="94.75" customHeight="1" x14ac:dyDescent="0.3">
      <c r="A52" s="23" t="s">
        <v>639</v>
      </c>
      <c r="B52" s="25" t="s">
        <v>621</v>
      </c>
      <c r="C52" s="586">
        <v>3943108</v>
      </c>
      <c r="D52" s="586">
        <v>4099837</v>
      </c>
      <c r="E52" s="263">
        <f t="shared" si="0"/>
        <v>156729</v>
      </c>
    </row>
    <row r="53" spans="1:5" ht="96.8" customHeight="1" x14ac:dyDescent="0.3">
      <c r="A53" s="23" t="s">
        <v>1046</v>
      </c>
      <c r="B53" s="25" t="s">
        <v>999</v>
      </c>
      <c r="C53" s="586">
        <v>21307950</v>
      </c>
      <c r="D53" s="586">
        <v>21307950</v>
      </c>
      <c r="E53" s="263">
        <f t="shared" si="0"/>
        <v>0</v>
      </c>
    </row>
    <row r="54" spans="1:5" ht="80.349999999999994" customHeight="1" x14ac:dyDescent="0.3">
      <c r="A54" s="23" t="s">
        <v>641</v>
      </c>
      <c r="B54" s="25" t="s">
        <v>1087</v>
      </c>
      <c r="C54" s="586">
        <v>1741840</v>
      </c>
      <c r="D54" s="586">
        <v>1803920</v>
      </c>
      <c r="E54" s="263">
        <f t="shared" si="0"/>
        <v>62080</v>
      </c>
    </row>
    <row r="55" spans="1:5" ht="75.25" customHeight="1" x14ac:dyDescent="0.3">
      <c r="A55" s="23" t="s">
        <v>642</v>
      </c>
      <c r="B55" s="25" t="s">
        <v>623</v>
      </c>
      <c r="C55" s="586">
        <v>11023</v>
      </c>
      <c r="D55" s="586">
        <v>11023</v>
      </c>
      <c r="E55" s="263">
        <f t="shared" si="0"/>
        <v>0</v>
      </c>
    </row>
    <row r="56" spans="1:5" ht="57.25" hidden="1" customHeight="1" x14ac:dyDescent="0.3">
      <c r="A56" s="23" t="s">
        <v>651</v>
      </c>
      <c r="B56" s="25" t="s">
        <v>624</v>
      </c>
      <c r="C56" s="53"/>
      <c r="D56" s="53"/>
      <c r="E56" s="263">
        <f t="shared" si="0"/>
        <v>0</v>
      </c>
    </row>
    <row r="57" spans="1:5" ht="91.7" x14ac:dyDescent="0.3">
      <c r="A57" s="23" t="s">
        <v>644</v>
      </c>
      <c r="B57" s="25" t="s">
        <v>625</v>
      </c>
      <c r="C57" s="586">
        <v>13236200</v>
      </c>
      <c r="D57" s="586">
        <v>13236200</v>
      </c>
      <c r="E57" s="263">
        <f t="shared" si="0"/>
        <v>0</v>
      </c>
    </row>
    <row r="58" spans="1:5" ht="55.05" x14ac:dyDescent="0.3">
      <c r="A58" s="23" t="s">
        <v>646</v>
      </c>
      <c r="B58" s="23" t="s">
        <v>627</v>
      </c>
      <c r="C58" s="586">
        <v>1490622</v>
      </c>
      <c r="D58" s="586">
        <v>1490622</v>
      </c>
      <c r="E58" s="263">
        <f t="shared" si="0"/>
        <v>0</v>
      </c>
    </row>
    <row r="59" spans="1:5" ht="36.700000000000003" x14ac:dyDescent="0.3">
      <c r="A59" s="23" t="s">
        <v>647</v>
      </c>
      <c r="B59" s="23" t="s">
        <v>628</v>
      </c>
      <c r="C59" s="586">
        <v>2391123</v>
      </c>
      <c r="D59" s="586">
        <v>2486767</v>
      </c>
      <c r="E59" s="263">
        <f t="shared" si="0"/>
        <v>95644</v>
      </c>
    </row>
    <row r="60" spans="1:5" x14ac:dyDescent="0.3">
      <c r="A60" s="23" t="s">
        <v>730</v>
      </c>
      <c r="B60" s="23" t="s">
        <v>731</v>
      </c>
      <c r="C60" s="586">
        <v>353579</v>
      </c>
      <c r="D60" s="586">
        <v>353579</v>
      </c>
      <c r="E60" s="263">
        <f t="shared" si="0"/>
        <v>0</v>
      </c>
    </row>
    <row r="61" spans="1:5" x14ac:dyDescent="0.3">
      <c r="A61" s="22" t="s">
        <v>560</v>
      </c>
      <c r="B61" s="22" t="s">
        <v>561</v>
      </c>
      <c r="C61" s="51">
        <f>C62</f>
        <v>23400000</v>
      </c>
      <c r="D61" s="51">
        <f>D62</f>
        <v>23400000</v>
      </c>
      <c r="E61" s="263">
        <f t="shared" si="0"/>
        <v>0</v>
      </c>
    </row>
    <row r="62" spans="1:5" ht="91.7" x14ac:dyDescent="0.3">
      <c r="A62" s="23" t="s">
        <v>648</v>
      </c>
      <c r="B62" s="23" t="s">
        <v>1000</v>
      </c>
      <c r="C62" s="586">
        <v>23400000</v>
      </c>
      <c r="D62" s="586">
        <v>23400000</v>
      </c>
      <c r="E62" s="263">
        <f t="shared" si="0"/>
        <v>0</v>
      </c>
    </row>
    <row r="63" spans="1:5" x14ac:dyDescent="0.3">
      <c r="A63" s="26"/>
      <c r="B63" s="27" t="s">
        <v>125</v>
      </c>
      <c r="C63" s="51">
        <f>C9+C37</f>
        <v>965296782.8599999</v>
      </c>
      <c r="D63" s="51">
        <f>D9+D37</f>
        <v>972108154.78999996</v>
      </c>
      <c r="E63" s="263">
        <f t="shared" si="0"/>
        <v>6811371.9300000668</v>
      </c>
    </row>
    <row r="64" spans="1:5" x14ac:dyDescent="0.3">
      <c r="A64" s="242"/>
      <c r="B64" s="243"/>
      <c r="C64" s="244"/>
    </row>
    <row r="65" spans="1:4" x14ac:dyDescent="0.3">
      <c r="A65" s="242"/>
      <c r="B65" s="243"/>
      <c r="C65" s="244"/>
    </row>
    <row r="67" spans="1:4" x14ac:dyDescent="0.3">
      <c r="C67" s="7">
        <f>C37/C63*100</f>
        <v>82.187032728882699</v>
      </c>
      <c r="D67" s="7">
        <f>D37/D63*100</f>
        <v>82.284070023339794</v>
      </c>
    </row>
  </sheetData>
  <mergeCells count="2"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64"/>
  <sheetViews>
    <sheetView zoomScaleNormal="100" zoomScaleSheetLayoutView="91" workbookViewId="0">
      <selection activeCell="B14" sqref="B14"/>
    </sheetView>
  </sheetViews>
  <sheetFormatPr defaultColWidth="9" defaultRowHeight="19.05" x14ac:dyDescent="0.35"/>
  <cols>
    <col min="1" max="1" width="5.375" style="189" customWidth="1"/>
    <col min="2" max="2" width="86.625" style="189" customWidth="1"/>
    <col min="3" max="3" width="24.625" style="246" customWidth="1"/>
    <col min="4" max="4" width="20" style="190" customWidth="1"/>
    <col min="5" max="5" width="19.875" style="412" customWidth="1"/>
    <col min="6" max="16384" width="9" style="253"/>
  </cols>
  <sheetData>
    <row r="1" spans="1:5" ht="19.2" customHeight="1" x14ac:dyDescent="0.35">
      <c r="B1" s="672" t="s">
        <v>907</v>
      </c>
      <c r="C1" s="672"/>
    </row>
    <row r="2" spans="1:5" x14ac:dyDescent="0.35">
      <c r="B2" s="672" t="s">
        <v>929</v>
      </c>
      <c r="C2" s="672"/>
    </row>
    <row r="3" spans="1:5" x14ac:dyDescent="0.35">
      <c r="B3" s="672" t="s">
        <v>905</v>
      </c>
      <c r="C3" s="672"/>
    </row>
    <row r="4" spans="1:5" x14ac:dyDescent="0.35">
      <c r="B4" s="672" t="s">
        <v>959</v>
      </c>
      <c r="C4" s="672"/>
    </row>
    <row r="5" spans="1:5" x14ac:dyDescent="0.35">
      <c r="C5" s="598"/>
    </row>
    <row r="6" spans="1:5" x14ac:dyDescent="0.35">
      <c r="A6" s="674" t="s">
        <v>241</v>
      </c>
      <c r="B6" s="674"/>
      <c r="C6" s="598"/>
    </row>
    <row r="7" spans="1:5" ht="15.8" customHeight="1" x14ac:dyDescent="0.35">
      <c r="A7" s="675" t="s">
        <v>983</v>
      </c>
      <c r="B7" s="675"/>
    </row>
    <row r="8" spans="1:5" x14ac:dyDescent="0.35">
      <c r="A8" s="247"/>
      <c r="B8" s="247"/>
      <c r="C8" s="191" t="s">
        <v>408</v>
      </c>
    </row>
    <row r="9" spans="1:5" ht="37.4" x14ac:dyDescent="0.35">
      <c r="A9" s="248" t="s">
        <v>274</v>
      </c>
      <c r="B9" s="249" t="s">
        <v>435</v>
      </c>
      <c r="C9" s="64" t="s">
        <v>790</v>
      </c>
      <c r="D9" s="402" t="s">
        <v>1001</v>
      </c>
      <c r="E9" s="413" t="s">
        <v>1004</v>
      </c>
    </row>
    <row r="10" spans="1:5" ht="36.700000000000003" x14ac:dyDescent="0.35">
      <c r="A10" s="248"/>
      <c r="B10" s="99" t="s">
        <v>718</v>
      </c>
      <c r="C10" s="64">
        <v>0</v>
      </c>
      <c r="D10" s="403">
        <v>7426100</v>
      </c>
      <c r="E10" s="414">
        <f>C10-D10</f>
        <v>-7426100</v>
      </c>
    </row>
    <row r="11" spans="1:5" x14ac:dyDescent="0.35">
      <c r="A11" s="248"/>
      <c r="B11" s="406" t="s">
        <v>1010</v>
      </c>
      <c r="C11" s="407">
        <v>313236196</v>
      </c>
      <c r="D11" s="408">
        <v>297974078</v>
      </c>
      <c r="E11" s="415">
        <f t="shared" ref="E11:E14" si="0">C11-D11</f>
        <v>15262118</v>
      </c>
    </row>
    <row r="12" spans="1:5" x14ac:dyDescent="0.35">
      <c r="A12" s="248"/>
      <c r="B12" s="406" t="s">
        <v>1011</v>
      </c>
      <c r="C12" s="407"/>
      <c r="D12" s="408"/>
      <c r="E12" s="415"/>
    </row>
    <row r="13" spans="1:5" x14ac:dyDescent="0.35">
      <c r="A13" s="248"/>
      <c r="B13" s="417" t="s">
        <v>1012</v>
      </c>
      <c r="C13" s="409">
        <f>C11-C14</f>
        <v>62647239</v>
      </c>
      <c r="D13" s="410">
        <v>297974078</v>
      </c>
      <c r="E13" s="416">
        <f t="shared" si="0"/>
        <v>-235326839</v>
      </c>
    </row>
    <row r="14" spans="1:5" ht="44.15" customHeight="1" x14ac:dyDescent="0.35">
      <c r="A14" s="236"/>
      <c r="B14" s="418" t="s">
        <v>1013</v>
      </c>
      <c r="C14" s="378">
        <v>250588957</v>
      </c>
      <c r="D14" s="411">
        <v>0</v>
      </c>
      <c r="E14" s="416">
        <f t="shared" si="0"/>
        <v>250588957</v>
      </c>
    </row>
    <row r="15" spans="1:5" ht="42.45" customHeight="1" x14ac:dyDescent="0.35">
      <c r="A15" s="236"/>
      <c r="B15" s="100" t="s">
        <v>1007</v>
      </c>
      <c r="C15" s="377">
        <v>0</v>
      </c>
      <c r="D15" s="405">
        <v>16000000</v>
      </c>
      <c r="E15" s="414">
        <f t="shared" ref="E15:E62" si="1">C15-D15</f>
        <v>-16000000</v>
      </c>
    </row>
    <row r="16" spans="1:5" ht="58.75" customHeight="1" x14ac:dyDescent="0.35">
      <c r="A16" s="236"/>
      <c r="B16" s="99" t="s">
        <v>1005</v>
      </c>
      <c r="C16" s="377">
        <v>37439000</v>
      </c>
      <c r="D16" s="403">
        <v>40328000</v>
      </c>
      <c r="E16" s="414">
        <f t="shared" si="1"/>
        <v>-2889000</v>
      </c>
    </row>
    <row r="17" spans="1:5" ht="38.9" customHeight="1" x14ac:dyDescent="0.35">
      <c r="A17" s="236"/>
      <c r="B17" s="99" t="s">
        <v>1006</v>
      </c>
      <c r="C17" s="377">
        <v>0</v>
      </c>
      <c r="D17" s="403">
        <v>25000000</v>
      </c>
      <c r="E17" s="414">
        <f t="shared" si="1"/>
        <v>-25000000</v>
      </c>
    </row>
    <row r="18" spans="1:5" ht="38.25" customHeight="1" x14ac:dyDescent="0.35">
      <c r="A18" s="236"/>
      <c r="B18" s="559" t="s">
        <v>289</v>
      </c>
      <c r="C18" s="560">
        <f>C20+C22+C23+C24+C25+C26+C29+C30+C31+C32+C33+C34+C35</f>
        <v>31279405.859999999</v>
      </c>
      <c r="D18" s="404">
        <v>110429261.45</v>
      </c>
      <c r="E18" s="415">
        <f t="shared" si="1"/>
        <v>-79149855.590000004</v>
      </c>
    </row>
    <row r="19" spans="1:5" ht="38.25" customHeight="1" x14ac:dyDescent="0.35">
      <c r="A19" s="236"/>
      <c r="B19" s="100" t="s">
        <v>460</v>
      </c>
      <c r="C19" s="378">
        <v>0</v>
      </c>
      <c r="D19" s="403">
        <v>21338979.699999999</v>
      </c>
      <c r="E19" s="414">
        <f t="shared" si="1"/>
        <v>-21338979.699999999</v>
      </c>
    </row>
    <row r="20" spans="1:5" ht="65.900000000000006" customHeight="1" x14ac:dyDescent="0.35">
      <c r="A20" s="236"/>
      <c r="B20" s="100" t="s">
        <v>671</v>
      </c>
      <c r="C20" s="377">
        <v>2892074.61</v>
      </c>
      <c r="D20" s="403">
        <v>0</v>
      </c>
      <c r="E20" s="414">
        <f t="shared" si="1"/>
        <v>2892074.61</v>
      </c>
    </row>
    <row r="21" spans="1:5" ht="65.900000000000006" customHeight="1" x14ac:dyDescent="0.35">
      <c r="A21" s="236"/>
      <c r="B21" s="100" t="s">
        <v>934</v>
      </c>
      <c r="C21" s="377">
        <v>0</v>
      </c>
      <c r="D21" s="403">
        <v>1273913.69</v>
      </c>
      <c r="E21" s="414">
        <f t="shared" si="1"/>
        <v>-1273913.69</v>
      </c>
    </row>
    <row r="22" spans="1:5" ht="62.5" customHeight="1" x14ac:dyDescent="0.35">
      <c r="A22" s="236"/>
      <c r="B22" s="100" t="s">
        <v>984</v>
      </c>
      <c r="C22" s="377">
        <v>4368667.47</v>
      </c>
      <c r="D22" s="403">
        <v>0</v>
      </c>
      <c r="E22" s="414">
        <f t="shared" si="1"/>
        <v>4368667.47</v>
      </c>
    </row>
    <row r="23" spans="1:5" ht="27.2" customHeight="1" x14ac:dyDescent="0.35">
      <c r="A23" s="236"/>
      <c r="B23" s="100" t="s">
        <v>986</v>
      </c>
      <c r="C23" s="377">
        <v>3303781.73</v>
      </c>
      <c r="D23" s="403">
        <v>0</v>
      </c>
      <c r="E23" s="414">
        <f t="shared" si="1"/>
        <v>3303781.73</v>
      </c>
    </row>
    <row r="24" spans="1:5" ht="23.8" customHeight="1" x14ac:dyDescent="0.35">
      <c r="A24" s="236"/>
      <c r="B24" s="100" t="s">
        <v>989</v>
      </c>
      <c r="C24" s="377">
        <v>112589.47</v>
      </c>
      <c r="D24" s="403">
        <v>0</v>
      </c>
      <c r="E24" s="414">
        <f t="shared" si="1"/>
        <v>112589.47</v>
      </c>
    </row>
    <row r="25" spans="1:5" ht="42.8" customHeight="1" x14ac:dyDescent="0.35">
      <c r="A25" s="236"/>
      <c r="B25" s="100" t="s">
        <v>988</v>
      </c>
      <c r="C25" s="377">
        <v>2210145</v>
      </c>
      <c r="D25" s="403">
        <v>703249.99</v>
      </c>
      <c r="E25" s="414">
        <f t="shared" si="1"/>
        <v>1506895.01</v>
      </c>
    </row>
    <row r="26" spans="1:5" ht="39.75" customHeight="1" x14ac:dyDescent="0.35">
      <c r="A26" s="236"/>
      <c r="B26" s="100" t="s">
        <v>985</v>
      </c>
      <c r="C26" s="377">
        <v>168005</v>
      </c>
      <c r="D26" s="403">
        <v>0</v>
      </c>
      <c r="E26" s="414">
        <f t="shared" si="1"/>
        <v>168005</v>
      </c>
    </row>
    <row r="27" spans="1:5" ht="48.9" customHeight="1" x14ac:dyDescent="0.35">
      <c r="A27" s="236"/>
      <c r="B27" s="100" t="s">
        <v>1002</v>
      </c>
      <c r="C27" s="377">
        <v>0</v>
      </c>
      <c r="D27" s="403">
        <v>19019636.059999999</v>
      </c>
      <c r="E27" s="414">
        <f t="shared" si="1"/>
        <v>-19019636.059999999</v>
      </c>
    </row>
    <row r="28" spans="1:5" ht="39.75" customHeight="1" x14ac:dyDescent="0.35">
      <c r="A28" s="236"/>
      <c r="B28" s="100" t="s">
        <v>913</v>
      </c>
      <c r="C28" s="377">
        <v>0</v>
      </c>
      <c r="D28" s="403">
        <v>37531191.450000003</v>
      </c>
      <c r="E28" s="414">
        <f t="shared" si="1"/>
        <v>-37531191.450000003</v>
      </c>
    </row>
    <row r="29" spans="1:5" ht="48.9" customHeight="1" x14ac:dyDescent="0.35">
      <c r="A29" s="236"/>
      <c r="B29" s="100" t="s">
        <v>563</v>
      </c>
      <c r="C29" s="377">
        <v>2759819.92</v>
      </c>
      <c r="D29" s="403">
        <v>7277699.21</v>
      </c>
      <c r="E29" s="414">
        <f t="shared" si="1"/>
        <v>-4517879.29</v>
      </c>
    </row>
    <row r="30" spans="1:5" ht="29.9" customHeight="1" x14ac:dyDescent="0.35">
      <c r="A30" s="236"/>
      <c r="B30" s="25" t="s">
        <v>987</v>
      </c>
      <c r="C30" s="377">
        <v>560938.26</v>
      </c>
      <c r="D30" s="403">
        <v>1103300</v>
      </c>
      <c r="E30" s="414">
        <f t="shared" si="1"/>
        <v>-542361.74</v>
      </c>
    </row>
    <row r="31" spans="1:5" ht="40.75" customHeight="1" x14ac:dyDescent="0.35">
      <c r="A31" s="236"/>
      <c r="B31" s="100" t="s">
        <v>564</v>
      </c>
      <c r="C31" s="377">
        <v>0</v>
      </c>
      <c r="D31" s="403">
        <v>0</v>
      </c>
      <c r="E31" s="414">
        <f t="shared" si="1"/>
        <v>0</v>
      </c>
    </row>
    <row r="32" spans="1:5" ht="57.75" customHeight="1" x14ac:dyDescent="0.35">
      <c r="A32" s="236"/>
      <c r="B32" s="100" t="s">
        <v>996</v>
      </c>
      <c r="C32" s="377">
        <v>1059763.1000000001</v>
      </c>
      <c r="D32" s="403">
        <v>0</v>
      </c>
      <c r="E32" s="414">
        <f t="shared" si="1"/>
        <v>1059763.1000000001</v>
      </c>
    </row>
    <row r="33" spans="1:5" ht="127.7" customHeight="1" x14ac:dyDescent="0.35">
      <c r="A33" s="236"/>
      <c r="B33" s="100" t="s">
        <v>993</v>
      </c>
      <c r="C33" s="377">
        <v>1104785.3600000001</v>
      </c>
      <c r="D33" s="403">
        <v>2091762.32</v>
      </c>
      <c r="E33" s="414">
        <f t="shared" si="1"/>
        <v>-986976.96</v>
      </c>
    </row>
    <row r="34" spans="1:5" ht="38.9" customHeight="1" x14ac:dyDescent="0.35">
      <c r="A34" s="236"/>
      <c r="B34" s="100" t="s">
        <v>991</v>
      </c>
      <c r="C34" s="377">
        <v>5803050.2599999998</v>
      </c>
      <c r="D34" s="403">
        <v>6855579.5599999996</v>
      </c>
      <c r="E34" s="414">
        <f t="shared" si="1"/>
        <v>-1052529.2999999998</v>
      </c>
    </row>
    <row r="35" spans="1:5" ht="25.15" customHeight="1" x14ac:dyDescent="0.35">
      <c r="A35" s="236"/>
      <c r="B35" s="100" t="s">
        <v>990</v>
      </c>
      <c r="C35" s="377">
        <v>6935785.6799999997</v>
      </c>
      <c r="D35" s="403">
        <v>6583307.1100000003</v>
      </c>
      <c r="E35" s="414">
        <f t="shared" si="1"/>
        <v>352478.56999999937</v>
      </c>
    </row>
    <row r="36" spans="1:5" ht="49.75" customHeight="1" x14ac:dyDescent="0.35">
      <c r="A36" s="236"/>
      <c r="B36" s="100" t="s">
        <v>706</v>
      </c>
      <c r="C36" s="377">
        <v>0</v>
      </c>
      <c r="D36" s="403">
        <v>4081162.36</v>
      </c>
      <c r="E36" s="414">
        <f t="shared" si="1"/>
        <v>-4081162.36</v>
      </c>
    </row>
    <row r="37" spans="1:5" ht="49.75" customHeight="1" x14ac:dyDescent="0.35">
      <c r="A37" s="236"/>
      <c r="B37" s="100" t="s">
        <v>1003</v>
      </c>
      <c r="C37" s="377">
        <v>0</v>
      </c>
      <c r="D37" s="403">
        <v>2569480</v>
      </c>
      <c r="E37" s="414">
        <f t="shared" si="1"/>
        <v>-2569480</v>
      </c>
    </row>
    <row r="38" spans="1:5" ht="23.1" customHeight="1" x14ac:dyDescent="0.35">
      <c r="A38" s="236"/>
      <c r="B38" s="559" t="s">
        <v>251</v>
      </c>
      <c r="C38" s="561">
        <f>C40+C41+C42+C43+C44+C45+C46+C47+C48+C49+C50+C51+C52+C53+C55+C56+C57+C58+C59</f>
        <v>469105741.04000008</v>
      </c>
      <c r="D38" s="404">
        <v>398934248.88</v>
      </c>
      <c r="E38" s="415">
        <f t="shared" si="1"/>
        <v>70171492.160000086</v>
      </c>
    </row>
    <row r="39" spans="1:5" ht="38.9" customHeight="1" x14ac:dyDescent="0.35">
      <c r="A39" s="236"/>
      <c r="B39" s="374" t="s">
        <v>620</v>
      </c>
      <c r="C39" s="377">
        <f>C40+C44+C45+C47+C48+C49+C51+C52+C53+C55</f>
        <v>397570664.85000008</v>
      </c>
      <c r="D39" s="403">
        <v>369325226.02999997</v>
      </c>
      <c r="E39" s="414">
        <f t="shared" si="1"/>
        <v>28245438.820000112</v>
      </c>
    </row>
    <row r="40" spans="1:5" ht="46.2" customHeight="1" x14ac:dyDescent="0.35">
      <c r="A40" s="236"/>
      <c r="B40" s="100" t="s">
        <v>992</v>
      </c>
      <c r="C40" s="377">
        <v>3387.08</v>
      </c>
      <c r="D40" s="403">
        <v>3387.08</v>
      </c>
      <c r="E40" s="414">
        <f t="shared" si="1"/>
        <v>0</v>
      </c>
    </row>
    <row r="41" spans="1:5" ht="59.8" customHeight="1" x14ac:dyDescent="0.35">
      <c r="A41" s="236"/>
      <c r="B41" s="100" t="s">
        <v>567</v>
      </c>
      <c r="C41" s="357">
        <v>1490622</v>
      </c>
      <c r="D41" s="403">
        <v>1503968</v>
      </c>
      <c r="E41" s="414">
        <f t="shared" si="1"/>
        <v>-13346</v>
      </c>
    </row>
    <row r="42" spans="1:5" ht="63.2" customHeight="1" x14ac:dyDescent="0.35">
      <c r="A42" s="236"/>
      <c r="B42" s="100" t="s">
        <v>761</v>
      </c>
      <c r="C42" s="357">
        <v>353579</v>
      </c>
      <c r="D42" s="403">
        <v>353579</v>
      </c>
      <c r="E42" s="414">
        <f t="shared" si="1"/>
        <v>0</v>
      </c>
    </row>
    <row r="43" spans="1:5" ht="55.2" customHeight="1" x14ac:dyDescent="0.35">
      <c r="A43" s="236"/>
      <c r="B43" s="100" t="s">
        <v>994</v>
      </c>
      <c r="C43" s="357">
        <v>1681380</v>
      </c>
      <c r="D43" s="403">
        <v>1467176</v>
      </c>
      <c r="E43" s="414">
        <f t="shared" si="1"/>
        <v>214204</v>
      </c>
    </row>
    <row r="44" spans="1:5" ht="61.5" customHeight="1" x14ac:dyDescent="0.35">
      <c r="A44" s="236"/>
      <c r="B44" s="100" t="s">
        <v>568</v>
      </c>
      <c r="C44" s="357">
        <v>256548408</v>
      </c>
      <c r="D44" s="403">
        <v>247077819</v>
      </c>
      <c r="E44" s="414">
        <f t="shared" si="1"/>
        <v>9470589</v>
      </c>
    </row>
    <row r="45" spans="1:5" ht="51.65" customHeight="1" x14ac:dyDescent="0.35">
      <c r="A45" s="236"/>
      <c r="B45" s="100" t="s">
        <v>569</v>
      </c>
      <c r="C45" s="357">
        <v>946950</v>
      </c>
      <c r="D45" s="403">
        <v>830909</v>
      </c>
      <c r="E45" s="414">
        <f t="shared" si="1"/>
        <v>116041</v>
      </c>
    </row>
    <row r="46" spans="1:5" ht="101.25" customHeight="1" x14ac:dyDescent="0.35">
      <c r="A46" s="236"/>
      <c r="B46" s="100" t="s">
        <v>470</v>
      </c>
      <c r="C46" s="357">
        <v>13236200</v>
      </c>
      <c r="D46" s="403">
        <v>10876600</v>
      </c>
      <c r="E46" s="414">
        <f t="shared" si="1"/>
        <v>2359600</v>
      </c>
    </row>
    <row r="47" spans="1:5" ht="59.8" customHeight="1" x14ac:dyDescent="0.35">
      <c r="A47" s="236"/>
      <c r="B47" s="100" t="s">
        <v>570</v>
      </c>
      <c r="C47" s="357">
        <v>89489244</v>
      </c>
      <c r="D47" s="403">
        <v>85090418</v>
      </c>
      <c r="E47" s="414">
        <f t="shared" si="1"/>
        <v>4398826</v>
      </c>
    </row>
    <row r="48" spans="1:5" ht="55.05" x14ac:dyDescent="0.35">
      <c r="A48" s="236"/>
      <c r="B48" s="100" t="s">
        <v>571</v>
      </c>
      <c r="C48" s="357">
        <v>2608119.25</v>
      </c>
      <c r="D48" s="403">
        <v>1847300</v>
      </c>
      <c r="E48" s="414">
        <f t="shared" si="1"/>
        <v>760819.25</v>
      </c>
    </row>
    <row r="49" spans="1:5" ht="78.8" customHeight="1" x14ac:dyDescent="0.35">
      <c r="A49" s="236"/>
      <c r="B49" s="100" t="s">
        <v>383</v>
      </c>
      <c r="C49" s="357">
        <v>1122746.8500000001</v>
      </c>
      <c r="D49" s="403">
        <v>1122746.8500000001</v>
      </c>
      <c r="E49" s="414">
        <f t="shared" si="1"/>
        <v>0</v>
      </c>
    </row>
    <row r="50" spans="1:5" ht="59.8" customHeight="1" x14ac:dyDescent="0.35">
      <c r="A50" s="236"/>
      <c r="B50" s="100" t="s">
        <v>998</v>
      </c>
      <c r="C50" s="357">
        <v>12402</v>
      </c>
      <c r="D50" s="403">
        <v>219244</v>
      </c>
      <c r="E50" s="414">
        <f t="shared" si="1"/>
        <v>-206842</v>
      </c>
    </row>
    <row r="51" spans="1:5" ht="80.150000000000006" customHeight="1" x14ac:dyDescent="0.35">
      <c r="A51" s="236"/>
      <c r="B51" s="100" t="s">
        <v>405</v>
      </c>
      <c r="C51" s="357">
        <v>1685000</v>
      </c>
      <c r="D51" s="403">
        <v>1100000</v>
      </c>
      <c r="E51" s="414">
        <f t="shared" si="1"/>
        <v>585000</v>
      </c>
    </row>
    <row r="52" spans="1:5" ht="40.1" customHeight="1" x14ac:dyDescent="0.35">
      <c r="A52" s="236"/>
      <c r="B52" s="100" t="s">
        <v>406</v>
      </c>
      <c r="C52" s="357">
        <v>2028917</v>
      </c>
      <c r="D52" s="403">
        <v>1950219</v>
      </c>
      <c r="E52" s="414">
        <f t="shared" si="1"/>
        <v>78698</v>
      </c>
    </row>
    <row r="53" spans="1:5" ht="74.900000000000006" customHeight="1" x14ac:dyDescent="0.35">
      <c r="A53" s="236"/>
      <c r="B53" s="100" t="s">
        <v>431</v>
      </c>
      <c r="C53" s="357">
        <v>36028492.670000002</v>
      </c>
      <c r="D53" s="403">
        <v>13416499.16</v>
      </c>
      <c r="E53" s="414">
        <f t="shared" si="1"/>
        <v>22611993.510000002</v>
      </c>
    </row>
    <row r="54" spans="1:5" ht="65.25" hidden="1" customHeight="1" x14ac:dyDescent="0.35">
      <c r="A54" s="236"/>
      <c r="B54" s="100" t="s">
        <v>572</v>
      </c>
      <c r="C54" s="357"/>
      <c r="D54" s="403"/>
      <c r="E54" s="414">
        <f t="shared" si="1"/>
        <v>0</v>
      </c>
    </row>
    <row r="55" spans="1:5" ht="97.15" customHeight="1" x14ac:dyDescent="0.35">
      <c r="A55" s="236"/>
      <c r="B55" s="100" t="s">
        <v>655</v>
      </c>
      <c r="C55" s="357">
        <v>7109400</v>
      </c>
      <c r="D55" s="403">
        <v>6332450</v>
      </c>
      <c r="E55" s="414">
        <f t="shared" si="1"/>
        <v>776950</v>
      </c>
    </row>
    <row r="56" spans="1:5" ht="64.2" customHeight="1" x14ac:dyDescent="0.35">
      <c r="A56" s="236"/>
      <c r="B56" s="100" t="s">
        <v>999</v>
      </c>
      <c r="C56" s="357">
        <v>21307950</v>
      </c>
      <c r="D56" s="403">
        <v>10015143.42</v>
      </c>
      <c r="E56" s="414">
        <f t="shared" si="1"/>
        <v>11292806.58</v>
      </c>
    </row>
    <row r="57" spans="1:5" ht="80.150000000000006" customHeight="1" x14ac:dyDescent="0.35">
      <c r="A57" s="236"/>
      <c r="B57" s="100" t="s">
        <v>656</v>
      </c>
      <c r="C57" s="357">
        <v>27385240.190000001</v>
      </c>
      <c r="D57" s="403">
        <v>10553477.939999999</v>
      </c>
      <c r="E57" s="414">
        <f t="shared" si="1"/>
        <v>16831762.25</v>
      </c>
    </row>
    <row r="58" spans="1:5" ht="84.9" customHeight="1" x14ac:dyDescent="0.35">
      <c r="A58" s="236"/>
      <c r="B58" s="100" t="s">
        <v>621</v>
      </c>
      <c r="C58" s="357">
        <v>3791354</v>
      </c>
      <c r="D58" s="403">
        <v>3077284.43</v>
      </c>
      <c r="E58" s="414">
        <f t="shared" si="1"/>
        <v>714069.56999999983</v>
      </c>
    </row>
    <row r="59" spans="1:5" ht="42.8" customHeight="1" x14ac:dyDescent="0.35">
      <c r="A59" s="236"/>
      <c r="B59" s="100" t="s">
        <v>628</v>
      </c>
      <c r="C59" s="357">
        <v>2276349</v>
      </c>
      <c r="D59" s="403">
        <v>2096028</v>
      </c>
      <c r="E59" s="414">
        <f t="shared" si="1"/>
        <v>180321</v>
      </c>
    </row>
    <row r="60" spans="1:5" ht="28.2" customHeight="1" x14ac:dyDescent="0.35">
      <c r="A60" s="236"/>
      <c r="B60" s="374" t="s">
        <v>561</v>
      </c>
      <c r="C60" s="401">
        <f>C61</f>
        <v>21060000</v>
      </c>
      <c r="D60" s="403">
        <v>20475000</v>
      </c>
      <c r="E60" s="414">
        <f t="shared" si="1"/>
        <v>585000</v>
      </c>
    </row>
    <row r="61" spans="1:5" ht="83.9" customHeight="1" x14ac:dyDescent="0.35">
      <c r="A61" s="236"/>
      <c r="B61" s="100" t="s">
        <v>1000</v>
      </c>
      <c r="C61" s="357">
        <v>21060000</v>
      </c>
      <c r="D61" s="403">
        <v>20475000</v>
      </c>
      <c r="E61" s="414">
        <f t="shared" si="1"/>
        <v>585000</v>
      </c>
    </row>
    <row r="62" spans="1:5" x14ac:dyDescent="0.35">
      <c r="A62" s="250"/>
      <c r="B62" s="251" t="s">
        <v>125</v>
      </c>
      <c r="C62" s="379">
        <f>C14+C16+C18+C38+C60</f>
        <v>809473103.9000001</v>
      </c>
      <c r="D62" s="404">
        <v>602592610.33000004</v>
      </c>
      <c r="E62" s="414">
        <f t="shared" si="1"/>
        <v>206880493.57000005</v>
      </c>
    </row>
    <row r="64" spans="1:5" ht="37.4" x14ac:dyDescent="0.35">
      <c r="D64" s="190" t="s">
        <v>1025</v>
      </c>
    </row>
  </sheetData>
  <mergeCells count="6">
    <mergeCell ref="B1:C1"/>
    <mergeCell ref="A6:B6"/>
    <mergeCell ref="A7:B7"/>
    <mergeCell ref="B2:C2"/>
    <mergeCell ref="B3:C3"/>
    <mergeCell ref="B4:C4"/>
  </mergeCells>
  <pageMargins left="0.78740157480314965" right="0.39370078740157483" top="0.35433070866141736" bottom="0.15748031496062992" header="0.31496062992125984" footer="0.31496062992125984"/>
  <pageSetup paperSize="9" scale="5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50"/>
  <sheetViews>
    <sheetView topLeftCell="A43" zoomScaleNormal="100" zoomScaleSheetLayoutView="91" workbookViewId="0">
      <selection activeCell="B50" sqref="B50"/>
    </sheetView>
  </sheetViews>
  <sheetFormatPr defaultColWidth="9" defaultRowHeight="19.05" x14ac:dyDescent="0.35"/>
  <cols>
    <col min="1" max="1" width="86.625" style="425" customWidth="1"/>
    <col min="2" max="2" width="24.625" style="246" customWidth="1"/>
    <col min="3" max="16384" width="9" style="253"/>
  </cols>
  <sheetData>
    <row r="1" spans="1:2" ht="19.2" customHeight="1" x14ac:dyDescent="0.35">
      <c r="A1" s="672" t="s">
        <v>940</v>
      </c>
      <c r="B1" s="672"/>
    </row>
    <row r="2" spans="1:2" x14ac:dyDescent="0.35">
      <c r="A2" s="672" t="s">
        <v>929</v>
      </c>
      <c r="B2" s="672"/>
    </row>
    <row r="3" spans="1:2" x14ac:dyDescent="0.35">
      <c r="A3" s="672" t="s">
        <v>905</v>
      </c>
      <c r="B3" s="672"/>
    </row>
    <row r="4" spans="1:2" x14ac:dyDescent="0.35">
      <c r="A4" s="672" t="s">
        <v>1076</v>
      </c>
      <c r="B4" s="672"/>
    </row>
    <row r="5" spans="1:2" x14ac:dyDescent="0.35">
      <c r="A5" s="674" t="s">
        <v>241</v>
      </c>
      <c r="B5" s="674"/>
    </row>
    <row r="6" spans="1:2" ht="19.05" customHeight="1" x14ac:dyDescent="0.35">
      <c r="A6" s="675" t="s">
        <v>983</v>
      </c>
      <c r="B6" s="675"/>
    </row>
    <row r="7" spans="1:2" ht="15.8" customHeight="1" x14ac:dyDescent="0.35">
      <c r="A7" s="675"/>
      <c r="B7" s="675"/>
    </row>
    <row r="8" spans="1:2" ht="19.05" customHeight="1" x14ac:dyDescent="0.35">
      <c r="A8" s="556"/>
      <c r="B8" s="191" t="s">
        <v>408</v>
      </c>
    </row>
    <row r="9" spans="1:2" x14ac:dyDescent="0.35">
      <c r="A9" s="646" t="s">
        <v>435</v>
      </c>
      <c r="B9" s="64" t="s">
        <v>790</v>
      </c>
    </row>
    <row r="10" spans="1:2" ht="34.65" x14ac:dyDescent="0.35">
      <c r="A10" s="653" t="s">
        <v>1099</v>
      </c>
      <c r="B10" s="407">
        <f>B11+B12</f>
        <v>288027957</v>
      </c>
    </row>
    <row r="11" spans="1:2" ht="46.2" customHeight="1" x14ac:dyDescent="0.35">
      <c r="A11" s="647" t="s">
        <v>1096</v>
      </c>
      <c r="B11" s="378">
        <v>250588957</v>
      </c>
    </row>
    <row r="12" spans="1:2" ht="58.75" customHeight="1" x14ac:dyDescent="0.35">
      <c r="A12" s="648" t="s">
        <v>1054</v>
      </c>
      <c r="B12" s="377">
        <v>37439000</v>
      </c>
    </row>
    <row r="13" spans="1:2" ht="48.9" customHeight="1" x14ac:dyDescent="0.35">
      <c r="A13" s="654" t="s">
        <v>1098</v>
      </c>
      <c r="B13" s="560">
        <f>B14+B15+B16+B17+B18+B19</f>
        <v>31279405.859999999</v>
      </c>
    </row>
    <row r="14" spans="1:2" ht="57.75" customHeight="1" x14ac:dyDescent="0.35">
      <c r="A14" s="393" t="s">
        <v>671</v>
      </c>
      <c r="B14" s="377">
        <v>2892074.61</v>
      </c>
    </row>
    <row r="15" spans="1:2" ht="72" customHeight="1" x14ac:dyDescent="0.35">
      <c r="A15" s="393" t="s">
        <v>1095</v>
      </c>
      <c r="B15" s="377">
        <v>4368667.47</v>
      </c>
    </row>
    <row r="16" spans="1:2" ht="39.4" customHeight="1" x14ac:dyDescent="0.35">
      <c r="A16" s="397" t="s">
        <v>667</v>
      </c>
      <c r="B16" s="377">
        <v>560938.26</v>
      </c>
    </row>
    <row r="17" spans="1:2" ht="66.599999999999994" customHeight="1" x14ac:dyDescent="0.35">
      <c r="A17" s="397" t="s">
        <v>997</v>
      </c>
      <c r="B17" s="377">
        <v>1104785.3600000001</v>
      </c>
    </row>
    <row r="18" spans="1:2" ht="41.45" customHeight="1" x14ac:dyDescent="0.35">
      <c r="A18" s="397" t="s">
        <v>618</v>
      </c>
      <c r="B18" s="377">
        <v>6935785.6799999997</v>
      </c>
    </row>
    <row r="19" spans="1:2" ht="29.25" customHeight="1" x14ac:dyDescent="0.35">
      <c r="A19" s="650" t="s">
        <v>1097</v>
      </c>
      <c r="B19" s="377">
        <f>B20+B21+B22+B23+B24+B25+B26</f>
        <v>15417154.48</v>
      </c>
    </row>
    <row r="20" spans="1:2" ht="27.2" customHeight="1" x14ac:dyDescent="0.35">
      <c r="A20" s="651" t="s">
        <v>1101</v>
      </c>
      <c r="B20" s="377">
        <v>3303781.73</v>
      </c>
    </row>
    <row r="21" spans="1:2" ht="23.8" customHeight="1" x14ac:dyDescent="0.35">
      <c r="A21" s="651" t="s">
        <v>1104</v>
      </c>
      <c r="B21" s="377">
        <v>112589.47</v>
      </c>
    </row>
    <row r="22" spans="1:2" ht="36" customHeight="1" x14ac:dyDescent="0.35">
      <c r="A22" s="651" t="s">
        <v>1105</v>
      </c>
      <c r="B22" s="377">
        <v>2210145</v>
      </c>
    </row>
    <row r="23" spans="1:2" ht="39.75" customHeight="1" x14ac:dyDescent="0.35">
      <c r="A23" s="651" t="s">
        <v>1102</v>
      </c>
      <c r="B23" s="377">
        <v>168005</v>
      </c>
    </row>
    <row r="24" spans="1:2" ht="26.5" customHeight="1" x14ac:dyDescent="0.35">
      <c r="A24" s="651" t="s">
        <v>1100</v>
      </c>
      <c r="B24" s="377">
        <v>2759819.92</v>
      </c>
    </row>
    <row r="25" spans="1:2" ht="38.75" customHeight="1" x14ac:dyDescent="0.35">
      <c r="A25" s="651" t="s">
        <v>1103</v>
      </c>
      <c r="B25" s="377">
        <v>1059763.1000000001</v>
      </c>
    </row>
    <row r="26" spans="1:2" ht="38.9" customHeight="1" x14ac:dyDescent="0.35">
      <c r="A26" s="651" t="s">
        <v>1106</v>
      </c>
      <c r="B26" s="377">
        <v>5803050.2599999998</v>
      </c>
    </row>
    <row r="27" spans="1:2" ht="40.1" customHeight="1" x14ac:dyDescent="0.35">
      <c r="A27" s="649" t="s">
        <v>1107</v>
      </c>
      <c r="B27" s="561">
        <f>B28+B29+B30+B31+B32+B33+B34+B35+B36</f>
        <v>469105741.04000008</v>
      </c>
    </row>
    <row r="28" spans="1:2" ht="59.1" customHeight="1" x14ac:dyDescent="0.35">
      <c r="A28" s="393" t="s">
        <v>567</v>
      </c>
      <c r="B28" s="357">
        <v>1490622</v>
      </c>
    </row>
    <row r="29" spans="1:2" ht="59.1" customHeight="1" x14ac:dyDescent="0.35">
      <c r="A29" s="393" t="s">
        <v>1108</v>
      </c>
      <c r="B29" s="357">
        <v>353579</v>
      </c>
    </row>
    <row r="30" spans="1:2" ht="60.45" customHeight="1" x14ac:dyDescent="0.35">
      <c r="A30" s="393" t="s">
        <v>994</v>
      </c>
      <c r="B30" s="357">
        <v>1681380</v>
      </c>
    </row>
    <row r="31" spans="1:2" ht="84.9" customHeight="1" x14ac:dyDescent="0.35">
      <c r="A31" s="393" t="s">
        <v>470</v>
      </c>
      <c r="B31" s="357">
        <v>13236200</v>
      </c>
    </row>
    <row r="32" spans="1:2" ht="63.2" customHeight="1" x14ac:dyDescent="0.35">
      <c r="A32" s="393" t="s">
        <v>998</v>
      </c>
      <c r="B32" s="357">
        <v>12402</v>
      </c>
    </row>
    <row r="33" spans="1:2" ht="40.1" customHeight="1" x14ac:dyDescent="0.35">
      <c r="A33" s="393" t="s">
        <v>999</v>
      </c>
      <c r="B33" s="357">
        <v>21307950</v>
      </c>
    </row>
    <row r="34" spans="1:2" ht="71.349999999999994" customHeight="1" x14ac:dyDescent="0.35">
      <c r="A34" s="393" t="s">
        <v>621</v>
      </c>
      <c r="B34" s="357">
        <v>3791354</v>
      </c>
    </row>
    <row r="35" spans="1:2" ht="40.1" customHeight="1" x14ac:dyDescent="0.35">
      <c r="A35" s="393" t="s">
        <v>628</v>
      </c>
      <c r="B35" s="357">
        <v>2276349</v>
      </c>
    </row>
    <row r="36" spans="1:2" ht="38.9" customHeight="1" x14ac:dyDescent="0.35">
      <c r="A36" s="649" t="s">
        <v>1123</v>
      </c>
      <c r="B36" s="561">
        <f>B37+B38+B39+B40+B41+B42+B43+B44+B45+B46+B47</f>
        <v>424955905.04000008</v>
      </c>
    </row>
    <row r="37" spans="1:2" ht="51.65" customHeight="1" x14ac:dyDescent="0.35">
      <c r="A37" s="393" t="s">
        <v>1111</v>
      </c>
      <c r="B37" s="377">
        <v>3387.08</v>
      </c>
    </row>
    <row r="38" spans="1:2" ht="74.75" customHeight="1" x14ac:dyDescent="0.35">
      <c r="A38" s="393" t="s">
        <v>1112</v>
      </c>
      <c r="B38" s="357">
        <v>256548408</v>
      </c>
    </row>
    <row r="39" spans="1:2" ht="38.049999999999997" customHeight="1" x14ac:dyDescent="0.35">
      <c r="A39" s="393" t="s">
        <v>1113</v>
      </c>
      <c r="B39" s="357">
        <v>946950</v>
      </c>
    </row>
    <row r="40" spans="1:2" ht="59.8" customHeight="1" x14ac:dyDescent="0.35">
      <c r="A40" s="393" t="s">
        <v>1114</v>
      </c>
      <c r="B40" s="357">
        <v>89489244</v>
      </c>
    </row>
    <row r="41" spans="1:2" ht="34" x14ac:dyDescent="0.35">
      <c r="A41" s="393" t="s">
        <v>1115</v>
      </c>
      <c r="B41" s="357">
        <v>2608119.25</v>
      </c>
    </row>
    <row r="42" spans="1:2" ht="60.45" customHeight="1" x14ac:dyDescent="0.35">
      <c r="A42" s="393" t="s">
        <v>1116</v>
      </c>
      <c r="B42" s="357">
        <v>1122746.8500000001</v>
      </c>
    </row>
    <row r="43" spans="1:2" ht="56.4" customHeight="1" x14ac:dyDescent="0.35">
      <c r="A43" s="393" t="s">
        <v>1117</v>
      </c>
      <c r="B43" s="357">
        <v>1685000</v>
      </c>
    </row>
    <row r="44" spans="1:2" ht="40.1" customHeight="1" x14ac:dyDescent="0.35">
      <c r="A44" s="393" t="s">
        <v>1109</v>
      </c>
      <c r="B44" s="357">
        <v>2028917</v>
      </c>
    </row>
    <row r="45" spans="1:2" ht="74.900000000000006" customHeight="1" x14ac:dyDescent="0.35">
      <c r="A45" s="393" t="s">
        <v>1110</v>
      </c>
      <c r="B45" s="357">
        <v>36028492.670000002</v>
      </c>
    </row>
    <row r="46" spans="1:2" ht="57.1" customHeight="1" x14ac:dyDescent="0.35">
      <c r="A46" s="393" t="s">
        <v>1118</v>
      </c>
      <c r="B46" s="357">
        <v>7109400</v>
      </c>
    </row>
    <row r="47" spans="1:2" ht="57.75" customHeight="1" x14ac:dyDescent="0.35">
      <c r="A47" s="393" t="s">
        <v>1119</v>
      </c>
      <c r="B47" s="357">
        <v>27385240.190000001</v>
      </c>
    </row>
    <row r="48" spans="1:2" ht="28.2" customHeight="1" x14ac:dyDescent="0.35">
      <c r="A48" s="654" t="s">
        <v>561</v>
      </c>
      <c r="B48" s="379">
        <f>B49</f>
        <v>21060000</v>
      </c>
    </row>
    <row r="49" spans="1:2" ht="53" customHeight="1" x14ac:dyDescent="0.35">
      <c r="A49" s="393" t="s">
        <v>1000</v>
      </c>
      <c r="B49" s="357">
        <v>21060000</v>
      </c>
    </row>
    <row r="50" spans="1:2" x14ac:dyDescent="0.35">
      <c r="A50" s="652" t="s">
        <v>125</v>
      </c>
      <c r="B50" s="379">
        <f>B10+B13+B27+B48</f>
        <v>809473103.9000001</v>
      </c>
    </row>
  </sheetData>
  <autoFilter ref="A9:B50"/>
  <mergeCells count="7">
    <mergeCell ref="A5:B5"/>
    <mergeCell ref="A7:B7"/>
    <mergeCell ref="A1:B1"/>
    <mergeCell ref="A2:B2"/>
    <mergeCell ref="A3:B3"/>
    <mergeCell ref="A4:B4"/>
    <mergeCell ref="A6:B6"/>
  </mergeCells>
  <pageMargins left="0.78740157480314965" right="0.39370078740157483" top="0.35433070866141736" bottom="0.15748031496062992" header="0.31496062992125984" footer="0.31496062992125984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21</vt:i4>
      </vt:variant>
    </vt:vector>
  </HeadingPairs>
  <TitlesOfParts>
    <vt:vector size="45" baseType="lpstr">
      <vt:lpstr>прил 1</vt:lpstr>
      <vt:lpstr>прил 2 </vt:lpstr>
      <vt:lpstr>прил 6</vt:lpstr>
      <vt:lpstr>прил 7</vt:lpstr>
      <vt:lpstr>прил 7  динамика</vt:lpstr>
      <vt:lpstr>прил 7 </vt:lpstr>
      <vt:lpstr>прил 8</vt:lpstr>
      <vt:lpstr>прил 9 динамика</vt:lpstr>
      <vt:lpstr>прил 9 </vt:lpstr>
      <vt:lpstr>прил 10 </vt:lpstr>
      <vt:lpstr>прил 11 </vt:lpstr>
      <vt:lpstr>потребность</vt:lpstr>
      <vt:lpstr>прил 12</vt:lpstr>
      <vt:lpstr>прил 12 (2)</vt:lpstr>
      <vt:lpstr>прил 13 </vt:lpstr>
      <vt:lpstr>прил 14 </vt:lpstr>
      <vt:lpstr>прил 15</vt:lpstr>
      <vt:lpstr>прил 16 </vt:lpstr>
      <vt:lpstr>потребность 2023</vt:lpstr>
      <vt:lpstr>потребность 2023 (2)</vt:lpstr>
      <vt:lpstr>потребность 2023 (3)</vt:lpstr>
      <vt:lpstr>потребность 2023 (4)</vt:lpstr>
      <vt:lpstr>потребность 2023 (5)</vt:lpstr>
      <vt:lpstr>Лист2</vt:lpstr>
      <vt:lpstr>потребность!Область_печати</vt:lpstr>
      <vt:lpstr>'потребность 2023'!Область_печати</vt:lpstr>
      <vt:lpstr>'потребность 2023 (2)'!Область_печати</vt:lpstr>
      <vt:lpstr>'потребность 2023 (3)'!Область_печати</vt:lpstr>
      <vt:lpstr>'потребность 2023 (4)'!Область_печати</vt:lpstr>
      <vt:lpstr>'потребность 2023 (5)'!Область_печати</vt:lpstr>
      <vt:lpstr>'прил 10 '!Область_печати</vt:lpstr>
      <vt:lpstr>'прил 11 '!Область_печати</vt:lpstr>
      <vt:lpstr>'прил 12'!Область_печати</vt:lpstr>
      <vt:lpstr>'прил 12 (2)'!Область_печати</vt:lpstr>
      <vt:lpstr>'прил 13 '!Область_печати</vt:lpstr>
      <vt:lpstr>'прил 14 '!Область_печати</vt:lpstr>
      <vt:lpstr>'прил 15'!Область_печати</vt:lpstr>
      <vt:lpstr>'прил 16 '!Область_печати</vt:lpstr>
      <vt:lpstr>'прил 2 '!Область_печати</vt:lpstr>
      <vt:lpstr>'прил 7'!Область_печати</vt:lpstr>
      <vt:lpstr>'прил 7 '!Область_печати</vt:lpstr>
      <vt:lpstr>'прил 7  динамика'!Область_печати</vt:lpstr>
      <vt:lpstr>'прил 8'!Область_печати</vt:lpstr>
      <vt:lpstr>'прил 9 '!Область_печати</vt:lpstr>
      <vt:lpstr>'прил 9 динамика'!Область_печати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2022-11-14T07:33:06Z</dcterms:modified>
</cp:coreProperties>
</file>