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firstSheet="2" activeTab="2"/>
  </bookViews>
  <sheets>
    <sheet name="1" sheetId="1" state="hidden" r:id="rId1"/>
    <sheet name="2" sheetId="2" state="hidden" r:id="rId2"/>
    <sheet name="3" sheetId="5" r:id="rId3"/>
    <sheet name="4" sheetId="4" state="hidden" r:id="rId4"/>
    <sheet name="5" sheetId="3" r:id="rId5"/>
  </sheets>
  <definedNames>
    <definedName name="_xlnm._FilterDatabase" localSheetId="4" hidden="1">'5'!$A$22:$O$388</definedName>
    <definedName name="_xlnm.Print_Area" localSheetId="0">'1'!$A$1:$J$35</definedName>
    <definedName name="_xlnm.Print_Area" localSheetId="2">'3'!$A$1:$P$22</definedName>
    <definedName name="_xlnm.Print_Area" localSheetId="4">'5'!$A$1:$O$386</definedName>
  </definedNames>
  <calcPr calcId="145621"/>
</workbook>
</file>

<file path=xl/calcChain.xml><?xml version="1.0" encoding="utf-8"?>
<calcChain xmlns="http://schemas.openxmlformats.org/spreadsheetml/2006/main">
  <c r="L132" i="3" l="1"/>
  <c r="L232" i="3"/>
  <c r="L231" i="3"/>
  <c r="K386" i="3" l="1"/>
  <c r="K384" i="3" s="1"/>
  <c r="K379" i="3" s="1"/>
  <c r="K383" i="3"/>
  <c r="K382" i="3"/>
  <c r="K381" i="3"/>
  <c r="K380" i="3"/>
  <c r="K374" i="3"/>
  <c r="K369" i="3" s="1"/>
  <c r="K373" i="3"/>
  <c r="K372" i="3"/>
  <c r="K371" i="3"/>
  <c r="K370" i="3"/>
  <c r="K367" i="3"/>
  <c r="K364" i="3" s="1"/>
  <c r="K359" i="3"/>
  <c r="K357" i="3"/>
  <c r="K354" i="3"/>
  <c r="K352" i="3"/>
  <c r="K349" i="3"/>
  <c r="K348" i="3"/>
  <c r="K347" i="3"/>
  <c r="K342" i="3" s="1"/>
  <c r="K346" i="3"/>
  <c r="K345" i="3"/>
  <c r="K343" i="3"/>
  <c r="K341" i="3"/>
  <c r="K324" i="3"/>
  <c r="K323" i="3"/>
  <c r="K322" i="3"/>
  <c r="K321" i="3"/>
  <c r="K320" i="3"/>
  <c r="K314" i="3"/>
  <c r="K309" i="3"/>
  <c r="K304" i="3"/>
  <c r="K302" i="3"/>
  <c r="K282" i="3" s="1"/>
  <c r="K299" i="3"/>
  <c r="K294" i="3"/>
  <c r="K292" i="3"/>
  <c r="K289" i="3"/>
  <c r="K284" i="3"/>
  <c r="K283" i="3"/>
  <c r="K281" i="3"/>
  <c r="K280" i="3"/>
  <c r="K274" i="3"/>
  <c r="K269" i="3"/>
  <c r="K264" i="3"/>
  <c r="K262" i="3"/>
  <c r="K259" i="3" s="1"/>
  <c r="K254" i="3"/>
  <c r="K253" i="3"/>
  <c r="K252" i="3"/>
  <c r="K251" i="3"/>
  <c r="K250" i="3"/>
  <c r="K248" i="3"/>
  <c r="K241" i="3"/>
  <c r="K239" i="3"/>
  <c r="K237" i="3"/>
  <c r="K236" i="3"/>
  <c r="K234" i="3" s="1"/>
  <c r="K229" i="3"/>
  <c r="K227" i="3"/>
  <c r="K226" i="3"/>
  <c r="K224" i="3" s="1"/>
  <c r="K222" i="3"/>
  <c r="K219" i="3"/>
  <c r="K214" i="3"/>
  <c r="K211" i="3"/>
  <c r="K209" i="3"/>
  <c r="K208" i="3"/>
  <c r="K207" i="3"/>
  <c r="K206" i="3"/>
  <c r="K205" i="3"/>
  <c r="K199" i="3"/>
  <c r="K194" i="3"/>
  <c r="K189" i="3"/>
  <c r="K187" i="3"/>
  <c r="K184" i="3"/>
  <c r="K179" i="3"/>
  <c r="K177" i="3"/>
  <c r="K174" i="3"/>
  <c r="K169" i="3"/>
  <c r="K167" i="3"/>
  <c r="K164" i="3"/>
  <c r="K162" i="3"/>
  <c r="K159" i="3"/>
  <c r="K154" i="3"/>
  <c r="K153" i="3"/>
  <c r="K152" i="3"/>
  <c r="K151" i="3"/>
  <c r="K121" i="3" s="1"/>
  <c r="K150" i="3"/>
  <c r="K144" i="3"/>
  <c r="K139" i="3"/>
  <c r="K134" i="3"/>
  <c r="K132" i="3"/>
  <c r="K127" i="3" s="1"/>
  <c r="K122" i="3" s="1"/>
  <c r="K131" i="3"/>
  <c r="K129" i="3"/>
  <c r="K128" i="3"/>
  <c r="K126" i="3"/>
  <c r="K125" i="3"/>
  <c r="K113" i="3"/>
  <c r="K112" i="3"/>
  <c r="K111" i="3"/>
  <c r="K110" i="3"/>
  <c r="K109" i="3"/>
  <c r="K106" i="3"/>
  <c r="K104" i="3" s="1"/>
  <c r="K99" i="3" s="1"/>
  <c r="K103" i="3"/>
  <c r="K102" i="3"/>
  <c r="K101" i="3"/>
  <c r="K100" i="3"/>
  <c r="K97" i="3"/>
  <c r="K96" i="3"/>
  <c r="K94" i="3" s="1"/>
  <c r="K92" i="3"/>
  <c r="K89" i="3"/>
  <c r="K87" i="3"/>
  <c r="K84" i="3" s="1"/>
  <c r="K79" i="3"/>
  <c r="K74" i="3"/>
  <c r="K72" i="3"/>
  <c r="K69" i="3" s="1"/>
  <c r="K67" i="3"/>
  <c r="K64" i="3"/>
  <c r="K59" i="3"/>
  <c r="K54" i="3"/>
  <c r="K49" i="3"/>
  <c r="K48" i="3"/>
  <c r="K47" i="3"/>
  <c r="K45" i="3"/>
  <c r="K42" i="3"/>
  <c r="K39" i="3" s="1"/>
  <c r="K34" i="3" s="1"/>
  <c r="K41" i="3"/>
  <c r="K38" i="3"/>
  <c r="K37" i="3"/>
  <c r="K36" i="3"/>
  <c r="K35" i="3"/>
  <c r="K246" i="3" l="1"/>
  <c r="K124" i="3"/>
  <c r="K30" i="3"/>
  <c r="K319" i="3"/>
  <c r="K340" i="3"/>
  <c r="K245" i="3"/>
  <c r="K247" i="3"/>
  <c r="K279" i="3"/>
  <c r="K249" i="3"/>
  <c r="K204" i="3"/>
  <c r="K120" i="3"/>
  <c r="K25" i="3" s="1"/>
  <c r="K32" i="3"/>
  <c r="K27" i="3" s="1"/>
  <c r="K33" i="3"/>
  <c r="K123" i="3"/>
  <c r="K149" i="3"/>
  <c r="K44" i="3"/>
  <c r="K29" i="3" s="1"/>
  <c r="K344" i="3"/>
  <c r="K339" i="3" s="1"/>
  <c r="K46" i="3"/>
  <c r="K31" i="3" s="1"/>
  <c r="K26" i="3" s="1"/>
  <c r="K244" i="3" l="1"/>
  <c r="K119" i="3"/>
  <c r="K28" i="3"/>
  <c r="H125" i="3"/>
  <c r="H126" i="3"/>
  <c r="H357" i="3"/>
  <c r="H354" i="3" s="1"/>
  <c r="H374" i="3"/>
  <c r="K24" i="3" l="1"/>
  <c r="M229" i="3"/>
  <c r="N229" i="3"/>
  <c r="M227" i="3"/>
  <c r="N227" i="3"/>
  <c r="N224" i="3" s="1"/>
  <c r="M226" i="3"/>
  <c r="N226" i="3"/>
  <c r="M127" i="3"/>
  <c r="N127" i="3"/>
  <c r="M126" i="3"/>
  <c r="N126" i="3"/>
  <c r="M224" i="3" l="1"/>
  <c r="N79" i="4" l="1"/>
  <c r="M79" i="4"/>
  <c r="L79" i="4"/>
  <c r="L90" i="4"/>
  <c r="M384" i="3" l="1"/>
  <c r="M379" i="3" s="1"/>
  <c r="L384" i="3"/>
  <c r="L379" i="3" s="1"/>
  <c r="M383" i="3"/>
  <c r="L383" i="3"/>
  <c r="M382" i="3"/>
  <c r="L382" i="3"/>
  <c r="M381" i="3"/>
  <c r="L381" i="3"/>
  <c r="M380" i="3"/>
  <c r="L380" i="3"/>
  <c r="M374" i="3"/>
  <c r="M369" i="3" s="1"/>
  <c r="L374" i="3"/>
  <c r="L369" i="3" s="1"/>
  <c r="M373" i="3"/>
  <c r="L373" i="3"/>
  <c r="M372" i="3"/>
  <c r="L372" i="3"/>
  <c r="M371" i="3"/>
  <c r="L371" i="3"/>
  <c r="M370" i="3"/>
  <c r="L370" i="3"/>
  <c r="M364" i="3"/>
  <c r="L364" i="3"/>
  <c r="M359" i="3"/>
  <c r="L359" i="3"/>
  <c r="M354" i="3"/>
  <c r="L354" i="3"/>
  <c r="M349" i="3"/>
  <c r="M344" i="3" s="1"/>
  <c r="M339" i="3" s="1"/>
  <c r="L349" i="3"/>
  <c r="M348" i="3"/>
  <c r="L348" i="3"/>
  <c r="M347" i="3"/>
  <c r="M342" i="3" s="1"/>
  <c r="L347" i="3"/>
  <c r="L342" i="3" s="1"/>
  <c r="M346" i="3"/>
  <c r="L346" i="3"/>
  <c r="M345" i="3"/>
  <c r="M340" i="3" s="1"/>
  <c r="L345" i="3"/>
  <c r="L340" i="3" s="1"/>
  <c r="M239" i="3"/>
  <c r="L239" i="3"/>
  <c r="M236" i="3"/>
  <c r="M234" i="3" s="1"/>
  <c r="L236" i="3"/>
  <c r="L234" i="3" s="1"/>
  <c r="L229" i="3"/>
  <c r="L227" i="3"/>
  <c r="L226" i="3"/>
  <c r="M219" i="3"/>
  <c r="L219" i="3"/>
  <c r="M214" i="3"/>
  <c r="L214" i="3"/>
  <c r="M209" i="3"/>
  <c r="L209" i="3"/>
  <c r="M208" i="3"/>
  <c r="L208" i="3"/>
  <c r="M207" i="3"/>
  <c r="L207" i="3"/>
  <c r="M206" i="3"/>
  <c r="L206" i="3"/>
  <c r="M205" i="3"/>
  <c r="L205" i="3"/>
  <c r="M199" i="3"/>
  <c r="L199" i="3"/>
  <c r="M194" i="3"/>
  <c r="L194" i="3"/>
  <c r="M189" i="3"/>
  <c r="L189" i="3"/>
  <c r="M184" i="3"/>
  <c r="L184" i="3"/>
  <c r="M179" i="3"/>
  <c r="L179" i="3"/>
  <c r="M174" i="3"/>
  <c r="L174" i="3"/>
  <c r="M169" i="3"/>
  <c r="L169" i="3"/>
  <c r="M164" i="3"/>
  <c r="L164" i="3"/>
  <c r="M159" i="3"/>
  <c r="L159" i="3"/>
  <c r="M154" i="3"/>
  <c r="L154" i="3"/>
  <c r="M153" i="3"/>
  <c r="L153" i="3"/>
  <c r="M152" i="3"/>
  <c r="M122" i="3" s="1"/>
  <c r="L152" i="3"/>
  <c r="M151" i="3"/>
  <c r="M121" i="3" s="1"/>
  <c r="L151" i="3"/>
  <c r="M150" i="3"/>
  <c r="L150" i="3"/>
  <c r="M144" i="3"/>
  <c r="L144" i="3"/>
  <c r="L139" i="3"/>
  <c r="M139" i="3"/>
  <c r="M134" i="3"/>
  <c r="L134" i="3"/>
  <c r="M129" i="3"/>
  <c r="L129" i="3"/>
  <c r="M128" i="3"/>
  <c r="L128" i="3"/>
  <c r="L123" i="3" s="1"/>
  <c r="L127" i="3"/>
  <c r="M125" i="3"/>
  <c r="L125" i="3"/>
  <c r="M113" i="3"/>
  <c r="L113" i="3"/>
  <c r="M112" i="3"/>
  <c r="L112" i="3"/>
  <c r="M111" i="3"/>
  <c r="L111" i="3"/>
  <c r="M110" i="3"/>
  <c r="L110" i="3"/>
  <c r="M109" i="3"/>
  <c r="L109" i="3"/>
  <c r="M104" i="3"/>
  <c r="M99" i="3" s="1"/>
  <c r="L104" i="3"/>
  <c r="L99" i="3" s="1"/>
  <c r="M103" i="3"/>
  <c r="L103" i="3"/>
  <c r="M102" i="3"/>
  <c r="L102" i="3"/>
  <c r="M101" i="3"/>
  <c r="L101" i="3"/>
  <c r="M100" i="3"/>
  <c r="L100" i="3"/>
  <c r="M94" i="3"/>
  <c r="L94" i="3"/>
  <c r="M89" i="3"/>
  <c r="L89" i="3"/>
  <c r="M84" i="3"/>
  <c r="L84" i="3"/>
  <c r="M79" i="3"/>
  <c r="L79" i="3"/>
  <c r="M74" i="3"/>
  <c r="L74" i="3"/>
  <c r="M69" i="3"/>
  <c r="L69" i="3"/>
  <c r="M64" i="3"/>
  <c r="L64" i="3"/>
  <c r="M59" i="3"/>
  <c r="L59" i="3"/>
  <c r="M54" i="3"/>
  <c r="L54" i="3"/>
  <c r="M49" i="3"/>
  <c r="L49" i="3"/>
  <c r="M48" i="3"/>
  <c r="L48" i="3"/>
  <c r="M47" i="3"/>
  <c r="L47" i="3"/>
  <c r="M46" i="3"/>
  <c r="L46" i="3"/>
  <c r="M45" i="3"/>
  <c r="L45" i="3"/>
  <c r="L37" i="3"/>
  <c r="M39" i="3"/>
  <c r="M34" i="3" s="1"/>
  <c r="M38" i="3"/>
  <c r="L38" i="3"/>
  <c r="M37" i="3"/>
  <c r="M36" i="3"/>
  <c r="L36" i="3"/>
  <c r="M35" i="3"/>
  <c r="L35" i="3"/>
  <c r="L250" i="3"/>
  <c r="L251" i="3"/>
  <c r="L252" i="3"/>
  <c r="L253" i="3"/>
  <c r="L254" i="3"/>
  <c r="L259" i="3"/>
  <c r="L264" i="3"/>
  <c r="L269" i="3"/>
  <c r="L274" i="3"/>
  <c r="L280" i="3"/>
  <c r="L281" i="3"/>
  <c r="L282" i="3"/>
  <c r="L283" i="3"/>
  <c r="L284" i="3"/>
  <c r="L289" i="3"/>
  <c r="L294" i="3"/>
  <c r="L304" i="3"/>
  <c r="L309" i="3"/>
  <c r="L314" i="3"/>
  <c r="L320" i="3"/>
  <c r="L321" i="3"/>
  <c r="L322" i="3"/>
  <c r="L323" i="3"/>
  <c r="L324" i="3"/>
  <c r="M250" i="3"/>
  <c r="M251" i="3"/>
  <c r="M252" i="3"/>
  <c r="M253" i="3"/>
  <c r="M254" i="3"/>
  <c r="M259" i="3"/>
  <c r="M264" i="3"/>
  <c r="M269" i="3"/>
  <c r="M274" i="3"/>
  <c r="M280" i="3"/>
  <c r="M281" i="3"/>
  <c r="M282" i="3"/>
  <c r="M283" i="3"/>
  <c r="M284" i="3"/>
  <c r="M289" i="3"/>
  <c r="M294" i="3"/>
  <c r="M304" i="3"/>
  <c r="M309" i="3"/>
  <c r="M314" i="3"/>
  <c r="M320" i="3"/>
  <c r="M321" i="3"/>
  <c r="M322" i="3"/>
  <c r="M323" i="3"/>
  <c r="M324" i="3"/>
  <c r="L33" i="3" l="1"/>
  <c r="L120" i="3"/>
  <c r="M123" i="3"/>
  <c r="M44" i="3"/>
  <c r="M29" i="3" s="1"/>
  <c r="M248" i="3"/>
  <c r="L319" i="3"/>
  <c r="L248" i="3"/>
  <c r="L245" i="3"/>
  <c r="M124" i="3"/>
  <c r="M149" i="3"/>
  <c r="M204" i="3"/>
  <c r="M245" i="3"/>
  <c r="L279" i="3"/>
  <c r="L246" i="3"/>
  <c r="L30" i="3"/>
  <c r="L343" i="3"/>
  <c r="M279" i="3"/>
  <c r="M246" i="3"/>
  <c r="M319" i="3"/>
  <c r="M30" i="3"/>
  <c r="M33" i="3"/>
  <c r="M120" i="3"/>
  <c r="M343" i="3"/>
  <c r="M341" i="3"/>
  <c r="L224" i="3"/>
  <c r="L31" i="3"/>
  <c r="L341" i="3"/>
  <c r="L344" i="3"/>
  <c r="L339" i="3" s="1"/>
  <c r="L249" i="3"/>
  <c r="L204" i="3"/>
  <c r="L149" i="3"/>
  <c r="L122" i="3"/>
  <c r="M32" i="3"/>
  <c r="L44" i="3"/>
  <c r="L32" i="3"/>
  <c r="M31" i="3"/>
  <c r="L39" i="3"/>
  <c r="L34" i="3" s="1"/>
  <c r="M247" i="3"/>
  <c r="L247" i="3"/>
  <c r="M249" i="3"/>
  <c r="L124" i="3"/>
  <c r="L126" i="3"/>
  <c r="L121" i="3" s="1"/>
  <c r="L28" i="3" l="1"/>
  <c r="M28" i="3"/>
  <c r="L25" i="3"/>
  <c r="L244" i="3"/>
  <c r="M119" i="3"/>
  <c r="M244" i="3"/>
  <c r="M26" i="3"/>
  <c r="M25" i="3"/>
  <c r="L29" i="3"/>
  <c r="L26" i="3"/>
  <c r="M27" i="3"/>
  <c r="L27" i="3"/>
  <c r="L119" i="3"/>
  <c r="M24" i="3" l="1"/>
  <c r="L24" i="3"/>
  <c r="K74" i="4"/>
  <c r="M62" i="4" l="1"/>
  <c r="N62" i="4"/>
  <c r="L49" i="4"/>
  <c r="M49" i="4"/>
  <c r="N49" i="4"/>
  <c r="O216" i="3" l="1"/>
  <c r="O211" i="3"/>
  <c r="O241" i="3"/>
  <c r="O386" i="3"/>
  <c r="I22" i="5" l="1"/>
  <c r="O89" i="4"/>
  <c r="O86" i="4"/>
  <c r="O85" i="4"/>
  <c r="O80" i="4"/>
  <c r="O75" i="4"/>
  <c r="O74" i="4"/>
  <c r="O61" i="4"/>
  <c r="O57" i="4"/>
  <c r="O55" i="4"/>
  <c r="O52" i="4"/>
  <c r="O46" i="4"/>
  <c r="O42" i="4"/>
  <c r="O37" i="4"/>
  <c r="O35" i="4"/>
  <c r="O26" i="4"/>
  <c r="O23" i="4"/>
  <c r="O41" i="3"/>
  <c r="O40" i="3"/>
  <c r="O35" i="3" s="1"/>
  <c r="N92" i="4"/>
  <c r="N91" i="4" s="1"/>
  <c r="L67" i="4"/>
  <c r="M67" i="4"/>
  <c r="L66" i="4"/>
  <c r="M66" i="4"/>
  <c r="N90" i="4"/>
  <c r="N70" i="4"/>
  <c r="N65" i="4"/>
  <c r="N60" i="4"/>
  <c r="N58" i="4" s="1"/>
  <c r="N54" i="4"/>
  <c r="N53" i="4"/>
  <c r="N51" i="4" s="1"/>
  <c r="N48" i="4"/>
  <c r="N47" i="4" s="1"/>
  <c r="N44" i="4"/>
  <c r="N43" i="4"/>
  <c r="N41" i="4"/>
  <c r="N40" i="4"/>
  <c r="N39" i="4"/>
  <c r="N38" i="4"/>
  <c r="N34" i="4"/>
  <c r="N33" i="4" s="1"/>
  <c r="N30" i="4"/>
  <c r="N29" i="4"/>
  <c r="N28" i="4"/>
  <c r="N21" i="4"/>
  <c r="N19" i="4"/>
  <c r="N18" i="4" s="1"/>
  <c r="I324" i="3"/>
  <c r="I67" i="4" s="1"/>
  <c r="H324" i="3"/>
  <c r="H67" i="4" s="1"/>
  <c r="J324" i="3"/>
  <c r="J67" i="4" s="1"/>
  <c r="K67" i="4"/>
  <c r="N324" i="3"/>
  <c r="N67" i="4" s="1"/>
  <c r="I323" i="3"/>
  <c r="J323" i="3"/>
  <c r="N323" i="3"/>
  <c r="O323" i="3"/>
  <c r="I322" i="3"/>
  <c r="J322" i="3"/>
  <c r="N322" i="3"/>
  <c r="I321" i="3"/>
  <c r="J321" i="3"/>
  <c r="N321" i="3"/>
  <c r="O321" i="3"/>
  <c r="I320" i="3"/>
  <c r="J320" i="3"/>
  <c r="N320" i="3"/>
  <c r="O320" i="3"/>
  <c r="H323" i="3"/>
  <c r="H321" i="3"/>
  <c r="H322" i="3"/>
  <c r="H320" i="3"/>
  <c r="O163" i="3"/>
  <c r="O162" i="3"/>
  <c r="O161" i="3"/>
  <c r="O160" i="3"/>
  <c r="O158" i="3"/>
  <c r="O157" i="3"/>
  <c r="O156" i="3"/>
  <c r="O155" i="3"/>
  <c r="O148" i="3"/>
  <c r="O147" i="3"/>
  <c r="O146" i="3"/>
  <c r="O145" i="3"/>
  <c r="O143" i="3"/>
  <c r="O142" i="3"/>
  <c r="O141" i="3"/>
  <c r="O140" i="3"/>
  <c r="O138" i="3"/>
  <c r="O137" i="3"/>
  <c r="O136" i="3"/>
  <c r="O135" i="3"/>
  <c r="O133" i="3"/>
  <c r="O128" i="3" s="1"/>
  <c r="O131" i="3"/>
  <c r="O130" i="3"/>
  <c r="O118" i="3"/>
  <c r="O117" i="3"/>
  <c r="O116" i="3"/>
  <c r="O115" i="3"/>
  <c r="O110" i="3" s="1"/>
  <c r="O108" i="3"/>
  <c r="O103" i="3" s="1"/>
  <c r="O107" i="3"/>
  <c r="O102" i="3" s="1"/>
  <c r="O106" i="3"/>
  <c r="O101" i="3" s="1"/>
  <c r="O105" i="3"/>
  <c r="O100" i="3" s="1"/>
  <c r="O98" i="3"/>
  <c r="O97" i="3"/>
  <c r="O96" i="3"/>
  <c r="O95" i="3"/>
  <c r="O93" i="3"/>
  <c r="O92" i="3"/>
  <c r="O91" i="3"/>
  <c r="O90" i="3"/>
  <c r="O88" i="3"/>
  <c r="O87" i="3"/>
  <c r="O86" i="3"/>
  <c r="O85" i="3"/>
  <c r="O83" i="3"/>
  <c r="O82" i="3"/>
  <c r="O81" i="3"/>
  <c r="O80" i="3"/>
  <c r="O78" i="3"/>
  <c r="O77" i="3"/>
  <c r="O76" i="3"/>
  <c r="O75" i="3"/>
  <c r="O73" i="3"/>
  <c r="O72" i="3"/>
  <c r="O71" i="3"/>
  <c r="O70" i="3"/>
  <c r="O68" i="3"/>
  <c r="O67" i="3"/>
  <c r="O66" i="3"/>
  <c r="O65" i="3"/>
  <c r="O63" i="3"/>
  <c r="O62" i="3"/>
  <c r="O61" i="3"/>
  <c r="O60" i="3"/>
  <c r="O58" i="3"/>
  <c r="O57" i="3"/>
  <c r="O56" i="3"/>
  <c r="O55" i="3"/>
  <c r="O53" i="3"/>
  <c r="O52" i="3"/>
  <c r="O51" i="3"/>
  <c r="O50" i="3"/>
  <c r="O43" i="3"/>
  <c r="O38" i="3" s="1"/>
  <c r="O42" i="3"/>
  <c r="O37" i="3" s="1"/>
  <c r="O36" i="3"/>
  <c r="N384" i="3"/>
  <c r="N379" i="3" s="1"/>
  <c r="N383" i="3"/>
  <c r="N382" i="3"/>
  <c r="N381" i="3"/>
  <c r="N380" i="3"/>
  <c r="N374" i="3"/>
  <c r="N369" i="3" s="1"/>
  <c r="N373" i="3"/>
  <c r="N372" i="3"/>
  <c r="N371" i="3"/>
  <c r="N370" i="3"/>
  <c r="N364" i="3"/>
  <c r="N359" i="3"/>
  <c r="N354" i="3"/>
  <c r="N349" i="3"/>
  <c r="N348" i="3"/>
  <c r="N347" i="3"/>
  <c r="N346" i="3"/>
  <c r="N341" i="3" s="1"/>
  <c r="N345" i="3"/>
  <c r="N314" i="3"/>
  <c r="N309" i="3"/>
  <c r="N304" i="3"/>
  <c r="N294" i="3"/>
  <c r="N289" i="3"/>
  <c r="N284" i="3"/>
  <c r="N283" i="3"/>
  <c r="N282" i="3"/>
  <c r="N281" i="3"/>
  <c r="N280" i="3"/>
  <c r="N274" i="3"/>
  <c r="N269" i="3"/>
  <c r="N264" i="3"/>
  <c r="N259" i="3"/>
  <c r="N254" i="3"/>
  <c r="N253" i="3"/>
  <c r="N252" i="3"/>
  <c r="N251" i="3"/>
  <c r="N250" i="3"/>
  <c r="N239" i="3"/>
  <c r="N236" i="3"/>
  <c r="N234" i="3" s="1"/>
  <c r="N219" i="3"/>
  <c r="N214" i="3"/>
  <c r="N209" i="3"/>
  <c r="N208" i="3"/>
  <c r="N207" i="3"/>
  <c r="N206" i="3"/>
  <c r="N205" i="3"/>
  <c r="N199" i="3"/>
  <c r="N194" i="3"/>
  <c r="N189" i="3"/>
  <c r="N184" i="3"/>
  <c r="N179" i="3"/>
  <c r="N174" i="3"/>
  <c r="N169" i="3"/>
  <c r="N164" i="3"/>
  <c r="N159" i="3"/>
  <c r="N154" i="3"/>
  <c r="N153" i="3"/>
  <c r="N152" i="3"/>
  <c r="N151" i="3"/>
  <c r="N150" i="3"/>
  <c r="N144" i="3"/>
  <c r="N139" i="3"/>
  <c r="N134" i="3"/>
  <c r="N129" i="3"/>
  <c r="N128" i="3"/>
  <c r="N125" i="3"/>
  <c r="N113" i="3"/>
  <c r="N112" i="3"/>
  <c r="N31" i="4" s="1"/>
  <c r="N111" i="3"/>
  <c r="N110" i="3"/>
  <c r="N109" i="3"/>
  <c r="N104" i="3"/>
  <c r="N99" i="3" s="1"/>
  <c r="N103" i="3"/>
  <c r="N102" i="3"/>
  <c r="N101" i="3"/>
  <c r="N100" i="3"/>
  <c r="N94" i="3"/>
  <c r="N89" i="3"/>
  <c r="N84" i="3"/>
  <c r="N79" i="3"/>
  <c r="N27" i="4" s="1"/>
  <c r="N74" i="3"/>
  <c r="N69" i="3"/>
  <c r="N25" i="4" s="1"/>
  <c r="N64" i="3"/>
  <c r="N24" i="4" s="1"/>
  <c r="N59" i="3"/>
  <c r="N54" i="3"/>
  <c r="N49" i="3"/>
  <c r="N48" i="3"/>
  <c r="N47" i="3"/>
  <c r="N46" i="3"/>
  <c r="N45" i="3"/>
  <c r="N39" i="3"/>
  <c r="N34" i="3" s="1"/>
  <c r="N38" i="3"/>
  <c r="N37" i="3"/>
  <c r="N36" i="3"/>
  <c r="N35" i="3"/>
  <c r="O327" i="3"/>
  <c r="O322" i="3" s="1"/>
  <c r="N246" i="3" l="1"/>
  <c r="N32" i="3"/>
  <c r="N33" i="3"/>
  <c r="N279" i="3"/>
  <c r="N245" i="3"/>
  <c r="N340" i="3"/>
  <c r="I319" i="3"/>
  <c r="I66" i="4" s="1"/>
  <c r="J319" i="3"/>
  <c r="J66" i="4" s="1"/>
  <c r="H319" i="3"/>
  <c r="H66" i="4" s="1"/>
  <c r="N319" i="3"/>
  <c r="N66" i="4" s="1"/>
  <c r="N50" i="4" s="1"/>
  <c r="N124" i="3"/>
  <c r="N248" i="3"/>
  <c r="N123" i="3"/>
  <c r="N343" i="3"/>
  <c r="N121" i="3"/>
  <c r="N30" i="3"/>
  <c r="N122" i="3"/>
  <c r="N149" i="3"/>
  <c r="N120" i="3"/>
  <c r="N342" i="3"/>
  <c r="N36" i="4"/>
  <c r="N32" i="4" s="1"/>
  <c r="N247" i="3"/>
  <c r="O67" i="4"/>
  <c r="O89" i="3"/>
  <c r="O69" i="3"/>
  <c r="O46" i="3"/>
  <c r="O45" i="3"/>
  <c r="O30" i="3" s="1"/>
  <c r="O54" i="3"/>
  <c r="O59" i="3"/>
  <c r="O79" i="3"/>
  <c r="O134" i="3"/>
  <c r="O84" i="3"/>
  <c r="O64" i="3"/>
  <c r="N204" i="3"/>
  <c r="P20" i="5"/>
  <c r="O39" i="3"/>
  <c r="O34" i="3" s="1"/>
  <c r="N69" i="4"/>
  <c r="N68" i="4" s="1"/>
  <c r="P21" i="5"/>
  <c r="N344" i="3"/>
  <c r="N339" i="3" s="1"/>
  <c r="N249" i="3"/>
  <c r="O126" i="3"/>
  <c r="P19" i="5"/>
  <c r="N20" i="4"/>
  <c r="N17" i="4" s="1"/>
  <c r="N44" i="3"/>
  <c r="N29" i="3" s="1"/>
  <c r="P18" i="5"/>
  <c r="N31" i="3"/>
  <c r="O324" i="3"/>
  <c r="O319" i="3"/>
  <c r="K66" i="4"/>
  <c r="O104" i="3"/>
  <c r="O99" i="3" s="1"/>
  <c r="O94" i="3"/>
  <c r="O47" i="3"/>
  <c r="O48" i="3"/>
  <c r="O33" i="3" s="1"/>
  <c r="O74" i="3"/>
  <c r="O49" i="3"/>
  <c r="N25" i="3" l="1"/>
  <c r="O66" i="4"/>
  <c r="N27" i="3"/>
  <c r="N28" i="3"/>
  <c r="N119" i="3"/>
  <c r="N244" i="3"/>
  <c r="N26" i="3"/>
  <c r="O44" i="3"/>
  <c r="N16" i="4"/>
  <c r="P22" i="5"/>
  <c r="N24" i="3" l="1"/>
  <c r="K45" i="4"/>
  <c r="K85" i="4" l="1"/>
  <c r="J18" i="5" l="1"/>
  <c r="I30" i="4" l="1"/>
  <c r="J30" i="4"/>
  <c r="K30" i="4"/>
  <c r="L30" i="4"/>
  <c r="M30" i="4"/>
  <c r="H30" i="4"/>
  <c r="O30" i="4" l="1"/>
  <c r="J94" i="3"/>
  <c r="I94" i="3"/>
  <c r="K49" i="4" l="1"/>
  <c r="O49" i="4" s="1"/>
  <c r="K80" i="4"/>
  <c r="O243" i="3" l="1"/>
  <c r="O242" i="3"/>
  <c r="O240" i="3"/>
  <c r="J239" i="3"/>
  <c r="I239" i="3"/>
  <c r="H239" i="3"/>
  <c r="J238" i="3"/>
  <c r="O238" i="3" s="1"/>
  <c r="J237" i="3"/>
  <c r="J236" i="3"/>
  <c r="I236" i="3"/>
  <c r="J235" i="3"/>
  <c r="H234" i="3"/>
  <c r="J234" i="3" l="1"/>
  <c r="O239" i="3"/>
  <c r="O236" i="3"/>
  <c r="I237" i="3"/>
  <c r="O237" i="3" l="1"/>
  <c r="O234" i="3" s="1"/>
  <c r="I234" i="3"/>
  <c r="H205" i="3" l="1"/>
  <c r="I205" i="3"/>
  <c r="H206" i="3"/>
  <c r="H207" i="3"/>
  <c r="J207" i="3"/>
  <c r="H208" i="3"/>
  <c r="I208" i="3"/>
  <c r="J208" i="3"/>
  <c r="O208" i="3" l="1"/>
  <c r="H204" i="3"/>
  <c r="O207" i="3"/>
  <c r="O303" i="3"/>
  <c r="J386" i="3" l="1"/>
  <c r="J146" i="3" l="1"/>
  <c r="J191" i="3"/>
  <c r="J132" i="3" l="1"/>
  <c r="J80" i="4" l="1"/>
  <c r="J71" i="4"/>
  <c r="J357" i="3"/>
  <c r="J352" i="3"/>
  <c r="J211" i="3"/>
  <c r="J206" i="3" s="1"/>
  <c r="J161" i="3" l="1"/>
  <c r="J151" i="3" s="1"/>
  <c r="J42" i="3"/>
  <c r="J54" i="4" l="1"/>
  <c r="K54" i="4"/>
  <c r="L54" i="4"/>
  <c r="M54" i="4"/>
  <c r="H54" i="4"/>
  <c r="O54" i="4" l="1"/>
  <c r="J74" i="4"/>
  <c r="J317" i="3"/>
  <c r="J67" i="3"/>
  <c r="J87" i="3"/>
  <c r="J172" i="3"/>
  <c r="J86" i="4"/>
  <c r="O203" i="3"/>
  <c r="O202" i="3"/>
  <c r="O201" i="3"/>
  <c r="O200" i="3"/>
  <c r="O196" i="3"/>
  <c r="I199" i="3"/>
  <c r="J199" i="3"/>
  <c r="H199" i="3"/>
  <c r="O199" i="3" l="1"/>
  <c r="I65" i="4"/>
  <c r="J65" i="4"/>
  <c r="K65" i="4"/>
  <c r="L65" i="4"/>
  <c r="H65" i="4"/>
  <c r="I63" i="4"/>
  <c r="J63" i="4"/>
  <c r="K63" i="4"/>
  <c r="L63" i="4"/>
  <c r="H63" i="4"/>
  <c r="J62" i="4"/>
  <c r="K62" i="4"/>
  <c r="L62" i="4"/>
  <c r="H62" i="4"/>
  <c r="K60" i="4"/>
  <c r="L60" i="4"/>
  <c r="H60" i="4"/>
  <c r="K59" i="4"/>
  <c r="L59" i="4"/>
  <c r="H59" i="4"/>
  <c r="I56" i="4"/>
  <c r="J56" i="4"/>
  <c r="K56" i="4"/>
  <c r="L56" i="4"/>
  <c r="H56" i="4"/>
  <c r="J48" i="4"/>
  <c r="K48" i="4"/>
  <c r="L48" i="4"/>
  <c r="J40" i="4"/>
  <c r="K40" i="4"/>
  <c r="L40" i="4"/>
  <c r="I40" i="4"/>
  <c r="K39" i="4"/>
  <c r="L39" i="4"/>
  <c r="L38" i="4"/>
  <c r="J28" i="4"/>
  <c r="K28" i="4"/>
  <c r="L28" i="4"/>
  <c r="K27" i="4"/>
  <c r="L27" i="4"/>
  <c r="K25" i="4"/>
  <c r="L25" i="4"/>
  <c r="L19" i="4"/>
  <c r="K19" i="4"/>
  <c r="M18" i="5" s="1"/>
  <c r="J19" i="4"/>
  <c r="L18" i="5" s="1"/>
  <c r="O63" i="4" l="1"/>
  <c r="O56" i="4"/>
  <c r="N18" i="5"/>
  <c r="K58" i="4"/>
  <c r="J106" i="3"/>
  <c r="H47" i="4" l="1"/>
  <c r="O223" i="3"/>
  <c r="O222" i="3"/>
  <c r="O221" i="3"/>
  <c r="O220" i="3"/>
  <c r="J219" i="3"/>
  <c r="H219" i="3"/>
  <c r="O219" i="3" l="1"/>
  <c r="I219" i="3"/>
  <c r="M65" i="4"/>
  <c r="O65" i="4" s="1"/>
  <c r="M60" i="4"/>
  <c r="M40" i="4"/>
  <c r="O40" i="4" s="1"/>
  <c r="M39" i="4"/>
  <c r="M28" i="4"/>
  <c r="J367" i="3" l="1"/>
  <c r="J287" i="3"/>
  <c r="J59" i="4" s="1"/>
  <c r="J292" i="3"/>
  <c r="J60" i="4" s="1"/>
  <c r="J262" i="3"/>
  <c r="J192" i="3"/>
  <c r="J162" i="3"/>
  <c r="J177" i="3"/>
  <c r="J167" i="3"/>
  <c r="J39" i="4" s="1"/>
  <c r="J92" i="3"/>
  <c r="J38" i="4" l="1"/>
  <c r="J209" i="3"/>
  <c r="J82" i="3"/>
  <c r="J27" i="4" s="1"/>
  <c r="H22" i="5" l="1"/>
  <c r="M92" i="4"/>
  <c r="M91" i="4" s="1"/>
  <c r="M90" i="4"/>
  <c r="M70" i="4"/>
  <c r="M58" i="4"/>
  <c r="M53" i="4"/>
  <c r="M48" i="4"/>
  <c r="M44" i="4"/>
  <c r="M43" i="4"/>
  <c r="M41" i="4"/>
  <c r="M38" i="4"/>
  <c r="M34" i="4"/>
  <c r="M29" i="4"/>
  <c r="M21" i="4"/>
  <c r="M19" i="4"/>
  <c r="O88" i="4"/>
  <c r="O87" i="4"/>
  <c r="O84" i="4"/>
  <c r="O83" i="4"/>
  <c r="O82" i="4"/>
  <c r="O81" i="4"/>
  <c r="O76" i="4"/>
  <c r="O73" i="4"/>
  <c r="O72" i="4"/>
  <c r="M31" i="4"/>
  <c r="M27" i="4"/>
  <c r="M25" i="4"/>
  <c r="M24" i="4"/>
  <c r="O311" i="3"/>
  <c r="O266" i="3"/>
  <c r="O186" i="3"/>
  <c r="O310" i="3"/>
  <c r="O265" i="3"/>
  <c r="O215" i="3"/>
  <c r="O185" i="3"/>
  <c r="O165" i="3"/>
  <c r="O388" i="3"/>
  <c r="O383" i="3" s="1"/>
  <c r="O387" i="3"/>
  <c r="O382" i="3" s="1"/>
  <c r="O385" i="3"/>
  <c r="O380" i="3" s="1"/>
  <c r="O378" i="3"/>
  <c r="O373" i="3" s="1"/>
  <c r="O377" i="3"/>
  <c r="O372" i="3" s="1"/>
  <c r="O376" i="3"/>
  <c r="O371" i="3" s="1"/>
  <c r="O375" i="3"/>
  <c r="O368" i="3"/>
  <c r="O366" i="3"/>
  <c r="O365" i="3"/>
  <c r="O363" i="3"/>
  <c r="O362" i="3"/>
  <c r="O361" i="3"/>
  <c r="O360" i="3"/>
  <c r="O358" i="3"/>
  <c r="O356" i="3"/>
  <c r="O355" i="3"/>
  <c r="O353" i="3"/>
  <c r="O338" i="3"/>
  <c r="O337" i="3"/>
  <c r="O336" i="3"/>
  <c r="O335" i="3"/>
  <c r="O333" i="3"/>
  <c r="O332" i="3"/>
  <c r="O331" i="3"/>
  <c r="O330" i="3"/>
  <c r="O317" i="3"/>
  <c r="O313" i="3"/>
  <c r="O308" i="3"/>
  <c r="O307" i="3"/>
  <c r="O306" i="3"/>
  <c r="O305" i="3"/>
  <c r="O301" i="3"/>
  <c r="O300" i="3"/>
  <c r="O298" i="3"/>
  <c r="O297" i="3"/>
  <c r="O296" i="3"/>
  <c r="O295" i="3"/>
  <c r="O293" i="3"/>
  <c r="O291" i="3"/>
  <c r="O290" i="3"/>
  <c r="O288" i="3"/>
  <c r="O286" i="3"/>
  <c r="O278" i="3"/>
  <c r="O277" i="3"/>
  <c r="O275" i="3"/>
  <c r="O273" i="3"/>
  <c r="O272" i="3"/>
  <c r="O271" i="3"/>
  <c r="O270" i="3"/>
  <c r="O268" i="3"/>
  <c r="O267" i="3"/>
  <c r="O263" i="3"/>
  <c r="O261" i="3"/>
  <c r="O260" i="3"/>
  <c r="O258" i="3"/>
  <c r="O256" i="3"/>
  <c r="O255" i="3"/>
  <c r="O233" i="3"/>
  <c r="O231" i="3"/>
  <c r="O230" i="3"/>
  <c r="O218" i="3"/>
  <c r="O217" i="3"/>
  <c r="O213" i="3"/>
  <c r="O212" i="3"/>
  <c r="O210" i="3"/>
  <c r="O198" i="3"/>
  <c r="O195" i="3"/>
  <c r="O193" i="3"/>
  <c r="O192" i="3"/>
  <c r="O190" i="3"/>
  <c r="O188" i="3"/>
  <c r="O183" i="3"/>
  <c r="O182" i="3"/>
  <c r="O181" i="3"/>
  <c r="O180" i="3"/>
  <c r="O178" i="3"/>
  <c r="O176" i="3"/>
  <c r="O175" i="3"/>
  <c r="O173" i="3"/>
  <c r="O172" i="3"/>
  <c r="O171" i="3"/>
  <c r="O170" i="3"/>
  <c r="O168" i="3"/>
  <c r="O166" i="3"/>
  <c r="M47" i="4" l="1"/>
  <c r="M33" i="4"/>
  <c r="O19" i="5"/>
  <c r="M18" i="4"/>
  <c r="O18" i="5"/>
  <c r="M20" i="4"/>
  <c r="M51" i="4"/>
  <c r="M50" i="4" s="1"/>
  <c r="O20" i="5"/>
  <c r="O21" i="5"/>
  <c r="M69" i="4"/>
  <c r="M68" i="4" s="1"/>
  <c r="O169" i="3"/>
  <c r="O348" i="3"/>
  <c r="M36" i="4"/>
  <c r="O351" i="3"/>
  <c r="O346" i="3" s="1"/>
  <c r="O250" i="3"/>
  <c r="O285" i="3"/>
  <c r="O350" i="3"/>
  <c r="O374" i="3"/>
  <c r="O369" i="3" s="1"/>
  <c r="O370" i="3"/>
  <c r="O359" i="3"/>
  <c r="M17" i="4" l="1"/>
  <c r="M32" i="4"/>
  <c r="O22" i="5"/>
  <c r="O345" i="3"/>
  <c r="O340" i="3" s="1"/>
  <c r="J312" i="3"/>
  <c r="J282" i="3" s="1"/>
  <c r="J309" i="3"/>
  <c r="I309" i="3"/>
  <c r="H309" i="3"/>
  <c r="H314" i="3"/>
  <c r="I314" i="3"/>
  <c r="J314" i="3"/>
  <c r="O314" i="3"/>
  <c r="J197" i="3"/>
  <c r="O197" i="3" s="1"/>
  <c r="M16" i="4" l="1"/>
  <c r="O194" i="3"/>
  <c r="O312" i="3"/>
  <c r="O309" i="3" s="1"/>
  <c r="J64" i="4"/>
  <c r="O64" i="4" s="1"/>
  <c r="J85" i="4" l="1"/>
  <c r="K43" i="4"/>
  <c r="L43" i="4"/>
  <c r="J131" i="3"/>
  <c r="J187" i="3"/>
  <c r="J72" i="3"/>
  <c r="J25" i="4" s="1"/>
  <c r="J43" i="4" l="1"/>
  <c r="J152" i="3"/>
  <c r="J79" i="4"/>
  <c r="J41" i="3" l="1"/>
  <c r="J354" i="3" l="1"/>
  <c r="J39" i="3" l="1"/>
  <c r="O191" i="3" l="1"/>
  <c r="O189" i="3" s="1"/>
  <c r="J129" i="3" l="1"/>
  <c r="J45" i="4" l="1"/>
  <c r="O45" i="4" s="1"/>
  <c r="I194" i="3"/>
  <c r="H194" i="3"/>
  <c r="J194" i="3" l="1"/>
  <c r="J52" i="3"/>
  <c r="K47" i="4" l="1"/>
  <c r="K38" i="4"/>
  <c r="J29" i="4" l="1"/>
  <c r="K29" i="4"/>
  <c r="L29" i="4"/>
  <c r="H29" i="4"/>
  <c r="J21" i="4"/>
  <c r="K21" i="4"/>
  <c r="L21" i="4"/>
  <c r="H21" i="4"/>
  <c r="L34" i="4" l="1"/>
  <c r="K34" i="4"/>
  <c r="M19" i="5" s="1"/>
  <c r="H151" i="3"/>
  <c r="H121" i="3" s="1"/>
  <c r="I150" i="3"/>
  <c r="H150" i="3"/>
  <c r="H120" i="3" s="1"/>
  <c r="I44" i="4"/>
  <c r="H44" i="4"/>
  <c r="K44" i="4"/>
  <c r="L44" i="4"/>
  <c r="J44" i="4"/>
  <c r="J127" i="3"/>
  <c r="J150" i="3"/>
  <c r="J189" i="3"/>
  <c r="I189" i="3"/>
  <c r="H189" i="3"/>
  <c r="O44" i="4" l="1"/>
  <c r="N19" i="5"/>
  <c r="K41" i="4"/>
  <c r="K36" i="4" s="1"/>
  <c r="L41" i="4"/>
  <c r="H53" i="4"/>
  <c r="J20" i="5" s="1"/>
  <c r="K53" i="4"/>
  <c r="M20" i="5" s="1"/>
  <c r="L53" i="4"/>
  <c r="K90" i="4"/>
  <c r="M21" i="5" s="1"/>
  <c r="J90" i="4"/>
  <c r="I92" i="4"/>
  <c r="H92" i="4"/>
  <c r="K92" i="4"/>
  <c r="L92" i="4"/>
  <c r="J92" i="4"/>
  <c r="J34" i="4"/>
  <c r="L19" i="5" s="1"/>
  <c r="O92" i="4" l="1"/>
  <c r="O91" i="4" s="1"/>
  <c r="N20" i="5"/>
  <c r="N21" i="5"/>
  <c r="M22" i="5"/>
  <c r="L21" i="5"/>
  <c r="J53" i="4"/>
  <c r="J51" i="4" l="1"/>
  <c r="L20" i="5"/>
  <c r="J41" i="4"/>
  <c r="J36" i="4" s="1"/>
  <c r="G22" i="5"/>
  <c r="F22" i="5"/>
  <c r="E22" i="5"/>
  <c r="D22" i="5"/>
  <c r="C22" i="5"/>
  <c r="L91" i="4"/>
  <c r="K91" i="4"/>
  <c r="I91" i="4"/>
  <c r="H91" i="4"/>
  <c r="I86" i="4"/>
  <c r="H86" i="4"/>
  <c r="I85" i="4"/>
  <c r="H85" i="4"/>
  <c r="I80" i="4"/>
  <c r="H80" i="4"/>
  <c r="K79" i="4"/>
  <c r="H77" i="4"/>
  <c r="L70" i="4"/>
  <c r="K70" i="4"/>
  <c r="J70" i="4"/>
  <c r="J69" i="4" s="1"/>
  <c r="L51" i="4"/>
  <c r="K51" i="4"/>
  <c r="K50" i="4" s="1"/>
  <c r="H52" i="4"/>
  <c r="L47" i="4"/>
  <c r="J47" i="4"/>
  <c r="H38" i="4"/>
  <c r="L33" i="4"/>
  <c r="K33" i="4"/>
  <c r="K32" i="4" s="1"/>
  <c r="J33" i="4"/>
  <c r="I22" i="4"/>
  <c r="H22" i="4"/>
  <c r="K18" i="4"/>
  <c r="J18" i="4"/>
  <c r="H18" i="4"/>
  <c r="I386" i="3"/>
  <c r="J384" i="3"/>
  <c r="J379" i="3" s="1"/>
  <c r="H384" i="3"/>
  <c r="H379" i="3" s="1"/>
  <c r="J383" i="3"/>
  <c r="I383" i="3"/>
  <c r="H383" i="3"/>
  <c r="J382" i="3"/>
  <c r="I382" i="3"/>
  <c r="H382" i="3"/>
  <c r="J381" i="3"/>
  <c r="H381" i="3"/>
  <c r="J380" i="3"/>
  <c r="I380" i="3"/>
  <c r="H380" i="3"/>
  <c r="J374" i="3"/>
  <c r="J369" i="3" s="1"/>
  <c r="I374" i="3"/>
  <c r="I369" i="3" s="1"/>
  <c r="H369" i="3"/>
  <c r="J373" i="3"/>
  <c r="I373" i="3"/>
  <c r="H373" i="3"/>
  <c r="J372" i="3"/>
  <c r="I372" i="3"/>
  <c r="H372" i="3"/>
  <c r="J371" i="3"/>
  <c r="I371" i="3"/>
  <c r="H371" i="3"/>
  <c r="J370" i="3"/>
  <c r="I370" i="3"/>
  <c r="H370" i="3"/>
  <c r="I367" i="3"/>
  <c r="I90" i="4" s="1"/>
  <c r="K21" i="5" s="1"/>
  <c r="H367" i="3"/>
  <c r="J364" i="3"/>
  <c r="J359" i="3"/>
  <c r="I359" i="3"/>
  <c r="H359" i="3"/>
  <c r="I357" i="3"/>
  <c r="I354" i="3"/>
  <c r="I352" i="3"/>
  <c r="I71" i="4" s="1"/>
  <c r="I70" i="4" s="1"/>
  <c r="H352" i="3"/>
  <c r="H349" i="3" s="1"/>
  <c r="J349" i="3"/>
  <c r="J348" i="3"/>
  <c r="J343" i="3" s="1"/>
  <c r="I348" i="3"/>
  <c r="I343" i="3" s="1"/>
  <c r="H348" i="3"/>
  <c r="J347" i="3"/>
  <c r="J346" i="3"/>
  <c r="I346" i="3"/>
  <c r="H346" i="3"/>
  <c r="J345" i="3"/>
  <c r="I345" i="3"/>
  <c r="H345" i="3"/>
  <c r="I334" i="3"/>
  <c r="O334" i="3" s="1"/>
  <c r="I329" i="3"/>
  <c r="O329" i="3" s="1"/>
  <c r="J304" i="3"/>
  <c r="I304" i="3"/>
  <c r="H304" i="3"/>
  <c r="I302" i="3"/>
  <c r="J294" i="3"/>
  <c r="I294" i="3"/>
  <c r="H294" i="3"/>
  <c r="I292" i="3"/>
  <c r="J289" i="3"/>
  <c r="H289" i="3"/>
  <c r="I287" i="3"/>
  <c r="J284" i="3"/>
  <c r="H284" i="3"/>
  <c r="J283" i="3"/>
  <c r="I283" i="3"/>
  <c r="H283" i="3"/>
  <c r="H282" i="3"/>
  <c r="J281" i="3"/>
  <c r="I281" i="3"/>
  <c r="H281" i="3"/>
  <c r="J280" i="3"/>
  <c r="I280" i="3"/>
  <c r="H280" i="3"/>
  <c r="H276" i="3"/>
  <c r="J274" i="3"/>
  <c r="I274" i="3"/>
  <c r="J269" i="3"/>
  <c r="I269" i="3"/>
  <c r="H269" i="3"/>
  <c r="J264" i="3"/>
  <c r="I264" i="3"/>
  <c r="H264" i="3"/>
  <c r="I262" i="3"/>
  <c r="O262" i="3" s="1"/>
  <c r="J259" i="3"/>
  <c r="H259" i="3"/>
  <c r="H257" i="3"/>
  <c r="O257" i="3" s="1"/>
  <c r="J254" i="3"/>
  <c r="I254" i="3"/>
  <c r="J253" i="3"/>
  <c r="I253" i="3"/>
  <c r="H253" i="3"/>
  <c r="J252" i="3"/>
  <c r="J247" i="3" s="1"/>
  <c r="J251" i="3"/>
  <c r="I251" i="3"/>
  <c r="J250" i="3"/>
  <c r="I250" i="3"/>
  <c r="H250" i="3"/>
  <c r="I232" i="3"/>
  <c r="J229" i="3"/>
  <c r="H229" i="3"/>
  <c r="J228" i="3"/>
  <c r="O228" i="3" s="1"/>
  <c r="J227" i="3"/>
  <c r="J122" i="3" s="1"/>
  <c r="J226" i="3"/>
  <c r="I226" i="3"/>
  <c r="J225" i="3"/>
  <c r="J205" i="3" s="1"/>
  <c r="H224" i="3"/>
  <c r="I216" i="3"/>
  <c r="J214" i="3"/>
  <c r="H214" i="3"/>
  <c r="I209" i="3"/>
  <c r="H209" i="3"/>
  <c r="I187" i="3"/>
  <c r="J184" i="3"/>
  <c r="H184" i="3"/>
  <c r="J179" i="3"/>
  <c r="I179" i="3"/>
  <c r="H179" i="3"/>
  <c r="I177" i="3"/>
  <c r="I41" i="4" s="1"/>
  <c r="H177" i="3"/>
  <c r="J174" i="3"/>
  <c r="J169" i="3"/>
  <c r="I169" i="3"/>
  <c r="H169" i="3"/>
  <c r="I167" i="3"/>
  <c r="I164" i="3" s="1"/>
  <c r="J164" i="3"/>
  <c r="H164" i="3"/>
  <c r="I162" i="3"/>
  <c r="I38" i="4" s="1"/>
  <c r="H162" i="3"/>
  <c r="I161" i="3"/>
  <c r="J154" i="3"/>
  <c r="I154" i="3"/>
  <c r="H154" i="3"/>
  <c r="J153" i="3"/>
  <c r="I153" i="3"/>
  <c r="H153" i="3"/>
  <c r="J144" i="3"/>
  <c r="I144" i="3"/>
  <c r="H144" i="3"/>
  <c r="J139" i="3"/>
  <c r="I139" i="3"/>
  <c r="H139" i="3"/>
  <c r="J134" i="3"/>
  <c r="I134" i="3"/>
  <c r="H134" i="3"/>
  <c r="I132" i="3"/>
  <c r="I34" i="4" s="1"/>
  <c r="K19" i="5" s="1"/>
  <c r="H132" i="3"/>
  <c r="I131" i="3"/>
  <c r="J128" i="3"/>
  <c r="I128" i="3"/>
  <c r="H128" i="3"/>
  <c r="J126" i="3"/>
  <c r="J125" i="3"/>
  <c r="I125" i="3"/>
  <c r="I120" i="3" s="1"/>
  <c r="I117" i="3"/>
  <c r="I116" i="3"/>
  <c r="O113" i="3"/>
  <c r="J113" i="3"/>
  <c r="I113" i="3"/>
  <c r="H113" i="3"/>
  <c r="L31" i="4"/>
  <c r="K31" i="4"/>
  <c r="J112" i="3"/>
  <c r="J31" i="4" s="1"/>
  <c r="H112" i="3"/>
  <c r="H31" i="4" s="1"/>
  <c r="J111" i="3"/>
  <c r="H111" i="3"/>
  <c r="J110" i="3"/>
  <c r="I110" i="3"/>
  <c r="H110" i="3"/>
  <c r="J109" i="3"/>
  <c r="H109" i="3"/>
  <c r="I106" i="3"/>
  <c r="I101" i="3" s="1"/>
  <c r="J104" i="3"/>
  <c r="J99" i="3" s="1"/>
  <c r="H104" i="3"/>
  <c r="H99" i="3" s="1"/>
  <c r="J103" i="3"/>
  <c r="I103" i="3"/>
  <c r="H103" i="3"/>
  <c r="J102" i="3"/>
  <c r="I102" i="3"/>
  <c r="H102" i="3"/>
  <c r="J101" i="3"/>
  <c r="H101" i="3"/>
  <c r="J100" i="3"/>
  <c r="I100" i="3"/>
  <c r="H100" i="3"/>
  <c r="I92" i="3"/>
  <c r="J89" i="3"/>
  <c r="I89" i="3"/>
  <c r="I87" i="3"/>
  <c r="J84" i="3"/>
  <c r="H84" i="3"/>
  <c r="I82" i="3"/>
  <c r="I79" i="3" s="1"/>
  <c r="J79" i="3"/>
  <c r="H79" i="3"/>
  <c r="J74" i="3"/>
  <c r="I74" i="3"/>
  <c r="H74" i="3"/>
  <c r="I72" i="3"/>
  <c r="J69" i="3"/>
  <c r="H69" i="3"/>
  <c r="L24" i="4"/>
  <c r="J64" i="3"/>
  <c r="J24" i="4" s="1"/>
  <c r="J20" i="4" s="1"/>
  <c r="I64" i="3"/>
  <c r="I24" i="4" s="1"/>
  <c r="H64" i="3"/>
  <c r="J59" i="3"/>
  <c r="I59" i="3"/>
  <c r="H59" i="3"/>
  <c r="I57" i="3"/>
  <c r="I54" i="3" s="1"/>
  <c r="H57" i="3"/>
  <c r="J54" i="3"/>
  <c r="I52" i="3"/>
  <c r="I51" i="3"/>
  <c r="J49" i="3"/>
  <c r="H49" i="3"/>
  <c r="J48" i="3"/>
  <c r="I48" i="3"/>
  <c r="H48" i="3"/>
  <c r="J47" i="3"/>
  <c r="J46" i="3"/>
  <c r="H46" i="3"/>
  <c r="J45" i="3"/>
  <c r="I45" i="3"/>
  <c r="H45" i="3"/>
  <c r="I42" i="3"/>
  <c r="I41" i="3"/>
  <c r="J34" i="3"/>
  <c r="H39" i="3"/>
  <c r="H34" i="3" s="1"/>
  <c r="J38" i="3"/>
  <c r="I38" i="3"/>
  <c r="H38" i="3"/>
  <c r="J37" i="3"/>
  <c r="H37" i="3"/>
  <c r="J36" i="3"/>
  <c r="H36" i="3"/>
  <c r="J35" i="3"/>
  <c r="I35" i="3"/>
  <c r="H35" i="3"/>
  <c r="O132" i="3" l="1"/>
  <c r="H127" i="3"/>
  <c r="H123" i="3"/>
  <c r="O127" i="3"/>
  <c r="O129" i="3"/>
  <c r="O139" i="3"/>
  <c r="O144" i="3"/>
  <c r="H20" i="4"/>
  <c r="H17" i="4" s="1"/>
  <c r="O22" i="4"/>
  <c r="O38" i="4"/>
  <c r="L20" i="4"/>
  <c r="K24" i="4"/>
  <c r="K20" i="4" s="1"/>
  <c r="K17" i="4" s="1"/>
  <c r="I246" i="3"/>
  <c r="I248" i="3"/>
  <c r="I282" i="3"/>
  <c r="I127" i="3"/>
  <c r="H245" i="3"/>
  <c r="I206" i="3"/>
  <c r="O205" i="3"/>
  <c r="J204" i="3"/>
  <c r="O287" i="3"/>
  <c r="O284" i="3" s="1"/>
  <c r="I59" i="4"/>
  <c r="O59" i="4" s="1"/>
  <c r="I27" i="4"/>
  <c r="O27" i="4" s="1"/>
  <c r="O232" i="3"/>
  <c r="O229" i="3" s="1"/>
  <c r="I48" i="4"/>
  <c r="O292" i="3"/>
  <c r="I60" i="4"/>
  <c r="O60" i="4" s="1"/>
  <c r="J340" i="3"/>
  <c r="O352" i="3"/>
  <c r="O349" i="3" s="1"/>
  <c r="H71" i="4"/>
  <c r="O167" i="3"/>
  <c r="O164" i="3" s="1"/>
  <c r="I39" i="4"/>
  <c r="O39" i="4" s="1"/>
  <c r="I25" i="4"/>
  <c r="O25" i="4" s="1"/>
  <c r="I28" i="4"/>
  <c r="O28" i="4" s="1"/>
  <c r="I19" i="4"/>
  <c r="O19" i="4" s="1"/>
  <c r="O18" i="4" s="1"/>
  <c r="I252" i="3"/>
  <c r="O302" i="3"/>
  <c r="I62" i="4"/>
  <c r="O62" i="4" s="1"/>
  <c r="J124" i="3"/>
  <c r="J32" i="4"/>
  <c r="I29" i="4"/>
  <c r="O29" i="4" s="1"/>
  <c r="I104" i="3"/>
  <c r="I99" i="3" s="1"/>
  <c r="I129" i="3"/>
  <c r="I151" i="3"/>
  <c r="I43" i="4"/>
  <c r="O43" i="4" s="1"/>
  <c r="O187" i="3"/>
  <c r="H251" i="3"/>
  <c r="H246" i="3" s="1"/>
  <c r="O276" i="3"/>
  <c r="O251" i="3" s="1"/>
  <c r="O381" i="3"/>
  <c r="O341" i="3" s="1"/>
  <c r="O384" i="3"/>
  <c r="O379" i="3" s="1"/>
  <c r="I36" i="3"/>
  <c r="I111" i="3"/>
  <c r="O111" i="3"/>
  <c r="O31" i="3" s="1"/>
  <c r="J120" i="3"/>
  <c r="H34" i="4"/>
  <c r="O34" i="4" s="1"/>
  <c r="H152" i="3"/>
  <c r="O159" i="3"/>
  <c r="H41" i="4"/>
  <c r="O177" i="3"/>
  <c r="O226" i="3"/>
  <c r="I299" i="3"/>
  <c r="O299" i="3" s="1"/>
  <c r="I340" i="3"/>
  <c r="H341" i="3"/>
  <c r="O357" i="3"/>
  <c r="O354" i="3" s="1"/>
  <c r="O367" i="3"/>
  <c r="O364" i="3" s="1"/>
  <c r="O79" i="4"/>
  <c r="J58" i="4"/>
  <c r="L36" i="4"/>
  <c r="L32" i="4" s="1"/>
  <c r="L18" i="4"/>
  <c r="H340" i="3"/>
  <c r="J279" i="3"/>
  <c r="J249" i="3"/>
  <c r="H248" i="3"/>
  <c r="H47" i="3"/>
  <c r="H32" i="3" s="1"/>
  <c r="H30" i="3"/>
  <c r="H343" i="3"/>
  <c r="O150" i="3"/>
  <c r="H159" i="3"/>
  <c r="O179" i="3"/>
  <c r="J224" i="3"/>
  <c r="J245" i="3"/>
  <c r="J344" i="3"/>
  <c r="J339" i="3" s="1"/>
  <c r="J31" i="3"/>
  <c r="I259" i="3"/>
  <c r="I249" i="3" s="1"/>
  <c r="I53" i="4"/>
  <c r="O53" i="4" s="1"/>
  <c r="I364" i="3"/>
  <c r="I21" i="4"/>
  <c r="O21" i="4" s="1"/>
  <c r="I152" i="3"/>
  <c r="I214" i="3"/>
  <c r="O294" i="3"/>
  <c r="J121" i="3"/>
  <c r="I123" i="3"/>
  <c r="H129" i="3"/>
  <c r="H124" i="3" s="1"/>
  <c r="I227" i="3"/>
  <c r="O227" i="3" s="1"/>
  <c r="O269" i="3"/>
  <c r="I284" i="3"/>
  <c r="H90" i="4"/>
  <c r="O90" i="4" s="1"/>
  <c r="J32" i="3"/>
  <c r="H58" i="4"/>
  <c r="K69" i="4"/>
  <c r="K68" i="4" s="1"/>
  <c r="J30" i="3"/>
  <c r="O125" i="3"/>
  <c r="I33" i="3"/>
  <c r="O209" i="3"/>
  <c r="I49" i="3"/>
  <c r="I46" i="3"/>
  <c r="J44" i="3"/>
  <c r="J29" i="3" s="1"/>
  <c r="I184" i="3"/>
  <c r="O112" i="3"/>
  <c r="O32" i="3" s="1"/>
  <c r="I112" i="3"/>
  <c r="I31" i="4" s="1"/>
  <c r="O31" i="4" s="1"/>
  <c r="I126" i="3"/>
  <c r="J159" i="3"/>
  <c r="J149" i="3" s="1"/>
  <c r="I159" i="3"/>
  <c r="O151" i="3"/>
  <c r="H174" i="3"/>
  <c r="H274" i="3"/>
  <c r="I347" i="3"/>
  <c r="I342" i="3" s="1"/>
  <c r="I349" i="3"/>
  <c r="I114" i="3"/>
  <c r="O114" i="3" s="1"/>
  <c r="O109" i="3" s="1"/>
  <c r="O29" i="3" s="1"/>
  <c r="I37" i="3"/>
  <c r="I39" i="3"/>
  <c r="I34" i="3" s="1"/>
  <c r="J248" i="3"/>
  <c r="I381" i="3"/>
  <c r="I341" i="3" s="1"/>
  <c r="I384" i="3"/>
  <c r="I379" i="3" s="1"/>
  <c r="O280" i="3"/>
  <c r="O304" i="3"/>
  <c r="J341" i="3"/>
  <c r="J33" i="3"/>
  <c r="O254" i="3"/>
  <c r="H252" i="3"/>
  <c r="H247" i="3" s="1"/>
  <c r="O264" i="3"/>
  <c r="O283" i="3"/>
  <c r="H31" i="3"/>
  <c r="J123" i="3"/>
  <c r="I124" i="3"/>
  <c r="I174" i="3"/>
  <c r="J246" i="3"/>
  <c r="H254" i="3"/>
  <c r="O259" i="3"/>
  <c r="O253" i="3"/>
  <c r="H279" i="3"/>
  <c r="I289" i="3"/>
  <c r="H33" i="3"/>
  <c r="I30" i="3"/>
  <c r="O153" i="3"/>
  <c r="O123" i="3" s="1"/>
  <c r="I245" i="3"/>
  <c r="O281" i="3"/>
  <c r="J342" i="3"/>
  <c r="H364" i="3"/>
  <c r="H344" i="3" s="1"/>
  <c r="H339" i="3" s="1"/>
  <c r="L58" i="4"/>
  <c r="L50" i="4" s="1"/>
  <c r="H51" i="4"/>
  <c r="I79" i="4"/>
  <c r="I69" i="4" s="1"/>
  <c r="I68" i="4" s="1"/>
  <c r="L69" i="4"/>
  <c r="L68" i="4" s="1"/>
  <c r="I33" i="4"/>
  <c r="J91" i="4"/>
  <c r="J68" i="4" s="1"/>
  <c r="H79" i="4"/>
  <c r="I69" i="3"/>
  <c r="I47" i="3"/>
  <c r="O154" i="3"/>
  <c r="I84" i="3"/>
  <c r="H54" i="3"/>
  <c r="H44" i="3" s="1"/>
  <c r="H29" i="3" s="1"/>
  <c r="O214" i="3"/>
  <c r="I229" i="3"/>
  <c r="H347" i="3"/>
  <c r="H342" i="3" s="1"/>
  <c r="H122" i="3" l="1"/>
  <c r="I109" i="3"/>
  <c r="I247" i="3"/>
  <c r="J244" i="3"/>
  <c r="O124" i="3"/>
  <c r="O24" i="4"/>
  <c r="O20" i="4" s="1"/>
  <c r="O17" i="4" s="1"/>
  <c r="I47" i="4"/>
  <c r="O48" i="4"/>
  <c r="O47" i="4" s="1"/>
  <c r="H36" i="4"/>
  <c r="O41" i="4"/>
  <c r="O36" i="4" s="1"/>
  <c r="O71" i="4"/>
  <c r="O70" i="4" s="1"/>
  <c r="O69" i="4" s="1"/>
  <c r="O68" i="4" s="1"/>
  <c r="O120" i="3"/>
  <c r="I51" i="4"/>
  <c r="K20" i="5"/>
  <c r="K16" i="4"/>
  <c r="I20" i="4"/>
  <c r="O33" i="4"/>
  <c r="J19" i="5"/>
  <c r="I18" i="4"/>
  <c r="K18" i="5"/>
  <c r="H70" i="4"/>
  <c r="H69" i="4" s="1"/>
  <c r="H68" i="4" s="1"/>
  <c r="I58" i="4"/>
  <c r="H25" i="3"/>
  <c r="I31" i="3"/>
  <c r="I36" i="4"/>
  <c r="I32" i="4" s="1"/>
  <c r="I204" i="3"/>
  <c r="O204" i="3" s="1"/>
  <c r="O206" i="3"/>
  <c r="O121" i="3" s="1"/>
  <c r="O282" i="3"/>
  <c r="O289" i="3"/>
  <c r="O279" i="3" s="1"/>
  <c r="H27" i="3"/>
  <c r="I224" i="3"/>
  <c r="O343" i="3"/>
  <c r="J50" i="4"/>
  <c r="H33" i="4"/>
  <c r="O152" i="3"/>
  <c r="O122" i="3" s="1"/>
  <c r="O184" i="3"/>
  <c r="L17" i="4"/>
  <c r="N22" i="5" s="1"/>
  <c r="O347" i="3"/>
  <c r="O342" i="3" s="1"/>
  <c r="I344" i="3"/>
  <c r="I339" i="3" s="1"/>
  <c r="H149" i="3"/>
  <c r="H119" i="3" s="1"/>
  <c r="O224" i="3"/>
  <c r="O344" i="3"/>
  <c r="O339" i="3" s="1"/>
  <c r="O58" i="4"/>
  <c r="J21" i="5"/>
  <c r="O51" i="4"/>
  <c r="H249" i="3"/>
  <c r="H244" i="3" s="1"/>
  <c r="J25" i="3"/>
  <c r="I279" i="3"/>
  <c r="I244" i="3" s="1"/>
  <c r="I122" i="3"/>
  <c r="I149" i="3"/>
  <c r="O245" i="3"/>
  <c r="J27" i="3"/>
  <c r="O174" i="3"/>
  <c r="J119" i="3"/>
  <c r="H50" i="4"/>
  <c r="I28" i="3"/>
  <c r="J26" i="3"/>
  <c r="O248" i="3"/>
  <c r="O246" i="3"/>
  <c r="I25" i="3"/>
  <c r="J28" i="3"/>
  <c r="J17" i="4"/>
  <c r="I32" i="3"/>
  <c r="H28" i="3"/>
  <c r="I44" i="3"/>
  <c r="O274" i="3"/>
  <c r="O249" i="3" s="1"/>
  <c r="H26" i="3"/>
  <c r="O252" i="3"/>
  <c r="I121" i="3"/>
  <c r="I29" i="3" l="1"/>
  <c r="O28" i="3"/>
  <c r="I17" i="4"/>
  <c r="H32" i="4"/>
  <c r="O244" i="3"/>
  <c r="O26" i="3"/>
  <c r="O25" i="3"/>
  <c r="O247" i="3"/>
  <c r="O27" i="3" s="1"/>
  <c r="O50" i="4"/>
  <c r="I50" i="4"/>
  <c r="J22" i="5"/>
  <c r="J16" i="4"/>
  <c r="O32" i="4"/>
  <c r="I26" i="3"/>
  <c r="J24" i="3"/>
  <c r="O149" i="3"/>
  <c r="O119" i="3" s="1"/>
  <c r="L16" i="4"/>
  <c r="H24" i="3"/>
  <c r="I27" i="3"/>
  <c r="H16" i="4"/>
  <c r="L22" i="5"/>
  <c r="I119" i="3"/>
  <c r="I24" i="3" l="1"/>
  <c r="O24" i="3"/>
  <c r="I16" i="4"/>
  <c r="O16" i="4"/>
  <c r="K22" i="5"/>
</calcChain>
</file>

<file path=xl/sharedStrings.xml><?xml version="1.0" encoding="utf-8"?>
<sst xmlns="http://schemas.openxmlformats.org/spreadsheetml/2006/main" count="1765" uniqueCount="392">
  <si>
    <t xml:space="preserve">            Значения показателей            </t>
  </si>
  <si>
    <t xml:space="preserve"> №  п/п</t>
  </si>
  <si>
    <t xml:space="preserve">Показатель (индикатор) (наименование)
</t>
  </si>
  <si>
    <t>Доля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</si>
  <si>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</si>
  <si>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</si>
  <si>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1.1.</t>
  </si>
  <si>
    <t>1.2.</t>
  </si>
  <si>
    <t>1.3.</t>
  </si>
  <si>
    <t>1.4.</t>
  </si>
  <si>
    <t>2.1.</t>
  </si>
  <si>
    <t>2.2.</t>
  </si>
  <si>
    <t>3.1.</t>
  </si>
  <si>
    <t>3.2.</t>
  </si>
  <si>
    <t>3.3.</t>
  </si>
  <si>
    <t>3.4.</t>
  </si>
  <si>
    <t>4.1.</t>
  </si>
  <si>
    <t>4.2.</t>
  </si>
  <si>
    <t>%</t>
  </si>
  <si>
    <t>Ед. изм.</t>
  </si>
  <si>
    <t>Доля,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</si>
  <si>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2.3.</t>
  </si>
  <si>
    <t>Доля педагогических работников муниципальных  дошкольных образовательных учреждений в общей численности педагогических работников муниципальных дошкольных образовательных учреждений, прошедших курсы повышения квалификации</t>
  </si>
  <si>
    <t>Доля педагогических работников муниципальных  учреждений дополнительного образования в общей численности педагогических работников муниципальных  учреждений дополнительного образования, прошедших курсы повышения квалификации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</si>
  <si>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</si>
  <si>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Доля детей в возрасте  от 1,5 до 3 лет, получающих дошкольную образовательную услугу и (или) услугу по их содержанию в муниципальных образовательных учреждениях осуществляющих образовательную деятельность по образовательным программам дошкольного образования в общей численности детей в возрасте  от 1,5 до 3 лет, получающих дошкольное образование и находящихся в очереди на получение по состоянию на 1 января года, следующего за отчетным</t>
  </si>
  <si>
    <t>Удовлетворенность населения качеством дошкольного образования</t>
  </si>
  <si>
    <t>Удовлетворенность населения качеством общего образования</t>
  </si>
  <si>
    <t>Удовлетворенность населения качеством дополнительного образования</t>
  </si>
  <si>
    <t>Удельный вес численности обучающихся, занимающихся в первую смену в общей численности обучающихся общеобразовательных организаций</t>
  </si>
  <si>
    <t>4.2</t>
  </si>
  <si>
    <t>4.3</t>
  </si>
  <si>
    <t xml:space="preserve"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дополнительного образования детей в детских школах искусств) 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</si>
  <si>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</si>
  <si>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>-</t>
  </si>
  <si>
    <t>ПЕРЕЧЕНЬ МЕРОПРИЯТИЙ МУНИЦИПАЛЬНОЙ ПРОГРАММЫ, ПОДПРОГРАММ И ОТДЕЛЬНЫХ МЕРОПРИЯТИЙ</t>
  </si>
  <si>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</si>
  <si>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</si>
  <si>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</si>
  <si>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Срок</t>
  </si>
  <si>
    <t>Ожидаемый непосредственный результат (краткое описание)</t>
  </si>
  <si>
    <t>Связь с показателями муниципальной программы</t>
  </si>
  <si>
    <t>начала реализации</t>
  </si>
  <si>
    <t>окончания реализации</t>
  </si>
  <si>
    <t>1.</t>
  </si>
  <si>
    <t>Основное мероприятие 1.1. "Обеспечение воспитательного процесса в дошкольных образовательных учреждениях"</t>
  </si>
  <si>
    <t xml:space="preserve">Управление  образования Администрации Ханкайского муниципального округа, 
муниципальные образовательные учреждения
</t>
  </si>
  <si>
    <t>1.1.1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</si>
  <si>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</si>
  <si>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Улучшение условий получения образования, обеспечение доступности образо-вания, повышения качества образования</t>
  </si>
  <si>
    <t>1.1., 2.2.</t>
  </si>
  <si>
    <t>Основное мероприятие 1.2. "Мероприятия не связанные с воспитательным процессом"</t>
  </si>
  <si>
    <t>1.2.1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</si>
  <si>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</si>
  <si>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Создание условий, соответствующих требовнаиям ФГОС дошкольного образования</t>
  </si>
  <si>
    <t>1.2.2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</si>
  <si>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</si>
  <si>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Введение дополнительных мест в дошкольных образовательных организациях</t>
  </si>
  <si>
    <t>1.1.,2.1.</t>
  </si>
  <si>
    <t>1.2.3</t>
  </si>
  <si>
    <t xml:space="preserve">Мероприятия государственной программы "Доступная среда" </t>
  </si>
  <si>
    <t>Обеспечение доступности качественного дошкольного образования</t>
  </si>
  <si>
    <t>1.2.4</t>
  </si>
  <si>
    <t xml:space="preserve">Обеспечение беспрепятственного доступа инвалидов к объектам социальной инфраструктуры </t>
  </si>
  <si>
    <t>1.2.5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</si>
  <si>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</si>
  <si>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Укрепление материально-технической базы дошкольных образовательных организаций</t>
  </si>
  <si>
    <t>1.2.6</t>
  </si>
  <si>
    <t>Мероприятия по энергосбережению и повышению энергетической эффективности</t>
  </si>
  <si>
    <t>Повышение эффективности использования топливно-энергетических ресурсов, замена изношенного оборудования и инженерных коммуникаций</t>
  </si>
  <si>
    <t>1.2.7</t>
  </si>
  <si>
    <t>Мероприятия по профилактике терроризма и экстремизма</t>
  </si>
  <si>
    <t>Усиление антитеррористической защищенности, совершенствование системы профилактики антитеррористической и экстремистской направленности</t>
  </si>
  <si>
    <t>1.2.8.</t>
  </si>
  <si>
    <t>Мероприятия по пожарной безопасности</t>
  </si>
  <si>
    <t>Создание безопасных условий обучения</t>
  </si>
  <si>
    <t>1.3</t>
  </si>
  <si>
    <t>Основное мероприятие  1.3.</t>
  </si>
  <si>
    <t>1.3.1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</si>
  <si>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</si>
  <si>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Материальная поддержка воспитания и обучения детей, посещающих образовательные организации, реализующих образовательную программу дошкольного образования</t>
  </si>
  <si>
    <t>2.</t>
  </si>
  <si>
    <t>Основное мероприятие 2.1. "Обеспечение деятельности организаций, осуществляющих программу общего образования"</t>
  </si>
  <si>
    <t>Управление  образования Администрации Ханкайского муниципального округа, 
муниципальные образовательные учреждения</t>
  </si>
  <si>
    <t>2.1.1.</t>
  </si>
  <si>
    <t>Обеспечение деятельности (оказание услуг, выполнение работ) муниципальных общеобразовательных организаций</t>
  </si>
  <si>
    <t>1.2.,3.1.</t>
  </si>
  <si>
    <t>2.1.2</t>
  </si>
  <si>
    <t>Обеспечение беспрепятственного доступа инвалидов в образовательные организации</t>
  </si>
  <si>
    <t>Обеспечение доступности качественного общего образования</t>
  </si>
  <si>
    <t>Основное мероприятие 2.2."Мероприятия не связанные с образовательным процессом"</t>
  </si>
  <si>
    <t>2.2.1</t>
  </si>
  <si>
    <t>Расходы на приобретение школьных автобусов для муниципальных общеобразовательных организаций</t>
  </si>
  <si>
    <t>2.2.2.</t>
  </si>
  <si>
    <t>Расходы на проведение ремонтных работ общеобразовательных учреждений</t>
  </si>
  <si>
    <t>Создание условий, соответствующих требованиям ФГОС общего образования</t>
  </si>
  <si>
    <t>3.1., 3.2.</t>
  </si>
  <si>
    <t>2.2.3</t>
  </si>
  <si>
    <t>2.2.4.</t>
  </si>
  <si>
    <t xml:space="preserve">Мероприятия по профилактике правонарушений </t>
  </si>
  <si>
    <t>Комиссия по делам несовершеннолетних Администрации Ханкайского муниципального округа,Управление образования Администрации Ханкайского муниципального округа, 
муниципальные образовательные учреждения</t>
  </si>
  <si>
    <t>Профилактика среди обучающихся правонарушений, наркомании, алкоголизма,  формирование навыков здрового времяпровождения.</t>
  </si>
  <si>
    <t>2.2.5</t>
  </si>
  <si>
    <t>2.2.6</t>
  </si>
  <si>
    <t xml:space="preserve">Мероприятия по энергосбережению и повышению энергетической эффективности </t>
  </si>
  <si>
    <t>2.2.7</t>
  </si>
  <si>
    <t xml:space="preserve">Оснащение муниципальных общеобразовательных организаций недвижимым  и особо ценным движимым имуществом </t>
  </si>
  <si>
    <t>Укрепление материально-технической базы общеобразовательных организаций</t>
  </si>
  <si>
    <t>Основное мероприятие 2.3. "Создание условий для получения качественного общего рбразования"</t>
  </si>
  <si>
    <t>2.3.1.</t>
  </si>
  <si>
    <t>Создание в общеобразовательных организациях условий для занятия физической культурой и спортом</t>
  </si>
  <si>
    <t>Создание условий, соответствующих требовнаиям ФГОС общего образования</t>
  </si>
  <si>
    <t>2.3.2</t>
  </si>
  <si>
    <t>Обеспечение бесплатным питанием детей, обучающихся в муниципальных общеобразовательных организациях</t>
  </si>
  <si>
    <t>Развитие системы школьного питания, сдействующей сохранению и укреплению здоровья детей</t>
  </si>
  <si>
    <t>2.3.3</t>
  </si>
  <si>
    <t xml:space="preserve">Организация и обеспечение оздоровления и отдыха детей </t>
  </si>
  <si>
    <t>Увеличение доли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 с 88,7 % в 2019 году до 90,0 % к 2024 году.</t>
  </si>
  <si>
    <t>3</t>
  </si>
  <si>
    <t>Основное мероприятие 3.1." Обеспечение деятельности учреждений дополнительного образования"</t>
  </si>
  <si>
    <t>3.1.1.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</si>
  <si>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</si>
  <si>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Создание условий, соответствующих требованиям реализации дополнительных общеобразовательных программ</t>
  </si>
  <si>
    <t>1.3.,4.1.</t>
  </si>
  <si>
    <t>3.1.2.</t>
  </si>
  <si>
    <t>Обеспечение деятельности (оказание услуг, выполнение работ) муниципальных организаий дополнительного образования детей</t>
  </si>
  <si>
    <t>Улучшение условий получения образования, обеспечение доступности образования, повышения качества образования</t>
  </si>
  <si>
    <t>3.1.3.</t>
  </si>
  <si>
    <t>Оснащение муниципальных  образовательных организаций недвижимым  и особо ценным движимым имуществом</t>
  </si>
  <si>
    <t>Укрепление материально-технической базы организаций дополнительного образования</t>
  </si>
  <si>
    <t>3.1.4.</t>
  </si>
  <si>
    <t xml:space="preserve">Обеспечение спортивным инвентарем, спортивным оборудованием и спортивными транспортными средствами </t>
  </si>
  <si>
    <t>3.1.5</t>
  </si>
  <si>
    <t>Развитие спортивной инфраструктуры, находящейся в муниципальной собственности</t>
  </si>
  <si>
    <t>Основное мероприятие 3.2. "Мероприятия не связанные  с образовательным процессом"</t>
  </si>
  <si>
    <t>3.2.1.</t>
  </si>
  <si>
    <t>Программно-техническое обслуживание сети Интернет</t>
  </si>
  <si>
    <t>Обеспечение доступа в сеть Интернет (100%)</t>
  </si>
  <si>
    <t>3.2.2</t>
  </si>
  <si>
    <t>3.2.3</t>
  </si>
  <si>
    <t>3.3</t>
  </si>
  <si>
    <t>Основное мероприятие 3.3."Обеспечение персонифицированного финансирования дополнительного образования детей"</t>
  </si>
  <si>
    <t xml:space="preserve">Дальнейшее развитие системы дополнительного образования в целях обеспечения  равной доступности качественного дополнительного образования для детей </t>
  </si>
  <si>
    <t>4</t>
  </si>
  <si>
    <t>Отдельные мероприятия</t>
  </si>
  <si>
    <t>Основное мероприятие 4.1."Обеспечение деятельности инфраструктуры образовательных организаций"</t>
  </si>
  <si>
    <t xml:space="preserve">Управление  образования Администрации Ханкайского муниципального округа, </t>
  </si>
  <si>
    <t>4.1.1.</t>
  </si>
  <si>
    <t>Руководство и управление в  сфере установленных функций органов местного самоуправления</t>
  </si>
  <si>
    <t>Улучшение реализации управленческих функций в сфере образования</t>
  </si>
  <si>
    <t>1.1.,1.2.,1.3.2.2., 3.1., 4.1.</t>
  </si>
  <si>
    <t>4.1.2.</t>
  </si>
  <si>
    <t>Обеспечение деятельности (оказание услуг, выполнение работ) муниципальных учреждений</t>
  </si>
  <si>
    <t>Обеспечение деятельности образовательных организаций Ханкайского муниципального округа</t>
  </si>
  <si>
    <t>4.1.3.</t>
  </si>
  <si>
    <t>Оснащение муниципальных учреждений недвижимым  и особо ценным движимым имуществом</t>
  </si>
  <si>
    <t>Укрепление материально-технической базы  учреждений</t>
  </si>
  <si>
    <t>4.1.4</t>
  </si>
  <si>
    <t>Обеспечение деятельности (оказание услуг, выполнение работ) муниципальных автономных  организаций</t>
  </si>
  <si>
    <t>Обеспечение питанием учащихся общеобразовательных организаций</t>
  </si>
  <si>
    <t xml:space="preserve"> 3.1.</t>
  </si>
  <si>
    <t>Основное мероприятие  4.2. "Мероприятия для детей и молодежи"</t>
  </si>
  <si>
    <t>4.2.1.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</si>
  <si>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</si>
  <si>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Выявление и поддержка талантливых детей и учащейся молодежи</t>
  </si>
  <si>
    <t>4.3.</t>
  </si>
  <si>
    <t xml:space="preserve">Обеспечение мер социальной поддержки педагогическим работникам </t>
  </si>
  <si>
    <t>4.3.1.</t>
  </si>
  <si>
    <t>Обеспечение мер социальной поддержки педагогическим работникам муниципальных образовательных организаций</t>
  </si>
  <si>
    <t>Привлечение и сохранение кадрового потенциала</t>
  </si>
  <si>
    <t>Источники ресурсного обеспечения</t>
  </si>
  <si>
    <t>Оценка расходов (тыс.руб.),годы</t>
  </si>
  <si>
    <t>Всего</t>
  </si>
  <si>
    <t>всего</t>
  </si>
  <si>
    <t xml:space="preserve">федеральный бюджет </t>
  </si>
  <si>
    <t xml:space="preserve">краевой бюджет </t>
  </si>
  <si>
    <t>бюджет Ханкайского муниципального района</t>
  </si>
  <si>
    <t>иные внебюджетные источники</t>
  </si>
  <si>
    <t>1.2.9</t>
  </si>
  <si>
    <t>Мероприятия по  обустройству прилегающих территорий образовательных учреждений</t>
  </si>
  <si>
    <t>Основное мероприятие  1.3."Меры поддержки семей, имеющих детей</t>
  </si>
  <si>
    <t>1.4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</si>
  <si>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</si>
  <si>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</si>
  <si>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</si>
  <si>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</si>
  <si>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</si>
  <si>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</si>
  <si>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</si>
  <si>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Мероприятия по профилактике правонарушений</t>
  </si>
  <si>
    <t>2.4</t>
  </si>
  <si>
    <t>2.4.1</t>
  </si>
  <si>
    <t>Мероприятия по созданию в общеобразовательных организациях условий для занятий физической культурой и спортом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</si>
  <si>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</si>
  <si>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3.1.5.</t>
  </si>
  <si>
    <t>3.2.4</t>
  </si>
  <si>
    <t>бюджет Ханкайского муницип.</t>
  </si>
  <si>
    <t>3.2.5</t>
  </si>
  <si>
    <t>Основное мероприятие 3.3." Обеспечение персонифицированного финансирования дополнительного образования детей"</t>
  </si>
  <si>
    <t>Федеральный проект "Спорт норма жизни"</t>
  </si>
  <si>
    <t>Мероприятия, направленные на оснащение объектов спортивной инфраструктуры спортивно-технологическим оборудованием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</si>
  <si>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</si>
  <si>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</si>
  <si>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</si>
  <si>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</si>
  <si>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</si>
  <si>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</si>
  <si>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Управление  образования Администрации Ханкайского муниципального округа</t>
  </si>
  <si>
    <t>0700</t>
  </si>
  <si>
    <t>0100000000</t>
  </si>
  <si>
    <t>000</t>
  </si>
  <si>
    <t>0701</t>
  </si>
  <si>
    <t>0110000000</t>
  </si>
  <si>
    <t>0111100000</t>
  </si>
  <si>
    <t>1.1.1.</t>
  </si>
  <si>
    <t>0111170020</t>
  </si>
  <si>
    <t>1.2</t>
  </si>
  <si>
    <t>0111200000</t>
  </si>
  <si>
    <t xml:space="preserve"> 01112S2020</t>
  </si>
  <si>
    <t>1.2.2.</t>
  </si>
  <si>
    <t>01112S2010</t>
  </si>
  <si>
    <t>1.2.3.</t>
  </si>
  <si>
    <t>011112L0270</t>
  </si>
  <si>
    <t>0111220020</t>
  </si>
  <si>
    <t>0111270060</t>
  </si>
  <si>
    <t>1.2.6.</t>
  </si>
  <si>
    <t>0111220600</t>
  </si>
  <si>
    <t>0111220040</t>
  </si>
  <si>
    <t>1.2.8</t>
  </si>
  <si>
    <t>0111270090</t>
  </si>
  <si>
    <t>011P2L2320</t>
  </si>
  <si>
    <t>0702</t>
  </si>
  <si>
    <t>0120000000</t>
  </si>
  <si>
    <t>0121100000</t>
  </si>
  <si>
    <t>0121170030</t>
  </si>
  <si>
    <t>2.1.2.</t>
  </si>
  <si>
    <t>0121120020</t>
  </si>
  <si>
    <t>0121200000</t>
  </si>
  <si>
    <t>01212S2040</t>
  </si>
  <si>
    <t>01212S2340</t>
  </si>
  <si>
    <t>0121220040</t>
  </si>
  <si>
    <t>2.2.4</t>
  </si>
  <si>
    <t>0707</t>
  </si>
  <si>
    <t>0121220050</t>
  </si>
  <si>
    <t>0121220400</t>
  </si>
  <si>
    <t>0121220600</t>
  </si>
  <si>
    <t>0121270060</t>
  </si>
  <si>
    <t>0121400000</t>
  </si>
  <si>
    <t>2.3.1</t>
  </si>
  <si>
    <t>012E250970</t>
  </si>
  <si>
    <t>3.</t>
  </si>
  <si>
    <t>0703</t>
  </si>
  <si>
    <t>0130000000</t>
  </si>
  <si>
    <t>0131100000</t>
  </si>
  <si>
    <t>3.1.1</t>
  </si>
  <si>
    <t>0131170050</t>
  </si>
  <si>
    <t>0131170040</t>
  </si>
  <si>
    <t>3.1.3</t>
  </si>
  <si>
    <t>Оснащение муниципальных образовательных организаций недвижимым  и особо ценным движимым имуществом</t>
  </si>
  <si>
    <t>0131170060</t>
  </si>
  <si>
    <t>3.1.4</t>
  </si>
  <si>
    <t>013P5S2630</t>
  </si>
  <si>
    <t>013P5S2190</t>
  </si>
  <si>
    <t>3.1.6</t>
  </si>
  <si>
    <t>013Р5L2280</t>
  </si>
  <si>
    <t>3.2.1</t>
  </si>
  <si>
    <t>0131220500</t>
  </si>
  <si>
    <t>0131220040</t>
  </si>
  <si>
    <t>0131220600</t>
  </si>
  <si>
    <t>0131220400</t>
  </si>
  <si>
    <t>0131370040</t>
  </si>
  <si>
    <t>0709</t>
  </si>
  <si>
    <t>0191100000</t>
  </si>
  <si>
    <t>0191110031</t>
  </si>
  <si>
    <t>0191110030</t>
  </si>
  <si>
    <t>4.1.2</t>
  </si>
  <si>
    <t>0191170010</t>
  </si>
  <si>
    <t>0191170060</t>
  </si>
  <si>
    <t>Обеспечение деятельности (оказание услуг, выполнение работ) муниципальных автономных организаций</t>
  </si>
  <si>
    <t>0191170070</t>
  </si>
  <si>
    <t>0191200000</t>
  </si>
  <si>
    <t>4.2.1</t>
  </si>
  <si>
    <t>0191220160</t>
  </si>
  <si>
    <t>Наименование муниципальной услуги(работы), показателя объема услуги (работы)</t>
  </si>
  <si>
    <t>Значение показателя объема муниципальной услуги (работы), чел.</t>
  </si>
  <si>
    <t>Расходы бюджета Ханкайского муниципального округа на оказание муниципальной услуги (выполнение работы), тыс.руб.</t>
  </si>
  <si>
    <t>Реализация основных общеобразовательных программ  дошкольного образования, численность детей, чел.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</si>
  <si>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</si>
  <si>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</si>
  <si>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</si>
  <si>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Итого</t>
  </si>
  <si>
    <t>к постановлению Администрации Ханкайского</t>
  </si>
  <si>
    <t xml:space="preserve">Ханкайского муниципального округа </t>
  </si>
  <si>
    <t>2.2.8</t>
  </si>
  <si>
    <t>Мероприятия
по модернизации школьных систем образования</t>
  </si>
  <si>
    <t>01212L7500</t>
  </si>
  <si>
    <t>Мероприятия по капремонту зданий и  обустройству прилегающих территорий образовательных учреждений</t>
  </si>
  <si>
    <t>2.2.9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</si>
  <si>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</si>
  <si>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</si>
  <si>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3.2.6</t>
  </si>
  <si>
    <t>0131270090</t>
  </si>
  <si>
    <t>Расходы на проведение текущего, капитального ремонта зданий и помещений и обустройство прилегающей территории   образовательных учреждений</t>
  </si>
  <si>
    <t xml:space="preserve">Расходы на проведение текущего, капитального ремонта зданий и  помещений и обустройство прилегающей территории   образовательных учреждений  </t>
  </si>
  <si>
    <t>Подпрограмма №2 «Развитие системы общего образования в Ханкайском муниципальном округе» на 2020-2025 годы</t>
  </si>
  <si>
    <t>Подпрограмма №3 «Развитие системы дополнительного образования в Ханкайском муниципальном округе» на 2020-2025 годы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</si>
  <si>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</si>
  <si>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</si>
  <si>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0121420610</t>
  </si>
  <si>
    <t>Приложение № 1</t>
  </si>
  <si>
    <t>3.5.</t>
  </si>
  <si>
    <t>2.2.10</t>
  </si>
  <si>
    <t>0121220055</t>
  </si>
  <si>
    <t>Мероприятия по организации и проведению мер, напарвленных на профилактику и предотвращение преступлений против половой неприкосновенности несовершеннолетних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</si>
  <si>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</si>
  <si>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Доля несовершеннолетних, подвергшихся преступлениям против половой неприкосновенности</t>
  </si>
  <si>
    <t>Сокращение количества преступлений против половой неприкосновенности несовершеннолетних</t>
  </si>
  <si>
    <t>Подпрограмма «Развитие системы общего образования в Ханкайском муниципальном округе» на 2020-2025 годы</t>
  </si>
  <si>
    <t>2.5</t>
  </si>
  <si>
    <t>2.5.1</t>
  </si>
  <si>
    <t>Региональный проект "Патриотическое воспитание граждан Российской Федерации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</si>
  <si>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</si>
  <si>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Доля </t>
    </r>
    <r>
      <rPr>
        <sz val="11"/>
        <rFont val="Times New Roman"/>
        <family val="1"/>
        <charset val="204"/>
      </rPr>
      <t>учащейся м</t>
    </r>
    <r>
      <rPr>
        <sz val="11"/>
        <color theme="1"/>
        <rFont val="Times New Roman"/>
        <family val="1"/>
        <charset val="204"/>
      </rPr>
      <t>олодежи, принявшей участие в мероприятиях, направленных на патриотическое и духовно-нравственное воспитание,формирование здорового образа жизни, интеллектуальную и творческую деятельность, от общей численности молодежи  от 7 до 18 лет на конец отчетного года</t>
    </r>
  </si>
  <si>
    <t>1.2.10</t>
  </si>
  <si>
    <t>Мероприятия на реализацию проектов инициативного бюджетирования по направлению "Твой проект"</t>
  </si>
  <si>
    <t>011129S 2360</t>
  </si>
  <si>
    <t>Региональный проект "Современная школа"</t>
  </si>
  <si>
    <t>Региональный проект "Успех каждого ребенка"</t>
  </si>
  <si>
    <t>Приложение № 1 к муниципальной  программе "Развитие образования в Ханкайском муниципальном округе" на 2020-2026 годы</t>
  </si>
  <si>
    <t>Перечень показателей муниципальной программы "Развитие образования в Ханкайском муниципальном округе" на 2020-2026 годы</t>
  </si>
  <si>
    <t>4.4</t>
  </si>
  <si>
    <t xml:space="preserve">4. Подпрограмма №3  «Развитие системы дополнительного образования в Ханкайском муниципальном округе»  на 2020-2026 годы                    </t>
  </si>
  <si>
    <t xml:space="preserve">3. Подпрограмма №2 «Развитие системы общего образования в Ханкайском муниципальном округе»   на 2020-2026 годы                      </t>
  </si>
  <si>
    <t>2. Подпрограмма №1 «Развитие дошкольного образования в Ханкайском муниципальном округе» на 2020-2026 годы</t>
  </si>
  <si>
    <t xml:space="preserve">1. Муниципальная программа «Развитие образования в Ханкайском муниципальном округе» на 2020 – 2026 годы
   </t>
  </si>
  <si>
    <t>Приложение № 2  к муниципальной программе "Развитие образования в Ханкайском муниципальном округе" на 2020-2026 годы</t>
  </si>
  <si>
    <t xml:space="preserve">"РАЗВИТИЕ ОБРАЗОВАНИЯ В ХАНКАЙСКОМ МУНИЦИПАЛЬНОМ ОКРУГЕ" НА 2020-2026 годы </t>
  </si>
  <si>
    <t>Муниципальная программа "Развитие образования в Ханкайском муниципальном округе" на 2020-2026 годы</t>
  </si>
  <si>
    <t>Подпрограмма №1 "Развитие дошкольного образования в Ханкайском муниципальном округе» на 2020-2026  годы</t>
  </si>
  <si>
    <t>3.4</t>
  </si>
  <si>
    <t>3.4.1</t>
  </si>
  <si>
    <t>Основное мероприятие 3.4.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</si>
  <si>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4.4.</t>
  </si>
  <si>
    <t xml:space="preserve">Доля детей в возрасте от 5 до 18 лет, обучающихся по дополнительным общеразвивающим программам за счет социального сертификата на получение муниципальной услуги в социальной сфере 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</si>
  <si>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 жизни, интеллектуальную и творческую деятельность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</si>
  <si>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</si>
  <si>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0131400000</t>
  </si>
  <si>
    <t>0131470140</t>
  </si>
  <si>
    <t>ИНФОРМАЦИЯ О РЕСУРСНОМ ОБЕСПЕЧЕНИИ МУНИЦИПАЛЬНОЙ ПРОГРАММЫ "РАЗВИТИЕ ОБРАЗОВАНИЯ В ХАНКАЙСКОМ МУНИЦИПАЛЬНОМ ОКРУГЕ" НА 2020-2026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</si>
  <si>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Приложение № 4  к муниципальной программе "Развитие образования в Ханкайском муниципальном округе" на 2020-2026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</si>
  <si>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2020-2026 ГОДЫ ЗА СЧЕТ СРЕДСТВ БЮДЖЕТА ХАНКАЙСКОГО МУНИЦИПАЛЬНОГО ОКРУГА, (ТЫС. РУБ.).</t>
  </si>
  <si>
    <t>80</t>
  </si>
  <si>
    <t>Подпрограмма №1"Развитие дошкольного образования в Ханкайском муниципальном округе» на 2020-2026  годы</t>
  </si>
  <si>
    <t>Подпрограмма «Развитие системы общего образования в Ханкайском муниципальном округе» на 2020-2026 годы</t>
  </si>
  <si>
    <t>Подпрограмма «Развитие системы дополнительного образования в Ханкайском муниципальном округе» на 2020-2026 годы</t>
  </si>
  <si>
    <t>Подпрограмма "Развитие дошкольного образования в Ханкайском муниципальном округе» на 2020-2026  годы</t>
  </si>
  <si>
    <t xml:space="preserve">от 2024      № </t>
  </si>
  <si>
    <t xml:space="preserve">от 2024      №                                                                      </t>
  </si>
  <si>
    <t>Рз Пр</t>
  </si>
  <si>
    <t>019E193140</t>
  </si>
  <si>
    <t>019E100000</t>
  </si>
  <si>
    <t>013Р5L0000</t>
  </si>
  <si>
    <t>012EВ51790</t>
  </si>
  <si>
    <t>012EВ00000</t>
  </si>
  <si>
    <t>012Е250980</t>
  </si>
  <si>
    <t>012Е200000</t>
  </si>
  <si>
    <t>0121493080</t>
  </si>
  <si>
    <t>Основное мероприятие 2.3. "Создание условий для получения качественного общего образования"</t>
  </si>
  <si>
    <t>0121493150</t>
  </si>
  <si>
    <t>0121222340</t>
  </si>
  <si>
    <t>0121153030</t>
  </si>
  <si>
    <t>01211R3040</t>
  </si>
  <si>
    <t>0121193060</t>
  </si>
  <si>
    <t>0111393090</t>
  </si>
  <si>
    <t>0111300000</t>
  </si>
  <si>
    <t>01112S2360</t>
  </si>
  <si>
    <t>0111292360</t>
  </si>
  <si>
    <t xml:space="preserve"> 0111212020</t>
  </si>
  <si>
    <t xml:space="preserve"> 0111200000</t>
  </si>
  <si>
    <t>0111193070</t>
  </si>
  <si>
    <t>01111900000</t>
  </si>
  <si>
    <t xml:space="preserve"> Приложение № 5                                                                                                                                     к муниципальной программе "Развитие образования                                                                       в Ханкайском муниципальном округе" на 2020-2026 годы</t>
  </si>
  <si>
    <t xml:space="preserve">  Приложение № 2</t>
  </si>
  <si>
    <t xml:space="preserve"> Ханкайского муниципального округа </t>
  </si>
  <si>
    <t xml:space="preserve"> к постановлению Администрации </t>
  </si>
  <si>
    <t xml:space="preserve">к постановлению Администрации </t>
  </si>
  <si>
    <t>Приложение № 3</t>
  </si>
  <si>
    <t>к муниципальной программе "Развитие образования</t>
  </si>
  <si>
    <t>в Ханкайском муниципальном округе на 2020 - 2026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</si>
  <si>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                                     НА 2020-2026 ГОДЫ</t>
  </si>
  <si>
    <t xml:space="preserve">                                                                          от 29.03.2024 № 381-па</t>
  </si>
  <si>
    <t>от 29.03.2024 № 381-па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</si>
</sst>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raditional Arabic"/>
      <family val="1"/>
    </font>
    <font>
      <sz val="12"/>
      <color theme="1"/>
      <name val="Traditional Arabic"/>
      <family val="1"/>
    </font>
    <font>
      <sz val="12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NumberFormat="1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6" xfId="0" applyFont="1" applyBorder="1"/>
    <xf numFmtId="164" fontId="2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4" fontId="9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6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0" fontId="11" fillId="0" borderId="6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7" fillId="0" borderId="4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/>
    </xf>
    <xf numFmtId="0" fontId="6" fillId="0" borderId="1" xfId="0" applyFont="1" applyFill="1" applyBorder="1"/>
    <xf numFmtId="49" fontId="1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17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/>
    <xf numFmtId="0" fontId="9" fillId="2" borderId="0" xfId="0" applyFont="1" applyFill="1"/>
    <xf numFmtId="49" fontId="11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1" fillId="0" borderId="3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1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85" zoomScaleNormal="100" zoomScaleSheetLayoutView="85" workbookViewId="0">
      <selection activeCell="D5" sqref="D5:H5"/>
    </sheetView>
  </sheetViews>
  <sheetFormatPr defaultRowHeight="15" x14ac:dyDescent="0.25"/>
  <cols>
    <col min="1" max="1" width="4.7109375" customWidth="1"/>
    <col min="2" max="2" width="87.28515625" customWidth="1"/>
    <col min="3" max="3" width="5.42578125" customWidth="1"/>
    <col min="4" max="4" width="9" customWidth="1"/>
    <col min="6" max="6" width="9.140625" style="15"/>
  </cols>
  <sheetData>
    <row r="1" spans="1:10" x14ac:dyDescent="0.25">
      <c r="C1" s="140"/>
      <c r="D1" s="235" t="s">
        <v>309</v>
      </c>
      <c r="E1" s="235"/>
      <c r="F1" s="235"/>
      <c r="G1" s="235"/>
      <c r="H1" s="235"/>
      <c r="I1" s="235"/>
    </row>
    <row r="2" spans="1:10" x14ac:dyDescent="0.25">
      <c r="C2" s="140"/>
      <c r="D2" s="235" t="s">
        <v>291</v>
      </c>
      <c r="E2" s="235"/>
      <c r="F2" s="235"/>
      <c r="G2" s="235"/>
      <c r="H2" s="235"/>
      <c r="I2" s="235"/>
    </row>
    <row r="3" spans="1:10" x14ac:dyDescent="0.25">
      <c r="C3" s="140"/>
      <c r="D3" s="235" t="s">
        <v>292</v>
      </c>
      <c r="E3" s="235"/>
      <c r="F3" s="235"/>
      <c r="G3" s="235"/>
      <c r="H3" s="235"/>
      <c r="I3" s="235"/>
    </row>
    <row r="4" spans="1:10" ht="18.75" customHeight="1" x14ac:dyDescent="0.25">
      <c r="D4" s="236" t="s">
        <v>357</v>
      </c>
      <c r="E4" s="237"/>
      <c r="F4" s="237"/>
      <c r="G4" s="237"/>
      <c r="H4" s="237"/>
      <c r="I4" s="238"/>
    </row>
    <row r="5" spans="1:10" ht="21.75" customHeight="1" x14ac:dyDescent="0.25">
      <c r="D5" s="237"/>
      <c r="E5" s="237"/>
      <c r="F5" s="237"/>
      <c r="G5" s="237"/>
      <c r="H5" s="237"/>
    </row>
    <row r="6" spans="1:10" ht="45.75" customHeight="1" x14ac:dyDescent="0.25">
      <c r="C6" s="242" t="s">
        <v>328</v>
      </c>
      <c r="D6" s="242"/>
      <c r="E6" s="242"/>
      <c r="F6" s="242"/>
      <c r="G6" s="242"/>
      <c r="H6" s="242"/>
      <c r="I6" s="242"/>
    </row>
    <row r="8" spans="1:10" ht="15.75" x14ac:dyDescent="0.25">
      <c r="A8" s="241" t="s">
        <v>329</v>
      </c>
      <c r="B8" s="241"/>
      <c r="C8" s="241"/>
      <c r="D8" s="241"/>
      <c r="E8" s="241"/>
      <c r="F8" s="241"/>
      <c r="G8" s="241"/>
      <c r="H8" s="241"/>
      <c r="I8" s="241"/>
    </row>
    <row r="10" spans="1:10" ht="17.45" customHeight="1" x14ac:dyDescent="0.25">
      <c r="A10" s="234" t="s">
        <v>1</v>
      </c>
      <c r="B10" s="234" t="s">
        <v>2</v>
      </c>
      <c r="C10" s="239" t="s">
        <v>19</v>
      </c>
      <c r="D10" s="234" t="s">
        <v>0</v>
      </c>
      <c r="E10" s="234"/>
      <c r="F10" s="234"/>
      <c r="G10" s="234"/>
      <c r="H10" s="234"/>
      <c r="I10" s="234"/>
      <c r="J10" s="234"/>
    </row>
    <row r="11" spans="1:10" ht="2.4500000000000002" customHeight="1" x14ac:dyDescent="0.25">
      <c r="A11" s="234"/>
      <c r="B11" s="234"/>
      <c r="C11" s="240"/>
      <c r="D11" s="234"/>
      <c r="E11" s="234"/>
      <c r="F11" s="234"/>
      <c r="G11" s="234"/>
      <c r="H11" s="234"/>
      <c r="I11" s="234"/>
      <c r="J11" s="234"/>
    </row>
    <row r="12" spans="1:10" ht="24.6" customHeight="1" x14ac:dyDescent="0.25">
      <c r="A12" s="234"/>
      <c r="B12" s="234"/>
      <c r="C12" s="240"/>
      <c r="D12" s="206">
        <v>2020</v>
      </c>
      <c r="E12" s="207">
        <v>2021</v>
      </c>
      <c r="F12" s="206">
        <v>2022</v>
      </c>
      <c r="G12" s="206">
        <v>2023</v>
      </c>
      <c r="H12" s="206">
        <v>2024</v>
      </c>
      <c r="I12" s="233">
        <v>2025</v>
      </c>
      <c r="J12" s="233">
        <v>2026</v>
      </c>
    </row>
    <row r="13" spans="1:10" ht="14.45" hidden="1" customHeight="1" x14ac:dyDescent="0.25">
      <c r="A13" s="234"/>
      <c r="B13" s="234"/>
      <c r="C13" s="233"/>
      <c r="D13" s="205"/>
      <c r="E13" s="208"/>
      <c r="F13" s="205"/>
      <c r="G13" s="205"/>
      <c r="H13" s="205"/>
      <c r="I13" s="234"/>
      <c r="J13" s="234"/>
    </row>
    <row r="14" spans="1:10" x14ac:dyDescent="0.25">
      <c r="A14" s="168">
        <v>1</v>
      </c>
      <c r="B14" s="168">
        <v>2</v>
      </c>
      <c r="C14" s="168">
        <v>3</v>
      </c>
      <c r="D14" s="168">
        <v>4</v>
      </c>
      <c r="E14" s="168">
        <v>5</v>
      </c>
      <c r="F14" s="174">
        <v>6</v>
      </c>
      <c r="G14" s="168">
        <v>7</v>
      </c>
      <c r="H14" s="168">
        <v>8</v>
      </c>
      <c r="I14" s="168">
        <v>9</v>
      </c>
      <c r="J14" s="168">
        <v>10</v>
      </c>
    </row>
    <row r="15" spans="1:10" ht="14.45" customHeight="1" x14ac:dyDescent="0.25">
      <c r="A15" s="232" t="s">
        <v>334</v>
      </c>
      <c r="B15" s="232"/>
      <c r="C15" s="232"/>
      <c r="D15" s="232"/>
      <c r="E15" s="232"/>
      <c r="F15" s="232"/>
      <c r="G15" s="232"/>
      <c r="H15" s="232"/>
      <c r="I15" s="232"/>
      <c r="J15" s="232"/>
    </row>
    <row r="16" spans="1:10" ht="21" customHeight="1" x14ac:dyDescent="0.25">
      <c r="A16" s="169" t="s">
        <v>6</v>
      </c>
      <c r="B16" s="175" t="s">
        <v>26</v>
      </c>
      <c r="C16" s="170" t="s">
        <v>18</v>
      </c>
      <c r="D16" s="176">
        <v>73</v>
      </c>
      <c r="E16" s="176">
        <v>74</v>
      </c>
      <c r="F16" s="176">
        <v>75</v>
      </c>
      <c r="G16" s="176">
        <v>76</v>
      </c>
      <c r="H16" s="176">
        <v>77</v>
      </c>
      <c r="I16" s="176">
        <v>77</v>
      </c>
      <c r="J16" s="176">
        <v>77</v>
      </c>
    </row>
    <row r="17" spans="1:10" ht="23.25" customHeight="1" x14ac:dyDescent="0.25">
      <c r="A17" s="1" t="s">
        <v>7</v>
      </c>
      <c r="B17" s="10" t="s">
        <v>27</v>
      </c>
      <c r="C17" s="1" t="s">
        <v>18</v>
      </c>
      <c r="D17" s="9">
        <v>76</v>
      </c>
      <c r="E17" s="8">
        <v>77</v>
      </c>
      <c r="F17" s="8">
        <v>78</v>
      </c>
      <c r="G17" s="8">
        <v>79</v>
      </c>
      <c r="H17" s="8">
        <v>80</v>
      </c>
      <c r="I17" s="8">
        <v>80</v>
      </c>
      <c r="J17" s="8">
        <v>80</v>
      </c>
    </row>
    <row r="18" spans="1:10" ht="23.25" customHeight="1" x14ac:dyDescent="0.25">
      <c r="A18" s="1" t="s">
        <v>8</v>
      </c>
      <c r="B18" s="10" t="s">
        <v>28</v>
      </c>
      <c r="C18" s="1" t="s">
        <v>18</v>
      </c>
      <c r="D18" s="9">
        <v>78</v>
      </c>
      <c r="E18" s="8">
        <v>79</v>
      </c>
      <c r="F18" s="9">
        <v>80</v>
      </c>
      <c r="G18" s="9">
        <v>81</v>
      </c>
      <c r="H18" s="9">
        <v>82</v>
      </c>
      <c r="I18" s="9">
        <v>82</v>
      </c>
      <c r="J18" s="9">
        <v>82</v>
      </c>
    </row>
    <row r="19" spans="1:10" ht="48" customHeight="1" x14ac:dyDescent="0.25">
      <c r="A19" s="168" t="s">
        <v>9</v>
      </c>
      <c r="B19" s="177" t="s">
        <v>5</v>
      </c>
      <c r="C19" s="168" t="s">
        <v>18</v>
      </c>
      <c r="D19" s="178">
        <v>68.599999999999994</v>
      </c>
      <c r="E19" s="179">
        <v>70.2</v>
      </c>
      <c r="F19" s="178">
        <v>71.900000000000006</v>
      </c>
      <c r="G19" s="178">
        <v>73.599999999999994</v>
      </c>
      <c r="H19" s="178">
        <v>75.3</v>
      </c>
      <c r="I19" s="178">
        <v>75.3</v>
      </c>
      <c r="J19" s="178">
        <v>75.3</v>
      </c>
    </row>
    <row r="20" spans="1:10" ht="14.45" customHeight="1" x14ac:dyDescent="0.25">
      <c r="A20" s="232" t="s">
        <v>333</v>
      </c>
      <c r="B20" s="232"/>
      <c r="C20" s="232"/>
      <c r="D20" s="232"/>
      <c r="E20" s="232"/>
      <c r="F20" s="232"/>
      <c r="G20" s="232"/>
      <c r="H20" s="232"/>
      <c r="I20" s="232"/>
      <c r="J20" s="232"/>
    </row>
    <row r="21" spans="1:10" ht="93.75" customHeight="1" x14ac:dyDescent="0.25">
      <c r="A21" s="170" t="s">
        <v>10</v>
      </c>
      <c r="B21" s="7" t="s">
        <v>25</v>
      </c>
      <c r="C21" s="170" t="s">
        <v>18</v>
      </c>
      <c r="D21" s="176">
        <v>23.1</v>
      </c>
      <c r="E21" s="176">
        <v>25.4</v>
      </c>
      <c r="F21" s="176">
        <v>24.5</v>
      </c>
      <c r="G21" s="176">
        <v>25.1</v>
      </c>
      <c r="H21" s="176">
        <v>25.1</v>
      </c>
      <c r="I21" s="176">
        <v>25.1</v>
      </c>
      <c r="J21" s="176">
        <v>25.1</v>
      </c>
    </row>
    <row r="22" spans="1:10" ht="51" customHeight="1" x14ac:dyDescent="0.25">
      <c r="A22" s="4" t="s">
        <v>11</v>
      </c>
      <c r="B22" s="3" t="s">
        <v>20</v>
      </c>
      <c r="C22" s="4" t="s">
        <v>18</v>
      </c>
      <c r="D22" s="9">
        <v>43.4</v>
      </c>
      <c r="E22" s="8">
        <v>44.4</v>
      </c>
      <c r="F22" s="9">
        <v>52.7</v>
      </c>
      <c r="G22" s="9">
        <v>54.7</v>
      </c>
      <c r="H22" s="9">
        <v>54.7</v>
      </c>
      <c r="I22" s="9">
        <v>54.7</v>
      </c>
      <c r="J22" s="9">
        <v>54.7</v>
      </c>
    </row>
    <row r="23" spans="1:10" ht="45" hidden="1" x14ac:dyDescent="0.25">
      <c r="A23" s="168" t="s">
        <v>21</v>
      </c>
      <c r="B23" s="180" t="s">
        <v>22</v>
      </c>
      <c r="C23" s="168" t="s">
        <v>18</v>
      </c>
      <c r="D23" s="181"/>
      <c r="E23" s="181"/>
      <c r="F23" s="182"/>
      <c r="G23" s="181"/>
      <c r="H23" s="181"/>
      <c r="I23" s="181"/>
    </row>
    <row r="24" spans="1:10" ht="14.45" customHeight="1" x14ac:dyDescent="0.25">
      <c r="A24" s="232" t="s">
        <v>332</v>
      </c>
      <c r="B24" s="232"/>
      <c r="C24" s="232"/>
      <c r="D24" s="232"/>
      <c r="E24" s="232"/>
      <c r="F24" s="232"/>
      <c r="G24" s="232"/>
      <c r="H24" s="232"/>
      <c r="I24" s="232"/>
      <c r="J24" s="232"/>
    </row>
    <row r="25" spans="1:10" ht="49.5" customHeight="1" x14ac:dyDescent="0.25">
      <c r="A25" s="183" t="s">
        <v>12</v>
      </c>
      <c r="B25" s="184" t="s">
        <v>24</v>
      </c>
      <c r="C25" s="183" t="s">
        <v>18</v>
      </c>
      <c r="D25" s="185">
        <v>80.400000000000006</v>
      </c>
      <c r="E25" s="176">
        <v>80.8</v>
      </c>
      <c r="F25" s="185">
        <v>81.3</v>
      </c>
      <c r="G25" s="185">
        <v>81.3</v>
      </c>
      <c r="H25" s="185">
        <v>81.3</v>
      </c>
      <c r="I25" s="185">
        <v>81.3</v>
      </c>
      <c r="J25" s="185">
        <v>81.3</v>
      </c>
    </row>
    <row r="26" spans="1:10" ht="30" x14ac:dyDescent="0.25">
      <c r="A26" s="1" t="s">
        <v>13</v>
      </c>
      <c r="B26" s="3" t="s">
        <v>29</v>
      </c>
      <c r="C26" s="1" t="s">
        <v>18</v>
      </c>
      <c r="D26" s="9">
        <v>95.3</v>
      </c>
      <c r="E26" s="8">
        <v>96.6</v>
      </c>
      <c r="F26" s="8">
        <v>96.6</v>
      </c>
      <c r="G26" s="8">
        <v>96.6</v>
      </c>
      <c r="H26" s="8">
        <v>97</v>
      </c>
      <c r="I26" s="8">
        <v>97</v>
      </c>
      <c r="J26" s="8">
        <v>97</v>
      </c>
    </row>
    <row r="27" spans="1:10" ht="43.5" customHeight="1" x14ac:dyDescent="0.25">
      <c r="A27" s="2" t="s">
        <v>14</v>
      </c>
      <c r="B27" s="3" t="s">
        <v>3</v>
      </c>
      <c r="C27" s="2" t="s">
        <v>18</v>
      </c>
      <c r="D27" s="9">
        <v>89.7</v>
      </c>
      <c r="E27" s="8">
        <v>90</v>
      </c>
      <c r="F27" s="9">
        <v>38.799999999999997</v>
      </c>
      <c r="G27" s="9">
        <v>39.1</v>
      </c>
      <c r="H27" s="9">
        <v>39.1</v>
      </c>
      <c r="I27" s="9">
        <v>39.1</v>
      </c>
      <c r="J27" s="9">
        <v>39.1</v>
      </c>
    </row>
    <row r="28" spans="1:10" ht="60" customHeight="1" x14ac:dyDescent="0.25">
      <c r="A28" s="168" t="s">
        <v>15</v>
      </c>
      <c r="B28" s="192" t="s">
        <v>322</v>
      </c>
      <c r="C28" s="174" t="s">
        <v>18</v>
      </c>
      <c r="D28" s="186">
        <v>93.9</v>
      </c>
      <c r="E28" s="186">
        <v>94.1</v>
      </c>
      <c r="F28" s="186">
        <v>94.3</v>
      </c>
      <c r="G28" s="186">
        <v>94.5</v>
      </c>
      <c r="H28" s="186">
        <v>94.7</v>
      </c>
      <c r="I28" s="186">
        <v>94.7</v>
      </c>
      <c r="J28" s="186">
        <v>94.7</v>
      </c>
    </row>
    <row r="29" spans="1:10" ht="60" customHeight="1" x14ac:dyDescent="0.25">
      <c r="A29" s="199" t="s">
        <v>310</v>
      </c>
      <c r="B29" s="200" t="s">
        <v>315</v>
      </c>
      <c r="C29" s="174" t="s">
        <v>18</v>
      </c>
      <c r="D29" s="201" t="s">
        <v>34</v>
      </c>
      <c r="E29" s="201" t="s">
        <v>34</v>
      </c>
      <c r="F29" s="186">
        <v>0.08</v>
      </c>
      <c r="G29" s="186">
        <v>0.05</v>
      </c>
      <c r="H29" s="186">
        <v>0.05</v>
      </c>
      <c r="I29" s="186">
        <v>0.05</v>
      </c>
      <c r="J29" s="186">
        <v>0.05</v>
      </c>
    </row>
    <row r="30" spans="1:10" ht="14.45" customHeight="1" x14ac:dyDescent="0.25">
      <c r="A30" s="232" t="s">
        <v>331</v>
      </c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 s="15" customFormat="1" ht="66" customHeight="1" x14ac:dyDescent="0.25">
      <c r="A31" s="187" t="s">
        <v>16</v>
      </c>
      <c r="B31" s="188" t="s">
        <v>4</v>
      </c>
      <c r="C31" s="187" t="s">
        <v>18</v>
      </c>
      <c r="D31" s="176">
        <v>87</v>
      </c>
      <c r="E31" s="176">
        <v>58</v>
      </c>
      <c r="F31" s="176">
        <v>74</v>
      </c>
      <c r="G31" s="176">
        <v>74</v>
      </c>
      <c r="H31" s="176">
        <v>63.5</v>
      </c>
      <c r="I31" s="176">
        <v>63.5</v>
      </c>
      <c r="J31" s="176">
        <v>63.5</v>
      </c>
    </row>
    <row r="32" spans="1:10" s="15" customFormat="1" ht="41.45" hidden="1" customHeight="1" x14ac:dyDescent="0.25">
      <c r="A32" s="16" t="s">
        <v>17</v>
      </c>
      <c r="B32" s="17" t="s">
        <v>23</v>
      </c>
      <c r="C32" s="16" t="s">
        <v>18</v>
      </c>
      <c r="D32" s="11"/>
      <c r="E32" s="11"/>
      <c r="F32" s="11"/>
      <c r="G32" s="11"/>
      <c r="H32" s="11"/>
      <c r="I32" s="11"/>
      <c r="J32" s="11"/>
    </row>
    <row r="33" spans="1:10" s="15" customFormat="1" ht="63" x14ac:dyDescent="0.25">
      <c r="A33" s="18" t="s">
        <v>30</v>
      </c>
      <c r="B33" s="21" t="s">
        <v>32</v>
      </c>
      <c r="C33" s="12" t="s">
        <v>18</v>
      </c>
      <c r="D33" s="19" t="s">
        <v>34</v>
      </c>
      <c r="E33" s="12">
        <v>100</v>
      </c>
      <c r="F33" s="12">
        <v>100</v>
      </c>
      <c r="G33" s="12">
        <v>80</v>
      </c>
      <c r="H33" s="19" t="s">
        <v>351</v>
      </c>
      <c r="I33" s="19" t="s">
        <v>351</v>
      </c>
      <c r="J33" s="19" t="s">
        <v>351</v>
      </c>
    </row>
    <row r="34" spans="1:10" s="15" customFormat="1" ht="31.5" x14ac:dyDescent="0.25">
      <c r="A34" s="18" t="s">
        <v>31</v>
      </c>
      <c r="B34" s="20" t="s">
        <v>33</v>
      </c>
      <c r="C34" s="12" t="s">
        <v>18</v>
      </c>
      <c r="D34" s="19" t="s">
        <v>34</v>
      </c>
      <c r="E34" s="12">
        <v>5</v>
      </c>
      <c r="F34" s="12">
        <v>5</v>
      </c>
      <c r="G34" s="19" t="s">
        <v>34</v>
      </c>
      <c r="H34" s="19" t="s">
        <v>34</v>
      </c>
      <c r="I34" s="19" t="s">
        <v>34</v>
      </c>
      <c r="J34" s="19" t="s">
        <v>34</v>
      </c>
    </row>
    <row r="35" spans="1:10" ht="47.25" x14ac:dyDescent="0.25">
      <c r="A35" s="18" t="s">
        <v>330</v>
      </c>
      <c r="B35" s="20" t="s">
        <v>343</v>
      </c>
      <c r="C35" s="12" t="s">
        <v>18</v>
      </c>
      <c r="D35" s="19" t="s">
        <v>34</v>
      </c>
      <c r="E35" s="19" t="s">
        <v>34</v>
      </c>
      <c r="F35" s="19" t="s">
        <v>34</v>
      </c>
      <c r="G35" s="12">
        <v>7</v>
      </c>
      <c r="H35" s="12">
        <v>10</v>
      </c>
      <c r="I35" s="12">
        <v>10</v>
      </c>
      <c r="J35" s="12">
        <v>15</v>
      </c>
    </row>
    <row r="36" spans="1:10" x14ac:dyDescent="0.25">
      <c r="A36" s="5"/>
      <c r="B36" s="5"/>
      <c r="C36" s="5"/>
      <c r="D36" s="5"/>
      <c r="E36" s="5"/>
      <c r="F36" s="13"/>
      <c r="G36" s="5"/>
      <c r="H36" s="5"/>
      <c r="I36" s="5"/>
    </row>
    <row r="37" spans="1:10" x14ac:dyDescent="0.25">
      <c r="A37" s="5"/>
      <c r="B37" s="5"/>
      <c r="C37" s="5"/>
      <c r="D37" s="5"/>
      <c r="E37" s="5"/>
      <c r="F37" s="13"/>
      <c r="G37" s="5"/>
      <c r="H37" s="5"/>
      <c r="I37" s="5"/>
    </row>
    <row r="38" spans="1:10" x14ac:dyDescent="0.25">
      <c r="A38" s="5"/>
      <c r="B38" s="5"/>
      <c r="C38" s="5"/>
      <c r="D38" s="5"/>
      <c r="E38" s="5"/>
      <c r="F38" s="13"/>
      <c r="G38" s="5"/>
      <c r="H38" s="5"/>
      <c r="I38" s="5"/>
    </row>
    <row r="39" spans="1:10" x14ac:dyDescent="0.25">
      <c r="A39" s="5"/>
      <c r="B39" s="5"/>
      <c r="C39" s="5"/>
      <c r="D39" s="5"/>
      <c r="E39" s="5"/>
      <c r="F39" s="13"/>
      <c r="G39" s="5"/>
      <c r="H39" s="5"/>
      <c r="I39" s="5"/>
    </row>
    <row r="40" spans="1:10" x14ac:dyDescent="0.25">
      <c r="A40" s="5"/>
      <c r="B40" s="5"/>
      <c r="C40" s="5"/>
      <c r="D40" s="5"/>
      <c r="E40" s="5"/>
      <c r="F40" s="13"/>
      <c r="G40" s="5"/>
      <c r="H40" s="5"/>
      <c r="I40" s="5"/>
    </row>
    <row r="41" spans="1:10" x14ac:dyDescent="0.25">
      <c r="A41" s="6"/>
      <c r="B41" s="6"/>
      <c r="C41" s="6"/>
      <c r="D41" s="6"/>
      <c r="E41" s="6"/>
      <c r="F41" s="14"/>
      <c r="G41" s="6"/>
      <c r="H41" s="6"/>
      <c r="I41" s="6"/>
    </row>
  </sheetData>
  <mergeCells count="17">
    <mergeCell ref="D2:I2"/>
    <mergeCell ref="D3:I3"/>
    <mergeCell ref="D4:I4"/>
    <mergeCell ref="D1:I1"/>
    <mergeCell ref="A10:A13"/>
    <mergeCell ref="B10:B13"/>
    <mergeCell ref="C10:C13"/>
    <mergeCell ref="I12:I13"/>
    <mergeCell ref="D5:H5"/>
    <mergeCell ref="A8:I8"/>
    <mergeCell ref="C6:I6"/>
    <mergeCell ref="D10:J11"/>
    <mergeCell ref="A15:J15"/>
    <mergeCell ref="A20:J20"/>
    <mergeCell ref="A24:J24"/>
    <mergeCell ref="A30:J30"/>
    <mergeCell ref="J12:J1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85" zoomScaleNormal="80" zoomScaleSheetLayoutView="85" workbookViewId="0">
      <selection activeCell="D6" sqref="D6:G9"/>
    </sheetView>
  </sheetViews>
  <sheetFormatPr defaultRowHeight="15" x14ac:dyDescent="0.25"/>
  <cols>
    <col min="1" max="1" width="6.85546875" customWidth="1"/>
    <col min="2" max="2" width="54.28515625" customWidth="1"/>
    <col min="3" max="3" width="30.28515625" customWidth="1"/>
    <col min="4" max="4" width="14.140625" customWidth="1"/>
    <col min="5" max="5" width="13.7109375" customWidth="1"/>
    <col min="6" max="6" width="82.140625" customWidth="1"/>
    <col min="7" max="7" width="16.7109375" customWidth="1"/>
  </cols>
  <sheetData>
    <row r="1" spans="1:7" x14ac:dyDescent="0.25">
      <c r="C1" s="140"/>
      <c r="D1" s="235" t="s">
        <v>335</v>
      </c>
      <c r="E1" s="235"/>
      <c r="F1" s="235"/>
      <c r="G1" s="235"/>
    </row>
    <row r="2" spans="1:7" x14ac:dyDescent="0.25">
      <c r="C2" s="140"/>
      <c r="D2" s="235" t="s">
        <v>291</v>
      </c>
      <c r="E2" s="235"/>
      <c r="F2" s="235"/>
      <c r="G2" s="235"/>
    </row>
    <row r="3" spans="1:7" x14ac:dyDescent="0.25">
      <c r="C3" s="140"/>
      <c r="D3" s="235" t="s">
        <v>292</v>
      </c>
      <c r="E3" s="235"/>
      <c r="F3" s="235"/>
      <c r="G3" s="235"/>
    </row>
    <row r="4" spans="1:7" ht="18.75" customHeight="1" x14ac:dyDescent="0.25">
      <c r="D4" s="236" t="s">
        <v>356</v>
      </c>
      <c r="E4" s="236"/>
      <c r="F4" s="236"/>
      <c r="G4" s="236"/>
    </row>
    <row r="5" spans="1:7" ht="3.75" customHeight="1" x14ac:dyDescent="0.25">
      <c r="D5" s="236"/>
      <c r="E5" s="236"/>
      <c r="F5" s="236"/>
      <c r="G5" s="236"/>
    </row>
    <row r="6" spans="1:7" ht="11.25" customHeight="1" x14ac:dyDescent="0.25">
      <c r="D6" s="271" t="s">
        <v>335</v>
      </c>
      <c r="E6" s="271"/>
      <c r="F6" s="271"/>
      <c r="G6" s="271"/>
    </row>
    <row r="7" spans="1:7" ht="10.5" customHeight="1" x14ac:dyDescent="0.25">
      <c r="D7" s="271"/>
      <c r="E7" s="271"/>
      <c r="F7" s="271"/>
      <c r="G7" s="271"/>
    </row>
    <row r="8" spans="1:7" ht="16.5" customHeight="1" x14ac:dyDescent="0.25">
      <c r="D8" s="271"/>
      <c r="E8" s="271"/>
      <c r="F8" s="271"/>
      <c r="G8" s="271"/>
    </row>
    <row r="9" spans="1:7" ht="18" customHeight="1" x14ac:dyDescent="0.25">
      <c r="D9" s="271"/>
      <c r="E9" s="271"/>
      <c r="F9" s="271"/>
      <c r="G9" s="271"/>
    </row>
    <row r="11" spans="1:7" ht="10.5" customHeight="1" x14ac:dyDescent="0.25">
      <c r="A11" s="266" t="s">
        <v>35</v>
      </c>
      <c r="B11" s="266"/>
      <c r="C11" s="266"/>
      <c r="D11" s="266"/>
      <c r="E11" s="266"/>
      <c r="F11" s="266"/>
      <c r="G11" s="266"/>
    </row>
    <row r="12" spans="1:7" ht="15" customHeight="1" x14ac:dyDescent="0.25">
      <c r="A12" s="266"/>
      <c r="B12" s="266"/>
      <c r="C12" s="266"/>
      <c r="D12" s="266"/>
      <c r="E12" s="266"/>
      <c r="F12" s="266"/>
      <c r="G12" s="266"/>
    </row>
    <row r="13" spans="1:7" ht="15" customHeight="1" x14ac:dyDescent="0.25">
      <c r="A13" s="266"/>
      <c r="B13" s="266"/>
      <c r="C13" s="266"/>
      <c r="D13" s="266"/>
      <c r="E13" s="266"/>
      <c r="F13" s="266"/>
      <c r="G13" s="266"/>
    </row>
    <row r="14" spans="1:7" ht="15" customHeight="1" x14ac:dyDescent="0.25">
      <c r="A14" s="266"/>
      <c r="B14" s="266"/>
      <c r="C14" s="266"/>
      <c r="D14" s="266"/>
      <c r="E14" s="266"/>
      <c r="F14" s="266"/>
      <c r="G14" s="266"/>
    </row>
    <row r="15" spans="1:7" ht="0.75" customHeight="1" x14ac:dyDescent="0.25">
      <c r="A15" s="266"/>
      <c r="B15" s="266"/>
      <c r="C15" s="266"/>
      <c r="D15" s="266"/>
      <c r="E15" s="266"/>
      <c r="F15" s="266"/>
      <c r="G15" s="266"/>
    </row>
    <row r="16" spans="1:7" ht="10.5" hidden="1" customHeight="1" x14ac:dyDescent="0.25">
      <c r="A16" s="266"/>
      <c r="B16" s="266"/>
      <c r="C16" s="266"/>
      <c r="D16" s="266"/>
      <c r="E16" s="266"/>
      <c r="F16" s="266"/>
      <c r="G16" s="266"/>
    </row>
    <row r="17" spans="1:7" ht="31.5" customHeight="1" x14ac:dyDescent="0.25">
      <c r="A17" s="22"/>
      <c r="B17" s="267" t="s">
        <v>336</v>
      </c>
      <c r="C17" s="267"/>
      <c r="D17" s="267"/>
      <c r="E17" s="267"/>
      <c r="F17" s="267"/>
      <c r="G17" s="267"/>
    </row>
    <row r="18" spans="1:7" ht="15.75" x14ac:dyDescent="0.25">
      <c r="A18" s="23"/>
      <c r="B18" s="23"/>
      <c r="C18" s="23"/>
      <c r="D18" s="23"/>
      <c r="E18" s="23"/>
    </row>
    <row r="19" spans="1:7" ht="21.75" customHeight="1" x14ac:dyDescent="0.25">
      <c r="A19" s="24" t="s">
        <v>36</v>
      </c>
      <c r="B19" s="268" t="s">
        <v>37</v>
      </c>
      <c r="C19" s="268" t="s">
        <v>38</v>
      </c>
      <c r="D19" s="269" t="s">
        <v>39</v>
      </c>
      <c r="E19" s="269"/>
      <c r="F19" s="270" t="s">
        <v>40</v>
      </c>
      <c r="G19" s="270" t="s">
        <v>41</v>
      </c>
    </row>
    <row r="20" spans="1:7" ht="45" customHeight="1" x14ac:dyDescent="0.25">
      <c r="A20" s="24"/>
      <c r="B20" s="268"/>
      <c r="C20" s="268"/>
      <c r="D20" s="25" t="s">
        <v>42</v>
      </c>
      <c r="E20" s="25" t="s">
        <v>43</v>
      </c>
      <c r="F20" s="270"/>
      <c r="G20" s="270"/>
    </row>
    <row r="21" spans="1:7" ht="22.5" customHeight="1" x14ac:dyDescent="0.25">
      <c r="A21" s="26"/>
      <c r="B21" s="249" t="s">
        <v>337</v>
      </c>
      <c r="C21" s="249"/>
      <c r="D21" s="249"/>
      <c r="E21" s="249"/>
      <c r="F21" s="249"/>
      <c r="G21" s="249"/>
    </row>
    <row r="22" spans="1:7" ht="20.25" customHeight="1" x14ac:dyDescent="0.25">
      <c r="A22" s="27" t="s">
        <v>44</v>
      </c>
      <c r="B22" s="249" t="s">
        <v>338</v>
      </c>
      <c r="C22" s="249"/>
      <c r="D22" s="249"/>
      <c r="E22" s="249"/>
      <c r="F22" s="249"/>
      <c r="G22" s="249"/>
    </row>
    <row r="23" spans="1:7" ht="51" customHeight="1" x14ac:dyDescent="0.25">
      <c r="A23" s="28" t="s">
        <v>6</v>
      </c>
      <c r="B23" s="29" t="s">
        <v>45</v>
      </c>
      <c r="C23" s="250" t="s">
        <v>46</v>
      </c>
      <c r="D23" s="30">
        <v>2020</v>
      </c>
      <c r="E23" s="30">
        <v>2026</v>
      </c>
      <c r="F23" s="31"/>
      <c r="G23" s="31"/>
    </row>
    <row r="24" spans="1:7" ht="52.5" customHeight="1" x14ac:dyDescent="0.25">
      <c r="A24" s="28" t="s">
        <v>47</v>
      </c>
      <c r="B24" s="32" t="s">
        <v>48</v>
      </c>
      <c r="C24" s="251"/>
      <c r="D24" s="30">
        <v>2020</v>
      </c>
      <c r="E24" s="30">
        <v>2026</v>
      </c>
      <c r="F24" s="33" t="s">
        <v>49</v>
      </c>
      <c r="G24" s="34" t="s">
        <v>50</v>
      </c>
    </row>
    <row r="25" spans="1:7" ht="40.5" customHeight="1" x14ac:dyDescent="0.25">
      <c r="A25" s="28" t="s">
        <v>7</v>
      </c>
      <c r="B25" s="29" t="s">
        <v>51</v>
      </c>
      <c r="C25" s="251"/>
      <c r="D25" s="30">
        <v>2020</v>
      </c>
      <c r="E25" s="30">
        <v>2026</v>
      </c>
      <c r="F25" s="34"/>
      <c r="G25" s="34"/>
    </row>
    <row r="26" spans="1:7" ht="67.5" customHeight="1" x14ac:dyDescent="0.25">
      <c r="A26" s="28" t="s">
        <v>52</v>
      </c>
      <c r="B26" s="32" t="s">
        <v>53</v>
      </c>
      <c r="C26" s="251"/>
      <c r="D26" s="30">
        <v>2020</v>
      </c>
      <c r="E26" s="30">
        <v>2026</v>
      </c>
      <c r="F26" s="35" t="s">
        <v>54</v>
      </c>
      <c r="G26" s="34" t="s">
        <v>6</v>
      </c>
    </row>
    <row r="27" spans="1:7" ht="88.5" customHeight="1" x14ac:dyDescent="0.25">
      <c r="A27" s="28" t="s">
        <v>55</v>
      </c>
      <c r="B27" s="32" t="s">
        <v>56</v>
      </c>
      <c r="C27" s="251"/>
      <c r="D27" s="30">
        <v>2020</v>
      </c>
      <c r="E27" s="30">
        <v>2026</v>
      </c>
      <c r="F27" s="36" t="s">
        <v>57</v>
      </c>
      <c r="G27" s="34" t="s">
        <v>58</v>
      </c>
    </row>
    <row r="28" spans="1:7" ht="35.25" customHeight="1" x14ac:dyDescent="0.25">
      <c r="A28" s="28" t="s">
        <v>59</v>
      </c>
      <c r="B28" s="32" t="s">
        <v>60</v>
      </c>
      <c r="C28" s="251"/>
      <c r="D28" s="30">
        <v>2020</v>
      </c>
      <c r="E28" s="30">
        <v>2026</v>
      </c>
      <c r="F28" s="36" t="s">
        <v>61</v>
      </c>
      <c r="G28" s="34" t="s">
        <v>50</v>
      </c>
    </row>
    <row r="29" spans="1:7" ht="44.25" customHeight="1" x14ac:dyDescent="0.25">
      <c r="A29" s="37" t="s">
        <v>62</v>
      </c>
      <c r="B29" s="32" t="s">
        <v>63</v>
      </c>
      <c r="C29" s="251"/>
      <c r="D29" s="30">
        <v>2020</v>
      </c>
      <c r="E29" s="30">
        <v>2026</v>
      </c>
      <c r="F29" s="36" t="s">
        <v>61</v>
      </c>
      <c r="G29" s="34" t="s">
        <v>50</v>
      </c>
    </row>
    <row r="30" spans="1:7" ht="49.5" customHeight="1" x14ac:dyDescent="0.25">
      <c r="A30" s="38" t="s">
        <v>64</v>
      </c>
      <c r="B30" s="39" t="s">
        <v>65</v>
      </c>
      <c r="C30" s="251"/>
      <c r="D30" s="30">
        <v>2020</v>
      </c>
      <c r="E30" s="30">
        <v>2026</v>
      </c>
      <c r="F30" s="33" t="s">
        <v>66</v>
      </c>
      <c r="G30" s="34" t="s">
        <v>50</v>
      </c>
    </row>
    <row r="31" spans="1:7" ht="37.5" customHeight="1" x14ac:dyDescent="0.25">
      <c r="A31" s="38" t="s">
        <v>67</v>
      </c>
      <c r="B31" s="32" t="s">
        <v>68</v>
      </c>
      <c r="C31" s="251"/>
      <c r="D31" s="30">
        <v>2020</v>
      </c>
      <c r="E31" s="30">
        <v>2026</v>
      </c>
      <c r="F31" s="40" t="s">
        <v>69</v>
      </c>
      <c r="G31" s="34" t="s">
        <v>11</v>
      </c>
    </row>
    <row r="32" spans="1:7" ht="33.75" customHeight="1" x14ac:dyDescent="0.25">
      <c r="A32" s="38" t="s">
        <v>70</v>
      </c>
      <c r="B32" s="39" t="s">
        <v>71</v>
      </c>
      <c r="C32" s="251"/>
      <c r="D32" s="30">
        <v>2020</v>
      </c>
      <c r="E32" s="30">
        <v>2026</v>
      </c>
      <c r="F32" s="40" t="s">
        <v>72</v>
      </c>
      <c r="G32" s="34" t="s">
        <v>11</v>
      </c>
    </row>
    <row r="33" spans="1:7" ht="21" customHeight="1" x14ac:dyDescent="0.25">
      <c r="A33" s="38" t="s">
        <v>73</v>
      </c>
      <c r="B33" s="39" t="s">
        <v>74</v>
      </c>
      <c r="C33" s="251"/>
      <c r="D33" s="30">
        <v>2020</v>
      </c>
      <c r="E33" s="30">
        <v>2026</v>
      </c>
      <c r="F33" s="41" t="s">
        <v>75</v>
      </c>
      <c r="G33" s="34" t="s">
        <v>11</v>
      </c>
    </row>
    <row r="34" spans="1:7" ht="15.75" x14ac:dyDescent="0.25">
      <c r="A34" s="38" t="s">
        <v>76</v>
      </c>
      <c r="B34" s="42" t="s">
        <v>77</v>
      </c>
      <c r="C34" s="251"/>
      <c r="D34" s="30">
        <v>2020</v>
      </c>
      <c r="E34" s="30">
        <v>2026</v>
      </c>
      <c r="F34" s="34"/>
      <c r="G34" s="34"/>
    </row>
    <row r="35" spans="1:7" ht="52.5" customHeight="1" x14ac:dyDescent="0.25">
      <c r="A35" s="38" t="s">
        <v>78</v>
      </c>
      <c r="B35" s="39" t="s">
        <v>79</v>
      </c>
      <c r="C35" s="252"/>
      <c r="D35" s="30">
        <v>2020</v>
      </c>
      <c r="E35" s="30">
        <v>2026</v>
      </c>
      <c r="F35" s="40" t="s">
        <v>80</v>
      </c>
      <c r="G35" s="34" t="s">
        <v>11</v>
      </c>
    </row>
    <row r="36" spans="1:7" ht="27" customHeight="1" x14ac:dyDescent="0.25">
      <c r="A36" s="27" t="s">
        <v>81</v>
      </c>
      <c r="B36" s="253" t="s">
        <v>304</v>
      </c>
      <c r="C36" s="254"/>
      <c r="D36" s="254"/>
      <c r="E36" s="254"/>
      <c r="F36" s="254"/>
      <c r="G36" s="255"/>
    </row>
    <row r="37" spans="1:7" ht="48.75" customHeight="1" x14ac:dyDescent="0.25">
      <c r="A37" s="43" t="s">
        <v>10</v>
      </c>
      <c r="B37" s="42" t="s">
        <v>82</v>
      </c>
      <c r="C37" s="256" t="s">
        <v>83</v>
      </c>
      <c r="D37" s="30">
        <v>2020</v>
      </c>
      <c r="E37" s="30">
        <v>2026</v>
      </c>
      <c r="F37" s="44"/>
      <c r="G37" s="44"/>
    </row>
    <row r="38" spans="1:7" ht="56.25" customHeight="1" x14ac:dyDescent="0.25">
      <c r="A38" s="28" t="s">
        <v>84</v>
      </c>
      <c r="B38" s="32" t="s">
        <v>85</v>
      </c>
      <c r="C38" s="257"/>
      <c r="D38" s="30">
        <v>2020</v>
      </c>
      <c r="E38" s="30">
        <v>2026</v>
      </c>
      <c r="F38" s="33" t="s">
        <v>49</v>
      </c>
      <c r="G38" s="34" t="s">
        <v>86</v>
      </c>
    </row>
    <row r="39" spans="1:7" ht="36" customHeight="1" x14ac:dyDescent="0.25">
      <c r="A39" s="38" t="s">
        <v>87</v>
      </c>
      <c r="B39" s="39" t="s">
        <v>88</v>
      </c>
      <c r="C39" s="257"/>
      <c r="D39" s="30">
        <v>2020</v>
      </c>
      <c r="E39" s="30">
        <v>2026</v>
      </c>
      <c r="F39" s="36" t="s">
        <v>89</v>
      </c>
      <c r="G39" s="34" t="s">
        <v>86</v>
      </c>
    </row>
    <row r="40" spans="1:7" ht="39.75" customHeight="1" x14ac:dyDescent="0.25">
      <c r="A40" s="38" t="s">
        <v>11</v>
      </c>
      <c r="B40" s="42" t="s">
        <v>90</v>
      </c>
      <c r="C40" s="257"/>
      <c r="D40" s="30">
        <v>2020</v>
      </c>
      <c r="E40" s="30">
        <v>2026</v>
      </c>
      <c r="F40" s="45"/>
      <c r="G40" s="44"/>
    </row>
    <row r="41" spans="1:7" ht="37.5" customHeight="1" x14ac:dyDescent="0.25">
      <c r="A41" s="38" t="s">
        <v>91</v>
      </c>
      <c r="B41" s="39" t="s">
        <v>92</v>
      </c>
      <c r="C41" s="257"/>
      <c r="D41" s="30">
        <v>2020</v>
      </c>
      <c r="E41" s="30">
        <v>2026</v>
      </c>
      <c r="F41" s="36" t="s">
        <v>89</v>
      </c>
      <c r="G41" s="34" t="s">
        <v>12</v>
      </c>
    </row>
    <row r="42" spans="1:7" ht="36.75" customHeight="1" x14ac:dyDescent="0.25">
      <c r="A42" s="38" t="s">
        <v>93</v>
      </c>
      <c r="B42" s="39" t="s">
        <v>94</v>
      </c>
      <c r="C42" s="257"/>
      <c r="D42" s="30">
        <v>2020</v>
      </c>
      <c r="E42" s="30">
        <v>2026</v>
      </c>
      <c r="F42" s="35" t="s">
        <v>95</v>
      </c>
      <c r="G42" s="34" t="s">
        <v>96</v>
      </c>
    </row>
    <row r="43" spans="1:7" ht="42.75" customHeight="1" x14ac:dyDescent="0.25">
      <c r="A43" s="38" t="s">
        <v>97</v>
      </c>
      <c r="B43" s="39" t="s">
        <v>71</v>
      </c>
      <c r="C43" s="258"/>
      <c r="D43" s="30">
        <v>2020</v>
      </c>
      <c r="E43" s="30">
        <v>2026</v>
      </c>
      <c r="F43" s="33" t="s">
        <v>72</v>
      </c>
      <c r="G43" s="34" t="s">
        <v>12</v>
      </c>
    </row>
    <row r="44" spans="1:7" ht="162" customHeight="1" x14ac:dyDescent="0.25">
      <c r="A44" s="38" t="s">
        <v>98</v>
      </c>
      <c r="B44" s="46" t="s">
        <v>99</v>
      </c>
      <c r="C44" s="47" t="s">
        <v>100</v>
      </c>
      <c r="D44" s="48">
        <v>2020</v>
      </c>
      <c r="E44" s="30">
        <v>2026</v>
      </c>
      <c r="F44" s="35" t="s">
        <v>101</v>
      </c>
      <c r="G44" s="49" t="s">
        <v>14</v>
      </c>
    </row>
    <row r="45" spans="1:7" ht="27.75" customHeight="1" x14ac:dyDescent="0.25">
      <c r="A45" s="38" t="s">
        <v>102</v>
      </c>
      <c r="B45" s="46" t="s">
        <v>74</v>
      </c>
      <c r="C45" s="259" t="s">
        <v>83</v>
      </c>
      <c r="D45" s="48">
        <v>2020</v>
      </c>
      <c r="E45" s="30">
        <v>2026</v>
      </c>
      <c r="F45" s="50" t="s">
        <v>75</v>
      </c>
      <c r="G45" s="49" t="s">
        <v>12</v>
      </c>
    </row>
    <row r="46" spans="1:7" ht="30.75" customHeight="1" x14ac:dyDescent="0.25">
      <c r="A46" s="38" t="s">
        <v>103</v>
      </c>
      <c r="B46" s="46" t="s">
        <v>104</v>
      </c>
      <c r="C46" s="260"/>
      <c r="D46" s="48">
        <v>2020</v>
      </c>
      <c r="E46" s="30">
        <v>2026</v>
      </c>
      <c r="F46" s="35" t="s">
        <v>69</v>
      </c>
      <c r="G46" s="49" t="s">
        <v>12</v>
      </c>
    </row>
    <row r="47" spans="1:7" ht="51.75" customHeight="1" x14ac:dyDescent="0.25">
      <c r="A47" s="28" t="s">
        <v>105</v>
      </c>
      <c r="B47" s="51" t="s">
        <v>106</v>
      </c>
      <c r="C47" s="261"/>
      <c r="D47" s="48">
        <v>2020</v>
      </c>
      <c r="E47" s="30">
        <v>2026</v>
      </c>
      <c r="F47" s="50" t="s">
        <v>107</v>
      </c>
      <c r="G47" s="34" t="s">
        <v>86</v>
      </c>
    </row>
    <row r="48" spans="1:7" ht="163.15" customHeight="1" x14ac:dyDescent="0.25">
      <c r="A48" s="146" t="s">
        <v>311</v>
      </c>
      <c r="B48" s="51" t="s">
        <v>313</v>
      </c>
      <c r="C48" s="198" t="s">
        <v>100</v>
      </c>
      <c r="D48" s="48">
        <v>2020</v>
      </c>
      <c r="E48" s="30">
        <v>2026</v>
      </c>
      <c r="F48" s="35" t="s">
        <v>316</v>
      </c>
      <c r="G48" s="49" t="s">
        <v>310</v>
      </c>
    </row>
    <row r="49" spans="1:7" ht="52.5" customHeight="1" x14ac:dyDescent="0.25">
      <c r="A49" s="52" t="s">
        <v>21</v>
      </c>
      <c r="B49" s="53" t="s">
        <v>108</v>
      </c>
      <c r="C49" s="260" t="s">
        <v>83</v>
      </c>
      <c r="D49" s="48">
        <v>2020</v>
      </c>
      <c r="E49" s="30">
        <v>2026</v>
      </c>
      <c r="F49" s="44"/>
      <c r="G49" s="44"/>
    </row>
    <row r="50" spans="1:7" ht="39.75" customHeight="1" x14ac:dyDescent="0.25">
      <c r="A50" s="38" t="s">
        <v>109</v>
      </c>
      <c r="B50" s="46" t="s">
        <v>110</v>
      </c>
      <c r="C50" s="262"/>
      <c r="D50" s="48">
        <v>2020</v>
      </c>
      <c r="E50" s="30">
        <v>2026</v>
      </c>
      <c r="F50" s="35" t="s">
        <v>111</v>
      </c>
      <c r="G50" s="34" t="s">
        <v>86</v>
      </c>
    </row>
    <row r="51" spans="1:7" ht="48.75" customHeight="1" x14ac:dyDescent="0.25">
      <c r="A51" s="28" t="s">
        <v>112</v>
      </c>
      <c r="B51" s="51" t="s">
        <v>113</v>
      </c>
      <c r="C51" s="262"/>
      <c r="D51" s="48">
        <v>2020</v>
      </c>
      <c r="E51" s="30">
        <v>2026</v>
      </c>
      <c r="F51" s="35" t="s">
        <v>114</v>
      </c>
      <c r="G51" s="49" t="s">
        <v>12</v>
      </c>
    </row>
    <row r="52" spans="1:7" ht="69" customHeight="1" x14ac:dyDescent="0.25">
      <c r="A52" s="28" t="s">
        <v>115</v>
      </c>
      <c r="B52" s="51" t="s">
        <v>116</v>
      </c>
      <c r="C52" s="263"/>
      <c r="D52" s="48">
        <v>2020</v>
      </c>
      <c r="E52" s="30">
        <v>2026</v>
      </c>
      <c r="F52" s="35" t="s">
        <v>117</v>
      </c>
      <c r="G52" s="49" t="s">
        <v>14</v>
      </c>
    </row>
    <row r="53" spans="1:7" ht="21.75" customHeight="1" x14ac:dyDescent="0.25">
      <c r="A53" s="52" t="s">
        <v>118</v>
      </c>
      <c r="B53" s="243" t="s">
        <v>305</v>
      </c>
      <c r="C53" s="244"/>
      <c r="D53" s="244"/>
      <c r="E53" s="244"/>
      <c r="F53" s="244"/>
      <c r="G53" s="245"/>
    </row>
    <row r="54" spans="1:7" ht="57.75" customHeight="1" x14ac:dyDescent="0.25">
      <c r="A54" s="117" t="s">
        <v>12</v>
      </c>
      <c r="B54" s="54" t="s">
        <v>119</v>
      </c>
      <c r="C54" s="246" t="s">
        <v>83</v>
      </c>
      <c r="D54" s="48">
        <v>2020</v>
      </c>
      <c r="E54" s="48">
        <v>2026</v>
      </c>
      <c r="F54" s="44"/>
      <c r="G54" s="44"/>
    </row>
    <row r="55" spans="1:7" ht="68.25" customHeight="1" x14ac:dyDescent="0.25">
      <c r="A55" s="117" t="s">
        <v>120</v>
      </c>
      <c r="B55" s="46" t="s">
        <v>121</v>
      </c>
      <c r="C55" s="264"/>
      <c r="D55" s="48">
        <v>2020</v>
      </c>
      <c r="E55" s="48">
        <v>2026</v>
      </c>
      <c r="F55" s="35" t="s">
        <v>122</v>
      </c>
      <c r="G55" s="49" t="s">
        <v>123</v>
      </c>
    </row>
    <row r="56" spans="1:7" ht="46.5" customHeight="1" x14ac:dyDescent="0.25">
      <c r="A56" s="146" t="s">
        <v>124</v>
      </c>
      <c r="B56" s="51" t="s">
        <v>125</v>
      </c>
      <c r="C56" s="264"/>
      <c r="D56" s="48">
        <v>2020</v>
      </c>
      <c r="E56" s="48">
        <v>2026</v>
      </c>
      <c r="F56" s="35" t="s">
        <v>126</v>
      </c>
      <c r="G56" s="49" t="s">
        <v>123</v>
      </c>
    </row>
    <row r="57" spans="1:7" ht="55.5" customHeight="1" x14ac:dyDescent="0.25">
      <c r="A57" s="214" t="s">
        <v>127</v>
      </c>
      <c r="B57" s="51" t="s">
        <v>128</v>
      </c>
      <c r="C57" s="264"/>
      <c r="D57" s="48">
        <v>2020</v>
      </c>
      <c r="E57" s="48">
        <v>2026</v>
      </c>
      <c r="F57" s="35" t="s">
        <v>129</v>
      </c>
      <c r="G57" s="49" t="s">
        <v>123</v>
      </c>
    </row>
    <row r="58" spans="1:7" ht="52.5" customHeight="1" x14ac:dyDescent="0.25">
      <c r="A58" s="214" t="s">
        <v>130</v>
      </c>
      <c r="B58" s="51" t="s">
        <v>131</v>
      </c>
      <c r="C58" s="264"/>
      <c r="D58" s="48">
        <v>2020</v>
      </c>
      <c r="E58" s="48">
        <v>2026</v>
      </c>
      <c r="F58" s="35" t="s">
        <v>129</v>
      </c>
      <c r="G58" s="49" t="s">
        <v>123</v>
      </c>
    </row>
    <row r="59" spans="1:7" ht="52.5" customHeight="1" x14ac:dyDescent="0.25">
      <c r="A59" s="213" t="s">
        <v>132</v>
      </c>
      <c r="B59" s="46" t="s">
        <v>133</v>
      </c>
      <c r="C59" s="264"/>
      <c r="D59" s="48">
        <v>2020</v>
      </c>
      <c r="E59" s="48">
        <v>2026</v>
      </c>
      <c r="F59" s="35" t="s">
        <v>122</v>
      </c>
      <c r="G59" s="49" t="s">
        <v>123</v>
      </c>
    </row>
    <row r="60" spans="1:7" ht="39" customHeight="1" x14ac:dyDescent="0.25">
      <c r="A60" s="213" t="s">
        <v>13</v>
      </c>
      <c r="B60" s="54" t="s">
        <v>134</v>
      </c>
      <c r="C60" s="264"/>
      <c r="D60" s="48">
        <v>2020</v>
      </c>
      <c r="E60" s="48">
        <v>2026</v>
      </c>
      <c r="F60" s="45"/>
      <c r="G60" s="44"/>
    </row>
    <row r="61" spans="1:7" ht="23.25" customHeight="1" x14ac:dyDescent="0.25">
      <c r="A61" s="214" t="s">
        <v>135</v>
      </c>
      <c r="B61" s="51" t="s">
        <v>136</v>
      </c>
      <c r="C61" s="264"/>
      <c r="D61" s="48">
        <v>2020</v>
      </c>
      <c r="E61" s="48">
        <v>2026</v>
      </c>
      <c r="F61" s="50" t="s">
        <v>137</v>
      </c>
      <c r="G61" s="49" t="s">
        <v>123</v>
      </c>
    </row>
    <row r="62" spans="1:7" ht="41.25" customHeight="1" x14ac:dyDescent="0.25">
      <c r="A62" s="214" t="s">
        <v>138</v>
      </c>
      <c r="B62" s="46" t="s">
        <v>71</v>
      </c>
      <c r="C62" s="264"/>
      <c r="D62" s="48">
        <v>2020</v>
      </c>
      <c r="E62" s="48">
        <v>2026</v>
      </c>
      <c r="F62" s="35" t="s">
        <v>72</v>
      </c>
      <c r="G62" s="49" t="s">
        <v>16</v>
      </c>
    </row>
    <row r="63" spans="1:7" ht="37.15" customHeight="1" x14ac:dyDescent="0.25">
      <c r="A63" s="214" t="s">
        <v>139</v>
      </c>
      <c r="B63" s="51" t="s">
        <v>104</v>
      </c>
      <c r="C63" s="264"/>
      <c r="D63" s="48">
        <v>2020</v>
      </c>
      <c r="E63" s="48">
        <v>2026</v>
      </c>
      <c r="F63" s="35" t="s">
        <v>69</v>
      </c>
      <c r="G63" s="49" t="s">
        <v>16</v>
      </c>
    </row>
    <row r="64" spans="1:7" ht="49.15" customHeight="1" x14ac:dyDescent="0.25">
      <c r="A64" s="214" t="s">
        <v>140</v>
      </c>
      <c r="B64" s="53" t="s">
        <v>141</v>
      </c>
      <c r="C64" s="264"/>
      <c r="D64" s="48">
        <v>2021</v>
      </c>
      <c r="E64" s="48">
        <v>2026</v>
      </c>
      <c r="F64" s="35" t="s">
        <v>142</v>
      </c>
      <c r="G64" s="49" t="s">
        <v>165</v>
      </c>
    </row>
    <row r="65" spans="1:7" ht="78.75" x14ac:dyDescent="0.25">
      <c r="A65" s="214" t="s">
        <v>339</v>
      </c>
      <c r="B65" s="53" t="s">
        <v>341</v>
      </c>
      <c r="C65" s="264"/>
      <c r="D65" s="48">
        <v>2023</v>
      </c>
      <c r="E65" s="48">
        <v>2026</v>
      </c>
      <c r="F65" s="35"/>
      <c r="G65" s="49" t="s">
        <v>342</v>
      </c>
    </row>
    <row r="66" spans="1:7" ht="63" x14ac:dyDescent="0.25">
      <c r="A66" s="214" t="s">
        <v>340</v>
      </c>
      <c r="B66" s="51" t="s">
        <v>345</v>
      </c>
      <c r="C66" s="265"/>
      <c r="D66" s="48">
        <v>2023</v>
      </c>
      <c r="E66" s="48">
        <v>2026</v>
      </c>
      <c r="F66" s="35" t="s">
        <v>142</v>
      </c>
      <c r="G66" s="49" t="s">
        <v>342</v>
      </c>
    </row>
    <row r="67" spans="1:7" ht="23.25" customHeight="1" x14ac:dyDescent="0.25">
      <c r="A67" s="57" t="s">
        <v>143</v>
      </c>
      <c r="B67" s="29" t="s">
        <v>144</v>
      </c>
      <c r="C67" s="58"/>
      <c r="D67" s="48">
        <v>2020</v>
      </c>
      <c r="E67" s="30">
        <v>2026</v>
      </c>
      <c r="F67" s="31"/>
      <c r="G67" s="34"/>
    </row>
    <row r="68" spans="1:7" ht="45.75" customHeight="1" x14ac:dyDescent="0.25">
      <c r="A68" s="55" t="s">
        <v>16</v>
      </c>
      <c r="B68" s="53" t="s">
        <v>145</v>
      </c>
      <c r="C68" s="246" t="s">
        <v>146</v>
      </c>
      <c r="D68" s="48">
        <v>2020</v>
      </c>
      <c r="E68" s="30">
        <v>2026</v>
      </c>
      <c r="F68" s="44"/>
      <c r="G68" s="44"/>
    </row>
    <row r="69" spans="1:7" ht="37.5" customHeight="1" x14ac:dyDescent="0.25">
      <c r="A69" s="55" t="s">
        <v>147</v>
      </c>
      <c r="B69" s="51" t="s">
        <v>148</v>
      </c>
      <c r="C69" s="247"/>
      <c r="D69" s="48">
        <v>2020</v>
      </c>
      <c r="E69" s="30">
        <v>2026</v>
      </c>
      <c r="F69" s="50" t="s">
        <v>149</v>
      </c>
      <c r="G69" s="59" t="s">
        <v>150</v>
      </c>
    </row>
    <row r="70" spans="1:7" ht="41.25" customHeight="1" x14ac:dyDescent="0.25">
      <c r="A70" s="55" t="s">
        <v>151</v>
      </c>
      <c r="B70" s="51" t="s">
        <v>152</v>
      </c>
      <c r="C70" s="247"/>
      <c r="D70" s="48">
        <v>2020</v>
      </c>
      <c r="E70" s="30">
        <v>2026</v>
      </c>
      <c r="F70" s="35" t="s">
        <v>153</v>
      </c>
      <c r="G70" s="59" t="s">
        <v>150</v>
      </c>
    </row>
    <row r="71" spans="1:7" ht="37.5" customHeight="1" x14ac:dyDescent="0.25">
      <c r="A71" s="55" t="s">
        <v>154</v>
      </c>
      <c r="B71" s="51" t="s">
        <v>155</v>
      </c>
      <c r="C71" s="247"/>
      <c r="D71" s="48">
        <v>2020</v>
      </c>
      <c r="E71" s="30">
        <v>2026</v>
      </c>
      <c r="F71" s="35" t="s">
        <v>156</v>
      </c>
      <c r="G71" s="49" t="s">
        <v>12</v>
      </c>
    </row>
    <row r="72" spans="1:7" ht="55.5" customHeight="1" x14ac:dyDescent="0.25">
      <c r="A72" s="55" t="s">
        <v>157</v>
      </c>
      <c r="B72" s="51" t="s">
        <v>158</v>
      </c>
      <c r="C72" s="247"/>
      <c r="D72" s="48">
        <v>2020</v>
      </c>
      <c r="E72" s="30">
        <v>2026</v>
      </c>
      <c r="F72" s="50" t="s">
        <v>159</v>
      </c>
      <c r="G72" s="49" t="s">
        <v>160</v>
      </c>
    </row>
    <row r="73" spans="1:7" ht="40.5" customHeight="1" x14ac:dyDescent="0.25">
      <c r="A73" s="60" t="s">
        <v>17</v>
      </c>
      <c r="B73" s="61" t="s">
        <v>161</v>
      </c>
      <c r="C73" s="247"/>
      <c r="D73" s="48">
        <v>2020</v>
      </c>
      <c r="E73" s="30">
        <v>2026</v>
      </c>
      <c r="F73" s="45"/>
      <c r="G73" s="44"/>
    </row>
    <row r="74" spans="1:7" ht="78.75" customHeight="1" x14ac:dyDescent="0.25">
      <c r="A74" s="56" t="s">
        <v>162</v>
      </c>
      <c r="B74" s="62" t="s">
        <v>344</v>
      </c>
      <c r="C74" s="247"/>
      <c r="D74" s="48">
        <v>2020</v>
      </c>
      <c r="E74" s="30">
        <v>2026</v>
      </c>
      <c r="F74" s="63" t="s">
        <v>164</v>
      </c>
      <c r="G74" s="49" t="s">
        <v>15</v>
      </c>
    </row>
    <row r="75" spans="1:7" ht="35.25" customHeight="1" x14ac:dyDescent="0.25">
      <c r="A75" s="64" t="s">
        <v>165</v>
      </c>
      <c r="B75" s="65" t="s">
        <v>166</v>
      </c>
      <c r="C75" s="247"/>
      <c r="D75" s="48">
        <v>2020</v>
      </c>
      <c r="E75" s="30">
        <v>2026</v>
      </c>
      <c r="F75" s="66"/>
      <c r="G75" s="67"/>
    </row>
    <row r="76" spans="1:7" ht="50.25" customHeight="1" x14ac:dyDescent="0.25">
      <c r="A76" s="68" t="s">
        <v>167</v>
      </c>
      <c r="B76" s="62" t="s">
        <v>168</v>
      </c>
      <c r="C76" s="248"/>
      <c r="D76" s="48">
        <v>2020</v>
      </c>
      <c r="E76" s="30">
        <v>2026</v>
      </c>
      <c r="F76" s="50" t="s">
        <v>169</v>
      </c>
      <c r="G76" s="49" t="s">
        <v>9</v>
      </c>
    </row>
  </sheetData>
  <mergeCells count="22">
    <mergeCell ref="D1:G1"/>
    <mergeCell ref="D2:G2"/>
    <mergeCell ref="D3:G3"/>
    <mergeCell ref="D4:G5"/>
    <mergeCell ref="D6:G9"/>
    <mergeCell ref="A11:G16"/>
    <mergeCell ref="B17:G17"/>
    <mergeCell ref="B19:B20"/>
    <mergeCell ref="C19:C20"/>
    <mergeCell ref="D19:E19"/>
    <mergeCell ref="F19:F20"/>
    <mergeCell ref="G19:G20"/>
    <mergeCell ref="B53:G53"/>
    <mergeCell ref="C68:C76"/>
    <mergeCell ref="B21:G21"/>
    <mergeCell ref="B22:G22"/>
    <mergeCell ref="C23:C35"/>
    <mergeCell ref="B36:G36"/>
    <mergeCell ref="C37:C43"/>
    <mergeCell ref="C45:C47"/>
    <mergeCell ref="C49:C52"/>
    <mergeCell ref="C54:C6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85" zoomScaleNormal="80" zoomScaleSheetLayoutView="85" workbookViewId="0">
      <selection activeCell="K4" sqref="K4:P4"/>
    </sheetView>
  </sheetViews>
  <sheetFormatPr defaultColWidth="8.85546875" defaultRowHeight="15" x14ac:dyDescent="0.25"/>
  <cols>
    <col min="1" max="1" width="4.42578125" style="15" customWidth="1"/>
    <col min="2" max="2" width="36.5703125" style="15" customWidth="1"/>
    <col min="3" max="3" width="12" style="15" customWidth="1"/>
    <col min="4" max="4" width="11.5703125" style="15" customWidth="1"/>
    <col min="5" max="5" width="11.28515625" style="15" customWidth="1"/>
    <col min="6" max="6" width="11.85546875" style="15" customWidth="1"/>
    <col min="7" max="10" width="12.140625" style="15" customWidth="1"/>
    <col min="11" max="11" width="14.140625" style="15" customWidth="1"/>
    <col min="12" max="12" width="13.42578125" style="15" customWidth="1"/>
    <col min="13" max="13" width="14.7109375" style="15" customWidth="1"/>
    <col min="14" max="14" width="18.140625" style="15" customWidth="1"/>
    <col min="15" max="15" width="20.7109375" style="15" customWidth="1"/>
    <col min="16" max="16" width="17" style="15" customWidth="1"/>
    <col min="17" max="16384" width="8.85546875" style="15"/>
  </cols>
  <sheetData>
    <row r="1" spans="1:16" customFormat="1" ht="15.75" x14ac:dyDescent="0.25">
      <c r="C1" s="140"/>
      <c r="D1" s="15"/>
      <c r="E1" s="15"/>
      <c r="F1" s="15"/>
      <c r="G1" s="15"/>
      <c r="H1" s="15"/>
      <c r="I1" s="15"/>
      <c r="K1" s="272" t="s">
        <v>309</v>
      </c>
      <c r="L1" s="273"/>
      <c r="M1" s="273"/>
      <c r="N1" s="273"/>
      <c r="O1" s="273"/>
      <c r="P1" s="273"/>
    </row>
    <row r="2" spans="1:16" customFormat="1" ht="15.75" x14ac:dyDescent="0.25">
      <c r="C2" s="140"/>
      <c r="D2" s="15"/>
      <c r="E2" s="15"/>
      <c r="F2" s="15"/>
      <c r="G2" s="15"/>
      <c r="H2" s="15"/>
      <c r="I2" s="15"/>
      <c r="K2" s="272" t="s">
        <v>385</v>
      </c>
      <c r="L2" s="273"/>
      <c r="M2" s="273"/>
      <c r="N2" s="273"/>
      <c r="O2" s="273"/>
      <c r="P2" s="273"/>
    </row>
    <row r="3" spans="1:16" customFormat="1" ht="15.75" x14ac:dyDescent="0.25">
      <c r="C3" s="140"/>
      <c r="D3" s="15"/>
      <c r="E3" s="15"/>
      <c r="F3" s="15"/>
      <c r="G3" s="15"/>
      <c r="H3" s="15"/>
      <c r="I3" s="15"/>
      <c r="K3" s="272" t="s">
        <v>292</v>
      </c>
      <c r="L3" s="273"/>
      <c r="M3" s="273"/>
      <c r="N3" s="273"/>
      <c r="O3" s="273"/>
      <c r="P3" s="273"/>
    </row>
    <row r="4" spans="1:16" customFormat="1" ht="15.75" x14ac:dyDescent="0.25">
      <c r="D4" s="15"/>
      <c r="E4" s="15"/>
      <c r="F4" s="15"/>
      <c r="G4" s="15"/>
      <c r="H4" s="15"/>
      <c r="I4" s="15"/>
      <c r="K4" s="274" t="s">
        <v>391</v>
      </c>
      <c r="L4" s="275"/>
      <c r="M4" s="275"/>
      <c r="N4" s="275"/>
      <c r="O4" s="273"/>
      <c r="P4" s="273"/>
    </row>
    <row r="5" spans="1:16" customFormat="1" x14ac:dyDescent="0.25">
      <c r="D5" s="15"/>
      <c r="E5" s="15"/>
      <c r="F5" s="15"/>
      <c r="G5" s="15"/>
      <c r="H5" s="15"/>
      <c r="I5" s="15"/>
      <c r="K5" s="230"/>
      <c r="L5" s="237"/>
      <c r="M5" s="238"/>
      <c r="N5" s="238"/>
      <c r="O5" s="238"/>
      <c r="P5" s="229"/>
    </row>
    <row r="6" spans="1:16" customFormat="1" ht="15.75" x14ac:dyDescent="0.25">
      <c r="D6" s="15"/>
      <c r="E6" s="15"/>
      <c r="F6" s="15"/>
      <c r="G6" s="15"/>
      <c r="H6" s="15"/>
      <c r="I6" s="15"/>
      <c r="K6" s="230"/>
      <c r="L6" s="275" t="s">
        <v>386</v>
      </c>
      <c r="M6" s="273"/>
      <c r="N6" s="273"/>
      <c r="O6" s="273"/>
      <c r="P6" s="229"/>
    </row>
    <row r="7" spans="1:16" customFormat="1" ht="15.75" x14ac:dyDescent="0.25">
      <c r="D7" s="15"/>
      <c r="E7" s="15"/>
      <c r="F7" s="15"/>
      <c r="G7" s="15"/>
      <c r="H7" s="15"/>
      <c r="I7" s="15"/>
      <c r="K7" s="230"/>
      <c r="L7" s="275" t="s">
        <v>387</v>
      </c>
      <c r="M7" s="273"/>
      <c r="N7" s="273"/>
      <c r="O7" s="273"/>
      <c r="P7" s="229"/>
    </row>
    <row r="8" spans="1:16" customFormat="1" ht="15.75" x14ac:dyDescent="0.25">
      <c r="D8" s="15"/>
      <c r="E8" s="15"/>
      <c r="F8" s="15"/>
      <c r="G8" s="15"/>
      <c r="H8" s="15"/>
      <c r="I8" s="15"/>
      <c r="K8" s="230"/>
      <c r="L8" s="275" t="s">
        <v>388</v>
      </c>
      <c r="M8" s="273"/>
      <c r="N8" s="273"/>
      <c r="O8" s="273"/>
      <c r="P8" s="229"/>
    </row>
    <row r="9" spans="1:16" ht="15.75" x14ac:dyDescent="0.25">
      <c r="A9" s="131"/>
      <c r="B9" s="131"/>
      <c r="C9" s="131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38"/>
      <c r="P9" s="238"/>
    </row>
    <row r="10" spans="1:16" ht="15.75" x14ac:dyDescent="0.25">
      <c r="A10" s="131"/>
      <c r="B10" s="131"/>
      <c r="C10" s="131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38"/>
      <c r="P10" s="238"/>
    </row>
    <row r="11" spans="1:16" ht="15" customHeight="1" x14ac:dyDescent="0.25">
      <c r="A11" s="276" t="s">
        <v>389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2" spans="1:16" ht="12" customHeight="1" x14ac:dyDescent="0.2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</row>
    <row r="13" spans="1:16" ht="15" customHeight="1" x14ac:dyDescent="0.2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</row>
    <row r="14" spans="1:16" ht="15" customHeight="1" x14ac:dyDescent="0.2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</row>
    <row r="15" spans="1:16" ht="15.75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6" ht="15" customHeight="1" x14ac:dyDescent="0.25">
      <c r="A16" s="259" t="s">
        <v>36</v>
      </c>
      <c r="B16" s="246" t="s">
        <v>283</v>
      </c>
      <c r="C16" s="277" t="s">
        <v>284</v>
      </c>
      <c r="D16" s="278"/>
      <c r="E16" s="278"/>
      <c r="F16" s="278"/>
      <c r="G16" s="278"/>
      <c r="H16" s="278"/>
      <c r="I16" s="279"/>
      <c r="J16" s="280" t="s">
        <v>285</v>
      </c>
      <c r="K16" s="280"/>
      <c r="L16" s="280"/>
      <c r="M16" s="280"/>
      <c r="N16" s="280"/>
      <c r="O16" s="280"/>
      <c r="P16" s="280"/>
    </row>
    <row r="17" spans="1:16" ht="15.75" x14ac:dyDescent="0.25">
      <c r="A17" s="261"/>
      <c r="B17" s="265"/>
      <c r="C17" s="136">
        <v>2020</v>
      </c>
      <c r="D17" s="136">
        <v>2021</v>
      </c>
      <c r="E17" s="136">
        <v>2022</v>
      </c>
      <c r="F17" s="136">
        <v>2023</v>
      </c>
      <c r="G17" s="136">
        <v>2024</v>
      </c>
      <c r="H17" s="171">
        <v>2025</v>
      </c>
      <c r="I17" s="209">
        <v>2026</v>
      </c>
      <c r="J17" s="136">
        <v>2020</v>
      </c>
      <c r="K17" s="136">
        <v>2021</v>
      </c>
      <c r="L17" s="166">
        <v>2022</v>
      </c>
      <c r="M17" s="136">
        <v>2023</v>
      </c>
      <c r="N17" s="136">
        <v>2024</v>
      </c>
      <c r="O17" s="172">
        <v>2025</v>
      </c>
      <c r="P17" s="209">
        <v>2026</v>
      </c>
    </row>
    <row r="18" spans="1:16" ht="63" x14ac:dyDescent="0.25">
      <c r="A18" s="137">
        <v>1</v>
      </c>
      <c r="B18" s="20" t="s">
        <v>286</v>
      </c>
      <c r="C18" s="102">
        <v>744</v>
      </c>
      <c r="D18" s="102">
        <v>711</v>
      </c>
      <c r="E18" s="102">
        <v>713</v>
      </c>
      <c r="F18" s="102">
        <v>663</v>
      </c>
      <c r="G18" s="102">
        <v>662</v>
      </c>
      <c r="H18" s="102">
        <v>662</v>
      </c>
      <c r="I18" s="102">
        <v>662</v>
      </c>
      <c r="J18" s="104">
        <f>'4'!H19</f>
        <v>42507.56</v>
      </c>
      <c r="K18" s="104">
        <f>'4'!I19</f>
        <v>42483.75</v>
      </c>
      <c r="L18" s="104">
        <f>'4'!J19</f>
        <v>45122.378689999896</v>
      </c>
      <c r="M18" s="104">
        <f>'4'!K19</f>
        <v>53226.279599999994</v>
      </c>
      <c r="N18" s="104">
        <f>'4'!L19</f>
        <v>54428.438179999997</v>
      </c>
      <c r="O18" s="104">
        <f>'4'!M19</f>
        <v>53565.487999999998</v>
      </c>
      <c r="P18" s="104">
        <f>'4'!N19</f>
        <v>53029.688000000002</v>
      </c>
    </row>
    <row r="19" spans="1:16" ht="94.5" x14ac:dyDescent="0.25">
      <c r="A19" s="137">
        <v>2</v>
      </c>
      <c r="B19" s="20" t="s">
        <v>287</v>
      </c>
      <c r="C19" s="102">
        <v>2242</v>
      </c>
      <c r="D19" s="102">
        <v>2201</v>
      </c>
      <c r="E19" s="102">
        <v>2200</v>
      </c>
      <c r="F19" s="102">
        <v>2088</v>
      </c>
      <c r="G19" s="102">
        <v>2079</v>
      </c>
      <c r="H19" s="102">
        <v>2079</v>
      </c>
      <c r="I19" s="102">
        <v>2079</v>
      </c>
      <c r="J19" s="104">
        <f>'4'!H34</f>
        <v>88065.630000000019</v>
      </c>
      <c r="K19" s="104">
        <f>'4'!I34</f>
        <v>93259.809999999983</v>
      </c>
      <c r="L19" s="104">
        <f>'4'!J34</f>
        <v>98719.74384000001</v>
      </c>
      <c r="M19" s="104">
        <f>'4'!K34</f>
        <v>109790.92304000001</v>
      </c>
      <c r="N19" s="104">
        <f>'4'!L34</f>
        <v>126170.0598</v>
      </c>
      <c r="O19" s="104">
        <f>'4'!M34</f>
        <v>115452.712</v>
      </c>
      <c r="P19" s="104">
        <f>'4'!N34</f>
        <v>114952.712</v>
      </c>
    </row>
    <row r="20" spans="1:16" ht="94.5" x14ac:dyDescent="0.25">
      <c r="A20" s="138">
        <v>3</v>
      </c>
      <c r="B20" s="139" t="s">
        <v>288</v>
      </c>
      <c r="C20" s="102">
        <v>924</v>
      </c>
      <c r="D20" s="102">
        <v>842</v>
      </c>
      <c r="E20" s="102">
        <v>744</v>
      </c>
      <c r="F20" s="102">
        <v>706</v>
      </c>
      <c r="G20" s="102">
        <v>706</v>
      </c>
      <c r="H20" s="102">
        <v>706</v>
      </c>
      <c r="I20" s="102">
        <v>706</v>
      </c>
      <c r="J20" s="104">
        <f>'4'!H53</f>
        <v>21603.200000000001</v>
      </c>
      <c r="K20" s="104">
        <f>'4'!I53</f>
        <v>23284.740000000005</v>
      </c>
      <c r="L20" s="104">
        <f>'4'!J53</f>
        <v>24214.664689999998</v>
      </c>
      <c r="M20" s="104">
        <f>'4'!K53</f>
        <v>26982.775319999997</v>
      </c>
      <c r="N20" s="104">
        <f>'4'!L53</f>
        <v>26734.985140000001</v>
      </c>
      <c r="O20" s="104">
        <f>'4'!M53</f>
        <v>25267.092000000001</v>
      </c>
      <c r="P20" s="104">
        <f>'4'!N53</f>
        <v>24767.092000000001</v>
      </c>
    </row>
    <row r="21" spans="1:16" ht="78.75" x14ac:dyDescent="0.25">
      <c r="A21" s="138">
        <v>4</v>
      </c>
      <c r="B21" s="20" t="s">
        <v>289</v>
      </c>
      <c r="C21" s="102">
        <v>1240</v>
      </c>
      <c r="D21" s="102">
        <v>1400</v>
      </c>
      <c r="E21" s="102">
        <v>1390</v>
      </c>
      <c r="F21" s="102">
        <v>1423</v>
      </c>
      <c r="G21" s="102">
        <v>1423</v>
      </c>
      <c r="H21" s="102">
        <v>1415</v>
      </c>
      <c r="I21" s="102">
        <v>1415</v>
      </c>
      <c r="J21" s="104">
        <f>'4'!H90</f>
        <v>2043.3989999999999</v>
      </c>
      <c r="K21" s="104">
        <f>'4'!I90</f>
        <v>2073.77</v>
      </c>
      <c r="L21" s="104">
        <f>'4'!J90</f>
        <v>2283.4047799999998</v>
      </c>
      <c r="M21" s="104">
        <f>'4'!K90</f>
        <v>2614.5340000000001</v>
      </c>
      <c r="N21" s="104">
        <f>'4'!L90</f>
        <v>2874.0239999999999</v>
      </c>
      <c r="O21" s="104">
        <f>'4'!M90</f>
        <v>1954.2059999999999</v>
      </c>
      <c r="P21" s="104">
        <f>'4'!N90</f>
        <v>2135.9830000000002</v>
      </c>
    </row>
    <row r="22" spans="1:16" ht="15.75" x14ac:dyDescent="0.25">
      <c r="A22" s="137"/>
      <c r="B22" s="130" t="s">
        <v>290</v>
      </c>
      <c r="C22" s="137">
        <f t="shared" ref="C22:O22" si="0">SUM(C18:C21)</f>
        <v>5150</v>
      </c>
      <c r="D22" s="137">
        <f t="shared" si="0"/>
        <v>5154</v>
      </c>
      <c r="E22" s="137">
        <f t="shared" si="0"/>
        <v>5047</v>
      </c>
      <c r="F22" s="137">
        <f t="shared" si="0"/>
        <v>4880</v>
      </c>
      <c r="G22" s="137">
        <f t="shared" si="0"/>
        <v>4870</v>
      </c>
      <c r="H22" s="137">
        <f t="shared" si="0"/>
        <v>4862</v>
      </c>
      <c r="I22" s="137">
        <f t="shared" si="0"/>
        <v>4862</v>
      </c>
      <c r="J22" s="141">
        <f>SUM(J18:J21)</f>
        <v>154219.78900000002</v>
      </c>
      <c r="K22" s="137">
        <f t="shared" si="0"/>
        <v>161102.06999999998</v>
      </c>
      <c r="L22" s="142">
        <f t="shared" si="0"/>
        <v>170340.19199999992</v>
      </c>
      <c r="M22" s="141">
        <f>SUM(M18:M21)</f>
        <v>192614.51196</v>
      </c>
      <c r="N22" s="137">
        <f t="shared" si="0"/>
        <v>210207.50711999999</v>
      </c>
      <c r="O22" s="137">
        <f t="shared" si="0"/>
        <v>196239.49800000002</v>
      </c>
      <c r="P22" s="137">
        <f>SUM(P18:P21)</f>
        <v>194885.47500000001</v>
      </c>
    </row>
  </sheetData>
  <mergeCells count="14">
    <mergeCell ref="A11:N14"/>
    <mergeCell ref="A16:A17"/>
    <mergeCell ref="B16:B17"/>
    <mergeCell ref="C16:I16"/>
    <mergeCell ref="J16:P16"/>
    <mergeCell ref="K1:P1"/>
    <mergeCell ref="K2:P2"/>
    <mergeCell ref="K3:P3"/>
    <mergeCell ref="K4:P4"/>
    <mergeCell ref="D9:P10"/>
    <mergeCell ref="L5:O5"/>
    <mergeCell ref="L6:O6"/>
    <mergeCell ref="L7:O7"/>
    <mergeCell ref="L8:O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view="pageBreakPreview" zoomScale="85" zoomScaleNormal="80" zoomScaleSheetLayoutView="85" workbookViewId="0">
      <selection activeCell="J2" sqref="J2:O2"/>
    </sheetView>
  </sheetViews>
  <sheetFormatPr defaultColWidth="9.140625" defaultRowHeight="15" x14ac:dyDescent="0.25"/>
  <cols>
    <col min="1" max="1" width="7.85546875" style="15" customWidth="1"/>
    <col min="2" max="2" width="55" style="15" customWidth="1"/>
    <col min="3" max="3" width="16.5703125" style="15" customWidth="1"/>
    <col min="4" max="4" width="6.42578125" style="15" customWidth="1"/>
    <col min="5" max="5" width="6.28515625" style="15" customWidth="1"/>
    <col min="6" max="6" width="14" style="15" customWidth="1"/>
    <col min="7" max="7" width="9" style="15" customWidth="1"/>
    <col min="8" max="14" width="12.28515625" style="15" customWidth="1"/>
    <col min="15" max="15" width="14.140625" style="15" customWidth="1"/>
    <col min="16" max="16" width="13.7109375" style="15" customWidth="1"/>
    <col min="17" max="16384" width="9.140625" style="15"/>
  </cols>
  <sheetData>
    <row r="1" spans="1:16" customFormat="1" x14ac:dyDescent="0.25">
      <c r="C1" s="140"/>
      <c r="D1" s="15"/>
      <c r="E1" s="15"/>
      <c r="F1" s="15"/>
      <c r="G1" s="15"/>
      <c r="J1" s="235" t="s">
        <v>309</v>
      </c>
      <c r="K1" s="235"/>
      <c r="L1" s="235"/>
      <c r="M1" s="235"/>
      <c r="N1" s="235"/>
      <c r="O1" s="235"/>
    </row>
    <row r="2" spans="1:16" customFormat="1" x14ac:dyDescent="0.25">
      <c r="C2" s="140"/>
      <c r="D2" s="15"/>
      <c r="E2" s="15"/>
      <c r="F2" s="15"/>
      <c r="G2" s="15"/>
      <c r="J2" s="235" t="s">
        <v>291</v>
      </c>
      <c r="K2" s="235"/>
      <c r="L2" s="235"/>
      <c r="M2" s="235"/>
      <c r="N2" s="235"/>
      <c r="O2" s="235"/>
    </row>
    <row r="3" spans="1:16" customFormat="1" x14ac:dyDescent="0.25">
      <c r="C3" s="140"/>
      <c r="D3" s="15"/>
      <c r="E3" s="15"/>
      <c r="F3" s="15"/>
      <c r="G3" s="15"/>
      <c r="J3" s="235" t="s">
        <v>292</v>
      </c>
      <c r="K3" s="235"/>
      <c r="L3" s="235"/>
      <c r="M3" s="235"/>
      <c r="N3" s="235"/>
      <c r="O3" s="235"/>
    </row>
    <row r="4" spans="1:16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69"/>
      <c r="K4" s="69" t="s">
        <v>356</v>
      </c>
      <c r="L4" s="69"/>
      <c r="M4" s="69"/>
      <c r="N4" s="69"/>
      <c r="O4" s="69"/>
    </row>
    <row r="5" spans="1:16" ht="18.75" x14ac:dyDescent="0.3">
      <c r="A5" s="90"/>
      <c r="B5" s="90"/>
      <c r="C5" s="90"/>
      <c r="D5" s="90"/>
      <c r="E5" s="90"/>
      <c r="F5" s="90"/>
      <c r="G5" s="90"/>
      <c r="H5" s="286" t="s">
        <v>349</v>
      </c>
      <c r="I5" s="286"/>
      <c r="J5" s="286"/>
      <c r="K5" s="286"/>
      <c r="L5" s="286"/>
      <c r="M5" s="190"/>
      <c r="N5" s="210"/>
    </row>
    <row r="6" spans="1:16" ht="18.75" x14ac:dyDescent="0.3">
      <c r="A6" s="90"/>
      <c r="B6" s="90"/>
      <c r="C6" s="90"/>
      <c r="D6" s="90"/>
      <c r="E6" s="90"/>
      <c r="F6" s="90"/>
      <c r="G6" s="90"/>
      <c r="H6" s="286"/>
      <c r="I6" s="286"/>
      <c r="J6" s="286"/>
      <c r="K6" s="286"/>
      <c r="L6" s="286"/>
      <c r="M6" s="190"/>
      <c r="N6" s="210"/>
    </row>
    <row r="7" spans="1:16" ht="18.75" x14ac:dyDescent="0.3">
      <c r="A7" s="90"/>
      <c r="B7" s="90"/>
      <c r="C7" s="90"/>
      <c r="D7" s="90"/>
      <c r="E7" s="90"/>
      <c r="F7" s="90"/>
      <c r="G7" s="90"/>
      <c r="H7" s="286"/>
      <c r="I7" s="286"/>
      <c r="J7" s="286"/>
      <c r="K7" s="286"/>
      <c r="L7" s="286"/>
      <c r="M7" s="190"/>
      <c r="N7" s="210"/>
    </row>
    <row r="8" spans="1:16" ht="18.75" x14ac:dyDescent="0.3">
      <c r="A8" s="90"/>
      <c r="B8" s="90"/>
      <c r="C8" s="90"/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</row>
    <row r="9" spans="1:16" ht="18.75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6" ht="18.75" x14ac:dyDescent="0.3">
      <c r="A10" s="286" t="s">
        <v>350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190"/>
      <c r="N10" s="210"/>
    </row>
    <row r="11" spans="1:16" ht="18.75" x14ac:dyDescent="0.3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190"/>
      <c r="N11" s="210"/>
    </row>
    <row r="12" spans="1:16" ht="18.75" x14ac:dyDescent="0.3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190"/>
      <c r="N12" s="210"/>
    </row>
    <row r="13" spans="1:16" ht="18.75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6" ht="15.75" x14ac:dyDescent="0.25">
      <c r="A14" s="287" t="s">
        <v>36</v>
      </c>
      <c r="B14" s="259" t="s">
        <v>37</v>
      </c>
      <c r="C14" s="259" t="s">
        <v>38</v>
      </c>
      <c r="D14" s="288" t="s">
        <v>201</v>
      </c>
      <c r="E14" s="289"/>
      <c r="F14" s="289"/>
      <c r="G14" s="290"/>
      <c r="H14" s="291" t="s">
        <v>202</v>
      </c>
      <c r="I14" s="292"/>
      <c r="J14" s="292"/>
      <c r="K14" s="292"/>
      <c r="L14" s="292"/>
      <c r="M14" s="292"/>
      <c r="N14" s="292"/>
      <c r="O14" s="292"/>
    </row>
    <row r="15" spans="1:16" ht="15.75" x14ac:dyDescent="0.25">
      <c r="A15" s="287"/>
      <c r="B15" s="261"/>
      <c r="C15" s="261"/>
      <c r="D15" s="191" t="s">
        <v>203</v>
      </c>
      <c r="E15" s="191" t="s">
        <v>204</v>
      </c>
      <c r="F15" s="191" t="s">
        <v>205</v>
      </c>
      <c r="G15" s="191" t="s">
        <v>206</v>
      </c>
      <c r="H15" s="189">
        <v>2020</v>
      </c>
      <c r="I15" s="189">
        <v>2021</v>
      </c>
      <c r="J15" s="202">
        <v>2022</v>
      </c>
      <c r="K15" s="204">
        <v>2023</v>
      </c>
      <c r="L15" s="189">
        <v>2024</v>
      </c>
      <c r="M15" s="173">
        <v>2025</v>
      </c>
      <c r="N15" s="173">
        <v>2026</v>
      </c>
      <c r="O15" s="92" t="s">
        <v>173</v>
      </c>
    </row>
    <row r="16" spans="1:16" ht="47.25" x14ac:dyDescent="0.25">
      <c r="A16" s="93"/>
      <c r="B16" s="94" t="s">
        <v>337</v>
      </c>
      <c r="C16" s="246" t="s">
        <v>207</v>
      </c>
      <c r="D16" s="95">
        <v>958</v>
      </c>
      <c r="E16" s="96" t="s">
        <v>208</v>
      </c>
      <c r="F16" s="96" t="s">
        <v>209</v>
      </c>
      <c r="G16" s="96" t="s">
        <v>210</v>
      </c>
      <c r="H16" s="154">
        <f t="shared" ref="H16:M16" si="0">H17+H32+H50+H68</f>
        <v>175949.09900000002</v>
      </c>
      <c r="I16" s="154">
        <f t="shared" si="0"/>
        <v>185388.23</v>
      </c>
      <c r="J16" s="154">
        <f t="shared" si="0"/>
        <v>214110.10963999989</v>
      </c>
      <c r="K16" s="154">
        <f>K17+K32+K50+K68</f>
        <v>225477.97776999997</v>
      </c>
      <c r="L16" s="154">
        <f t="shared" si="0"/>
        <v>240385.61918000001</v>
      </c>
      <c r="M16" s="154">
        <f t="shared" si="0"/>
        <v>216637.04002000001</v>
      </c>
      <c r="N16" s="154">
        <f>N17+N32+N50+N68</f>
        <v>214661.35463000002</v>
      </c>
      <c r="O16" s="155">
        <f>O17+O32+O50+O68</f>
        <v>1472609.4302400001</v>
      </c>
      <c r="P16" s="97"/>
    </row>
    <row r="17" spans="1:16" ht="47.25" x14ac:dyDescent="0.25">
      <c r="A17" s="98">
        <v>1</v>
      </c>
      <c r="B17" s="99" t="s">
        <v>355</v>
      </c>
      <c r="C17" s="264"/>
      <c r="D17" s="95">
        <v>958</v>
      </c>
      <c r="E17" s="96" t="s">
        <v>211</v>
      </c>
      <c r="F17" s="96" t="s">
        <v>212</v>
      </c>
      <c r="G17" s="96" t="s">
        <v>210</v>
      </c>
      <c r="H17" s="154">
        <f t="shared" ref="H17:M17" si="1">H18+H20+H31</f>
        <v>43690.189999999995</v>
      </c>
      <c r="I17" s="154">
        <f t="shared" si="1"/>
        <v>43587.43</v>
      </c>
      <c r="J17" s="154">
        <f t="shared" si="1"/>
        <v>54686.091239999892</v>
      </c>
      <c r="K17" s="154">
        <f t="shared" si="1"/>
        <v>59194.006969999995</v>
      </c>
      <c r="L17" s="154">
        <f t="shared" si="1"/>
        <v>54647.044239999996</v>
      </c>
      <c r="M17" s="154">
        <f t="shared" si="1"/>
        <v>53723.487999999998</v>
      </c>
      <c r="N17" s="154">
        <f>N18+N20+N31</f>
        <v>53187.688000000002</v>
      </c>
      <c r="O17" s="155">
        <f>O18+O20+O31</f>
        <v>362715.9384499999</v>
      </c>
      <c r="P17" s="97"/>
    </row>
    <row r="18" spans="1:16" ht="47.25" x14ac:dyDescent="0.25">
      <c r="A18" s="98" t="s">
        <v>6</v>
      </c>
      <c r="B18" s="99" t="s">
        <v>45</v>
      </c>
      <c r="C18" s="264"/>
      <c r="D18" s="95">
        <v>958</v>
      </c>
      <c r="E18" s="96" t="s">
        <v>211</v>
      </c>
      <c r="F18" s="96" t="s">
        <v>213</v>
      </c>
      <c r="G18" s="96" t="s">
        <v>210</v>
      </c>
      <c r="H18" s="154">
        <f t="shared" ref="H18:N18" si="2">H19</f>
        <v>42507.56</v>
      </c>
      <c r="I18" s="154">
        <f t="shared" si="2"/>
        <v>42483.75</v>
      </c>
      <c r="J18" s="154">
        <f t="shared" si="2"/>
        <v>45122.378689999896</v>
      </c>
      <c r="K18" s="154">
        <f t="shared" si="2"/>
        <v>53226.279599999994</v>
      </c>
      <c r="L18" s="154">
        <f t="shared" si="2"/>
        <v>54428.438179999997</v>
      </c>
      <c r="M18" s="154">
        <f t="shared" si="2"/>
        <v>53565.487999999998</v>
      </c>
      <c r="N18" s="154">
        <f t="shared" si="2"/>
        <v>53029.688000000002</v>
      </c>
      <c r="O18" s="155">
        <f>O19</f>
        <v>344363.58246999991</v>
      </c>
      <c r="P18" s="97"/>
    </row>
    <row r="19" spans="1:16" ht="47.25" x14ac:dyDescent="0.25">
      <c r="A19" s="100" t="s">
        <v>214</v>
      </c>
      <c r="B19" s="101" t="s">
        <v>48</v>
      </c>
      <c r="C19" s="264"/>
      <c r="D19" s="102">
        <v>958</v>
      </c>
      <c r="E19" s="103" t="s">
        <v>211</v>
      </c>
      <c r="F19" s="103" t="s">
        <v>215</v>
      </c>
      <c r="G19" s="102">
        <v>610</v>
      </c>
      <c r="H19" s="104">
        <v>42507.56</v>
      </c>
      <c r="I19" s="104">
        <f>'5'!I42</f>
        <v>42483.75</v>
      </c>
      <c r="J19" s="104">
        <f>'5'!J42</f>
        <v>45122.378689999896</v>
      </c>
      <c r="K19" s="104">
        <f>'5'!K42</f>
        <v>53226.279599999994</v>
      </c>
      <c r="L19" s="104">
        <f>'5'!L42</f>
        <v>54428.438179999997</v>
      </c>
      <c r="M19" s="104">
        <f>'5'!M42</f>
        <v>53565.487999999998</v>
      </c>
      <c r="N19" s="104">
        <f>'5'!N42</f>
        <v>53029.688000000002</v>
      </c>
      <c r="O19" s="156">
        <f>SUM(H19:N19)</f>
        <v>344363.58246999991</v>
      </c>
      <c r="P19" s="97"/>
    </row>
    <row r="20" spans="1:16" ht="31.5" x14ac:dyDescent="0.25">
      <c r="A20" s="100" t="s">
        <v>216</v>
      </c>
      <c r="B20" s="99" t="s">
        <v>51</v>
      </c>
      <c r="C20" s="264"/>
      <c r="D20" s="95">
        <v>958</v>
      </c>
      <c r="E20" s="96" t="s">
        <v>211</v>
      </c>
      <c r="F20" s="96" t="s">
        <v>217</v>
      </c>
      <c r="G20" s="96" t="s">
        <v>210</v>
      </c>
      <c r="H20" s="154">
        <f t="shared" ref="H20:O20" si="3">H21+H22+H23+H24+H25+H26+H27+H28+H29+H30</f>
        <v>1182.6299999999999</v>
      </c>
      <c r="I20" s="154">
        <f t="shared" si="3"/>
        <v>1103.6799999999998</v>
      </c>
      <c r="J20" s="154">
        <f t="shared" si="3"/>
        <v>9563.7125500000002</v>
      </c>
      <c r="K20" s="154">
        <f t="shared" si="3"/>
        <v>5967.7273699999996</v>
      </c>
      <c r="L20" s="154">
        <f t="shared" si="3"/>
        <v>218.60606000000001</v>
      </c>
      <c r="M20" s="154">
        <f t="shared" si="3"/>
        <v>158</v>
      </c>
      <c r="N20" s="154">
        <f t="shared" si="3"/>
        <v>158</v>
      </c>
      <c r="O20" s="155">
        <f t="shared" si="3"/>
        <v>18352.35598</v>
      </c>
      <c r="P20" s="97"/>
    </row>
    <row r="21" spans="1:16" ht="63" x14ac:dyDescent="0.25">
      <c r="A21" s="100" t="s">
        <v>52</v>
      </c>
      <c r="B21" s="101" t="s">
        <v>53</v>
      </c>
      <c r="C21" s="264"/>
      <c r="D21" s="102">
        <v>958</v>
      </c>
      <c r="E21" s="103" t="s">
        <v>211</v>
      </c>
      <c r="F21" s="105" t="s">
        <v>218</v>
      </c>
      <c r="G21" s="102">
        <v>610</v>
      </c>
      <c r="H21" s="104">
        <f>'5'!H52</f>
        <v>0</v>
      </c>
      <c r="I21" s="104">
        <f>'5'!I52</f>
        <v>12.210000000000003</v>
      </c>
      <c r="J21" s="104">
        <f>'5'!J52</f>
        <v>0</v>
      </c>
      <c r="K21" s="104">
        <f>'5'!K52</f>
        <v>0</v>
      </c>
      <c r="L21" s="104">
        <f>'5'!L52</f>
        <v>0</v>
      </c>
      <c r="M21" s="104">
        <f>'5'!M52</f>
        <v>0</v>
      </c>
      <c r="N21" s="104">
        <f>'5'!N52</f>
        <v>0</v>
      </c>
      <c r="O21" s="156">
        <f>SUM(H21:N21)</f>
        <v>12.210000000000003</v>
      </c>
      <c r="P21" s="97"/>
    </row>
    <row r="22" spans="1:16" ht="78.75" x14ac:dyDescent="0.25">
      <c r="A22" s="100" t="s">
        <v>219</v>
      </c>
      <c r="B22" s="20" t="s">
        <v>56</v>
      </c>
      <c r="C22" s="264"/>
      <c r="D22" s="102">
        <v>958</v>
      </c>
      <c r="E22" s="103" t="s">
        <v>211</v>
      </c>
      <c r="F22" s="103" t="s">
        <v>220</v>
      </c>
      <c r="G22" s="102">
        <v>410</v>
      </c>
      <c r="H22" s="104">
        <f>497.5+899.83+50-547.5</f>
        <v>899.82999999999993</v>
      </c>
      <c r="I22" s="104">
        <f>1604-1604</f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56">
        <f t="shared" ref="O22:O31" si="4">SUM(H22:N22)</f>
        <v>899.82999999999993</v>
      </c>
      <c r="P22" s="97"/>
    </row>
    <row r="23" spans="1:16" ht="31.5" x14ac:dyDescent="0.25">
      <c r="A23" s="100" t="s">
        <v>221</v>
      </c>
      <c r="B23" s="20" t="s">
        <v>60</v>
      </c>
      <c r="C23" s="264"/>
      <c r="D23" s="102">
        <v>958</v>
      </c>
      <c r="E23" s="103" t="s">
        <v>211</v>
      </c>
      <c r="F23" s="103" t="s">
        <v>222</v>
      </c>
      <c r="G23" s="102">
        <v>610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56">
        <f t="shared" si="4"/>
        <v>0</v>
      </c>
      <c r="P23" s="97"/>
    </row>
    <row r="24" spans="1:16" ht="31.5" x14ac:dyDescent="0.25">
      <c r="A24" s="100" t="s">
        <v>62</v>
      </c>
      <c r="B24" s="20" t="s">
        <v>63</v>
      </c>
      <c r="C24" s="264"/>
      <c r="D24" s="102">
        <v>958</v>
      </c>
      <c r="E24" s="103" t="s">
        <v>211</v>
      </c>
      <c r="F24" s="103" t="s">
        <v>223</v>
      </c>
      <c r="G24" s="102">
        <v>610</v>
      </c>
      <c r="H24" s="104">
        <v>100</v>
      </c>
      <c r="I24" s="104">
        <f>'5'!I64</f>
        <v>97.5</v>
      </c>
      <c r="J24" s="104">
        <f>'5'!J64</f>
        <v>0</v>
      </c>
      <c r="K24" s="104">
        <f>'5'!K64</f>
        <v>0</v>
      </c>
      <c r="L24" s="104">
        <f>'5'!L64</f>
        <v>0</v>
      </c>
      <c r="M24" s="104">
        <f>'5'!M64</f>
        <v>0</v>
      </c>
      <c r="N24" s="104">
        <f>'5'!N64</f>
        <v>0</v>
      </c>
      <c r="O24" s="156">
        <f t="shared" si="4"/>
        <v>197.5</v>
      </c>
      <c r="P24" s="97"/>
    </row>
    <row r="25" spans="1:16" ht="47.25" x14ac:dyDescent="0.25">
      <c r="A25" s="100" t="s">
        <v>64</v>
      </c>
      <c r="B25" s="101" t="s">
        <v>65</v>
      </c>
      <c r="C25" s="264"/>
      <c r="D25" s="102">
        <v>958</v>
      </c>
      <c r="E25" s="103" t="s">
        <v>211</v>
      </c>
      <c r="F25" s="103" t="s">
        <v>224</v>
      </c>
      <c r="G25" s="102">
        <v>610</v>
      </c>
      <c r="H25" s="104">
        <v>140.6</v>
      </c>
      <c r="I25" s="104">
        <f>'5'!I72</f>
        <v>125.6</v>
      </c>
      <c r="J25" s="104">
        <f>'5'!J72</f>
        <v>6000</v>
      </c>
      <c r="K25" s="104">
        <f>'5'!K72</f>
        <v>3990</v>
      </c>
      <c r="L25" s="104">
        <f>'5'!L72</f>
        <v>0</v>
      </c>
      <c r="M25" s="104">
        <f>'5'!M69</f>
        <v>0</v>
      </c>
      <c r="N25" s="104">
        <f>'5'!N69</f>
        <v>0</v>
      </c>
      <c r="O25" s="156">
        <f t="shared" si="4"/>
        <v>10256.200000000001</v>
      </c>
      <c r="P25" s="97"/>
    </row>
    <row r="26" spans="1:16" ht="31.5" x14ac:dyDescent="0.25">
      <c r="A26" s="100" t="s">
        <v>225</v>
      </c>
      <c r="B26" s="101" t="s">
        <v>68</v>
      </c>
      <c r="C26" s="264"/>
      <c r="D26" s="102">
        <v>958</v>
      </c>
      <c r="E26" s="103" t="s">
        <v>211</v>
      </c>
      <c r="F26" s="103" t="s">
        <v>226</v>
      </c>
      <c r="G26" s="102">
        <v>610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56">
        <f t="shared" si="4"/>
        <v>0</v>
      </c>
      <c r="P26" s="97"/>
    </row>
    <row r="27" spans="1:16" ht="31.5" x14ac:dyDescent="0.25">
      <c r="A27" s="100" t="s">
        <v>70</v>
      </c>
      <c r="B27" s="101" t="s">
        <v>71</v>
      </c>
      <c r="C27" s="264"/>
      <c r="D27" s="102">
        <v>958</v>
      </c>
      <c r="E27" s="103" t="s">
        <v>211</v>
      </c>
      <c r="F27" s="103" t="s">
        <v>227</v>
      </c>
      <c r="G27" s="102">
        <v>610</v>
      </c>
      <c r="H27" s="104">
        <v>42.2</v>
      </c>
      <c r="I27" s="104">
        <f>'5'!I82</f>
        <v>111.18</v>
      </c>
      <c r="J27" s="104">
        <f>'5'!J82</f>
        <v>105.60636</v>
      </c>
      <c r="K27" s="104">
        <f>'5'!K82</f>
        <v>158</v>
      </c>
      <c r="L27" s="104">
        <f>'5'!L82</f>
        <v>158</v>
      </c>
      <c r="M27" s="104">
        <f>'5'!M79</f>
        <v>158</v>
      </c>
      <c r="N27" s="104">
        <f>'5'!N79</f>
        <v>158</v>
      </c>
      <c r="O27" s="156">
        <f t="shared" si="4"/>
        <v>890.98635999999999</v>
      </c>
      <c r="P27" s="97"/>
    </row>
    <row r="28" spans="1:16" ht="15.75" x14ac:dyDescent="0.25">
      <c r="A28" s="100" t="s">
        <v>228</v>
      </c>
      <c r="B28" s="101" t="s">
        <v>74</v>
      </c>
      <c r="C28" s="265"/>
      <c r="D28" s="107">
        <v>958</v>
      </c>
      <c r="E28" s="103" t="s">
        <v>211</v>
      </c>
      <c r="F28" s="103">
        <v>111220400</v>
      </c>
      <c r="G28" s="102">
        <v>610</v>
      </c>
      <c r="H28" s="104">
        <v>0</v>
      </c>
      <c r="I28" s="104">
        <f>'5'!I87</f>
        <v>413.3</v>
      </c>
      <c r="J28" s="104">
        <f>'5'!J87</f>
        <v>92.75</v>
      </c>
      <c r="K28" s="104">
        <f>'5'!K87</f>
        <v>685</v>
      </c>
      <c r="L28" s="104">
        <f>'5'!L87</f>
        <v>0</v>
      </c>
      <c r="M28" s="104">
        <f>'5'!M87</f>
        <v>0</v>
      </c>
      <c r="N28" s="104">
        <f>'5'!N87</f>
        <v>0</v>
      </c>
      <c r="O28" s="156">
        <f t="shared" si="4"/>
        <v>1191.05</v>
      </c>
      <c r="P28" s="97"/>
    </row>
    <row r="29" spans="1:16" ht="38.25" customHeight="1" x14ac:dyDescent="0.25">
      <c r="A29" s="100" t="s">
        <v>178</v>
      </c>
      <c r="B29" s="211" t="s">
        <v>179</v>
      </c>
      <c r="C29" s="108"/>
      <c r="D29" s="107">
        <v>958</v>
      </c>
      <c r="E29" s="103" t="s">
        <v>211</v>
      </c>
      <c r="F29" s="103" t="s">
        <v>229</v>
      </c>
      <c r="G29" s="102">
        <v>610</v>
      </c>
      <c r="H29" s="104">
        <f>'5'!H92</f>
        <v>0</v>
      </c>
      <c r="I29" s="104">
        <f>'5'!I92</f>
        <v>343.89</v>
      </c>
      <c r="J29" s="104">
        <f>'5'!J92</f>
        <v>3365.35619</v>
      </c>
      <c r="K29" s="104">
        <f>'5'!K92</f>
        <v>900</v>
      </c>
      <c r="L29" s="104">
        <f>'5'!L92</f>
        <v>0</v>
      </c>
      <c r="M29" s="104">
        <f>'5'!M92</f>
        <v>0</v>
      </c>
      <c r="N29" s="104">
        <f>'5'!N92</f>
        <v>0</v>
      </c>
      <c r="O29" s="156">
        <f t="shared" si="4"/>
        <v>4609.2461899999998</v>
      </c>
      <c r="P29" s="97"/>
    </row>
    <row r="30" spans="1:16" ht="38.25" customHeight="1" x14ac:dyDescent="0.25">
      <c r="A30" s="100" t="s">
        <v>323</v>
      </c>
      <c r="B30" s="106" t="s">
        <v>324</v>
      </c>
      <c r="C30" s="203"/>
      <c r="D30" s="102">
        <v>958</v>
      </c>
      <c r="E30" s="103" t="s">
        <v>211</v>
      </c>
      <c r="F30" s="103" t="s">
        <v>325</v>
      </c>
      <c r="G30" s="102">
        <v>610</v>
      </c>
      <c r="H30" s="104">
        <f>'5'!H97</f>
        <v>0</v>
      </c>
      <c r="I30" s="104">
        <f>'5'!I97</f>
        <v>0</v>
      </c>
      <c r="J30" s="104">
        <f>'5'!J97</f>
        <v>0</v>
      </c>
      <c r="K30" s="104">
        <f>'5'!K97</f>
        <v>234.72737000000001</v>
      </c>
      <c r="L30" s="104">
        <f>'5'!L97</f>
        <v>60.606059999999999</v>
      </c>
      <c r="M30" s="104">
        <f>'5'!M97</f>
        <v>0</v>
      </c>
      <c r="N30" s="104">
        <f>'5'!N97</f>
        <v>0</v>
      </c>
      <c r="O30" s="156">
        <f t="shared" si="4"/>
        <v>295.33343000000002</v>
      </c>
      <c r="P30" s="97"/>
    </row>
    <row r="31" spans="1:16" ht="47.25" x14ac:dyDescent="0.25">
      <c r="A31" s="100"/>
      <c r="B31" s="109" t="s">
        <v>182</v>
      </c>
      <c r="C31" s="110"/>
      <c r="D31" s="111">
        <v>958</v>
      </c>
      <c r="E31" s="96" t="s">
        <v>211</v>
      </c>
      <c r="F31" s="96" t="s">
        <v>230</v>
      </c>
      <c r="G31" s="95">
        <v>410</v>
      </c>
      <c r="H31" s="154">
        <f>'5'!H112</f>
        <v>0</v>
      </c>
      <c r="I31" s="154">
        <f>'5'!I112</f>
        <v>0</v>
      </c>
      <c r="J31" s="154">
        <f>'5'!J112</f>
        <v>0</v>
      </c>
      <c r="K31" s="154">
        <f>'5'!K112</f>
        <v>0</v>
      </c>
      <c r="L31" s="154">
        <f>'5'!L112</f>
        <v>0</v>
      </c>
      <c r="M31" s="154">
        <f>'5'!M112</f>
        <v>0</v>
      </c>
      <c r="N31" s="154">
        <f>'5'!N112</f>
        <v>0</v>
      </c>
      <c r="O31" s="155">
        <f t="shared" si="4"/>
        <v>0</v>
      </c>
      <c r="P31" s="97"/>
    </row>
    <row r="32" spans="1:16" ht="47.25" customHeight="1" x14ac:dyDescent="0.25">
      <c r="A32" s="98" t="s">
        <v>81</v>
      </c>
      <c r="B32" s="99" t="s">
        <v>317</v>
      </c>
      <c r="C32" s="114" t="s">
        <v>207</v>
      </c>
      <c r="D32" s="95">
        <v>958</v>
      </c>
      <c r="E32" s="96" t="s">
        <v>231</v>
      </c>
      <c r="F32" s="96" t="s">
        <v>232</v>
      </c>
      <c r="G32" s="96" t="s">
        <v>210</v>
      </c>
      <c r="H32" s="154">
        <f t="shared" ref="H32:O32" si="5">H33+H36+H47</f>
        <v>91177.940000000017</v>
      </c>
      <c r="I32" s="154">
        <f t="shared" si="5"/>
        <v>96773.959999999992</v>
      </c>
      <c r="J32" s="154">
        <f t="shared" si="5"/>
        <v>108410.01277</v>
      </c>
      <c r="K32" s="154">
        <f>K33+K36+K47</f>
        <v>113111.42204</v>
      </c>
      <c r="L32" s="154">
        <f t="shared" si="5"/>
        <v>126883.2598</v>
      </c>
      <c r="M32" s="154">
        <f t="shared" si="5"/>
        <v>116165.912</v>
      </c>
      <c r="N32" s="154">
        <f>N33+N36+N47</f>
        <v>115665.912</v>
      </c>
      <c r="O32" s="155">
        <f t="shared" si="5"/>
        <v>768188.41861000017</v>
      </c>
      <c r="P32" s="97"/>
    </row>
    <row r="33" spans="1:16" ht="47.25" x14ac:dyDescent="0.25">
      <c r="A33" s="98" t="s">
        <v>10</v>
      </c>
      <c r="B33" s="112" t="s">
        <v>82</v>
      </c>
      <c r="C33" s="144"/>
      <c r="D33" s="95">
        <v>958</v>
      </c>
      <c r="E33" s="96" t="s">
        <v>231</v>
      </c>
      <c r="F33" s="96" t="s">
        <v>233</v>
      </c>
      <c r="G33" s="96" t="s">
        <v>210</v>
      </c>
      <c r="H33" s="154">
        <f t="shared" ref="H33:O33" si="6">H34+H35</f>
        <v>88065.630000000019</v>
      </c>
      <c r="I33" s="154">
        <f t="shared" si="6"/>
        <v>93259.809999999983</v>
      </c>
      <c r="J33" s="154">
        <f t="shared" si="6"/>
        <v>98719.74384000001</v>
      </c>
      <c r="K33" s="154">
        <f t="shared" si="6"/>
        <v>109790.92304000001</v>
      </c>
      <c r="L33" s="154">
        <f t="shared" si="6"/>
        <v>126170.0598</v>
      </c>
      <c r="M33" s="154">
        <f t="shared" si="6"/>
        <v>115452.712</v>
      </c>
      <c r="N33" s="154">
        <f>N34+N35</f>
        <v>114952.712</v>
      </c>
      <c r="O33" s="155">
        <f t="shared" si="6"/>
        <v>746411.59068000014</v>
      </c>
      <c r="P33" s="97"/>
    </row>
    <row r="34" spans="1:16" ht="47.25" x14ac:dyDescent="0.25">
      <c r="A34" s="113" t="s">
        <v>84</v>
      </c>
      <c r="B34" s="114" t="s">
        <v>85</v>
      </c>
      <c r="C34" s="144"/>
      <c r="D34" s="102">
        <v>958</v>
      </c>
      <c r="E34" s="103" t="s">
        <v>231</v>
      </c>
      <c r="F34" s="103" t="s">
        <v>234</v>
      </c>
      <c r="G34" s="102">
        <v>610</v>
      </c>
      <c r="H34" s="104">
        <f>'5'!H132</f>
        <v>88065.630000000019</v>
      </c>
      <c r="I34" s="104">
        <f>'5'!I132</f>
        <v>93259.809999999983</v>
      </c>
      <c r="J34" s="104">
        <f>'5'!J132</f>
        <v>98719.74384000001</v>
      </c>
      <c r="K34" s="104">
        <f>'5'!K132</f>
        <v>109790.92304000001</v>
      </c>
      <c r="L34" s="104">
        <f>'5'!L132</f>
        <v>126170.0598</v>
      </c>
      <c r="M34" s="104">
        <f>'5'!M132</f>
        <v>115452.712</v>
      </c>
      <c r="N34" s="104">
        <f>'5'!N132</f>
        <v>114952.712</v>
      </c>
      <c r="O34" s="156">
        <f>SUM(H34:N34)</f>
        <v>746411.59068000014</v>
      </c>
      <c r="P34" s="97"/>
    </row>
    <row r="35" spans="1:16" ht="31.5" x14ac:dyDescent="0.25">
      <c r="A35" s="113" t="s">
        <v>235</v>
      </c>
      <c r="B35" s="101" t="s">
        <v>88</v>
      </c>
      <c r="C35" s="144"/>
      <c r="D35" s="102">
        <v>958</v>
      </c>
      <c r="E35" s="103" t="s">
        <v>231</v>
      </c>
      <c r="F35" s="103" t="s">
        <v>236</v>
      </c>
      <c r="G35" s="102">
        <v>610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56">
        <f>SUM(H35:N35)</f>
        <v>0</v>
      </c>
      <c r="P35" s="97"/>
    </row>
    <row r="36" spans="1:16" ht="31.5" x14ac:dyDescent="0.25">
      <c r="A36" s="115" t="s">
        <v>11</v>
      </c>
      <c r="B36" s="116" t="s">
        <v>90</v>
      </c>
      <c r="C36" s="144"/>
      <c r="D36" s="95">
        <v>958</v>
      </c>
      <c r="E36" s="96" t="s">
        <v>231</v>
      </c>
      <c r="F36" s="96" t="s">
        <v>237</v>
      </c>
      <c r="G36" s="95">
        <v>0</v>
      </c>
      <c r="H36" s="154">
        <f>H37+H38+H39+H40+H41+H42+H43+H44</f>
        <v>3112.31</v>
      </c>
      <c r="I36" s="154">
        <f>I37+I38+I39+I40+I41+I42+I43+I44</f>
        <v>2887.1800000000003</v>
      </c>
      <c r="J36" s="154">
        <f>J37+J38+J39+J40+J41+J42+J43+J44+J45+J46</f>
        <v>9617.3389299999999</v>
      </c>
      <c r="K36" s="154">
        <f>K37+K38+K39+K40+K41+K42+K43+K44+K45+K46</f>
        <v>2755.5590000000002</v>
      </c>
      <c r="L36" s="154">
        <f>L37+L38+L39+L40+L41+L42+L43+L44</f>
        <v>291.2</v>
      </c>
      <c r="M36" s="154">
        <f>M37+M38+M39+M40+M41+M42+M43+M44</f>
        <v>291.2</v>
      </c>
      <c r="N36" s="154">
        <f>N37+N38+N39+N40+N41+N42+N43+N44</f>
        <v>291.2</v>
      </c>
      <c r="O36" s="155">
        <f>O37+O38+O39+O40+O41+O42+O43+O44+O45+O46</f>
        <v>19245.987930000003</v>
      </c>
      <c r="P36" s="97"/>
    </row>
    <row r="37" spans="1:16" ht="31.5" x14ac:dyDescent="0.25">
      <c r="A37" s="117" t="s">
        <v>91</v>
      </c>
      <c r="B37" s="101" t="s">
        <v>92</v>
      </c>
      <c r="C37" s="144"/>
      <c r="D37" s="118">
        <v>958</v>
      </c>
      <c r="E37" s="119" t="s">
        <v>231</v>
      </c>
      <c r="F37" s="119" t="s">
        <v>238</v>
      </c>
      <c r="G37" s="102">
        <v>610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56">
        <f t="shared" ref="O37:O46" si="7">SUM(H37:N37)</f>
        <v>0</v>
      </c>
      <c r="P37" s="97"/>
    </row>
    <row r="38" spans="1:16" ht="31.5" x14ac:dyDescent="0.25">
      <c r="A38" s="117" t="s">
        <v>93</v>
      </c>
      <c r="B38" s="114" t="s">
        <v>94</v>
      </c>
      <c r="C38" s="144"/>
      <c r="D38" s="102">
        <v>958</v>
      </c>
      <c r="E38" s="103" t="s">
        <v>231</v>
      </c>
      <c r="F38" s="103" t="s">
        <v>239</v>
      </c>
      <c r="G38" s="102">
        <v>610</v>
      </c>
      <c r="H38" s="104">
        <f>72.35+17.66-66.94-23.07</f>
        <v>0</v>
      </c>
      <c r="I38" s="104">
        <f>'5'!I162</f>
        <v>160.59000000000009</v>
      </c>
      <c r="J38" s="104">
        <f>'5'!J162</f>
        <v>589.14287000000002</v>
      </c>
      <c r="K38" s="104">
        <f>'5'!K162</f>
        <v>0</v>
      </c>
      <c r="L38" s="104">
        <f>'5'!L162</f>
        <v>0</v>
      </c>
      <c r="M38" s="104">
        <f>'5'!M162</f>
        <v>0</v>
      </c>
      <c r="N38" s="104">
        <f>'5'!N162</f>
        <v>0</v>
      </c>
      <c r="O38" s="156">
        <f t="shared" si="7"/>
        <v>749.73287000000005</v>
      </c>
      <c r="P38" s="97"/>
    </row>
    <row r="39" spans="1:16" ht="31.5" x14ac:dyDescent="0.25">
      <c r="A39" s="117" t="s">
        <v>97</v>
      </c>
      <c r="B39" s="101" t="s">
        <v>71</v>
      </c>
      <c r="C39" s="144"/>
      <c r="D39" s="102">
        <v>958</v>
      </c>
      <c r="E39" s="103" t="s">
        <v>231</v>
      </c>
      <c r="F39" s="103" t="s">
        <v>240</v>
      </c>
      <c r="G39" s="102">
        <v>610</v>
      </c>
      <c r="H39" s="104">
        <v>209.6</v>
      </c>
      <c r="I39" s="104">
        <f>'5'!I167</f>
        <v>148.85999999999999</v>
      </c>
      <c r="J39" s="104">
        <f>'5'!J167</f>
        <v>170.35944000000001</v>
      </c>
      <c r="K39" s="104">
        <f>'5'!K167</f>
        <v>206.2</v>
      </c>
      <c r="L39" s="104">
        <f>'5'!L167</f>
        <v>221.2</v>
      </c>
      <c r="M39" s="104">
        <f>'5'!M167</f>
        <v>221.2</v>
      </c>
      <c r="N39" s="104">
        <f>'5'!N167</f>
        <v>221.2</v>
      </c>
      <c r="O39" s="156">
        <f t="shared" si="7"/>
        <v>1398.6194400000002</v>
      </c>
      <c r="P39" s="97"/>
    </row>
    <row r="40" spans="1:16" ht="15.75" x14ac:dyDescent="0.25">
      <c r="A40" s="117" t="s">
        <v>241</v>
      </c>
      <c r="B40" s="101" t="s">
        <v>189</v>
      </c>
      <c r="C40" s="144"/>
      <c r="D40" s="118">
        <v>958</v>
      </c>
      <c r="E40" s="119" t="s">
        <v>242</v>
      </c>
      <c r="F40" s="119" t="s">
        <v>243</v>
      </c>
      <c r="G40" s="118">
        <v>240</v>
      </c>
      <c r="H40" s="104">
        <v>70</v>
      </c>
      <c r="I40" s="104">
        <f>'5'!I172</f>
        <v>70</v>
      </c>
      <c r="J40" s="104">
        <f>'5'!J172</f>
        <v>65</v>
      </c>
      <c r="K40" s="104">
        <f>'5'!K172</f>
        <v>70</v>
      </c>
      <c r="L40" s="104">
        <f>'5'!L172</f>
        <v>70</v>
      </c>
      <c r="M40" s="104">
        <f>'5'!M172</f>
        <v>70</v>
      </c>
      <c r="N40" s="104">
        <f>'5'!N172</f>
        <v>70</v>
      </c>
      <c r="O40" s="156">
        <f t="shared" si="7"/>
        <v>485</v>
      </c>
      <c r="P40" s="97"/>
    </row>
    <row r="41" spans="1:16" ht="15.75" x14ac:dyDescent="0.25">
      <c r="A41" s="117" t="s">
        <v>102</v>
      </c>
      <c r="B41" s="101" t="s">
        <v>74</v>
      </c>
      <c r="C41" s="144"/>
      <c r="D41" s="118">
        <v>958</v>
      </c>
      <c r="E41" s="119" t="s">
        <v>231</v>
      </c>
      <c r="F41" s="119" t="s">
        <v>244</v>
      </c>
      <c r="G41" s="118">
        <v>610</v>
      </c>
      <c r="H41" s="104">
        <f>'5'!H177</f>
        <v>2832.71</v>
      </c>
      <c r="I41" s="104">
        <f>'5'!I177</f>
        <v>631.53</v>
      </c>
      <c r="J41" s="104">
        <f>'5'!J177</f>
        <v>875.35</v>
      </c>
      <c r="K41" s="104">
        <f>'5'!K177</f>
        <v>1355.1669999999999</v>
      </c>
      <c r="L41" s="104">
        <f>'5'!L177</f>
        <v>0</v>
      </c>
      <c r="M41" s="104">
        <f>'5'!M177</f>
        <v>0</v>
      </c>
      <c r="N41" s="104">
        <f>'5'!N177</f>
        <v>0</v>
      </c>
      <c r="O41" s="156">
        <f t="shared" si="7"/>
        <v>5694.7569999999996</v>
      </c>
      <c r="P41" s="97"/>
    </row>
    <row r="42" spans="1:16" ht="31.5" x14ac:dyDescent="0.25">
      <c r="A42" s="117" t="s">
        <v>103</v>
      </c>
      <c r="B42" s="101" t="s">
        <v>104</v>
      </c>
      <c r="C42" s="144"/>
      <c r="D42" s="102">
        <v>958</v>
      </c>
      <c r="E42" s="103" t="s">
        <v>231</v>
      </c>
      <c r="F42" s="103" t="s">
        <v>245</v>
      </c>
      <c r="G42" s="102">
        <v>610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56">
        <f t="shared" si="7"/>
        <v>0</v>
      </c>
      <c r="P42" s="97"/>
    </row>
    <row r="43" spans="1:16" ht="47.25" x14ac:dyDescent="0.25">
      <c r="A43" s="100" t="s">
        <v>105</v>
      </c>
      <c r="B43" s="101" t="s">
        <v>106</v>
      </c>
      <c r="C43" s="144"/>
      <c r="D43" s="102">
        <v>958</v>
      </c>
      <c r="E43" s="103" t="s">
        <v>231</v>
      </c>
      <c r="F43" s="103" t="s">
        <v>246</v>
      </c>
      <c r="G43" s="102">
        <v>610</v>
      </c>
      <c r="H43" s="104">
        <v>0</v>
      </c>
      <c r="I43" s="104">
        <f>'5'!I187</f>
        <v>1876.2</v>
      </c>
      <c r="J43" s="104">
        <f>'5'!J187</f>
        <v>193.2</v>
      </c>
      <c r="K43" s="104">
        <f>'5'!K187</f>
        <v>646.89200000000005</v>
      </c>
      <c r="L43" s="104">
        <f>'5'!L187</f>
        <v>0</v>
      </c>
      <c r="M43" s="104">
        <f>'5'!M187</f>
        <v>0</v>
      </c>
      <c r="N43" s="104">
        <f>'5'!N187</f>
        <v>0</v>
      </c>
      <c r="O43" s="156">
        <f t="shared" si="7"/>
        <v>2716.2920000000004</v>
      </c>
      <c r="P43" s="97"/>
    </row>
    <row r="44" spans="1:16" ht="31.5" x14ac:dyDescent="0.25">
      <c r="A44" s="100" t="s">
        <v>293</v>
      </c>
      <c r="B44" s="101" t="s">
        <v>294</v>
      </c>
      <c r="C44" s="144"/>
      <c r="D44" s="102">
        <v>958</v>
      </c>
      <c r="E44" s="103" t="s">
        <v>231</v>
      </c>
      <c r="F44" s="103" t="s">
        <v>295</v>
      </c>
      <c r="G44" s="102">
        <v>610</v>
      </c>
      <c r="H44" s="104">
        <f>'5'!H192</f>
        <v>0</v>
      </c>
      <c r="I44" s="104">
        <f>'5'!I192</f>
        <v>0</v>
      </c>
      <c r="J44" s="104">
        <f>'5'!J192</f>
        <v>4357.3227099999995</v>
      </c>
      <c r="K44" s="104">
        <f>'5'!K192</f>
        <v>0</v>
      </c>
      <c r="L44" s="104">
        <f>'5'!L192</f>
        <v>0</v>
      </c>
      <c r="M44" s="104">
        <f>'5'!M192</f>
        <v>0</v>
      </c>
      <c r="N44" s="104">
        <f>'5'!N192</f>
        <v>0</v>
      </c>
      <c r="O44" s="156">
        <f t="shared" si="7"/>
        <v>4357.3227099999995</v>
      </c>
      <c r="P44" s="97"/>
    </row>
    <row r="45" spans="1:16" ht="82.5" customHeight="1" x14ac:dyDescent="0.25">
      <c r="A45" s="146" t="s">
        <v>297</v>
      </c>
      <c r="B45" s="143" t="s">
        <v>298</v>
      </c>
      <c r="C45" s="139"/>
      <c r="D45" s="102">
        <v>958</v>
      </c>
      <c r="E45" s="103" t="s">
        <v>231</v>
      </c>
      <c r="F45" s="103" t="s">
        <v>299</v>
      </c>
      <c r="G45" s="102">
        <v>610</v>
      </c>
      <c r="H45" s="104">
        <v>0</v>
      </c>
      <c r="I45" s="104">
        <v>0</v>
      </c>
      <c r="J45" s="104">
        <f>'5'!J197</f>
        <v>3361.9639099999999</v>
      </c>
      <c r="K45" s="104">
        <f>'5'!K197</f>
        <v>477.3</v>
      </c>
      <c r="L45" s="104">
        <v>0</v>
      </c>
      <c r="M45" s="104">
        <v>0</v>
      </c>
      <c r="N45" s="104">
        <v>0</v>
      </c>
      <c r="O45" s="156">
        <f t="shared" si="7"/>
        <v>3839.2639100000001</v>
      </c>
      <c r="P45" s="97"/>
    </row>
    <row r="46" spans="1:16" ht="82.5" customHeight="1" x14ac:dyDescent="0.25">
      <c r="A46" s="146" t="s">
        <v>311</v>
      </c>
      <c r="B46" s="197" t="s">
        <v>314</v>
      </c>
      <c r="C46" s="139"/>
      <c r="D46" s="118">
        <v>958</v>
      </c>
      <c r="E46" s="119" t="s">
        <v>242</v>
      </c>
      <c r="F46" s="103" t="s">
        <v>312</v>
      </c>
      <c r="G46" s="102">
        <v>240</v>
      </c>
      <c r="H46" s="104">
        <v>0</v>
      </c>
      <c r="I46" s="104">
        <v>0</v>
      </c>
      <c r="J46" s="104">
        <v>5</v>
      </c>
      <c r="K46" s="104">
        <v>0</v>
      </c>
      <c r="L46" s="104">
        <v>0</v>
      </c>
      <c r="M46" s="104">
        <v>0</v>
      </c>
      <c r="N46" s="104">
        <v>0</v>
      </c>
      <c r="O46" s="156">
        <f t="shared" si="7"/>
        <v>5</v>
      </c>
      <c r="P46" s="97"/>
    </row>
    <row r="47" spans="1:16" ht="47.25" x14ac:dyDescent="0.25">
      <c r="A47" s="100" t="s">
        <v>21</v>
      </c>
      <c r="B47" s="99" t="s">
        <v>108</v>
      </c>
      <c r="C47" s="139"/>
      <c r="D47" s="95">
        <v>958</v>
      </c>
      <c r="E47" s="96" t="s">
        <v>231</v>
      </c>
      <c r="F47" s="96" t="s">
        <v>247</v>
      </c>
      <c r="G47" s="95">
        <v>0</v>
      </c>
      <c r="H47" s="154">
        <f t="shared" ref="H47:O47" si="8">H48+H49</f>
        <v>0</v>
      </c>
      <c r="I47" s="154">
        <f t="shared" si="8"/>
        <v>626.97</v>
      </c>
      <c r="J47" s="154">
        <f t="shared" si="8"/>
        <v>72.930000000000007</v>
      </c>
      <c r="K47" s="154">
        <f t="shared" si="8"/>
        <v>564.94000000000005</v>
      </c>
      <c r="L47" s="154">
        <f t="shared" si="8"/>
        <v>422</v>
      </c>
      <c r="M47" s="154">
        <f t="shared" si="8"/>
        <v>422</v>
      </c>
      <c r="N47" s="154">
        <f>N48+N49</f>
        <v>422</v>
      </c>
      <c r="O47" s="155">
        <f t="shared" si="8"/>
        <v>2530.84</v>
      </c>
      <c r="P47" s="97"/>
    </row>
    <row r="48" spans="1:16" ht="47.25" x14ac:dyDescent="0.25">
      <c r="A48" s="100" t="s">
        <v>248</v>
      </c>
      <c r="B48" s="101" t="s">
        <v>110</v>
      </c>
      <c r="C48" s="145"/>
      <c r="D48" s="118">
        <v>958</v>
      </c>
      <c r="E48" s="119" t="s">
        <v>231</v>
      </c>
      <c r="F48" s="119" t="s">
        <v>249</v>
      </c>
      <c r="G48" s="118">
        <v>610</v>
      </c>
      <c r="H48" s="104">
        <v>0</v>
      </c>
      <c r="I48" s="104">
        <f>'5'!I232</f>
        <v>626.97</v>
      </c>
      <c r="J48" s="104">
        <f>'5'!J232</f>
        <v>0</v>
      </c>
      <c r="K48" s="104">
        <f>'5'!K232</f>
        <v>0</v>
      </c>
      <c r="L48" s="104">
        <f>'5'!L232</f>
        <v>0</v>
      </c>
      <c r="M48" s="104">
        <f>'5'!M232</f>
        <v>0</v>
      </c>
      <c r="N48" s="104">
        <f>'5'!N232</f>
        <v>0</v>
      </c>
      <c r="O48" s="156">
        <f>SUM(H48:N48)</f>
        <v>626.97</v>
      </c>
      <c r="P48" s="97"/>
    </row>
    <row r="49" spans="1:16" ht="63" x14ac:dyDescent="0.25">
      <c r="A49" s="100" t="s">
        <v>306</v>
      </c>
      <c r="B49" s="101" t="s">
        <v>307</v>
      </c>
      <c r="C49" s="144"/>
      <c r="D49" s="118">
        <v>958</v>
      </c>
      <c r="E49" s="119" t="s">
        <v>231</v>
      </c>
      <c r="F49" s="119" t="s">
        <v>308</v>
      </c>
      <c r="G49" s="118">
        <v>610</v>
      </c>
      <c r="H49" s="104">
        <v>0</v>
      </c>
      <c r="I49" s="104">
        <v>0</v>
      </c>
      <c r="J49" s="159">
        <v>72.930000000000007</v>
      </c>
      <c r="K49" s="159">
        <f>'5'!K222</f>
        <v>564.94000000000005</v>
      </c>
      <c r="L49" s="159">
        <f>'5'!L222</f>
        <v>422</v>
      </c>
      <c r="M49" s="159">
        <f>'5'!M222</f>
        <v>422</v>
      </c>
      <c r="N49" s="159">
        <f>'5'!N222</f>
        <v>422</v>
      </c>
      <c r="O49" s="156">
        <f>SUM(H49:N49)</f>
        <v>1903.8700000000001</v>
      </c>
      <c r="P49" s="97"/>
    </row>
    <row r="50" spans="1:16" ht="47.25" x14ac:dyDescent="0.25">
      <c r="A50" s="120" t="s">
        <v>250</v>
      </c>
      <c r="B50" s="99" t="s">
        <v>354</v>
      </c>
      <c r="C50" s="246" t="s">
        <v>207</v>
      </c>
      <c r="D50" s="121">
        <v>958</v>
      </c>
      <c r="E50" s="122" t="s">
        <v>251</v>
      </c>
      <c r="F50" s="122" t="s">
        <v>252</v>
      </c>
      <c r="G50" s="122" t="s">
        <v>210</v>
      </c>
      <c r="H50" s="157">
        <f>H51+H58</f>
        <v>21810.29</v>
      </c>
      <c r="I50" s="157">
        <f>I51+I58+I65</f>
        <v>23958.890000000003</v>
      </c>
      <c r="J50" s="157">
        <f>J51+J58+J65</f>
        <v>25850.126849999997</v>
      </c>
      <c r="K50" s="157">
        <f>K51+K58+K65+K66</f>
        <v>28838.710759999998</v>
      </c>
      <c r="L50" s="157">
        <f>L51+L58+L65+L66</f>
        <v>28502.775139999998</v>
      </c>
      <c r="M50" s="157">
        <f>M51+M58+M65+M66</f>
        <v>26534.881999999998</v>
      </c>
      <c r="N50" s="157">
        <f>N51+N58+N65+N66</f>
        <v>26034.881999999998</v>
      </c>
      <c r="O50" s="157">
        <f>O51+O58+O65+O66</f>
        <v>181530.55674999999</v>
      </c>
      <c r="P50" s="97"/>
    </row>
    <row r="51" spans="1:16" ht="47.25" x14ac:dyDescent="0.25">
      <c r="A51" s="120" t="s">
        <v>12</v>
      </c>
      <c r="B51" s="99" t="s">
        <v>119</v>
      </c>
      <c r="C51" s="264"/>
      <c r="D51" s="121">
        <v>958</v>
      </c>
      <c r="E51" s="122" t="s">
        <v>251</v>
      </c>
      <c r="F51" s="122" t="s">
        <v>253</v>
      </c>
      <c r="G51" s="122" t="s">
        <v>210</v>
      </c>
      <c r="H51" s="157">
        <f>H52+H53+H54+H55+H56</f>
        <v>21673.190000000002</v>
      </c>
      <c r="I51" s="157">
        <f t="shared" ref="I51:O51" si="9">I52+I53+I54+I55+I56+I57</f>
        <v>23284.740000000005</v>
      </c>
      <c r="J51" s="157">
        <f t="shared" si="9"/>
        <v>24214.664689999998</v>
      </c>
      <c r="K51" s="157">
        <f t="shared" si="9"/>
        <v>26982.775319999997</v>
      </c>
      <c r="L51" s="157">
        <f t="shared" si="9"/>
        <v>26734.985140000001</v>
      </c>
      <c r="M51" s="157">
        <f t="shared" si="9"/>
        <v>25267.092000000001</v>
      </c>
      <c r="N51" s="157">
        <f>N52+N53+N54+N55+N56+N57</f>
        <v>24767.092000000001</v>
      </c>
      <c r="O51" s="158">
        <f t="shared" si="9"/>
        <v>172924.53915</v>
      </c>
      <c r="P51" s="97"/>
    </row>
    <row r="52" spans="1:16" ht="94.5" x14ac:dyDescent="0.25">
      <c r="A52" s="120" t="s">
        <v>254</v>
      </c>
      <c r="B52" s="101" t="s">
        <v>121</v>
      </c>
      <c r="C52" s="264"/>
      <c r="D52" s="102">
        <v>958</v>
      </c>
      <c r="E52" s="103" t="s">
        <v>251</v>
      </c>
      <c r="F52" s="103" t="s">
        <v>255</v>
      </c>
      <c r="G52" s="102">
        <v>610</v>
      </c>
      <c r="H52" s="159">
        <f>80-80</f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6">
        <f t="shared" ref="O52:O57" si="10">SUM(H52:N52)</f>
        <v>0</v>
      </c>
      <c r="P52" s="97"/>
    </row>
    <row r="53" spans="1:16" ht="47.25" x14ac:dyDescent="0.25">
      <c r="A53" s="100" t="s">
        <v>124</v>
      </c>
      <c r="B53" s="101" t="s">
        <v>193</v>
      </c>
      <c r="C53" s="264"/>
      <c r="D53" s="102">
        <v>958</v>
      </c>
      <c r="E53" s="103" t="s">
        <v>251</v>
      </c>
      <c r="F53" s="103" t="s">
        <v>256</v>
      </c>
      <c r="G53" s="102">
        <v>610</v>
      </c>
      <c r="H53" s="104">
        <f>'5'!H262</f>
        <v>21603.200000000001</v>
      </c>
      <c r="I53" s="104">
        <f>'5'!I262</f>
        <v>23284.740000000005</v>
      </c>
      <c r="J53" s="104">
        <f>'5'!J262</f>
        <v>24214.664689999998</v>
      </c>
      <c r="K53" s="104">
        <f>'5'!K262</f>
        <v>26982.775319999997</v>
      </c>
      <c r="L53" s="104">
        <f>'5'!L262</f>
        <v>26734.985140000001</v>
      </c>
      <c r="M53" s="104">
        <f>'5'!M262</f>
        <v>25267.092000000001</v>
      </c>
      <c r="N53" s="104">
        <f>'5'!N262</f>
        <v>24767.092000000001</v>
      </c>
      <c r="O53" s="156">
        <f t="shared" si="10"/>
        <v>172854.54915000001</v>
      </c>
      <c r="P53" s="97"/>
    </row>
    <row r="54" spans="1:16" ht="47.25" x14ac:dyDescent="0.25">
      <c r="A54" s="123" t="s">
        <v>257</v>
      </c>
      <c r="B54" s="101" t="s">
        <v>258</v>
      </c>
      <c r="C54" s="264"/>
      <c r="D54" s="102">
        <v>958</v>
      </c>
      <c r="E54" s="103" t="s">
        <v>251</v>
      </c>
      <c r="F54" s="103" t="s">
        <v>259</v>
      </c>
      <c r="G54" s="102">
        <v>610</v>
      </c>
      <c r="H54" s="104">
        <f>'5'!H307</f>
        <v>0</v>
      </c>
      <c r="I54" s="104">
        <v>0</v>
      </c>
      <c r="J54" s="104">
        <f>'5'!J307</f>
        <v>0</v>
      </c>
      <c r="K54" s="104">
        <f>'5'!K307</f>
        <v>0</v>
      </c>
      <c r="L54" s="104">
        <f>'5'!L307</f>
        <v>0</v>
      </c>
      <c r="M54" s="104">
        <f>'5'!M307</f>
        <v>0</v>
      </c>
      <c r="N54" s="104">
        <f>'5'!N307</f>
        <v>0</v>
      </c>
      <c r="O54" s="156">
        <f t="shared" si="10"/>
        <v>0</v>
      </c>
      <c r="P54" s="97"/>
    </row>
    <row r="55" spans="1:16" ht="47.25" x14ac:dyDescent="0.25">
      <c r="A55" s="123" t="s">
        <v>260</v>
      </c>
      <c r="B55" s="20" t="s">
        <v>131</v>
      </c>
      <c r="C55" s="264"/>
      <c r="D55" s="102">
        <v>958</v>
      </c>
      <c r="E55" s="103" t="s">
        <v>251</v>
      </c>
      <c r="F55" s="103" t="s">
        <v>261</v>
      </c>
      <c r="G55" s="102">
        <v>610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56">
        <f t="shared" si="10"/>
        <v>0</v>
      </c>
      <c r="P55" s="97"/>
    </row>
    <row r="56" spans="1:16" ht="31.5" x14ac:dyDescent="0.25">
      <c r="A56" s="123" t="s">
        <v>132</v>
      </c>
      <c r="B56" s="20" t="s">
        <v>133</v>
      </c>
      <c r="C56" s="264"/>
      <c r="D56" s="102">
        <v>958</v>
      </c>
      <c r="E56" s="103" t="s">
        <v>251</v>
      </c>
      <c r="F56" s="103" t="s">
        <v>262</v>
      </c>
      <c r="G56" s="118">
        <v>610</v>
      </c>
      <c r="H56" s="104">
        <f>'5'!H277</f>
        <v>69.989999999999995</v>
      </c>
      <c r="I56" s="104">
        <f>'5'!I277</f>
        <v>0</v>
      </c>
      <c r="J56" s="104">
        <f>'5'!J277</f>
        <v>0</v>
      </c>
      <c r="K56" s="104">
        <f>'5'!K277</f>
        <v>0</v>
      </c>
      <c r="L56" s="104">
        <f>'5'!L277</f>
        <v>0</v>
      </c>
      <c r="M56" s="104">
        <v>0</v>
      </c>
      <c r="N56" s="104">
        <v>0</v>
      </c>
      <c r="O56" s="156">
        <f t="shared" si="10"/>
        <v>69.989999999999995</v>
      </c>
      <c r="P56" s="97"/>
    </row>
    <row r="57" spans="1:16" ht="47.25" x14ac:dyDescent="0.25">
      <c r="A57" s="123" t="s">
        <v>263</v>
      </c>
      <c r="B57" s="101" t="s">
        <v>200</v>
      </c>
      <c r="C57" s="264"/>
      <c r="D57" s="102">
        <v>958</v>
      </c>
      <c r="E57" s="103" t="s">
        <v>251</v>
      </c>
      <c r="F57" s="103" t="s">
        <v>264</v>
      </c>
      <c r="G57" s="118">
        <v>610</v>
      </c>
      <c r="H57" s="104">
        <v>0</v>
      </c>
      <c r="I57" s="104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56">
        <f t="shared" si="10"/>
        <v>0</v>
      </c>
      <c r="P57" s="97"/>
    </row>
    <row r="58" spans="1:16" ht="31.5" x14ac:dyDescent="0.25">
      <c r="A58" s="123" t="s">
        <v>13</v>
      </c>
      <c r="B58" s="99" t="s">
        <v>134</v>
      </c>
      <c r="C58" s="264"/>
      <c r="D58" s="124">
        <v>958</v>
      </c>
      <c r="E58" s="103" t="s">
        <v>251</v>
      </c>
      <c r="F58" s="125">
        <v>131200000</v>
      </c>
      <c r="G58" s="122" t="s">
        <v>210</v>
      </c>
      <c r="H58" s="154">
        <f>H59+H60+H61</f>
        <v>137.1</v>
      </c>
      <c r="I58" s="154">
        <f>I59+I60+I61+I62+I63</f>
        <v>273.05</v>
      </c>
      <c r="J58" s="154">
        <f>J59+J60+J61+J64</f>
        <v>547.27856999999995</v>
      </c>
      <c r="K58" s="154">
        <f>K59+K60+K61+K62+K63+K64</f>
        <v>119.74544</v>
      </c>
      <c r="L58" s="154">
        <f>L59+L60+L61</f>
        <v>31.6</v>
      </c>
      <c r="M58" s="154">
        <f>M59+M60+M61</f>
        <v>31.6</v>
      </c>
      <c r="N58" s="154">
        <f>N59+N60+N61</f>
        <v>31.6</v>
      </c>
      <c r="O58" s="155">
        <f>O59+O60+O61+O62+O63+O64</f>
        <v>1171.9740099999999</v>
      </c>
      <c r="P58" s="97"/>
    </row>
    <row r="59" spans="1:16" ht="31.5" x14ac:dyDescent="0.25">
      <c r="A59" s="123" t="s">
        <v>265</v>
      </c>
      <c r="B59" s="101" t="s">
        <v>136</v>
      </c>
      <c r="C59" s="264"/>
      <c r="D59" s="102">
        <v>958</v>
      </c>
      <c r="E59" s="103" t="s">
        <v>251</v>
      </c>
      <c r="F59" s="103" t="s">
        <v>266</v>
      </c>
      <c r="G59" s="102">
        <v>610</v>
      </c>
      <c r="H59" s="104">
        <f>'5'!H287</f>
        <v>79.3</v>
      </c>
      <c r="I59" s="104">
        <f>'5'!I287</f>
        <v>77.5</v>
      </c>
      <c r="J59" s="104">
        <f>'5'!J287</f>
        <v>65.16</v>
      </c>
      <c r="K59" s="104">
        <f>'5'!K287</f>
        <v>0</v>
      </c>
      <c r="L59" s="104">
        <f>'5'!L287</f>
        <v>0</v>
      </c>
      <c r="M59" s="104">
        <v>0</v>
      </c>
      <c r="N59" s="104">
        <v>0</v>
      </c>
      <c r="O59" s="156">
        <f t="shared" ref="O59:O67" si="11">SUM(H59:N59)</f>
        <v>221.96</v>
      </c>
      <c r="P59" s="97"/>
    </row>
    <row r="60" spans="1:16" ht="31.5" x14ac:dyDescent="0.25">
      <c r="A60" s="123" t="s">
        <v>138</v>
      </c>
      <c r="B60" s="101" t="s">
        <v>71</v>
      </c>
      <c r="C60" s="264"/>
      <c r="D60" s="102">
        <v>958</v>
      </c>
      <c r="E60" s="103" t="s">
        <v>251</v>
      </c>
      <c r="F60" s="103" t="s">
        <v>267</v>
      </c>
      <c r="G60" s="102">
        <v>610</v>
      </c>
      <c r="H60" s="104">
        <f>'5'!H292</f>
        <v>57.8</v>
      </c>
      <c r="I60" s="104">
        <f>'5'!I292</f>
        <v>19.200000000000003</v>
      </c>
      <c r="J60" s="104">
        <f>'5'!J292</f>
        <v>22.118569999999998</v>
      </c>
      <c r="K60" s="104">
        <f>'5'!K292</f>
        <v>21.32544</v>
      </c>
      <c r="L60" s="104">
        <f>'5'!L292</f>
        <v>31.6</v>
      </c>
      <c r="M60" s="104">
        <f>'5'!M292</f>
        <v>31.6</v>
      </c>
      <c r="N60" s="104">
        <f>'5'!N292</f>
        <v>31.6</v>
      </c>
      <c r="O60" s="156">
        <f t="shared" si="11"/>
        <v>215.24401</v>
      </c>
      <c r="P60" s="97"/>
    </row>
    <row r="61" spans="1:16" ht="31.5" x14ac:dyDescent="0.25">
      <c r="A61" s="123" t="s">
        <v>139</v>
      </c>
      <c r="B61" s="101" t="s">
        <v>104</v>
      </c>
      <c r="C61" s="265"/>
      <c r="D61" s="102">
        <v>958</v>
      </c>
      <c r="E61" s="103" t="s">
        <v>251</v>
      </c>
      <c r="F61" s="103" t="s">
        <v>268</v>
      </c>
      <c r="G61" s="102">
        <v>610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56">
        <f t="shared" si="11"/>
        <v>0</v>
      </c>
      <c r="P61" s="97"/>
    </row>
    <row r="62" spans="1:16" ht="15.75" x14ac:dyDescent="0.25">
      <c r="A62" s="123" t="s">
        <v>195</v>
      </c>
      <c r="B62" s="101" t="s">
        <v>74</v>
      </c>
      <c r="C62" s="126"/>
      <c r="D62" s="102">
        <v>958</v>
      </c>
      <c r="E62" s="103" t="s">
        <v>251</v>
      </c>
      <c r="F62" s="105" t="s">
        <v>269</v>
      </c>
      <c r="G62" s="102">
        <v>610</v>
      </c>
      <c r="H62" s="104">
        <f>'5'!H302</f>
        <v>0</v>
      </c>
      <c r="I62" s="104">
        <f>'5'!I302</f>
        <v>124.35000000000001</v>
      </c>
      <c r="J62" s="104">
        <f>'5'!J302</f>
        <v>0</v>
      </c>
      <c r="K62" s="104">
        <f>'5'!K302</f>
        <v>98.42</v>
      </c>
      <c r="L62" s="104">
        <f>'5'!L302</f>
        <v>0</v>
      </c>
      <c r="M62" s="104">
        <f>'5'!M302</f>
        <v>0</v>
      </c>
      <c r="N62" s="104">
        <f>'5'!N302</f>
        <v>0</v>
      </c>
      <c r="O62" s="156">
        <f t="shared" si="11"/>
        <v>222.77</v>
      </c>
      <c r="P62" s="97"/>
    </row>
    <row r="63" spans="1:16" ht="47.25" x14ac:dyDescent="0.25">
      <c r="A63" s="123" t="s">
        <v>197</v>
      </c>
      <c r="B63" s="101" t="s">
        <v>128</v>
      </c>
      <c r="C63" s="126"/>
      <c r="D63" s="102">
        <v>958</v>
      </c>
      <c r="E63" s="103" t="s">
        <v>251</v>
      </c>
      <c r="F63" s="105" t="s">
        <v>259</v>
      </c>
      <c r="G63" s="102">
        <v>610</v>
      </c>
      <c r="H63" s="104">
        <f>'5'!H307</f>
        <v>0</v>
      </c>
      <c r="I63" s="104">
        <f>'5'!I307</f>
        <v>52</v>
      </c>
      <c r="J63" s="104">
        <f>'5'!J307</f>
        <v>0</v>
      </c>
      <c r="K63" s="104">
        <f>'5'!K307</f>
        <v>0</v>
      </c>
      <c r="L63" s="104">
        <f>'5'!L307</f>
        <v>0</v>
      </c>
      <c r="M63" s="104">
        <v>0</v>
      </c>
      <c r="N63" s="104">
        <v>0</v>
      </c>
      <c r="O63" s="156">
        <f t="shared" si="11"/>
        <v>52</v>
      </c>
      <c r="P63" s="97"/>
    </row>
    <row r="64" spans="1:16" ht="82.5" customHeight="1" x14ac:dyDescent="0.25">
      <c r="A64" s="123" t="s">
        <v>300</v>
      </c>
      <c r="B64" s="167" t="s">
        <v>303</v>
      </c>
      <c r="C64" s="165"/>
      <c r="D64" s="102">
        <v>958</v>
      </c>
      <c r="E64" s="103" t="s">
        <v>251</v>
      </c>
      <c r="F64" s="105" t="s">
        <v>301</v>
      </c>
      <c r="G64" s="102">
        <v>610</v>
      </c>
      <c r="H64" s="104">
        <v>0</v>
      </c>
      <c r="I64" s="104">
        <v>0</v>
      </c>
      <c r="J64" s="104">
        <f>'5'!J312</f>
        <v>460</v>
      </c>
      <c r="K64" s="104">
        <v>0</v>
      </c>
      <c r="L64" s="104">
        <v>0</v>
      </c>
      <c r="M64" s="104">
        <v>0</v>
      </c>
      <c r="N64" s="104">
        <v>0</v>
      </c>
      <c r="O64" s="156">
        <f t="shared" si="11"/>
        <v>460</v>
      </c>
      <c r="P64" s="97"/>
    </row>
    <row r="65" spans="1:16" ht="47.25" x14ac:dyDescent="0.25">
      <c r="A65" s="123" t="s">
        <v>140</v>
      </c>
      <c r="B65" s="99" t="s">
        <v>198</v>
      </c>
      <c r="C65" s="126"/>
      <c r="D65" s="102">
        <v>958</v>
      </c>
      <c r="E65" s="103" t="s">
        <v>251</v>
      </c>
      <c r="F65" s="105" t="s">
        <v>270</v>
      </c>
      <c r="G65" s="102">
        <v>610</v>
      </c>
      <c r="H65" s="104">
        <f>'5'!H317</f>
        <v>0</v>
      </c>
      <c r="I65" s="104">
        <f>'5'!I317</f>
        <v>401.1</v>
      </c>
      <c r="J65" s="104">
        <f>'5'!J317</f>
        <v>1088.1835900000001</v>
      </c>
      <c r="K65" s="104">
        <f>'5'!K317</f>
        <v>604.40665000000001</v>
      </c>
      <c r="L65" s="104">
        <f>'5'!L317</f>
        <v>0</v>
      </c>
      <c r="M65" s="104">
        <f>'5'!M317</f>
        <v>0</v>
      </c>
      <c r="N65" s="104">
        <f>'5'!N317</f>
        <v>0</v>
      </c>
      <c r="O65" s="156">
        <f t="shared" si="11"/>
        <v>2093.6902399999999</v>
      </c>
      <c r="P65" s="97"/>
    </row>
    <row r="66" spans="1:16" ht="78.75" x14ac:dyDescent="0.25">
      <c r="A66" s="123" t="s">
        <v>339</v>
      </c>
      <c r="B66" s="99" t="s">
        <v>341</v>
      </c>
      <c r="C66" s="212"/>
      <c r="D66" s="102">
        <v>958</v>
      </c>
      <c r="E66" s="103" t="s">
        <v>251</v>
      </c>
      <c r="F66" s="105" t="s">
        <v>346</v>
      </c>
      <c r="G66" s="102">
        <v>610</v>
      </c>
      <c r="H66" s="104">
        <f>'5'!H319</f>
        <v>0</v>
      </c>
      <c r="I66" s="104">
        <f>'5'!I319</f>
        <v>0</v>
      </c>
      <c r="J66" s="104">
        <f>'5'!J319</f>
        <v>0</v>
      </c>
      <c r="K66" s="104">
        <f>'5'!K319</f>
        <v>1131.7833499999999</v>
      </c>
      <c r="L66" s="104">
        <f>'5'!L319</f>
        <v>1736.19</v>
      </c>
      <c r="M66" s="104">
        <f>'5'!M319</f>
        <v>1236.19</v>
      </c>
      <c r="N66" s="104">
        <f>'5'!N319</f>
        <v>1236.19</v>
      </c>
      <c r="O66" s="156">
        <f t="shared" si="11"/>
        <v>5340.3533500000012</v>
      </c>
      <c r="P66" s="97"/>
    </row>
    <row r="67" spans="1:16" ht="63" x14ac:dyDescent="0.25">
      <c r="A67" s="123" t="s">
        <v>340</v>
      </c>
      <c r="B67" s="101" t="s">
        <v>345</v>
      </c>
      <c r="C67" s="212"/>
      <c r="D67" s="102">
        <v>958</v>
      </c>
      <c r="E67" s="103" t="s">
        <v>251</v>
      </c>
      <c r="F67" s="105" t="s">
        <v>347</v>
      </c>
      <c r="G67" s="102">
        <v>610</v>
      </c>
      <c r="H67" s="104">
        <f>'5'!H324</f>
        <v>0</v>
      </c>
      <c r="I67" s="104">
        <f>'5'!I324</f>
        <v>0</v>
      </c>
      <c r="J67" s="104">
        <f>'5'!J324</f>
        <v>0</v>
      </c>
      <c r="K67" s="104">
        <f>'5'!K324</f>
        <v>1131.7833499999999</v>
      </c>
      <c r="L67" s="104">
        <f>'5'!L324</f>
        <v>1736.19</v>
      </c>
      <c r="M67" s="104">
        <f>'5'!M324</f>
        <v>1236.19</v>
      </c>
      <c r="N67" s="104">
        <f>'5'!N324</f>
        <v>1236.19</v>
      </c>
      <c r="O67" s="156">
        <f t="shared" si="11"/>
        <v>5340.3533500000012</v>
      </c>
      <c r="P67" s="97"/>
    </row>
    <row r="68" spans="1:16" ht="15.75" x14ac:dyDescent="0.25">
      <c r="A68" s="127" t="s">
        <v>143</v>
      </c>
      <c r="B68" s="101" t="s">
        <v>144</v>
      </c>
      <c r="C68" s="280" t="s">
        <v>207</v>
      </c>
      <c r="D68" s="102">
        <v>958</v>
      </c>
      <c r="E68" s="103" t="s">
        <v>271</v>
      </c>
      <c r="F68" s="103" t="s">
        <v>272</v>
      </c>
      <c r="G68" s="103" t="s">
        <v>210</v>
      </c>
      <c r="H68" s="104">
        <f>H69+H91+H93+H77</f>
        <v>19270.679</v>
      </c>
      <c r="I68" s="104">
        <f t="shared" ref="I68:N68" si="12">I69+I91+I93</f>
        <v>21067.95</v>
      </c>
      <c r="J68" s="104">
        <f t="shared" si="12"/>
        <v>25163.878780000003</v>
      </c>
      <c r="K68" s="104">
        <f t="shared" si="12"/>
        <v>24333.838</v>
      </c>
      <c r="L68" s="104">
        <f t="shared" si="12"/>
        <v>30352.54</v>
      </c>
      <c r="M68" s="104">
        <f t="shared" si="12"/>
        <v>20212.758019999997</v>
      </c>
      <c r="N68" s="104">
        <f t="shared" si="12"/>
        <v>19772.872629999998</v>
      </c>
      <c r="O68" s="156">
        <f>O69+O91+O93+O77</f>
        <v>160174.51643000002</v>
      </c>
      <c r="P68" s="97"/>
    </row>
    <row r="69" spans="1:16" ht="47.25" x14ac:dyDescent="0.25">
      <c r="A69" s="128" t="s">
        <v>16</v>
      </c>
      <c r="B69" s="99" t="s">
        <v>145</v>
      </c>
      <c r="C69" s="280"/>
      <c r="D69" s="95">
        <v>958</v>
      </c>
      <c r="E69" s="96" t="s">
        <v>251</v>
      </c>
      <c r="F69" s="96" t="s">
        <v>272</v>
      </c>
      <c r="G69" s="96" t="s">
        <v>210</v>
      </c>
      <c r="H69" s="154">
        <f t="shared" ref="H69:O69" si="13">H70+H79+H89+H90</f>
        <v>19196.679</v>
      </c>
      <c r="I69" s="154">
        <f t="shared" si="13"/>
        <v>20943.95</v>
      </c>
      <c r="J69" s="154">
        <f t="shared" si="13"/>
        <v>25038.878780000003</v>
      </c>
      <c r="K69" s="154">
        <f t="shared" si="13"/>
        <v>24208.838</v>
      </c>
      <c r="L69" s="154">
        <f t="shared" si="13"/>
        <v>30227.54</v>
      </c>
      <c r="M69" s="154">
        <f>M70+M79+M89+M90</f>
        <v>20087.758019999997</v>
      </c>
      <c r="N69" s="154">
        <f>N70+N79+N89+N90</f>
        <v>19647.872629999998</v>
      </c>
      <c r="O69" s="155">
        <f t="shared" si="13"/>
        <v>159351.51643000002</v>
      </c>
      <c r="P69" s="97"/>
    </row>
    <row r="70" spans="1:16" ht="15.75" x14ac:dyDescent="0.25">
      <c r="A70" s="283" t="s">
        <v>147</v>
      </c>
      <c r="B70" s="280" t="s">
        <v>148</v>
      </c>
      <c r="C70" s="280"/>
      <c r="D70" s="102">
        <v>958</v>
      </c>
      <c r="E70" s="103" t="s">
        <v>271</v>
      </c>
      <c r="F70" s="103" t="s">
        <v>273</v>
      </c>
      <c r="G70" s="103" t="s">
        <v>210</v>
      </c>
      <c r="H70" s="104">
        <f t="shared" ref="H70:O70" si="14">H71+H72+H74+H76+H75+H73</f>
        <v>3652.44</v>
      </c>
      <c r="I70" s="104">
        <f t="shared" si="14"/>
        <v>4738.29</v>
      </c>
      <c r="J70" s="104">
        <f t="shared" si="14"/>
        <v>6894.7489999999998</v>
      </c>
      <c r="K70" s="104">
        <f t="shared" si="14"/>
        <v>5629.8440000000001</v>
      </c>
      <c r="L70" s="104">
        <f t="shared" si="14"/>
        <v>7154.3580000000002</v>
      </c>
      <c r="M70" s="104">
        <f t="shared" si="14"/>
        <v>5373.36</v>
      </c>
      <c r="N70" s="104">
        <f>N71+N72+N74+N76+N75+N73</f>
        <v>5775.5219999999999</v>
      </c>
      <c r="O70" s="156">
        <f t="shared" si="14"/>
        <v>39218.563000000002</v>
      </c>
      <c r="P70" s="97"/>
    </row>
    <row r="71" spans="1:16" ht="15.75" x14ac:dyDescent="0.25">
      <c r="A71" s="284"/>
      <c r="B71" s="280"/>
      <c r="C71" s="280"/>
      <c r="D71" s="102">
        <v>958</v>
      </c>
      <c r="E71" s="103" t="s">
        <v>271</v>
      </c>
      <c r="F71" s="103" t="s">
        <v>273</v>
      </c>
      <c r="G71" s="102">
        <v>120</v>
      </c>
      <c r="H71" s="104">
        <f>'5'!H352</f>
        <v>3652.44</v>
      </c>
      <c r="I71" s="104">
        <f>'5'!I352</f>
        <v>4738.29</v>
      </c>
      <c r="J71" s="104">
        <f>5089.242+134.136+150.971</f>
        <v>5374.3490000000002</v>
      </c>
      <c r="K71" s="104">
        <v>5300.41</v>
      </c>
      <c r="L71" s="104">
        <v>6874.3580000000002</v>
      </c>
      <c r="M71" s="150">
        <v>5093.3599999999997</v>
      </c>
      <c r="N71" s="150">
        <v>5495.5219999999999</v>
      </c>
      <c r="O71" s="156">
        <f>SUM(H71:N71)</f>
        <v>36528.728999999999</v>
      </c>
      <c r="P71" s="97"/>
    </row>
    <row r="72" spans="1:16" ht="15.75" hidden="1" x14ac:dyDescent="0.25">
      <c r="A72" s="284"/>
      <c r="B72" s="280"/>
      <c r="C72" s="280"/>
      <c r="D72" s="102">
        <v>958</v>
      </c>
      <c r="E72" s="103" t="s">
        <v>271</v>
      </c>
      <c r="F72" s="103" t="s">
        <v>274</v>
      </c>
      <c r="G72" s="102">
        <v>122</v>
      </c>
      <c r="H72" s="104"/>
      <c r="I72" s="104"/>
      <c r="J72" s="104"/>
      <c r="K72" s="104"/>
      <c r="L72" s="104"/>
      <c r="M72" s="104"/>
      <c r="N72" s="104"/>
      <c r="O72" s="156">
        <f>SUM(H72:M72)</f>
        <v>0</v>
      </c>
      <c r="P72" s="97"/>
    </row>
    <row r="73" spans="1:16" ht="15.75" hidden="1" x14ac:dyDescent="0.25">
      <c r="A73" s="284"/>
      <c r="B73" s="280"/>
      <c r="C73" s="280"/>
      <c r="D73" s="102">
        <v>958</v>
      </c>
      <c r="E73" s="103" t="s">
        <v>271</v>
      </c>
      <c r="F73" s="103" t="s">
        <v>274</v>
      </c>
      <c r="G73" s="102">
        <v>129</v>
      </c>
      <c r="H73" s="104"/>
      <c r="I73" s="104"/>
      <c r="J73" s="104"/>
      <c r="K73" s="104"/>
      <c r="L73" s="104"/>
      <c r="M73" s="104"/>
      <c r="N73" s="104"/>
      <c r="O73" s="156">
        <f>SUM(H73:M73)</f>
        <v>0</v>
      </c>
      <c r="P73" s="97"/>
    </row>
    <row r="74" spans="1:16" ht="15.75" x14ac:dyDescent="0.25">
      <c r="A74" s="284"/>
      <c r="B74" s="280"/>
      <c r="C74" s="280"/>
      <c r="D74" s="102">
        <v>958</v>
      </c>
      <c r="E74" s="103" t="s">
        <v>271</v>
      </c>
      <c r="F74" s="103" t="s">
        <v>273</v>
      </c>
      <c r="G74" s="102">
        <v>240</v>
      </c>
      <c r="H74" s="104">
        <v>0</v>
      </c>
      <c r="I74" s="104">
        <v>0</v>
      </c>
      <c r="J74" s="104">
        <f>1300+220.4</f>
        <v>1520.4</v>
      </c>
      <c r="K74" s="104">
        <f>100+135.774+93.66</f>
        <v>329.43399999999997</v>
      </c>
      <c r="L74" s="104">
        <v>280</v>
      </c>
      <c r="M74" s="104">
        <v>280</v>
      </c>
      <c r="N74" s="104">
        <v>280</v>
      </c>
      <c r="O74" s="156">
        <f>SUM(H74:N74)</f>
        <v>2689.8339999999998</v>
      </c>
      <c r="P74" s="97"/>
    </row>
    <row r="75" spans="1:16" ht="15.75" x14ac:dyDescent="0.25">
      <c r="A75" s="284"/>
      <c r="B75" s="280"/>
      <c r="C75" s="280"/>
      <c r="D75" s="102">
        <v>958</v>
      </c>
      <c r="E75" s="103" t="s">
        <v>271</v>
      </c>
      <c r="F75" s="103" t="s">
        <v>273</v>
      </c>
      <c r="G75" s="102">
        <v>850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56">
        <f>SUM(H75:N75)</f>
        <v>0</v>
      </c>
      <c r="P75" s="97"/>
    </row>
    <row r="76" spans="1:16" ht="15.75" hidden="1" x14ac:dyDescent="0.25">
      <c r="A76" s="285"/>
      <c r="B76" s="280"/>
      <c r="C76" s="280"/>
      <c r="D76" s="102">
        <v>958</v>
      </c>
      <c r="E76" s="103" t="s">
        <v>271</v>
      </c>
      <c r="F76" s="103" t="s">
        <v>273</v>
      </c>
      <c r="G76" s="102"/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56">
        <f>SUM(H76:M76)</f>
        <v>0</v>
      </c>
      <c r="P76" s="97"/>
    </row>
    <row r="77" spans="1:16" ht="15.75" hidden="1" x14ac:dyDescent="0.25">
      <c r="A77" s="129"/>
      <c r="B77" s="280"/>
      <c r="C77" s="280"/>
      <c r="D77" s="102">
        <v>958</v>
      </c>
      <c r="E77" s="103" t="s">
        <v>271</v>
      </c>
      <c r="F77" s="102">
        <v>191110031</v>
      </c>
      <c r="G77" s="103" t="s">
        <v>210</v>
      </c>
      <c r="H77" s="104">
        <f>H78</f>
        <v>0</v>
      </c>
      <c r="I77" s="161"/>
      <c r="J77" s="161"/>
      <c r="K77" s="161"/>
      <c r="L77" s="161"/>
      <c r="M77" s="161"/>
      <c r="N77" s="161"/>
      <c r="O77" s="156">
        <v>0</v>
      </c>
      <c r="P77" s="97"/>
    </row>
    <row r="78" spans="1:16" ht="15.75" hidden="1" x14ac:dyDescent="0.25">
      <c r="A78" s="129"/>
      <c r="B78" s="280"/>
      <c r="C78" s="280"/>
      <c r="D78" s="102">
        <v>958</v>
      </c>
      <c r="E78" s="103" t="s">
        <v>271</v>
      </c>
      <c r="F78" s="102">
        <v>191110031</v>
      </c>
      <c r="G78" s="102">
        <v>240</v>
      </c>
      <c r="H78" s="162">
        <v>0</v>
      </c>
      <c r="I78" s="163"/>
      <c r="J78" s="163"/>
      <c r="K78" s="163"/>
      <c r="L78" s="163"/>
      <c r="M78" s="163"/>
      <c r="N78" s="163"/>
      <c r="O78" s="156">
        <v>0</v>
      </c>
      <c r="P78" s="97"/>
    </row>
    <row r="79" spans="1:16" ht="15.75" x14ac:dyDescent="0.25">
      <c r="A79" s="283" t="s">
        <v>275</v>
      </c>
      <c r="B79" s="280" t="s">
        <v>152</v>
      </c>
      <c r="C79" s="280"/>
      <c r="D79" s="102">
        <v>958</v>
      </c>
      <c r="E79" s="103" t="s">
        <v>271</v>
      </c>
      <c r="F79" s="103" t="s">
        <v>276</v>
      </c>
      <c r="G79" s="103" t="s">
        <v>210</v>
      </c>
      <c r="H79" s="104">
        <f t="shared" ref="H79:O79" si="15">H80+H81+H82+H83+H84+H85+H86+H87+H88</f>
        <v>13500.84</v>
      </c>
      <c r="I79" s="104">
        <f t="shared" si="15"/>
        <v>14131.890000000001</v>
      </c>
      <c r="J79" s="104">
        <f t="shared" si="15"/>
        <v>15860.725</v>
      </c>
      <c r="K79" s="104">
        <f t="shared" si="15"/>
        <v>15964.46</v>
      </c>
      <c r="L79" s="104">
        <f t="shared" si="15"/>
        <v>20199.157999999999</v>
      </c>
      <c r="M79" s="104">
        <f t="shared" si="15"/>
        <v>12760.19202</v>
      </c>
      <c r="N79" s="104">
        <f>N80+N81+N82+N83+N84+N85+N86+N87+N88</f>
        <v>11736.367629999999</v>
      </c>
      <c r="O79" s="156">
        <f t="shared" si="15"/>
        <v>104153.63265</v>
      </c>
      <c r="P79" s="97"/>
    </row>
    <row r="80" spans="1:16" ht="15.75" x14ac:dyDescent="0.25">
      <c r="A80" s="284"/>
      <c r="B80" s="280"/>
      <c r="C80" s="280"/>
      <c r="D80" s="102">
        <v>958</v>
      </c>
      <c r="E80" s="103" t="s">
        <v>271</v>
      </c>
      <c r="F80" s="103" t="s">
        <v>276</v>
      </c>
      <c r="G80" s="102">
        <v>110</v>
      </c>
      <c r="H80" s="104">
        <f>10620.84+62.3+44</f>
        <v>10727.14</v>
      </c>
      <c r="I80" s="104">
        <f>11192+152.78+45.57</f>
        <v>11390.35</v>
      </c>
      <c r="J80" s="104">
        <f>11574.48+650+0.1+7.708+506</f>
        <v>12738.288</v>
      </c>
      <c r="K80" s="104">
        <f>12652.855+45.14</f>
        <v>12697.994999999999</v>
      </c>
      <c r="L80" s="104">
        <v>17139.984</v>
      </c>
      <c r="M80" s="104">
        <v>11374.84102</v>
      </c>
      <c r="N80" s="104">
        <v>10651.744629999999</v>
      </c>
      <c r="O80" s="156">
        <f>SUM(H80:N80)</f>
        <v>86720.342650000006</v>
      </c>
      <c r="P80" s="97"/>
    </row>
    <row r="81" spans="1:16" ht="15.75" hidden="1" x14ac:dyDescent="0.25">
      <c r="A81" s="284"/>
      <c r="B81" s="280"/>
      <c r="C81" s="280"/>
      <c r="D81" s="102">
        <v>958</v>
      </c>
      <c r="E81" s="103" t="s">
        <v>271</v>
      </c>
      <c r="F81" s="103" t="s">
        <v>276</v>
      </c>
      <c r="G81" s="102">
        <v>321</v>
      </c>
      <c r="H81" s="104"/>
      <c r="I81" s="104"/>
      <c r="J81" s="104"/>
      <c r="K81" s="104"/>
      <c r="L81" s="104"/>
      <c r="M81" s="104"/>
      <c r="N81" s="104"/>
      <c r="O81" s="156">
        <f t="shared" ref="O81:O88" si="16">SUM(H81:M81)</f>
        <v>0</v>
      </c>
      <c r="P81" s="97"/>
    </row>
    <row r="82" spans="1:16" ht="15.75" hidden="1" x14ac:dyDescent="0.25">
      <c r="A82" s="284"/>
      <c r="B82" s="280"/>
      <c r="C82" s="280"/>
      <c r="D82" s="102">
        <v>958</v>
      </c>
      <c r="E82" s="103" t="s">
        <v>271</v>
      </c>
      <c r="F82" s="103" t="s">
        <v>276</v>
      </c>
      <c r="G82" s="102">
        <v>112</v>
      </c>
      <c r="H82" s="104"/>
      <c r="I82" s="104"/>
      <c r="J82" s="104"/>
      <c r="K82" s="104"/>
      <c r="L82" s="104"/>
      <c r="M82" s="104"/>
      <c r="N82" s="104"/>
      <c r="O82" s="156">
        <f t="shared" si="16"/>
        <v>0</v>
      </c>
      <c r="P82" s="97"/>
    </row>
    <row r="83" spans="1:16" ht="15.75" hidden="1" x14ac:dyDescent="0.25">
      <c r="A83" s="284"/>
      <c r="B83" s="280"/>
      <c r="C83" s="280"/>
      <c r="D83" s="102">
        <v>958</v>
      </c>
      <c r="E83" s="103" t="s">
        <v>271</v>
      </c>
      <c r="F83" s="103" t="s">
        <v>276</v>
      </c>
      <c r="G83" s="102">
        <v>119</v>
      </c>
      <c r="H83" s="104"/>
      <c r="I83" s="104"/>
      <c r="J83" s="104"/>
      <c r="K83" s="104"/>
      <c r="L83" s="104"/>
      <c r="M83" s="104"/>
      <c r="N83" s="104"/>
      <c r="O83" s="156">
        <f t="shared" si="16"/>
        <v>0</v>
      </c>
      <c r="P83" s="97"/>
    </row>
    <row r="84" spans="1:16" ht="15.75" hidden="1" x14ac:dyDescent="0.25">
      <c r="A84" s="284"/>
      <c r="B84" s="280"/>
      <c r="C84" s="280"/>
      <c r="D84" s="102">
        <v>958</v>
      </c>
      <c r="E84" s="103" t="s">
        <v>271</v>
      </c>
      <c r="F84" s="103" t="s">
        <v>276</v>
      </c>
      <c r="G84" s="102">
        <v>242</v>
      </c>
      <c r="H84" s="104"/>
      <c r="I84" s="104"/>
      <c r="J84" s="104"/>
      <c r="K84" s="104"/>
      <c r="L84" s="104"/>
      <c r="M84" s="104"/>
      <c r="N84" s="104"/>
      <c r="O84" s="156">
        <f t="shared" si="16"/>
        <v>0</v>
      </c>
      <c r="P84" s="97"/>
    </row>
    <row r="85" spans="1:16" ht="15.75" x14ac:dyDescent="0.25">
      <c r="A85" s="284"/>
      <c r="B85" s="280"/>
      <c r="C85" s="280"/>
      <c r="D85" s="102">
        <v>958</v>
      </c>
      <c r="E85" s="103" t="s">
        <v>271</v>
      </c>
      <c r="F85" s="103" t="s">
        <v>276</v>
      </c>
      <c r="G85" s="102">
        <v>240</v>
      </c>
      <c r="H85" s="104">
        <f>2723.2+3.5</f>
        <v>2726.7</v>
      </c>
      <c r="I85" s="104">
        <f>2700+8</f>
        <v>2708</v>
      </c>
      <c r="J85" s="104">
        <f>2843.52+7.425+240</f>
        <v>3090.9450000000002</v>
      </c>
      <c r="K85" s="104">
        <f>3200+28.4</f>
        <v>3228.4</v>
      </c>
      <c r="L85" s="104">
        <v>3027.694</v>
      </c>
      <c r="M85" s="104">
        <v>1354.6</v>
      </c>
      <c r="N85" s="104">
        <v>1054.5999999999999</v>
      </c>
      <c r="O85" s="156">
        <f>SUM(H85:N85)</f>
        <v>17190.938999999998</v>
      </c>
      <c r="P85" s="97"/>
    </row>
    <row r="86" spans="1:16" ht="15.75" x14ac:dyDescent="0.25">
      <c r="A86" s="284"/>
      <c r="B86" s="280"/>
      <c r="C86" s="280"/>
      <c r="D86" s="102">
        <v>958</v>
      </c>
      <c r="E86" s="103" t="s">
        <v>271</v>
      </c>
      <c r="F86" s="103" t="s">
        <v>276</v>
      </c>
      <c r="G86" s="102">
        <v>850</v>
      </c>
      <c r="H86" s="104">
        <f>33.6+9.4+4</f>
        <v>47</v>
      </c>
      <c r="I86" s="104">
        <f>42.2-6.16-2.5</f>
        <v>33.540000000000006</v>
      </c>
      <c r="J86" s="104">
        <f>39.2-7.708</f>
        <v>31.492000000000004</v>
      </c>
      <c r="K86" s="104">
        <v>38.064999999999998</v>
      </c>
      <c r="L86" s="104">
        <v>31.48</v>
      </c>
      <c r="M86" s="104">
        <v>30.751000000000001</v>
      </c>
      <c r="N86" s="104">
        <v>30.023</v>
      </c>
      <c r="O86" s="156">
        <f>SUM(H86:N86)</f>
        <v>242.351</v>
      </c>
      <c r="P86" s="97"/>
    </row>
    <row r="87" spans="1:16" ht="15.75" hidden="1" x14ac:dyDescent="0.25">
      <c r="A87" s="284"/>
      <c r="B87" s="280"/>
      <c r="C87" s="280"/>
      <c r="D87" s="102">
        <v>958</v>
      </c>
      <c r="E87" s="103" t="s">
        <v>271</v>
      </c>
      <c r="F87" s="103" t="s">
        <v>276</v>
      </c>
      <c r="G87" s="102">
        <v>852</v>
      </c>
      <c r="H87" s="104"/>
      <c r="I87" s="104"/>
      <c r="J87" s="104"/>
      <c r="K87" s="104"/>
      <c r="L87" s="104"/>
      <c r="M87" s="104"/>
      <c r="N87" s="104"/>
      <c r="O87" s="156">
        <f t="shared" si="16"/>
        <v>0</v>
      </c>
      <c r="P87" s="97"/>
    </row>
    <row r="88" spans="1:16" ht="15.75" hidden="1" x14ac:dyDescent="0.25">
      <c r="A88" s="285"/>
      <c r="B88" s="280"/>
      <c r="C88" s="280"/>
      <c r="D88" s="102">
        <v>958</v>
      </c>
      <c r="E88" s="103" t="s">
        <v>271</v>
      </c>
      <c r="F88" s="103" t="s">
        <v>276</v>
      </c>
      <c r="G88" s="102">
        <v>853</v>
      </c>
      <c r="H88" s="104"/>
      <c r="I88" s="104"/>
      <c r="J88" s="104"/>
      <c r="K88" s="104"/>
      <c r="L88" s="104"/>
      <c r="M88" s="104"/>
      <c r="N88" s="104"/>
      <c r="O88" s="156">
        <f t="shared" si="16"/>
        <v>0</v>
      </c>
      <c r="P88" s="97"/>
    </row>
    <row r="89" spans="1:16" ht="47.25" x14ac:dyDescent="0.25">
      <c r="A89" s="123" t="s">
        <v>154</v>
      </c>
      <c r="B89" s="20" t="s">
        <v>155</v>
      </c>
      <c r="C89" s="280"/>
      <c r="D89" s="102">
        <v>958</v>
      </c>
      <c r="E89" s="103" t="s">
        <v>271</v>
      </c>
      <c r="F89" s="103" t="s">
        <v>277</v>
      </c>
      <c r="G89" s="102">
        <v>244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56">
        <f>SUM(H89:N89)</f>
        <v>0</v>
      </c>
      <c r="P89" s="97"/>
    </row>
    <row r="90" spans="1:16" ht="47.25" x14ac:dyDescent="0.25">
      <c r="A90" s="123" t="s">
        <v>157</v>
      </c>
      <c r="B90" s="101" t="s">
        <v>278</v>
      </c>
      <c r="C90" s="280"/>
      <c r="D90" s="102">
        <v>958</v>
      </c>
      <c r="E90" s="103" t="s">
        <v>271</v>
      </c>
      <c r="F90" s="103" t="s">
        <v>279</v>
      </c>
      <c r="G90" s="102">
        <v>620</v>
      </c>
      <c r="H90" s="164">
        <f>'5'!H367</f>
        <v>2043.3989999999999</v>
      </c>
      <c r="I90" s="164">
        <f>'5'!I367</f>
        <v>2073.77</v>
      </c>
      <c r="J90" s="164">
        <f>'5'!J367</f>
        <v>2283.4047799999998</v>
      </c>
      <c r="K90" s="164">
        <f>'5'!K367</f>
        <v>2614.5340000000001</v>
      </c>
      <c r="L90" s="164">
        <f>'5'!L367</f>
        <v>2874.0239999999999</v>
      </c>
      <c r="M90" s="164">
        <f>'5'!M367</f>
        <v>1954.2059999999999</v>
      </c>
      <c r="N90" s="164">
        <f>'5'!N367</f>
        <v>2135.9830000000002</v>
      </c>
      <c r="O90" s="156">
        <f>SUM(H90:N90)</f>
        <v>15979.32078</v>
      </c>
      <c r="P90" s="97"/>
    </row>
    <row r="91" spans="1:16" ht="31.5" x14ac:dyDescent="0.25">
      <c r="A91" s="123" t="s">
        <v>17</v>
      </c>
      <c r="B91" s="99" t="s">
        <v>161</v>
      </c>
      <c r="C91" s="280"/>
      <c r="D91" s="95">
        <v>958</v>
      </c>
      <c r="E91" s="96" t="s">
        <v>271</v>
      </c>
      <c r="F91" s="96" t="s">
        <v>280</v>
      </c>
      <c r="G91" s="96" t="s">
        <v>210</v>
      </c>
      <c r="H91" s="154">
        <f t="shared" ref="H91:N91" si="17">H92</f>
        <v>74</v>
      </c>
      <c r="I91" s="154">
        <f t="shared" si="17"/>
        <v>124</v>
      </c>
      <c r="J91" s="154">
        <f t="shared" si="17"/>
        <v>125</v>
      </c>
      <c r="K91" s="154">
        <f t="shared" si="17"/>
        <v>125</v>
      </c>
      <c r="L91" s="154">
        <f t="shared" si="17"/>
        <v>125</v>
      </c>
      <c r="M91" s="154">
        <f t="shared" si="17"/>
        <v>125</v>
      </c>
      <c r="N91" s="154">
        <f t="shared" si="17"/>
        <v>125</v>
      </c>
      <c r="O91" s="155">
        <f>O92</f>
        <v>823</v>
      </c>
      <c r="P91" s="97"/>
    </row>
    <row r="92" spans="1:16" ht="78.75" x14ac:dyDescent="0.25">
      <c r="A92" s="123" t="s">
        <v>281</v>
      </c>
      <c r="B92" s="101" t="s">
        <v>163</v>
      </c>
      <c r="C92" s="280"/>
      <c r="D92" s="102">
        <v>958</v>
      </c>
      <c r="E92" s="103" t="s">
        <v>242</v>
      </c>
      <c r="F92" s="103" t="s">
        <v>282</v>
      </c>
      <c r="G92" s="102">
        <v>240</v>
      </c>
      <c r="H92" s="160">
        <f>'5'!H377</f>
        <v>74</v>
      </c>
      <c r="I92" s="160">
        <f>'5'!I377</f>
        <v>124</v>
      </c>
      <c r="J92" s="160">
        <f>'5'!J377</f>
        <v>125</v>
      </c>
      <c r="K92" s="160">
        <f>'5'!K377</f>
        <v>125</v>
      </c>
      <c r="L92" s="160">
        <f>'5'!L377</f>
        <v>125</v>
      </c>
      <c r="M92" s="160">
        <f>'5'!M377</f>
        <v>125</v>
      </c>
      <c r="N92" s="160">
        <f>'5'!N377</f>
        <v>125</v>
      </c>
      <c r="O92" s="156">
        <f>SUM(H92:N92)</f>
        <v>823</v>
      </c>
      <c r="P92" s="97"/>
    </row>
    <row r="93" spans="1:16" s="131" customFormat="1" ht="15.75" x14ac:dyDescent="0.25">
      <c r="B93" s="281"/>
      <c r="C93" s="282"/>
      <c r="D93" s="132"/>
      <c r="E93" s="133"/>
      <c r="F93" s="132"/>
      <c r="G93" s="133"/>
      <c r="H93" s="134"/>
      <c r="I93" s="134"/>
      <c r="J93" s="134"/>
      <c r="K93" s="134"/>
      <c r="L93" s="134"/>
      <c r="M93" s="134"/>
      <c r="N93" s="134"/>
      <c r="O93" s="134"/>
    </row>
    <row r="94" spans="1:16" ht="15.75" x14ac:dyDescent="0.25">
      <c r="B94" s="281"/>
      <c r="C94" s="282"/>
      <c r="D94" s="132"/>
      <c r="E94" s="133"/>
      <c r="F94" s="132"/>
      <c r="G94" s="132"/>
      <c r="H94" s="14"/>
      <c r="I94" s="14"/>
      <c r="J94" s="14"/>
      <c r="K94" s="14"/>
      <c r="L94" s="14"/>
      <c r="M94" s="14"/>
      <c r="N94" s="14"/>
      <c r="O94" s="14"/>
    </row>
    <row r="95" spans="1:16" x14ac:dyDescent="0.25">
      <c r="B95" s="13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6" x14ac:dyDescent="0.25">
      <c r="B96" s="13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</sheetData>
  <mergeCells count="19">
    <mergeCell ref="J1:O1"/>
    <mergeCell ref="J2:O2"/>
    <mergeCell ref="J3:O3"/>
    <mergeCell ref="A70:A76"/>
    <mergeCell ref="B70:B78"/>
    <mergeCell ref="A79:A88"/>
    <mergeCell ref="B79:B88"/>
    <mergeCell ref="H5:L7"/>
    <mergeCell ref="A10:L12"/>
    <mergeCell ref="A14:A15"/>
    <mergeCell ref="B14:B15"/>
    <mergeCell ref="C14:C15"/>
    <mergeCell ref="D14:G14"/>
    <mergeCell ref="H14:O14"/>
    <mergeCell ref="B93:B94"/>
    <mergeCell ref="C93:C94"/>
    <mergeCell ref="C16:C28"/>
    <mergeCell ref="C50:C61"/>
    <mergeCell ref="C68:C92"/>
  </mergeCells>
  <pageMargins left="0" right="0" top="0" bottom="0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0"/>
  <sheetViews>
    <sheetView view="pageBreakPreview" zoomScale="85" zoomScaleNormal="100" zoomScaleSheetLayoutView="85" workbookViewId="0">
      <selection activeCell="H4" sqref="H4:O4"/>
    </sheetView>
  </sheetViews>
  <sheetFormatPr defaultColWidth="9.140625" defaultRowHeight="15" x14ac:dyDescent="0.25"/>
  <cols>
    <col min="1" max="1" width="6.85546875" style="69" customWidth="1"/>
    <col min="2" max="2" width="45.42578125" style="69" customWidth="1"/>
    <col min="3" max="3" width="16.28515625" style="69" customWidth="1"/>
    <col min="4" max="4" width="7.85546875" style="69" customWidth="1"/>
    <col min="5" max="5" width="9" style="69" customWidth="1"/>
    <col min="6" max="6" width="16.28515625" style="69" customWidth="1"/>
    <col min="7" max="7" width="6.85546875" style="69" customWidth="1"/>
    <col min="8" max="8" width="11.7109375" style="69" customWidth="1"/>
    <col min="9" max="9" width="12.42578125" style="69" customWidth="1"/>
    <col min="10" max="10" width="11.7109375" style="69" customWidth="1"/>
    <col min="11" max="11" width="12.140625" style="69" customWidth="1"/>
    <col min="12" max="12" width="12.7109375" style="69" customWidth="1"/>
    <col min="13" max="13" width="12.5703125" style="69" customWidth="1"/>
    <col min="14" max="14" width="13.140625" style="69" customWidth="1"/>
    <col min="15" max="15" width="14.85546875" style="69" customWidth="1"/>
    <col min="16" max="16" width="15" style="70" customWidth="1"/>
    <col min="17" max="17" width="12.42578125" style="69" customWidth="1"/>
    <col min="18" max="16384" width="9.140625" style="69"/>
  </cols>
  <sheetData>
    <row r="1" spans="1:18" customFormat="1" ht="21" customHeight="1" x14ac:dyDescent="0.55000000000000004">
      <c r="C1" s="140"/>
      <c r="D1" s="215"/>
      <c r="E1" s="215"/>
      <c r="F1" s="215"/>
      <c r="G1" s="215"/>
      <c r="H1" s="343" t="s">
        <v>382</v>
      </c>
      <c r="I1" s="343"/>
      <c r="J1" s="343"/>
      <c r="K1" s="343"/>
      <c r="L1" s="344"/>
      <c r="M1" s="344"/>
      <c r="N1" s="344"/>
      <c r="O1" s="344"/>
    </row>
    <row r="2" spans="1:18" customFormat="1" ht="12.75" customHeight="1" x14ac:dyDescent="0.55000000000000004">
      <c r="C2" s="140"/>
      <c r="D2" s="215"/>
      <c r="E2" s="215"/>
      <c r="F2" s="215"/>
      <c r="G2" s="215"/>
      <c r="H2" s="343" t="s">
        <v>384</v>
      </c>
      <c r="I2" s="343"/>
      <c r="J2" s="343"/>
      <c r="K2" s="343"/>
      <c r="L2" s="344"/>
      <c r="M2" s="344"/>
      <c r="N2" s="344"/>
      <c r="O2" s="344"/>
    </row>
    <row r="3" spans="1:18" customFormat="1" ht="17.25" customHeight="1" x14ac:dyDescent="0.55000000000000004">
      <c r="C3" s="140"/>
      <c r="D3" s="215"/>
      <c r="E3" s="215"/>
      <c r="F3" s="215"/>
      <c r="G3" s="215"/>
      <c r="H3" s="343" t="s">
        <v>383</v>
      </c>
      <c r="I3" s="343"/>
      <c r="J3" s="343"/>
      <c r="K3" s="343"/>
      <c r="L3" s="344"/>
      <c r="M3" s="344"/>
      <c r="N3" s="344"/>
      <c r="O3" s="344"/>
    </row>
    <row r="4" spans="1:18" customFormat="1" ht="16.5" customHeight="1" x14ac:dyDescent="0.55000000000000004">
      <c r="H4" s="345" t="s">
        <v>390</v>
      </c>
      <c r="I4" s="344"/>
      <c r="J4" s="344"/>
      <c r="K4" s="344"/>
      <c r="L4" s="344"/>
      <c r="M4" s="344"/>
      <c r="N4" s="344"/>
      <c r="O4" s="344"/>
    </row>
    <row r="5" spans="1:18" ht="22.5" hidden="1" x14ac:dyDescent="0.6">
      <c r="H5" s="231"/>
      <c r="I5" s="231"/>
      <c r="J5" s="231"/>
      <c r="K5" s="231"/>
      <c r="L5" s="231"/>
      <c r="M5" s="231"/>
      <c r="N5" s="231"/>
      <c r="O5" s="231"/>
    </row>
    <row r="6" spans="1:18" ht="22.5" hidden="1" x14ac:dyDescent="0.6">
      <c r="H6" s="231"/>
      <c r="I6" s="231"/>
      <c r="J6" s="231"/>
      <c r="K6" s="231"/>
      <c r="L6" s="231"/>
      <c r="M6" s="231"/>
      <c r="N6" s="231"/>
      <c r="O6" s="231"/>
    </row>
    <row r="7" spans="1:18" ht="22.5" hidden="1" x14ac:dyDescent="0.6">
      <c r="H7" s="231"/>
      <c r="I7" s="231"/>
      <c r="J7" s="231"/>
      <c r="K7" s="231"/>
      <c r="L7" s="231"/>
      <c r="M7" s="231"/>
      <c r="N7" s="231"/>
      <c r="O7" s="231"/>
    </row>
    <row r="8" spans="1:18" ht="10.15" hidden="1" customHeight="1" x14ac:dyDescent="0.6">
      <c r="H8" s="349"/>
      <c r="I8" s="349"/>
      <c r="J8" s="349"/>
      <c r="K8" s="349"/>
      <c r="L8" s="231"/>
      <c r="M8" s="231"/>
      <c r="N8" s="231"/>
      <c r="O8" s="231"/>
    </row>
    <row r="9" spans="1:18" ht="6" customHeight="1" x14ac:dyDescent="0.6">
      <c r="H9" s="349"/>
      <c r="I9" s="349"/>
      <c r="J9" s="349"/>
      <c r="K9" s="349"/>
      <c r="L9" s="231"/>
      <c r="M9" s="231"/>
      <c r="N9" s="231"/>
      <c r="O9" s="231"/>
    </row>
    <row r="10" spans="1:18" ht="11.25" customHeight="1" x14ac:dyDescent="0.25">
      <c r="H10" s="346" t="s">
        <v>381</v>
      </c>
      <c r="I10" s="346"/>
      <c r="J10" s="346"/>
      <c r="K10" s="346"/>
      <c r="L10" s="346"/>
      <c r="M10" s="347"/>
      <c r="N10" s="347"/>
      <c r="O10" s="347"/>
    </row>
    <row r="11" spans="1:18" ht="10.5" customHeight="1" x14ac:dyDescent="0.25">
      <c r="H11" s="346"/>
      <c r="I11" s="346"/>
      <c r="J11" s="346"/>
      <c r="K11" s="346"/>
      <c r="L11" s="346"/>
      <c r="M11" s="347"/>
      <c r="N11" s="347"/>
      <c r="O11" s="347"/>
    </row>
    <row r="12" spans="1:18" ht="16.5" customHeight="1" x14ac:dyDescent="0.25">
      <c r="H12" s="346"/>
      <c r="I12" s="346"/>
      <c r="J12" s="346"/>
      <c r="K12" s="346"/>
      <c r="L12" s="346"/>
      <c r="M12" s="347"/>
      <c r="N12" s="347"/>
      <c r="O12" s="347"/>
      <c r="P12" s="71"/>
      <c r="Q12" s="71"/>
    </row>
    <row r="13" spans="1:18" ht="18" customHeight="1" x14ac:dyDescent="0.25">
      <c r="H13" s="346"/>
      <c r="I13" s="346"/>
      <c r="J13" s="346"/>
      <c r="K13" s="346"/>
      <c r="L13" s="346"/>
      <c r="M13" s="347"/>
      <c r="N13" s="347"/>
      <c r="O13" s="347"/>
      <c r="P13" s="71"/>
      <c r="Q13" s="72"/>
      <c r="R13" s="72"/>
    </row>
    <row r="14" spans="1:18" ht="15.75" hidden="1" x14ac:dyDescent="0.25">
      <c r="P14" s="71"/>
      <c r="Q14" s="71"/>
    </row>
    <row r="15" spans="1:18" ht="24" customHeight="1" x14ac:dyDescent="0.25">
      <c r="A15" s="350" t="s">
        <v>348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P15" s="71"/>
      <c r="Q15" s="71"/>
      <c r="R15" s="72"/>
    </row>
    <row r="16" spans="1:18" ht="15" customHeight="1" x14ac:dyDescent="0.25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P16" s="23"/>
      <c r="Q16" s="23"/>
    </row>
    <row r="17" spans="1:17" ht="15" customHeight="1" x14ac:dyDescent="0.25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Q17" s="70"/>
    </row>
    <row r="18" spans="1:17" ht="27" customHeight="1" x14ac:dyDescent="0.2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</row>
    <row r="19" spans="1:17" ht="0.75" customHeight="1" x14ac:dyDescent="0.25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</row>
    <row r="20" spans="1:17" ht="10.5" hidden="1" customHeight="1" x14ac:dyDescent="0.25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</row>
    <row r="21" spans="1:17" ht="17.25" customHeight="1" x14ac:dyDescent="0.25">
      <c r="A21" s="73"/>
      <c r="B21" s="73"/>
      <c r="C21" s="74"/>
      <c r="D21" s="74"/>
      <c r="E21" s="74"/>
      <c r="F21" s="74"/>
      <c r="G21" s="74"/>
      <c r="H21" s="74"/>
      <c r="I21" s="74"/>
      <c r="J21" s="75"/>
      <c r="K21" s="75"/>
    </row>
    <row r="22" spans="1:17" ht="21.75" customHeight="1" x14ac:dyDescent="0.25">
      <c r="A22" s="76" t="s">
        <v>36</v>
      </c>
      <c r="B22" s="351" t="s">
        <v>37</v>
      </c>
      <c r="C22" s="351" t="s">
        <v>170</v>
      </c>
      <c r="D22" s="354" t="s">
        <v>201</v>
      </c>
      <c r="E22" s="355"/>
      <c r="F22" s="355"/>
      <c r="G22" s="356"/>
      <c r="H22" s="353" t="s">
        <v>171</v>
      </c>
      <c r="I22" s="353"/>
      <c r="J22" s="353"/>
      <c r="K22" s="353"/>
      <c r="L22" s="353"/>
      <c r="M22" s="353"/>
      <c r="N22" s="353"/>
      <c r="O22" s="353"/>
    </row>
    <row r="23" spans="1:17" ht="30" customHeight="1" x14ac:dyDescent="0.25">
      <c r="A23" s="76"/>
      <c r="B23" s="352"/>
      <c r="C23" s="352"/>
      <c r="D23" s="216" t="s">
        <v>203</v>
      </c>
      <c r="E23" s="216" t="s">
        <v>358</v>
      </c>
      <c r="F23" s="216" t="s">
        <v>205</v>
      </c>
      <c r="G23" s="216" t="s">
        <v>206</v>
      </c>
      <c r="H23" s="77">
        <v>2020</v>
      </c>
      <c r="I23" s="77">
        <v>2021</v>
      </c>
      <c r="J23" s="77">
        <v>2022</v>
      </c>
      <c r="K23" s="77">
        <v>2023</v>
      </c>
      <c r="L23" s="77">
        <v>2024</v>
      </c>
      <c r="M23" s="77">
        <v>2025</v>
      </c>
      <c r="N23" s="77">
        <v>2026</v>
      </c>
      <c r="O23" s="77" t="s">
        <v>172</v>
      </c>
      <c r="P23" s="78"/>
    </row>
    <row r="24" spans="1:17" ht="23.25" customHeight="1" x14ac:dyDescent="0.25">
      <c r="A24" s="348"/>
      <c r="B24" s="303" t="s">
        <v>337</v>
      </c>
      <c r="C24" s="79" t="s">
        <v>173</v>
      </c>
      <c r="D24" s="217">
        <v>958</v>
      </c>
      <c r="E24" s="96" t="s">
        <v>208</v>
      </c>
      <c r="F24" s="96" t="s">
        <v>209</v>
      </c>
      <c r="G24" s="96" t="s">
        <v>210</v>
      </c>
      <c r="H24" s="147">
        <f t="shared" ref="H24:N28" si="0">H29+H119+H244+H339</f>
        <v>495196.28900000011</v>
      </c>
      <c r="I24" s="147">
        <f t="shared" si="0"/>
        <v>546328.5674399999</v>
      </c>
      <c r="J24" s="147">
        <f t="shared" si="0"/>
        <v>647018.37677999993</v>
      </c>
      <c r="K24" s="147">
        <f t="shared" si="0"/>
        <v>644248.17207000009</v>
      </c>
      <c r="L24" s="147">
        <f t="shared" si="0"/>
        <v>814225.65081999998</v>
      </c>
      <c r="M24" s="147">
        <f t="shared" si="0"/>
        <v>815137.18065999984</v>
      </c>
      <c r="N24" s="147">
        <f t="shared" si="0"/>
        <v>844655.31742999982</v>
      </c>
      <c r="O24" s="147">
        <f>O29+O119+O244+O339-0.01</f>
        <v>4745114.4487699997</v>
      </c>
      <c r="P24" s="80"/>
      <c r="Q24" s="72"/>
    </row>
    <row r="25" spans="1:17" ht="35.25" customHeight="1" x14ac:dyDescent="0.25">
      <c r="A25" s="348"/>
      <c r="B25" s="303"/>
      <c r="C25" s="81" t="s">
        <v>174</v>
      </c>
      <c r="D25" s="217">
        <v>958</v>
      </c>
      <c r="E25" s="96" t="s">
        <v>208</v>
      </c>
      <c r="F25" s="96" t="s">
        <v>209</v>
      </c>
      <c r="G25" s="96" t="s">
        <v>210</v>
      </c>
      <c r="H25" s="147">
        <f t="shared" si="0"/>
        <v>0</v>
      </c>
      <c r="I25" s="147">
        <f t="shared" si="0"/>
        <v>0</v>
      </c>
      <c r="J25" s="147">
        <f t="shared" si="0"/>
        <v>0</v>
      </c>
      <c r="K25" s="147">
        <f t="shared" si="0"/>
        <v>0</v>
      </c>
      <c r="L25" s="147">
        <f t="shared" ref="L25:M28" si="1">L30+L120+L245+L330</f>
        <v>0</v>
      </c>
      <c r="M25" s="147">
        <f t="shared" si="1"/>
        <v>0</v>
      </c>
      <c r="N25" s="147">
        <f t="shared" si="0"/>
        <v>0</v>
      </c>
      <c r="O25" s="147">
        <f>O30+O120+O245+O340</f>
        <v>0</v>
      </c>
      <c r="P25" s="80"/>
      <c r="Q25" s="72"/>
    </row>
    <row r="26" spans="1:17" ht="33" customHeight="1" x14ac:dyDescent="0.25">
      <c r="A26" s="348"/>
      <c r="B26" s="303"/>
      <c r="C26" s="81" t="s">
        <v>175</v>
      </c>
      <c r="D26" s="217">
        <v>958</v>
      </c>
      <c r="E26" s="96" t="s">
        <v>208</v>
      </c>
      <c r="F26" s="96" t="s">
        <v>209</v>
      </c>
      <c r="G26" s="96" t="s">
        <v>210</v>
      </c>
      <c r="H26" s="147">
        <f t="shared" si="0"/>
        <v>319247.19</v>
      </c>
      <c r="I26" s="147">
        <f t="shared" si="0"/>
        <v>360940.33744000003</v>
      </c>
      <c r="J26" s="147">
        <f t="shared" si="0"/>
        <v>432908.26014000003</v>
      </c>
      <c r="K26" s="147">
        <f t="shared" si="0"/>
        <v>416990.09289999999</v>
      </c>
      <c r="L26" s="147">
        <f t="shared" si="1"/>
        <v>569297.17500000005</v>
      </c>
      <c r="M26" s="147">
        <f t="shared" si="1"/>
        <v>593807.28399999999</v>
      </c>
      <c r="N26" s="147">
        <f t="shared" si="0"/>
        <v>625765.39199999999</v>
      </c>
      <c r="O26" s="147">
        <f>O31+O121+O246+O341</f>
        <v>3310128.1684799995</v>
      </c>
      <c r="P26" s="80"/>
      <c r="Q26" s="72"/>
    </row>
    <row r="27" spans="1:17" ht="64.5" customHeight="1" x14ac:dyDescent="0.25">
      <c r="A27" s="348"/>
      <c r="B27" s="303"/>
      <c r="C27" s="81" t="s">
        <v>176</v>
      </c>
      <c r="D27" s="217">
        <v>958</v>
      </c>
      <c r="E27" s="96" t="s">
        <v>208</v>
      </c>
      <c r="F27" s="96" t="s">
        <v>209</v>
      </c>
      <c r="G27" s="96" t="s">
        <v>210</v>
      </c>
      <c r="H27" s="147">
        <f t="shared" si="0"/>
        <v>175949.09900000002</v>
      </c>
      <c r="I27" s="147">
        <f t="shared" si="0"/>
        <v>185388.23</v>
      </c>
      <c r="J27" s="147">
        <f t="shared" si="0"/>
        <v>214110.11663999991</v>
      </c>
      <c r="K27" s="147">
        <f t="shared" si="0"/>
        <v>227258.07916999998</v>
      </c>
      <c r="L27" s="147">
        <f t="shared" si="0"/>
        <v>240385.61918000001</v>
      </c>
      <c r="M27" s="147">
        <f t="shared" si="0"/>
        <v>216637.04002000001</v>
      </c>
      <c r="N27" s="147">
        <f t="shared" si="0"/>
        <v>214661.35463000002</v>
      </c>
      <c r="O27" s="147">
        <f>O32+O122+O247+O342-0.01</f>
        <v>1427868.5740100001</v>
      </c>
      <c r="P27" s="80"/>
      <c r="Q27" s="72"/>
    </row>
    <row r="28" spans="1:17" ht="45.75" customHeight="1" x14ac:dyDescent="0.25">
      <c r="A28" s="348"/>
      <c r="B28" s="303"/>
      <c r="C28" s="81" t="s">
        <v>177</v>
      </c>
      <c r="D28" s="217">
        <v>958</v>
      </c>
      <c r="E28" s="79"/>
      <c r="F28" s="79"/>
      <c r="G28" s="79"/>
      <c r="H28" s="147">
        <f t="shared" si="0"/>
        <v>0</v>
      </c>
      <c r="I28" s="147">
        <f t="shared" si="0"/>
        <v>0</v>
      </c>
      <c r="J28" s="147">
        <f t="shared" si="0"/>
        <v>0</v>
      </c>
      <c r="K28" s="147">
        <f t="shared" si="0"/>
        <v>0</v>
      </c>
      <c r="L28" s="147">
        <f t="shared" si="1"/>
        <v>0</v>
      </c>
      <c r="M28" s="147">
        <f t="shared" si="1"/>
        <v>0</v>
      </c>
      <c r="N28" s="147">
        <f t="shared" si="0"/>
        <v>0</v>
      </c>
      <c r="O28" s="147">
        <f>O33+O123+O248+O343</f>
        <v>0</v>
      </c>
      <c r="P28" s="80"/>
      <c r="Q28" s="72"/>
    </row>
    <row r="29" spans="1:17" ht="18" customHeight="1" x14ac:dyDescent="0.25">
      <c r="A29" s="333" t="s">
        <v>44</v>
      </c>
      <c r="B29" s="303" t="s">
        <v>352</v>
      </c>
      <c r="C29" s="81" t="s">
        <v>173</v>
      </c>
      <c r="D29" s="217">
        <v>958</v>
      </c>
      <c r="E29" s="96" t="s">
        <v>211</v>
      </c>
      <c r="F29" s="96" t="s">
        <v>212</v>
      </c>
      <c r="G29" s="96" t="s">
        <v>210</v>
      </c>
      <c r="H29" s="147">
        <f t="shared" ref="H29:J29" si="2">H34+H44+H99+H109</f>
        <v>112075.72</v>
      </c>
      <c r="I29" s="147">
        <f t="shared" si="2"/>
        <v>122757.45499999999</v>
      </c>
      <c r="J29" s="147">
        <f t="shared" si="2"/>
        <v>142853.7936699999</v>
      </c>
      <c r="K29" s="147">
        <f>K34+K44+K99+K109</f>
        <v>153584.31161999999</v>
      </c>
      <c r="L29" s="147">
        <f t="shared" ref="L29:M29" si="3">L34+L44+L99+L109</f>
        <v>169486.45123999997</v>
      </c>
      <c r="M29" s="147">
        <f t="shared" si="3"/>
        <v>169115.33200000002</v>
      </c>
      <c r="N29" s="147">
        <f>N34+N44+N99+N109</f>
        <v>175239.43299999999</v>
      </c>
      <c r="O29" s="147">
        <f>O34+O44+O99+O109</f>
        <v>1045112.4965299999</v>
      </c>
      <c r="P29" s="80"/>
      <c r="Q29" s="72"/>
    </row>
    <row r="30" spans="1:17" ht="23.25" hidden="1" customHeight="1" x14ac:dyDescent="0.25">
      <c r="A30" s="333"/>
      <c r="B30" s="303"/>
      <c r="C30" s="81" t="s">
        <v>174</v>
      </c>
      <c r="D30" s="217">
        <v>958</v>
      </c>
      <c r="E30" s="96" t="s">
        <v>211</v>
      </c>
      <c r="F30" s="96" t="s">
        <v>212</v>
      </c>
      <c r="G30" s="96" t="s">
        <v>210</v>
      </c>
      <c r="H30" s="147">
        <f t="shared" ref="H30:M30" si="4">H35+H45+H100</f>
        <v>0</v>
      </c>
      <c r="I30" s="147">
        <f t="shared" si="4"/>
        <v>0</v>
      </c>
      <c r="J30" s="147">
        <f t="shared" si="4"/>
        <v>0</v>
      </c>
      <c r="K30" s="147">
        <f t="shared" si="4"/>
        <v>0</v>
      </c>
      <c r="L30" s="147">
        <f t="shared" si="4"/>
        <v>0</v>
      </c>
      <c r="M30" s="147">
        <f t="shared" si="4"/>
        <v>0</v>
      </c>
      <c r="N30" s="147">
        <f>N35+N45+N100</f>
        <v>0</v>
      </c>
      <c r="O30" s="147">
        <f>O35+O45+O100</f>
        <v>0</v>
      </c>
      <c r="P30" s="80"/>
      <c r="Q30" s="72"/>
    </row>
    <row r="31" spans="1:17" ht="33.75" customHeight="1" x14ac:dyDescent="0.25">
      <c r="A31" s="333"/>
      <c r="B31" s="303"/>
      <c r="C31" s="81" t="s">
        <v>175</v>
      </c>
      <c r="D31" s="217">
        <v>958</v>
      </c>
      <c r="E31" s="96" t="s">
        <v>211</v>
      </c>
      <c r="F31" s="96" t="s">
        <v>212</v>
      </c>
      <c r="G31" s="96" t="s">
        <v>210</v>
      </c>
      <c r="H31" s="147">
        <f t="shared" ref="H31:M32" si="5">H36+H46+H101+H111</f>
        <v>68385.53</v>
      </c>
      <c r="I31" s="147">
        <f t="shared" si="5"/>
        <v>79170.024999999994</v>
      </c>
      <c r="J31" s="147">
        <f t="shared" si="5"/>
        <v>88167.702430000005</v>
      </c>
      <c r="K31" s="147">
        <f t="shared" si="5"/>
        <v>94390.304650000005</v>
      </c>
      <c r="L31" s="147">
        <f t="shared" si="5"/>
        <v>114839.40700000001</v>
      </c>
      <c r="M31" s="147">
        <f t="shared" si="5"/>
        <v>115391.84400000001</v>
      </c>
      <c r="N31" s="147">
        <f>N36+N46+N101+N111</f>
        <v>122051.745</v>
      </c>
      <c r="O31" s="147">
        <f>O36+O46+O101+O111</f>
        <v>682396.55807999999</v>
      </c>
      <c r="P31" s="80"/>
      <c r="Q31" s="72"/>
    </row>
    <row r="32" spans="1:17" ht="63.75" customHeight="1" x14ac:dyDescent="0.25">
      <c r="A32" s="333"/>
      <c r="B32" s="303"/>
      <c r="C32" s="81" t="s">
        <v>176</v>
      </c>
      <c r="D32" s="217">
        <v>958</v>
      </c>
      <c r="E32" s="96" t="s">
        <v>211</v>
      </c>
      <c r="F32" s="96" t="s">
        <v>212</v>
      </c>
      <c r="G32" s="96" t="s">
        <v>210</v>
      </c>
      <c r="H32" s="147">
        <f t="shared" si="5"/>
        <v>43690.189999999995</v>
      </c>
      <c r="I32" s="147">
        <f t="shared" si="5"/>
        <v>43587.43</v>
      </c>
      <c r="J32" s="147">
        <f t="shared" si="5"/>
        <v>54686.091239999892</v>
      </c>
      <c r="K32" s="147">
        <f t="shared" si="5"/>
        <v>59194.006969999995</v>
      </c>
      <c r="L32" s="147">
        <f t="shared" si="5"/>
        <v>54647.044239999996</v>
      </c>
      <c r="M32" s="147">
        <f t="shared" si="5"/>
        <v>53723.487999999998</v>
      </c>
      <c r="N32" s="147">
        <f>N37+N47+N102+N112</f>
        <v>53187.688000000002</v>
      </c>
      <c r="O32" s="147">
        <f>O37+O47+O102+O112</f>
        <v>362715.9384499999</v>
      </c>
      <c r="P32" s="80"/>
      <c r="Q32" s="72"/>
    </row>
    <row r="33" spans="1:17" ht="47.25" x14ac:dyDescent="0.25">
      <c r="A33" s="333"/>
      <c r="B33" s="303"/>
      <c r="C33" s="81" t="s">
        <v>177</v>
      </c>
      <c r="D33" s="217">
        <v>958</v>
      </c>
      <c r="E33" s="79"/>
      <c r="F33" s="79"/>
      <c r="G33" s="79"/>
      <c r="H33" s="147">
        <f t="shared" ref="H33:M33" si="6">H38+H48+H103</f>
        <v>0</v>
      </c>
      <c r="I33" s="147">
        <f t="shared" si="6"/>
        <v>0</v>
      </c>
      <c r="J33" s="147">
        <f t="shared" si="6"/>
        <v>0</v>
      </c>
      <c r="K33" s="147">
        <f t="shared" si="6"/>
        <v>0</v>
      </c>
      <c r="L33" s="147">
        <f t="shared" si="6"/>
        <v>0</v>
      </c>
      <c r="M33" s="147">
        <f t="shared" si="6"/>
        <v>0</v>
      </c>
      <c r="N33" s="147">
        <f>N38+N48+N103</f>
        <v>0</v>
      </c>
      <c r="O33" s="147">
        <f>O38+O48+O103</f>
        <v>0</v>
      </c>
      <c r="P33" s="80"/>
      <c r="Q33" s="72"/>
    </row>
    <row r="34" spans="1:17" ht="20.25" customHeight="1" x14ac:dyDescent="0.25">
      <c r="A34" s="327" t="s">
        <v>6</v>
      </c>
      <c r="B34" s="303" t="s">
        <v>45</v>
      </c>
      <c r="C34" s="81" t="s">
        <v>173</v>
      </c>
      <c r="D34" s="217">
        <v>958</v>
      </c>
      <c r="E34" s="96" t="s">
        <v>211</v>
      </c>
      <c r="F34" s="96" t="s">
        <v>213</v>
      </c>
      <c r="G34" s="96" t="s">
        <v>210</v>
      </c>
      <c r="H34" s="147">
        <f>H39</f>
        <v>109010.79</v>
      </c>
      <c r="I34" s="147">
        <f t="shared" ref="I34:M38" si="7">I39</f>
        <v>118077.62</v>
      </c>
      <c r="J34" s="147">
        <f t="shared" si="7"/>
        <v>130212.7966899999</v>
      </c>
      <c r="K34" s="147">
        <f t="shared" si="7"/>
        <v>142233.97659999999</v>
      </c>
      <c r="L34" s="147">
        <f t="shared" si="7"/>
        <v>159342.43417999998</v>
      </c>
      <c r="M34" s="147">
        <f t="shared" si="7"/>
        <v>164875.89500000002</v>
      </c>
      <c r="N34" s="147">
        <f t="shared" ref="N34:O38" si="8">N39</f>
        <v>170836.541</v>
      </c>
      <c r="O34" s="147">
        <f t="shared" si="8"/>
        <v>994590.05346999993</v>
      </c>
      <c r="P34" s="80"/>
      <c r="Q34" s="72"/>
    </row>
    <row r="35" spans="1:17" ht="32.25" customHeight="1" x14ac:dyDescent="0.25">
      <c r="A35" s="327"/>
      <c r="B35" s="303"/>
      <c r="C35" s="81" t="s">
        <v>174</v>
      </c>
      <c r="D35" s="217">
        <v>958</v>
      </c>
      <c r="E35" s="96" t="s">
        <v>211</v>
      </c>
      <c r="F35" s="96" t="s">
        <v>213</v>
      </c>
      <c r="G35" s="96" t="s">
        <v>210</v>
      </c>
      <c r="H35" s="147">
        <f>H40</f>
        <v>0</v>
      </c>
      <c r="I35" s="147">
        <f t="shared" si="7"/>
        <v>0</v>
      </c>
      <c r="J35" s="147">
        <f t="shared" si="7"/>
        <v>0</v>
      </c>
      <c r="K35" s="147">
        <f t="shared" si="7"/>
        <v>0</v>
      </c>
      <c r="L35" s="147">
        <f t="shared" si="7"/>
        <v>0</v>
      </c>
      <c r="M35" s="147">
        <f t="shared" si="7"/>
        <v>0</v>
      </c>
      <c r="N35" s="147">
        <f t="shared" si="8"/>
        <v>0</v>
      </c>
      <c r="O35" s="147">
        <f t="shared" si="8"/>
        <v>0</v>
      </c>
      <c r="P35" s="80"/>
      <c r="Q35" s="72"/>
    </row>
    <row r="36" spans="1:17" ht="30" customHeight="1" x14ac:dyDescent="0.25">
      <c r="A36" s="327"/>
      <c r="B36" s="303"/>
      <c r="C36" s="81" t="s">
        <v>175</v>
      </c>
      <c r="D36" s="217">
        <v>958</v>
      </c>
      <c r="E36" s="96" t="s">
        <v>211</v>
      </c>
      <c r="F36" s="96" t="s">
        <v>213</v>
      </c>
      <c r="G36" s="96" t="s">
        <v>210</v>
      </c>
      <c r="H36" s="147">
        <f>H41</f>
        <v>66503.23</v>
      </c>
      <c r="I36" s="147">
        <f t="shared" si="7"/>
        <v>75593.87</v>
      </c>
      <c r="J36" s="147">
        <f t="shared" si="7"/>
        <v>85090.418000000005</v>
      </c>
      <c r="K36" s="147">
        <f t="shared" si="7"/>
        <v>89007.697</v>
      </c>
      <c r="L36" s="147">
        <f t="shared" si="7"/>
        <v>104913.996</v>
      </c>
      <c r="M36" s="147">
        <f t="shared" si="7"/>
        <v>111310.40700000001</v>
      </c>
      <c r="N36" s="147">
        <f t="shared" si="8"/>
        <v>117806.853</v>
      </c>
      <c r="O36" s="147">
        <f t="shared" si="8"/>
        <v>650226.47100000002</v>
      </c>
      <c r="P36" s="80"/>
      <c r="Q36" s="72"/>
    </row>
    <row r="37" spans="1:17" ht="63.75" customHeight="1" x14ac:dyDescent="0.25">
      <c r="A37" s="327"/>
      <c r="B37" s="303"/>
      <c r="C37" s="81" t="s">
        <v>176</v>
      </c>
      <c r="D37" s="217">
        <v>958</v>
      </c>
      <c r="E37" s="96" t="s">
        <v>211</v>
      </c>
      <c r="F37" s="96" t="s">
        <v>213</v>
      </c>
      <c r="G37" s="96" t="s">
        <v>210</v>
      </c>
      <c r="H37" s="147">
        <f>H42</f>
        <v>42507.56</v>
      </c>
      <c r="I37" s="147">
        <f t="shared" si="7"/>
        <v>42483.75</v>
      </c>
      <c r="J37" s="147">
        <f t="shared" si="7"/>
        <v>45122.378689999896</v>
      </c>
      <c r="K37" s="147">
        <f t="shared" si="7"/>
        <v>53226.279599999994</v>
      </c>
      <c r="L37" s="147">
        <f t="shared" si="7"/>
        <v>54428.438179999997</v>
      </c>
      <c r="M37" s="147">
        <f t="shared" si="7"/>
        <v>53565.487999999998</v>
      </c>
      <c r="N37" s="147">
        <f t="shared" si="8"/>
        <v>53029.688000000002</v>
      </c>
      <c r="O37" s="147">
        <f t="shared" si="8"/>
        <v>344363.58246999991</v>
      </c>
      <c r="P37" s="80"/>
      <c r="Q37" s="72"/>
    </row>
    <row r="38" spans="1:17" ht="46.5" customHeight="1" x14ac:dyDescent="0.25">
      <c r="A38" s="327"/>
      <c r="B38" s="303"/>
      <c r="C38" s="81" t="s">
        <v>177</v>
      </c>
      <c r="D38" s="217">
        <v>958</v>
      </c>
      <c r="E38" s="79"/>
      <c r="F38" s="79"/>
      <c r="G38" s="79"/>
      <c r="H38" s="147">
        <f>H43</f>
        <v>0</v>
      </c>
      <c r="I38" s="147">
        <f t="shared" si="7"/>
        <v>0</v>
      </c>
      <c r="J38" s="147">
        <f t="shared" si="7"/>
        <v>0</v>
      </c>
      <c r="K38" s="147">
        <f t="shared" si="7"/>
        <v>0</v>
      </c>
      <c r="L38" s="147">
        <f t="shared" si="7"/>
        <v>0</v>
      </c>
      <c r="M38" s="147">
        <f t="shared" si="7"/>
        <v>0</v>
      </c>
      <c r="N38" s="147">
        <f t="shared" si="8"/>
        <v>0</v>
      </c>
      <c r="O38" s="147">
        <f t="shared" si="8"/>
        <v>0</v>
      </c>
      <c r="P38" s="80"/>
      <c r="Q38" s="72"/>
    </row>
    <row r="39" spans="1:17" ht="21" customHeight="1" x14ac:dyDescent="0.25">
      <c r="A39" s="327" t="s">
        <v>47</v>
      </c>
      <c r="B39" s="304" t="s">
        <v>48</v>
      </c>
      <c r="C39" s="84" t="s">
        <v>173</v>
      </c>
      <c r="D39" s="218">
        <v>958</v>
      </c>
      <c r="E39" s="103" t="s">
        <v>211</v>
      </c>
      <c r="F39" s="226" t="s">
        <v>380</v>
      </c>
      <c r="G39" s="119" t="s">
        <v>210</v>
      </c>
      <c r="H39" s="148">
        <f t="shared" ref="H39:M39" si="9">H40+H41+H42+H43</f>
        <v>109010.79</v>
      </c>
      <c r="I39" s="148">
        <f t="shared" si="9"/>
        <v>118077.62</v>
      </c>
      <c r="J39" s="148">
        <f t="shared" si="9"/>
        <v>130212.7966899999</v>
      </c>
      <c r="K39" s="148">
        <f t="shared" si="9"/>
        <v>142233.97659999999</v>
      </c>
      <c r="L39" s="148">
        <f t="shared" si="9"/>
        <v>159342.43417999998</v>
      </c>
      <c r="M39" s="148">
        <f t="shared" si="9"/>
        <v>164875.89500000002</v>
      </c>
      <c r="N39" s="148">
        <f>N40+N41+N42+N43</f>
        <v>170836.541</v>
      </c>
      <c r="O39" s="148">
        <f>O40+O41+O42+O43</f>
        <v>994590.05346999993</v>
      </c>
      <c r="P39" s="83"/>
      <c r="Q39" s="72"/>
    </row>
    <row r="40" spans="1:17" ht="36.75" customHeight="1" x14ac:dyDescent="0.25">
      <c r="A40" s="327"/>
      <c r="B40" s="304"/>
      <c r="C40" s="84" t="s">
        <v>174</v>
      </c>
      <c r="D40" s="218">
        <v>958</v>
      </c>
      <c r="E40" s="103" t="s">
        <v>211</v>
      </c>
      <c r="F40" s="84"/>
      <c r="G40" s="84"/>
      <c r="H40" s="148">
        <v>0</v>
      </c>
      <c r="I40" s="148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f>SUM(H40:N40)</f>
        <v>0</v>
      </c>
      <c r="P40" s="83"/>
      <c r="Q40" s="72"/>
    </row>
    <row r="41" spans="1:17" ht="33.75" customHeight="1" x14ac:dyDescent="0.25">
      <c r="A41" s="327"/>
      <c r="B41" s="304"/>
      <c r="C41" s="84" t="s">
        <v>175</v>
      </c>
      <c r="D41" s="218">
        <v>958</v>
      </c>
      <c r="E41" s="103" t="s">
        <v>211</v>
      </c>
      <c r="F41" s="226" t="s">
        <v>379</v>
      </c>
      <c r="G41" s="102">
        <v>610</v>
      </c>
      <c r="H41" s="148">
        <v>66503.23</v>
      </c>
      <c r="I41" s="148">
        <f>77609.87-4226.18+2210.18</f>
        <v>75593.87</v>
      </c>
      <c r="J41" s="148">
        <f>81227.204+3863.214</f>
        <v>85090.418000000005</v>
      </c>
      <c r="K41" s="148">
        <f>89489.244-12133.27+11651.723</f>
        <v>89007.697</v>
      </c>
      <c r="L41" s="148">
        <v>104913.996</v>
      </c>
      <c r="M41" s="148">
        <v>111310.40700000001</v>
      </c>
      <c r="N41" s="148">
        <v>117806.853</v>
      </c>
      <c r="O41" s="148">
        <f>SUM(H41:N41)</f>
        <v>650226.47100000002</v>
      </c>
      <c r="P41" s="83"/>
      <c r="Q41" s="72"/>
    </row>
    <row r="42" spans="1:17" ht="66" customHeight="1" x14ac:dyDescent="0.25">
      <c r="A42" s="327"/>
      <c r="B42" s="304"/>
      <c r="C42" s="84" t="s">
        <v>176</v>
      </c>
      <c r="D42" s="218">
        <v>958</v>
      </c>
      <c r="E42" s="103" t="s">
        <v>211</v>
      </c>
      <c r="F42" s="103" t="s">
        <v>215</v>
      </c>
      <c r="G42" s="102">
        <v>610</v>
      </c>
      <c r="H42" s="148">
        <v>42507.56</v>
      </c>
      <c r="I42" s="148">
        <f>36848.59+3800.31+637.82-168+394.8+710+260.23</f>
        <v>42483.75</v>
      </c>
      <c r="J42" s="149">
        <f>43502.8479999999+230+74+252.776+859.477+84.22369+100+19.054</f>
        <v>45122.378689999896</v>
      </c>
      <c r="K42" s="149">
        <f>48919.6853+3522.88-390+581.10388+85+428.41042+79.2</f>
        <v>53226.279599999994</v>
      </c>
      <c r="L42" s="149">
        <v>54428.438179999997</v>
      </c>
      <c r="M42" s="149">
        <v>53565.487999999998</v>
      </c>
      <c r="N42" s="149">
        <v>53029.688000000002</v>
      </c>
      <c r="O42" s="149">
        <f>SUM(H42:N42)</f>
        <v>344363.58246999991</v>
      </c>
      <c r="P42" s="83"/>
      <c r="Q42" s="72"/>
    </row>
    <row r="43" spans="1:17" ht="45.75" customHeight="1" x14ac:dyDescent="0.25">
      <c r="A43" s="327"/>
      <c r="B43" s="304"/>
      <c r="C43" s="84" t="s">
        <v>177</v>
      </c>
      <c r="D43" s="218">
        <v>958</v>
      </c>
      <c r="E43" s="82"/>
      <c r="F43" s="82"/>
      <c r="G43" s="82"/>
      <c r="H43" s="148">
        <v>0</v>
      </c>
      <c r="I43" s="148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f>SUM(H43:N43)</f>
        <v>0</v>
      </c>
      <c r="P43" s="83"/>
      <c r="Q43" s="72"/>
    </row>
    <row r="44" spans="1:17" ht="21.75" customHeight="1" x14ac:dyDescent="0.25">
      <c r="A44" s="327" t="s">
        <v>7</v>
      </c>
      <c r="B44" s="303" t="s">
        <v>51</v>
      </c>
      <c r="C44" s="81" t="s">
        <v>173</v>
      </c>
      <c r="D44" s="217">
        <v>958</v>
      </c>
      <c r="E44" s="96" t="s">
        <v>211</v>
      </c>
      <c r="F44" s="96" t="s">
        <v>217</v>
      </c>
      <c r="G44" s="96" t="s">
        <v>210</v>
      </c>
      <c r="H44" s="147">
        <f>H49+H54+H59+H64+H69+H74+H79+H84+H89</f>
        <v>1182.6299999999999</v>
      </c>
      <c r="I44" s="147">
        <f>I49+I54+I59+I64+I69+I74+I79+I84+I89</f>
        <v>1498.4299999999998</v>
      </c>
      <c r="J44" s="147">
        <f>J49+J54+J59+J64+J69+J74+J79+J84+J89</f>
        <v>9563.7125500000002</v>
      </c>
      <c r="K44" s="147">
        <f>K49+K54+K59+K64+K69+K74+K79+K84+K89+K94</f>
        <v>8080.2730200000005</v>
      </c>
      <c r="L44" s="147">
        <f t="shared" ref="L44:M44" si="10">L49+L54+L59+L64+L69+L74+L79+L84+L89+L94</f>
        <v>6218.6060600000001</v>
      </c>
      <c r="M44" s="147">
        <f t="shared" si="10"/>
        <v>158</v>
      </c>
      <c r="N44" s="147">
        <f>N49+N54+N59+N64+N69+N74+N79+N84+N89+N94</f>
        <v>158</v>
      </c>
      <c r="O44" s="147">
        <f>O49+O54+O59+O64+O69+O74+O79+O84+O89+O94</f>
        <v>26859.65163</v>
      </c>
      <c r="P44" s="80"/>
      <c r="Q44" s="72"/>
    </row>
    <row r="45" spans="1:17" ht="28.5" customHeight="1" x14ac:dyDescent="0.25">
      <c r="A45" s="327"/>
      <c r="B45" s="303"/>
      <c r="C45" s="81" t="s">
        <v>174</v>
      </c>
      <c r="D45" s="217">
        <v>958</v>
      </c>
      <c r="E45" s="96" t="s">
        <v>211</v>
      </c>
      <c r="F45" s="96" t="s">
        <v>217</v>
      </c>
      <c r="G45" s="96" t="s">
        <v>210</v>
      </c>
      <c r="H45" s="147">
        <f>H50+H55+H60+H65+H70+H75+H80+H85+H90</f>
        <v>0</v>
      </c>
      <c r="I45" s="147">
        <f t="shared" ref="I45:J47" si="11">I50+I55+I60+I65+I70+I75+I80+I85+I90</f>
        <v>0</v>
      </c>
      <c r="J45" s="147">
        <f t="shared" si="11"/>
        <v>0</v>
      </c>
      <c r="K45" s="147">
        <f>K50+K55+K60+K65+K70+K75+K80+K85+K90+K91</f>
        <v>0</v>
      </c>
      <c r="L45" s="147">
        <f t="shared" ref="L45:M45" si="12">L50+L55+L60+L65+L70+L75+L80+L85+L90+L91</f>
        <v>0</v>
      </c>
      <c r="M45" s="147">
        <f t="shared" si="12"/>
        <v>0</v>
      </c>
      <c r="N45" s="147">
        <f>N50+N55+N60+N65+N70+N75+N80+N85+N90+N91</f>
        <v>0</v>
      </c>
      <c r="O45" s="147">
        <f>O50+O55+O60+O65+O70+O75+O80+O85+O90+O91</f>
        <v>0</v>
      </c>
      <c r="P45" s="80"/>
      <c r="Q45" s="72"/>
    </row>
    <row r="46" spans="1:17" ht="30.75" customHeight="1" x14ac:dyDescent="0.25">
      <c r="A46" s="327"/>
      <c r="B46" s="303"/>
      <c r="C46" s="81" t="s">
        <v>175</v>
      </c>
      <c r="D46" s="217">
        <v>958</v>
      </c>
      <c r="E46" s="96" t="s">
        <v>211</v>
      </c>
      <c r="F46" s="96" t="s">
        <v>217</v>
      </c>
      <c r="G46" s="96" t="s">
        <v>210</v>
      </c>
      <c r="H46" s="147">
        <f>H51+H56+H61+H66+H71+H76+H81+H86+H91</f>
        <v>0</v>
      </c>
      <c r="I46" s="147">
        <f t="shared" si="11"/>
        <v>394.75</v>
      </c>
      <c r="J46" s="147">
        <f t="shared" si="11"/>
        <v>0</v>
      </c>
      <c r="K46" s="147">
        <f t="shared" ref="K46:K47" si="13">K51+K56+K61+K66+K71+K76+K81+K86+K91+K96</f>
        <v>2112.54565</v>
      </c>
      <c r="L46" s="147">
        <f t="shared" ref="L46:O47" si="14">L51+L56+L61+L66+L71+L76+L81+L86+L91+L96</f>
        <v>6000</v>
      </c>
      <c r="M46" s="147">
        <f t="shared" si="14"/>
        <v>0</v>
      </c>
      <c r="N46" s="147">
        <f t="shared" si="14"/>
        <v>0</v>
      </c>
      <c r="O46" s="147">
        <f t="shared" si="14"/>
        <v>8507.29565</v>
      </c>
      <c r="P46" s="80"/>
      <c r="Q46" s="72"/>
    </row>
    <row r="47" spans="1:17" ht="63.75" customHeight="1" x14ac:dyDescent="0.25">
      <c r="A47" s="327"/>
      <c r="B47" s="303"/>
      <c r="C47" s="81" t="s">
        <v>176</v>
      </c>
      <c r="D47" s="217">
        <v>958</v>
      </c>
      <c r="E47" s="96" t="s">
        <v>211</v>
      </c>
      <c r="F47" s="96" t="s">
        <v>217</v>
      </c>
      <c r="G47" s="96" t="s">
        <v>210</v>
      </c>
      <c r="H47" s="147">
        <f>H52+H57+H62+H67+H72+H77+H82+H87+H92</f>
        <v>1182.6299999999999</v>
      </c>
      <c r="I47" s="147">
        <f>I52+I57+I62+I67+I72+I77+I82+I87+I92</f>
        <v>1103.6799999999998</v>
      </c>
      <c r="J47" s="147">
        <f t="shared" si="11"/>
        <v>9563.7125500000002</v>
      </c>
      <c r="K47" s="147">
        <f t="shared" si="13"/>
        <v>5967.7273699999996</v>
      </c>
      <c r="L47" s="147">
        <f t="shared" si="14"/>
        <v>218.60606000000001</v>
      </c>
      <c r="M47" s="147">
        <f t="shared" si="14"/>
        <v>158</v>
      </c>
      <c r="N47" s="147">
        <f t="shared" si="14"/>
        <v>158</v>
      </c>
      <c r="O47" s="147">
        <f t="shared" si="14"/>
        <v>18352.35598</v>
      </c>
      <c r="P47" s="80"/>
      <c r="Q47" s="72"/>
    </row>
    <row r="48" spans="1:17" ht="48" customHeight="1" x14ac:dyDescent="0.25">
      <c r="A48" s="327"/>
      <c r="B48" s="303"/>
      <c r="C48" s="81" t="s">
        <v>177</v>
      </c>
      <c r="D48" s="217">
        <v>958</v>
      </c>
      <c r="E48" s="79"/>
      <c r="F48" s="79"/>
      <c r="G48" s="79"/>
      <c r="H48" s="147">
        <f>H53+H58+H63+H68+H73+H78+H83+H88+H93</f>
        <v>0</v>
      </c>
      <c r="I48" s="147">
        <f>I53+I58+I63+I68+I73+I78+I83+I88+I93</f>
        <v>0</v>
      </c>
      <c r="J48" s="147">
        <f>J53+J58+J63+J68+J73+J78+J83+J88+J93</f>
        <v>0</v>
      </c>
      <c r="K48" s="147">
        <f>K53+K58+K63+K68+K73+K78+K83+K88+K93++K98</f>
        <v>0</v>
      </c>
      <c r="L48" s="147">
        <f t="shared" ref="L48:M48" si="15">L53+L58+L63+L68+L73+L78+L83+L88+L93++L98</f>
        <v>0</v>
      </c>
      <c r="M48" s="147">
        <f t="shared" si="15"/>
        <v>0</v>
      </c>
      <c r="N48" s="147">
        <f>N53+N58+N63+N68+N73+N78+N83+N88+N93++N98</f>
        <v>0</v>
      </c>
      <c r="O48" s="147">
        <f>O53+O58+O63+O68+O73+O78+O83+O88+O93+O98</f>
        <v>0</v>
      </c>
      <c r="P48" s="80"/>
      <c r="Q48" s="72"/>
    </row>
    <row r="49" spans="1:17" ht="25.5" customHeight="1" x14ac:dyDescent="0.25">
      <c r="A49" s="327" t="s">
        <v>52</v>
      </c>
      <c r="B49" s="304" t="s">
        <v>53</v>
      </c>
      <c r="C49" s="84" t="s">
        <v>173</v>
      </c>
      <c r="D49" s="218">
        <v>958</v>
      </c>
      <c r="E49" s="103" t="s">
        <v>211</v>
      </c>
      <c r="F49" s="105" t="s">
        <v>378</v>
      </c>
      <c r="G49" s="119" t="s">
        <v>210</v>
      </c>
      <c r="H49" s="148">
        <f t="shared" ref="H49:M49" si="16">H50+H51+H52+H53</f>
        <v>0</v>
      </c>
      <c r="I49" s="148">
        <f t="shared" si="16"/>
        <v>406.96</v>
      </c>
      <c r="J49" s="148">
        <f t="shared" si="16"/>
        <v>0</v>
      </c>
      <c r="K49" s="148">
        <f t="shared" si="16"/>
        <v>0</v>
      </c>
      <c r="L49" s="148">
        <f t="shared" si="16"/>
        <v>0</v>
      </c>
      <c r="M49" s="148">
        <f t="shared" si="16"/>
        <v>0</v>
      </c>
      <c r="N49" s="148">
        <f>N50+N51+N52+N53</f>
        <v>0</v>
      </c>
      <c r="O49" s="148">
        <f>O50+O51+O52+O53</f>
        <v>406.96</v>
      </c>
      <c r="P49" s="83"/>
      <c r="Q49" s="72"/>
    </row>
    <row r="50" spans="1:17" ht="34.5" customHeight="1" x14ac:dyDescent="0.25">
      <c r="A50" s="327"/>
      <c r="B50" s="304"/>
      <c r="C50" s="84" t="s">
        <v>174</v>
      </c>
      <c r="D50" s="218">
        <v>958</v>
      </c>
      <c r="E50" s="103" t="s">
        <v>211</v>
      </c>
      <c r="F50" s="105" t="s">
        <v>218</v>
      </c>
      <c r="G50" s="102">
        <v>610</v>
      </c>
      <c r="H50" s="148">
        <v>0</v>
      </c>
      <c r="I50" s="148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f>SUM(H50:N50)</f>
        <v>0</v>
      </c>
      <c r="P50" s="83"/>
      <c r="Q50" s="72"/>
    </row>
    <row r="51" spans="1:17" ht="36" customHeight="1" x14ac:dyDescent="0.25">
      <c r="A51" s="327"/>
      <c r="B51" s="304"/>
      <c r="C51" s="84" t="s">
        <v>175</v>
      </c>
      <c r="D51" s="218">
        <v>958</v>
      </c>
      <c r="E51" s="103" t="s">
        <v>211</v>
      </c>
      <c r="F51" s="105" t="s">
        <v>377</v>
      </c>
      <c r="G51" s="102">
        <v>610</v>
      </c>
      <c r="H51" s="148">
        <v>0</v>
      </c>
      <c r="I51" s="148">
        <f>399-4.25</f>
        <v>394.75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f>SUM(H51:N51)</f>
        <v>394.75</v>
      </c>
      <c r="P51" s="83"/>
      <c r="Q51" s="72"/>
    </row>
    <row r="52" spans="1:17" ht="70.5" customHeight="1" x14ac:dyDescent="0.25">
      <c r="A52" s="327"/>
      <c r="B52" s="304"/>
      <c r="C52" s="84" t="s">
        <v>176</v>
      </c>
      <c r="D52" s="218">
        <v>958</v>
      </c>
      <c r="E52" s="103" t="s">
        <v>211</v>
      </c>
      <c r="F52" s="105" t="s">
        <v>218</v>
      </c>
      <c r="G52" s="102">
        <v>610</v>
      </c>
      <c r="H52" s="148">
        <v>0</v>
      </c>
      <c r="I52" s="148">
        <f>97.2-84.86-0.13</f>
        <v>12.210000000000003</v>
      </c>
      <c r="J52" s="150">
        <f>0</f>
        <v>0</v>
      </c>
      <c r="K52" s="150">
        <v>0</v>
      </c>
      <c r="L52" s="150">
        <v>0</v>
      </c>
      <c r="M52" s="150">
        <v>0</v>
      </c>
      <c r="N52" s="150">
        <v>0</v>
      </c>
      <c r="O52" s="150">
        <f>SUM(H52:N52)</f>
        <v>12.210000000000003</v>
      </c>
      <c r="P52" s="83"/>
      <c r="Q52" s="72"/>
    </row>
    <row r="53" spans="1:17" ht="45" customHeight="1" x14ac:dyDescent="0.25">
      <c r="A53" s="327"/>
      <c r="B53" s="304"/>
      <c r="C53" s="84" t="s">
        <v>177</v>
      </c>
      <c r="D53" s="218">
        <v>958</v>
      </c>
      <c r="E53" s="82"/>
      <c r="F53" s="82"/>
      <c r="G53" s="82"/>
      <c r="H53" s="148">
        <v>0</v>
      </c>
      <c r="I53" s="148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f>SUM(H53:N53)</f>
        <v>0</v>
      </c>
      <c r="P53" s="83"/>
      <c r="Q53" s="72"/>
    </row>
    <row r="54" spans="1:17" ht="27" customHeight="1" x14ac:dyDescent="0.25">
      <c r="A54" s="327" t="s">
        <v>55</v>
      </c>
      <c r="B54" s="304" t="s">
        <v>56</v>
      </c>
      <c r="C54" s="84" t="s">
        <v>173</v>
      </c>
      <c r="D54" s="218">
        <v>958</v>
      </c>
      <c r="E54" s="103" t="s">
        <v>211</v>
      </c>
      <c r="F54" s="103" t="s">
        <v>220</v>
      </c>
      <c r="G54" s="102">
        <v>410</v>
      </c>
      <c r="H54" s="148">
        <f t="shared" ref="H54:M54" si="17">H55+H56+H57+H58</f>
        <v>899.82999999999993</v>
      </c>
      <c r="I54" s="148">
        <f t="shared" si="17"/>
        <v>0</v>
      </c>
      <c r="J54" s="148">
        <f t="shared" si="17"/>
        <v>0</v>
      </c>
      <c r="K54" s="148">
        <f t="shared" si="17"/>
        <v>0</v>
      </c>
      <c r="L54" s="148">
        <f t="shared" si="17"/>
        <v>0</v>
      </c>
      <c r="M54" s="148">
        <f t="shared" si="17"/>
        <v>0</v>
      </c>
      <c r="N54" s="148">
        <f>N55+N56+N57+N58</f>
        <v>0</v>
      </c>
      <c r="O54" s="148">
        <f>O55+O56+O57+O58</f>
        <v>899.82999999999993</v>
      </c>
      <c r="P54" s="83"/>
      <c r="Q54" s="72"/>
    </row>
    <row r="55" spans="1:17" ht="27.75" customHeight="1" x14ac:dyDescent="0.25">
      <c r="A55" s="327"/>
      <c r="B55" s="304"/>
      <c r="C55" s="84" t="s">
        <v>174</v>
      </c>
      <c r="D55" s="218">
        <v>958</v>
      </c>
      <c r="E55" s="103" t="s">
        <v>211</v>
      </c>
      <c r="F55" s="103" t="s">
        <v>220</v>
      </c>
      <c r="G55" s="102">
        <v>410</v>
      </c>
      <c r="H55" s="148">
        <v>0</v>
      </c>
      <c r="I55" s="148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f>SUM(H55:N55)</f>
        <v>0</v>
      </c>
      <c r="P55" s="83"/>
      <c r="Q55" s="72"/>
    </row>
    <row r="56" spans="1:17" ht="30" customHeight="1" x14ac:dyDescent="0.25">
      <c r="A56" s="327"/>
      <c r="B56" s="304"/>
      <c r="C56" s="84" t="s">
        <v>175</v>
      </c>
      <c r="D56" s="218">
        <v>958</v>
      </c>
      <c r="E56" s="103" t="s">
        <v>211</v>
      </c>
      <c r="F56" s="103" t="s">
        <v>220</v>
      </c>
      <c r="G56" s="102">
        <v>410</v>
      </c>
      <c r="H56" s="148">
        <v>0</v>
      </c>
      <c r="I56" s="148">
        <v>0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>
        <f>SUM(H56:N56)</f>
        <v>0</v>
      </c>
      <c r="P56" s="83"/>
      <c r="Q56" s="72"/>
    </row>
    <row r="57" spans="1:17" ht="62.25" customHeight="1" x14ac:dyDescent="0.25">
      <c r="A57" s="327"/>
      <c r="B57" s="304"/>
      <c r="C57" s="84" t="s">
        <v>176</v>
      </c>
      <c r="D57" s="218">
        <v>958</v>
      </c>
      <c r="E57" s="103" t="s">
        <v>211</v>
      </c>
      <c r="F57" s="103" t="s">
        <v>220</v>
      </c>
      <c r="G57" s="102">
        <v>410</v>
      </c>
      <c r="H57" s="148">
        <f>497.5+899.83+50-547.5</f>
        <v>899.82999999999993</v>
      </c>
      <c r="I57" s="148">
        <f>1604-1604</f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f>SUM(H57:N57)</f>
        <v>899.82999999999993</v>
      </c>
      <c r="P57" s="83"/>
      <c r="Q57" s="72"/>
    </row>
    <row r="58" spans="1:17" ht="31.5" customHeight="1" x14ac:dyDescent="0.25">
      <c r="A58" s="327"/>
      <c r="B58" s="304"/>
      <c r="C58" s="84" t="s">
        <v>177</v>
      </c>
      <c r="D58" s="218">
        <v>958</v>
      </c>
      <c r="E58" s="82"/>
      <c r="F58" s="82"/>
      <c r="G58" s="82"/>
      <c r="H58" s="148">
        <v>0</v>
      </c>
      <c r="I58" s="148">
        <v>0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f>SUM(H58:N58)</f>
        <v>0</v>
      </c>
      <c r="P58" s="83"/>
      <c r="Q58" s="72"/>
    </row>
    <row r="59" spans="1:17" ht="18" customHeight="1" x14ac:dyDescent="0.25">
      <c r="A59" s="327" t="s">
        <v>59</v>
      </c>
      <c r="B59" s="304" t="s">
        <v>60</v>
      </c>
      <c r="C59" s="84" t="s">
        <v>173</v>
      </c>
      <c r="D59" s="218">
        <v>958</v>
      </c>
      <c r="E59" s="82"/>
      <c r="F59" s="82"/>
      <c r="G59" s="82"/>
      <c r="H59" s="148">
        <f t="shared" ref="H59:M59" si="18">H60+H61+H62+H63</f>
        <v>0</v>
      </c>
      <c r="I59" s="148">
        <f t="shared" si="18"/>
        <v>0</v>
      </c>
      <c r="J59" s="148">
        <f t="shared" si="18"/>
        <v>0</v>
      </c>
      <c r="K59" s="148">
        <f t="shared" si="18"/>
        <v>0</v>
      </c>
      <c r="L59" s="148">
        <f t="shared" si="18"/>
        <v>0</v>
      </c>
      <c r="M59" s="148">
        <f t="shared" si="18"/>
        <v>0</v>
      </c>
      <c r="N59" s="148">
        <f>N60+N61+N62+N63</f>
        <v>0</v>
      </c>
      <c r="O59" s="148">
        <f>O60+O61+O62+O63</f>
        <v>0</v>
      </c>
      <c r="P59" s="83"/>
      <c r="Q59" s="72"/>
    </row>
    <row r="60" spans="1:17" ht="30" customHeight="1" x14ac:dyDescent="0.25">
      <c r="A60" s="327"/>
      <c r="B60" s="304"/>
      <c r="C60" s="84" t="s">
        <v>174</v>
      </c>
      <c r="D60" s="218">
        <v>958</v>
      </c>
      <c r="E60" s="84"/>
      <c r="F60" s="84"/>
      <c r="G60" s="84"/>
      <c r="H60" s="148">
        <v>0</v>
      </c>
      <c r="I60" s="148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f>SUM(H60:N60)</f>
        <v>0</v>
      </c>
      <c r="P60" s="83"/>
      <c r="Q60" s="72"/>
    </row>
    <row r="61" spans="1:17" ht="30.75" customHeight="1" x14ac:dyDescent="0.25">
      <c r="A61" s="327"/>
      <c r="B61" s="304"/>
      <c r="C61" s="84" t="s">
        <v>175</v>
      </c>
      <c r="D61" s="218">
        <v>958</v>
      </c>
      <c r="E61" s="84"/>
      <c r="F61" s="84"/>
      <c r="G61" s="84"/>
      <c r="H61" s="148">
        <v>0</v>
      </c>
      <c r="I61" s="148">
        <v>0</v>
      </c>
      <c r="J61" s="150">
        <v>0</v>
      </c>
      <c r="K61" s="150">
        <v>0</v>
      </c>
      <c r="L61" s="150">
        <v>0</v>
      </c>
      <c r="M61" s="150">
        <v>0</v>
      </c>
      <c r="N61" s="150">
        <v>0</v>
      </c>
      <c r="O61" s="150">
        <f>SUM(H61:N61)</f>
        <v>0</v>
      </c>
      <c r="P61" s="83"/>
      <c r="Q61" s="72"/>
    </row>
    <row r="62" spans="1:17" ht="63.75" customHeight="1" x14ac:dyDescent="0.25">
      <c r="A62" s="327"/>
      <c r="B62" s="304"/>
      <c r="C62" s="84" t="s">
        <v>176</v>
      </c>
      <c r="D62" s="218">
        <v>958</v>
      </c>
      <c r="E62" s="82"/>
      <c r="F62" s="82"/>
      <c r="G62" s="82"/>
      <c r="H62" s="148">
        <v>0</v>
      </c>
      <c r="I62" s="148">
        <v>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f>SUM(H62:N62)</f>
        <v>0</v>
      </c>
      <c r="P62" s="83"/>
      <c r="Q62" s="72"/>
    </row>
    <row r="63" spans="1:17" ht="51" customHeight="1" x14ac:dyDescent="0.25">
      <c r="A63" s="327"/>
      <c r="B63" s="304"/>
      <c r="C63" s="84" t="s">
        <v>177</v>
      </c>
      <c r="D63" s="218">
        <v>958</v>
      </c>
      <c r="E63" s="82"/>
      <c r="F63" s="82"/>
      <c r="G63" s="82"/>
      <c r="H63" s="148">
        <v>0</v>
      </c>
      <c r="I63" s="148">
        <v>0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>
        <f>SUM(H63:N63)</f>
        <v>0</v>
      </c>
      <c r="P63" s="83"/>
      <c r="Q63" s="72"/>
    </row>
    <row r="64" spans="1:17" ht="21.75" customHeight="1" x14ac:dyDescent="0.25">
      <c r="A64" s="325" t="s">
        <v>62</v>
      </c>
      <c r="B64" s="319" t="s">
        <v>63</v>
      </c>
      <c r="C64" s="84" t="s">
        <v>173</v>
      </c>
      <c r="D64" s="218">
        <v>958</v>
      </c>
      <c r="E64" s="103" t="s">
        <v>211</v>
      </c>
      <c r="F64" s="103" t="s">
        <v>223</v>
      </c>
      <c r="G64" s="102">
        <v>610</v>
      </c>
      <c r="H64" s="148">
        <f t="shared" ref="H64:M64" si="19">H65+H66+H67+H68</f>
        <v>100</v>
      </c>
      <c r="I64" s="148">
        <f t="shared" si="19"/>
        <v>97.5</v>
      </c>
      <c r="J64" s="148">
        <f t="shared" si="19"/>
        <v>0</v>
      </c>
      <c r="K64" s="148">
        <f t="shared" si="19"/>
        <v>0</v>
      </c>
      <c r="L64" s="148">
        <f t="shared" si="19"/>
        <v>0</v>
      </c>
      <c r="M64" s="148">
        <f t="shared" si="19"/>
        <v>0</v>
      </c>
      <c r="N64" s="148">
        <f>N65+N66+N67+N68</f>
        <v>0</v>
      </c>
      <c r="O64" s="148">
        <f>O65+O66+O67+O68</f>
        <v>197.5</v>
      </c>
      <c r="P64" s="83"/>
      <c r="Q64" s="72"/>
    </row>
    <row r="65" spans="1:17" ht="33.75" customHeight="1" x14ac:dyDescent="0.25">
      <c r="A65" s="325"/>
      <c r="B65" s="319"/>
      <c r="C65" s="84" t="s">
        <v>174</v>
      </c>
      <c r="D65" s="218">
        <v>958</v>
      </c>
      <c r="E65" s="103" t="s">
        <v>211</v>
      </c>
      <c r="F65" s="103" t="s">
        <v>223</v>
      </c>
      <c r="G65" s="102">
        <v>610</v>
      </c>
      <c r="H65" s="148">
        <v>0</v>
      </c>
      <c r="I65" s="148">
        <v>0</v>
      </c>
      <c r="J65" s="150">
        <v>0</v>
      </c>
      <c r="K65" s="150">
        <v>0</v>
      </c>
      <c r="L65" s="150">
        <v>0</v>
      </c>
      <c r="M65" s="150">
        <v>0</v>
      </c>
      <c r="N65" s="150">
        <v>0</v>
      </c>
      <c r="O65" s="150">
        <f>SUM(H65:N65)</f>
        <v>0</v>
      </c>
      <c r="P65" s="83"/>
      <c r="Q65" s="72"/>
    </row>
    <row r="66" spans="1:17" ht="33" customHeight="1" x14ac:dyDescent="0.25">
      <c r="A66" s="325"/>
      <c r="B66" s="319"/>
      <c r="C66" s="84" t="s">
        <v>175</v>
      </c>
      <c r="D66" s="218">
        <v>958</v>
      </c>
      <c r="E66" s="103" t="s">
        <v>211</v>
      </c>
      <c r="F66" s="103" t="s">
        <v>223</v>
      </c>
      <c r="G66" s="102">
        <v>610</v>
      </c>
      <c r="H66" s="148">
        <v>0</v>
      </c>
      <c r="I66" s="148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f>SUM(H66:N66)</f>
        <v>0</v>
      </c>
      <c r="P66" s="83"/>
      <c r="Q66" s="72"/>
    </row>
    <row r="67" spans="1:17" ht="66" customHeight="1" x14ac:dyDescent="0.25">
      <c r="A67" s="325"/>
      <c r="B67" s="319"/>
      <c r="C67" s="84" t="s">
        <v>176</v>
      </c>
      <c r="D67" s="218">
        <v>958</v>
      </c>
      <c r="E67" s="103" t="s">
        <v>211</v>
      </c>
      <c r="F67" s="103" t="s">
        <v>223</v>
      </c>
      <c r="G67" s="102">
        <v>610</v>
      </c>
      <c r="H67" s="148">
        <v>100</v>
      </c>
      <c r="I67" s="148">
        <v>97.5</v>
      </c>
      <c r="J67" s="150">
        <f>97.5-97.5</f>
        <v>0</v>
      </c>
      <c r="K67" s="150">
        <f>100-100</f>
        <v>0</v>
      </c>
      <c r="L67" s="150">
        <v>0</v>
      </c>
      <c r="M67" s="150">
        <v>0</v>
      </c>
      <c r="N67" s="150">
        <v>0</v>
      </c>
      <c r="O67" s="150">
        <f>SUM(H67:N67)</f>
        <v>197.5</v>
      </c>
      <c r="P67" s="83"/>
      <c r="Q67" s="72"/>
    </row>
    <row r="68" spans="1:17" ht="45" customHeight="1" x14ac:dyDescent="0.25">
      <c r="A68" s="326"/>
      <c r="B68" s="320"/>
      <c r="C68" s="84" t="s">
        <v>177</v>
      </c>
      <c r="D68" s="218">
        <v>958</v>
      </c>
      <c r="E68" s="82"/>
      <c r="F68" s="82"/>
      <c r="G68" s="82"/>
      <c r="H68" s="148">
        <v>0</v>
      </c>
      <c r="I68" s="148">
        <v>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f>SUM(H68:N68)</f>
        <v>0</v>
      </c>
      <c r="P68" s="83"/>
      <c r="Q68" s="72"/>
    </row>
    <row r="69" spans="1:17" ht="28.5" customHeight="1" x14ac:dyDescent="0.25">
      <c r="A69" s="324" t="s">
        <v>64</v>
      </c>
      <c r="B69" s="318" t="s">
        <v>65</v>
      </c>
      <c r="C69" s="84" t="s">
        <v>173</v>
      </c>
      <c r="D69" s="218">
        <v>958</v>
      </c>
      <c r="E69" s="103" t="s">
        <v>211</v>
      </c>
      <c r="F69" s="103" t="s">
        <v>224</v>
      </c>
      <c r="G69" s="102">
        <v>610</v>
      </c>
      <c r="H69" s="148">
        <f t="shared" ref="H69:M69" si="20">H70+H71+H72+H73</f>
        <v>140.6</v>
      </c>
      <c r="I69" s="148">
        <f t="shared" si="20"/>
        <v>125.6</v>
      </c>
      <c r="J69" s="148">
        <f t="shared" si="20"/>
        <v>6000</v>
      </c>
      <c r="K69" s="148">
        <f t="shared" si="20"/>
        <v>3990</v>
      </c>
      <c r="L69" s="148">
        <f t="shared" si="20"/>
        <v>0</v>
      </c>
      <c r="M69" s="148">
        <f t="shared" si="20"/>
        <v>0</v>
      </c>
      <c r="N69" s="148">
        <f>N70+N71+N72+N73</f>
        <v>0</v>
      </c>
      <c r="O69" s="148">
        <f>O70+O71+O72+O73</f>
        <v>10256.200000000001</v>
      </c>
      <c r="P69" s="83"/>
      <c r="Q69" s="72"/>
    </row>
    <row r="70" spans="1:17" ht="30" customHeight="1" x14ac:dyDescent="0.25">
      <c r="A70" s="325"/>
      <c r="B70" s="319"/>
      <c r="C70" s="84" t="s">
        <v>174</v>
      </c>
      <c r="D70" s="218">
        <v>958</v>
      </c>
      <c r="E70" s="103" t="s">
        <v>211</v>
      </c>
      <c r="F70" s="103" t="s">
        <v>224</v>
      </c>
      <c r="G70" s="102">
        <v>610</v>
      </c>
      <c r="H70" s="148">
        <v>0</v>
      </c>
      <c r="I70" s="148">
        <v>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>
        <f>SUM(H70:N70)</f>
        <v>0</v>
      </c>
      <c r="P70" s="83"/>
      <c r="Q70" s="72"/>
    </row>
    <row r="71" spans="1:17" ht="32.25" customHeight="1" x14ac:dyDescent="0.25">
      <c r="A71" s="325"/>
      <c r="B71" s="319"/>
      <c r="C71" s="84" t="s">
        <v>175</v>
      </c>
      <c r="D71" s="218">
        <v>958</v>
      </c>
      <c r="E71" s="103" t="s">
        <v>211</v>
      </c>
      <c r="F71" s="103" t="s">
        <v>224</v>
      </c>
      <c r="G71" s="102">
        <v>610</v>
      </c>
      <c r="H71" s="148">
        <v>0</v>
      </c>
      <c r="I71" s="148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f>SUM(H71:N71)</f>
        <v>0</v>
      </c>
      <c r="P71" s="83"/>
      <c r="Q71" s="72"/>
    </row>
    <row r="72" spans="1:17" ht="66" customHeight="1" x14ac:dyDescent="0.25">
      <c r="A72" s="325"/>
      <c r="B72" s="319"/>
      <c r="C72" s="84" t="s">
        <v>176</v>
      </c>
      <c r="D72" s="218">
        <v>958</v>
      </c>
      <c r="E72" s="103" t="s">
        <v>211</v>
      </c>
      <c r="F72" s="103" t="s">
        <v>224</v>
      </c>
      <c r="G72" s="102">
        <v>610</v>
      </c>
      <c r="H72" s="148">
        <v>140.6</v>
      </c>
      <c r="I72" s="148">
        <f>100+26-0.4</f>
        <v>125.6</v>
      </c>
      <c r="J72" s="150">
        <f>400-400+6000</f>
        <v>6000</v>
      </c>
      <c r="K72" s="150">
        <f>390+5000-1400</f>
        <v>3990</v>
      </c>
      <c r="L72" s="150">
        <v>0</v>
      </c>
      <c r="M72" s="150">
        <v>0</v>
      </c>
      <c r="N72" s="150">
        <v>0</v>
      </c>
      <c r="O72" s="150">
        <f>SUM(H72:N72)</f>
        <v>10256.200000000001</v>
      </c>
      <c r="P72" s="83"/>
      <c r="Q72" s="72"/>
    </row>
    <row r="73" spans="1:17" ht="48" customHeight="1" x14ac:dyDescent="0.25">
      <c r="A73" s="326"/>
      <c r="B73" s="320"/>
      <c r="C73" s="84" t="s">
        <v>177</v>
      </c>
      <c r="D73" s="218">
        <v>958</v>
      </c>
      <c r="E73" s="82"/>
      <c r="F73" s="82"/>
      <c r="G73" s="82"/>
      <c r="H73" s="148">
        <v>0</v>
      </c>
      <c r="I73" s="148">
        <v>0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f>SUM(H73:N73)</f>
        <v>0</v>
      </c>
      <c r="P73" s="83"/>
      <c r="Q73" s="72"/>
    </row>
    <row r="74" spans="1:17" ht="23.25" customHeight="1" x14ac:dyDescent="0.25">
      <c r="A74" s="324" t="s">
        <v>67</v>
      </c>
      <c r="B74" s="318" t="s">
        <v>68</v>
      </c>
      <c r="C74" s="84" t="s">
        <v>173</v>
      </c>
      <c r="D74" s="218">
        <v>958</v>
      </c>
      <c r="E74" s="82"/>
      <c r="F74" s="82"/>
      <c r="G74" s="82"/>
      <c r="H74" s="148">
        <f t="shared" ref="H74:M74" si="21">H75+H76+H77+H78</f>
        <v>0</v>
      </c>
      <c r="I74" s="148">
        <f t="shared" si="21"/>
        <v>0</v>
      </c>
      <c r="J74" s="148">
        <f t="shared" si="21"/>
        <v>0</v>
      </c>
      <c r="K74" s="148">
        <f t="shared" si="21"/>
        <v>0</v>
      </c>
      <c r="L74" s="148">
        <f t="shared" si="21"/>
        <v>0</v>
      </c>
      <c r="M74" s="148">
        <f t="shared" si="21"/>
        <v>0</v>
      </c>
      <c r="N74" s="148">
        <f>N75+N76+N77+N78</f>
        <v>0</v>
      </c>
      <c r="O74" s="148">
        <f>O75+O76+O77+O78</f>
        <v>0</v>
      </c>
      <c r="P74" s="83"/>
      <c r="Q74" s="72"/>
    </row>
    <row r="75" spans="1:17" ht="34.5" customHeight="1" x14ac:dyDescent="0.25">
      <c r="A75" s="325"/>
      <c r="B75" s="319"/>
      <c r="C75" s="84" t="s">
        <v>174</v>
      </c>
      <c r="D75" s="218">
        <v>958</v>
      </c>
      <c r="E75" s="84"/>
      <c r="F75" s="84"/>
      <c r="G75" s="84"/>
      <c r="H75" s="148">
        <v>0</v>
      </c>
      <c r="I75" s="148">
        <v>0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0">
        <f>SUM(H75:N75)</f>
        <v>0</v>
      </c>
      <c r="P75" s="83"/>
      <c r="Q75" s="72"/>
    </row>
    <row r="76" spans="1:17" ht="27" customHeight="1" x14ac:dyDescent="0.25">
      <c r="A76" s="325"/>
      <c r="B76" s="319"/>
      <c r="C76" s="84" t="s">
        <v>175</v>
      </c>
      <c r="D76" s="218">
        <v>958</v>
      </c>
      <c r="E76" s="84"/>
      <c r="F76" s="84"/>
      <c r="G76" s="84"/>
      <c r="H76" s="148">
        <v>0</v>
      </c>
      <c r="I76" s="148">
        <v>0</v>
      </c>
      <c r="J76" s="150">
        <v>0</v>
      </c>
      <c r="K76" s="150">
        <v>0</v>
      </c>
      <c r="L76" s="150">
        <v>0</v>
      </c>
      <c r="M76" s="150">
        <v>0</v>
      </c>
      <c r="N76" s="150">
        <v>0</v>
      </c>
      <c r="O76" s="150">
        <f>SUM(H76:N76)</f>
        <v>0</v>
      </c>
      <c r="P76" s="83"/>
      <c r="Q76" s="72"/>
    </row>
    <row r="77" spans="1:17" ht="30" customHeight="1" x14ac:dyDescent="0.25">
      <c r="A77" s="325"/>
      <c r="B77" s="319"/>
      <c r="C77" s="84" t="s">
        <v>176</v>
      </c>
      <c r="D77" s="218">
        <v>958</v>
      </c>
      <c r="E77" s="82"/>
      <c r="F77" s="82"/>
      <c r="G77" s="82"/>
      <c r="H77" s="148">
        <v>0</v>
      </c>
      <c r="I77" s="148">
        <v>0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f>SUM(H77:N77)</f>
        <v>0</v>
      </c>
      <c r="P77" s="83"/>
      <c r="Q77" s="72"/>
    </row>
    <row r="78" spans="1:17" ht="45" customHeight="1" x14ac:dyDescent="0.25">
      <c r="A78" s="326"/>
      <c r="B78" s="320"/>
      <c r="C78" s="84" t="s">
        <v>177</v>
      </c>
      <c r="D78" s="218">
        <v>958</v>
      </c>
      <c r="E78" s="82"/>
      <c r="F78" s="82"/>
      <c r="G78" s="82"/>
      <c r="H78" s="148">
        <v>0</v>
      </c>
      <c r="I78" s="148">
        <v>0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>
        <f>SUM(H78:N78)</f>
        <v>0</v>
      </c>
      <c r="P78" s="83"/>
      <c r="Q78" s="72"/>
    </row>
    <row r="79" spans="1:17" ht="20.25" customHeight="1" x14ac:dyDescent="0.25">
      <c r="A79" s="324" t="s">
        <v>70</v>
      </c>
      <c r="B79" s="318" t="s">
        <v>71</v>
      </c>
      <c r="C79" s="84" t="s">
        <v>173</v>
      </c>
      <c r="D79" s="218">
        <v>958</v>
      </c>
      <c r="E79" s="103" t="s">
        <v>211</v>
      </c>
      <c r="F79" s="103" t="s">
        <v>227</v>
      </c>
      <c r="G79" s="102">
        <v>610</v>
      </c>
      <c r="H79" s="148">
        <f t="shared" ref="H79:M79" si="22">H80+H81+H82+H83</f>
        <v>42.2</v>
      </c>
      <c r="I79" s="148">
        <f t="shared" si="22"/>
        <v>111.18</v>
      </c>
      <c r="J79" s="148">
        <f t="shared" si="22"/>
        <v>105.60636</v>
      </c>
      <c r="K79" s="148">
        <f t="shared" si="22"/>
        <v>158</v>
      </c>
      <c r="L79" s="148">
        <f t="shared" si="22"/>
        <v>158</v>
      </c>
      <c r="M79" s="148">
        <f t="shared" si="22"/>
        <v>158</v>
      </c>
      <c r="N79" s="148">
        <f>N80+N81+N82+N83</f>
        <v>158</v>
      </c>
      <c r="O79" s="148">
        <f>O80+O81+O82+O83</f>
        <v>890.98635999999999</v>
      </c>
      <c r="P79" s="83"/>
      <c r="Q79" s="72"/>
    </row>
    <row r="80" spans="1:17" ht="32.25" customHeight="1" x14ac:dyDescent="0.25">
      <c r="A80" s="325"/>
      <c r="B80" s="319"/>
      <c r="C80" s="84" t="s">
        <v>174</v>
      </c>
      <c r="D80" s="218">
        <v>958</v>
      </c>
      <c r="E80" s="103" t="s">
        <v>211</v>
      </c>
      <c r="F80" s="103" t="s">
        <v>227</v>
      </c>
      <c r="G80" s="102">
        <v>610</v>
      </c>
      <c r="H80" s="148">
        <v>0</v>
      </c>
      <c r="I80" s="148">
        <v>0</v>
      </c>
      <c r="J80" s="150">
        <v>0</v>
      </c>
      <c r="K80" s="150">
        <v>0</v>
      </c>
      <c r="L80" s="150">
        <v>0</v>
      </c>
      <c r="M80" s="150">
        <v>0</v>
      </c>
      <c r="N80" s="150">
        <v>0</v>
      </c>
      <c r="O80" s="150">
        <f>SUM(H80:N80)</f>
        <v>0</v>
      </c>
      <c r="P80" s="83"/>
      <c r="Q80" s="72"/>
    </row>
    <row r="81" spans="1:17" ht="32.25" customHeight="1" x14ac:dyDescent="0.25">
      <c r="A81" s="325"/>
      <c r="B81" s="319"/>
      <c r="C81" s="84" t="s">
        <v>175</v>
      </c>
      <c r="D81" s="218">
        <v>958</v>
      </c>
      <c r="E81" s="103" t="s">
        <v>211</v>
      </c>
      <c r="F81" s="103" t="s">
        <v>227</v>
      </c>
      <c r="G81" s="102">
        <v>610</v>
      </c>
      <c r="H81" s="148">
        <v>0</v>
      </c>
      <c r="I81" s="148">
        <v>0</v>
      </c>
      <c r="J81" s="150">
        <v>0</v>
      </c>
      <c r="K81" s="150">
        <v>0</v>
      </c>
      <c r="L81" s="150">
        <v>0</v>
      </c>
      <c r="M81" s="150">
        <v>0</v>
      </c>
      <c r="N81" s="150">
        <v>0</v>
      </c>
      <c r="O81" s="150">
        <f>SUM(H81:N81)</f>
        <v>0</v>
      </c>
      <c r="P81" s="83"/>
      <c r="Q81" s="72"/>
    </row>
    <row r="82" spans="1:17" ht="63" customHeight="1" x14ac:dyDescent="0.25">
      <c r="A82" s="325"/>
      <c r="B82" s="319"/>
      <c r="C82" s="84" t="s">
        <v>176</v>
      </c>
      <c r="D82" s="218">
        <v>958</v>
      </c>
      <c r="E82" s="103" t="s">
        <v>211</v>
      </c>
      <c r="F82" s="103" t="s">
        <v>227</v>
      </c>
      <c r="G82" s="102">
        <v>610</v>
      </c>
      <c r="H82" s="148">
        <v>42.2</v>
      </c>
      <c r="I82" s="148">
        <f>45+168-88.21-13.61</f>
        <v>111.18</v>
      </c>
      <c r="J82" s="150">
        <f>152-46.39364</f>
        <v>105.60636</v>
      </c>
      <c r="K82" s="150">
        <v>158</v>
      </c>
      <c r="L82" s="150">
        <v>158</v>
      </c>
      <c r="M82" s="150">
        <v>158</v>
      </c>
      <c r="N82" s="150">
        <v>158</v>
      </c>
      <c r="O82" s="150">
        <f>SUM(H82:N82)</f>
        <v>890.98635999999999</v>
      </c>
      <c r="P82" s="83"/>
      <c r="Q82" s="72"/>
    </row>
    <row r="83" spans="1:17" ht="43.5" customHeight="1" x14ac:dyDescent="0.25">
      <c r="A83" s="326"/>
      <c r="B83" s="320"/>
      <c r="C83" s="84" t="s">
        <v>177</v>
      </c>
      <c r="D83" s="218">
        <v>958</v>
      </c>
      <c r="E83" s="82"/>
      <c r="F83" s="82"/>
      <c r="G83" s="82"/>
      <c r="H83" s="148">
        <v>0</v>
      </c>
      <c r="I83" s="148">
        <v>0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>
        <f>SUM(H83:N83)</f>
        <v>0</v>
      </c>
      <c r="P83" s="83"/>
      <c r="Q83" s="72"/>
    </row>
    <row r="84" spans="1:17" ht="21.75" customHeight="1" x14ac:dyDescent="0.25">
      <c r="A84" s="324" t="s">
        <v>73</v>
      </c>
      <c r="B84" s="318" t="s">
        <v>74</v>
      </c>
      <c r="C84" s="84" t="s">
        <v>173</v>
      </c>
      <c r="D84" s="218">
        <v>958</v>
      </c>
      <c r="E84" s="103" t="s">
        <v>211</v>
      </c>
      <c r="F84" s="103">
        <v>111220400</v>
      </c>
      <c r="G84" s="102">
        <v>610</v>
      </c>
      <c r="H84" s="148">
        <f t="shared" ref="H84:O84" si="23">H85+H86+H87+H88</f>
        <v>0</v>
      </c>
      <c r="I84" s="148">
        <f t="shared" si="23"/>
        <v>413.3</v>
      </c>
      <c r="J84" s="148">
        <f t="shared" si="23"/>
        <v>92.75</v>
      </c>
      <c r="K84" s="148">
        <f t="shared" si="23"/>
        <v>685</v>
      </c>
      <c r="L84" s="148">
        <f t="shared" si="23"/>
        <v>0</v>
      </c>
      <c r="M84" s="148">
        <f>M85+M86+M87+M88</f>
        <v>0</v>
      </c>
      <c r="N84" s="148">
        <f t="shared" si="23"/>
        <v>0</v>
      </c>
      <c r="O84" s="148">
        <f t="shared" si="23"/>
        <v>1191.05</v>
      </c>
      <c r="P84" s="83"/>
      <c r="Q84" s="72"/>
    </row>
    <row r="85" spans="1:17" ht="30" customHeight="1" x14ac:dyDescent="0.25">
      <c r="A85" s="325"/>
      <c r="B85" s="319"/>
      <c r="C85" s="84" t="s">
        <v>174</v>
      </c>
      <c r="D85" s="218">
        <v>958</v>
      </c>
      <c r="E85" s="103" t="s">
        <v>211</v>
      </c>
      <c r="F85" s="103">
        <v>111220400</v>
      </c>
      <c r="G85" s="102">
        <v>610</v>
      </c>
      <c r="H85" s="148">
        <v>0</v>
      </c>
      <c r="I85" s="148">
        <v>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f>SUM(H85:N85)</f>
        <v>0</v>
      </c>
      <c r="P85" s="83"/>
      <c r="Q85" s="72"/>
    </row>
    <row r="86" spans="1:17" ht="31.5" x14ac:dyDescent="0.25">
      <c r="A86" s="325"/>
      <c r="B86" s="319"/>
      <c r="C86" s="84" t="s">
        <v>175</v>
      </c>
      <c r="D86" s="218">
        <v>958</v>
      </c>
      <c r="E86" s="103" t="s">
        <v>211</v>
      </c>
      <c r="F86" s="103">
        <v>111220400</v>
      </c>
      <c r="G86" s="102">
        <v>610</v>
      </c>
      <c r="H86" s="148">
        <v>0</v>
      </c>
      <c r="I86" s="148">
        <v>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f>SUM(H86:N86)</f>
        <v>0</v>
      </c>
      <c r="P86" s="83"/>
      <c r="Q86" s="72"/>
    </row>
    <row r="87" spans="1:17" ht="64.5" customHeight="1" x14ac:dyDescent="0.25">
      <c r="A87" s="325"/>
      <c r="B87" s="319"/>
      <c r="C87" s="84" t="s">
        <v>176</v>
      </c>
      <c r="D87" s="218">
        <v>958</v>
      </c>
      <c r="E87" s="103" t="s">
        <v>211</v>
      </c>
      <c r="F87" s="103">
        <v>111220400</v>
      </c>
      <c r="G87" s="102">
        <v>610</v>
      </c>
      <c r="H87" s="148">
        <v>0</v>
      </c>
      <c r="I87" s="148">
        <f>70+352.05-8.75</f>
        <v>413.3</v>
      </c>
      <c r="J87" s="150">
        <f>273.25-180.5</f>
        <v>92.75</v>
      </c>
      <c r="K87" s="150">
        <f>2200-2038+2+521</f>
        <v>685</v>
      </c>
      <c r="L87" s="150">
        <v>0</v>
      </c>
      <c r="M87" s="150">
        <v>0</v>
      </c>
      <c r="N87" s="150">
        <v>0</v>
      </c>
      <c r="O87" s="150">
        <f>SUM(H87:N87)</f>
        <v>1191.05</v>
      </c>
      <c r="P87" s="83"/>
      <c r="Q87" s="72"/>
    </row>
    <row r="88" spans="1:17" ht="46.5" customHeight="1" x14ac:dyDescent="0.25">
      <c r="A88" s="326"/>
      <c r="B88" s="320"/>
      <c r="C88" s="84" t="s">
        <v>177</v>
      </c>
      <c r="D88" s="218">
        <v>958</v>
      </c>
      <c r="E88" s="82"/>
      <c r="F88" s="82"/>
      <c r="G88" s="82"/>
      <c r="H88" s="148">
        <v>0</v>
      </c>
      <c r="I88" s="148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f>SUM(H88:N88)</f>
        <v>0</v>
      </c>
      <c r="P88" s="83"/>
      <c r="Q88" s="72"/>
    </row>
    <row r="89" spans="1:17" ht="24" customHeight="1" x14ac:dyDescent="0.25">
      <c r="A89" s="324" t="s">
        <v>178</v>
      </c>
      <c r="B89" s="299" t="s">
        <v>296</v>
      </c>
      <c r="C89" s="84" t="s">
        <v>173</v>
      </c>
      <c r="D89" s="218">
        <v>958</v>
      </c>
      <c r="E89" s="103" t="s">
        <v>211</v>
      </c>
      <c r="F89" s="103" t="s">
        <v>229</v>
      </c>
      <c r="G89" s="102">
        <v>610</v>
      </c>
      <c r="H89" s="148">
        <v>0</v>
      </c>
      <c r="I89" s="148">
        <f t="shared" ref="I89:O89" si="24">I90+I91+I92+I93</f>
        <v>343.89</v>
      </c>
      <c r="J89" s="148">
        <f t="shared" si="24"/>
        <v>3365.35619</v>
      </c>
      <c r="K89" s="148">
        <f t="shared" si="24"/>
        <v>900</v>
      </c>
      <c r="L89" s="148">
        <f t="shared" si="24"/>
        <v>0</v>
      </c>
      <c r="M89" s="148">
        <f t="shared" si="24"/>
        <v>0</v>
      </c>
      <c r="N89" s="148">
        <f t="shared" si="24"/>
        <v>0</v>
      </c>
      <c r="O89" s="148">
        <f t="shared" si="24"/>
        <v>4609.2461899999998</v>
      </c>
      <c r="P89" s="83"/>
      <c r="Q89" s="72"/>
    </row>
    <row r="90" spans="1:17" ht="32.25" customHeight="1" x14ac:dyDescent="0.25">
      <c r="A90" s="325"/>
      <c r="B90" s="300"/>
      <c r="C90" s="84" t="s">
        <v>174</v>
      </c>
      <c r="D90" s="218">
        <v>958</v>
      </c>
      <c r="E90" s="103" t="s">
        <v>211</v>
      </c>
      <c r="F90" s="103" t="s">
        <v>229</v>
      </c>
      <c r="G90" s="102">
        <v>610</v>
      </c>
      <c r="H90" s="148">
        <v>0</v>
      </c>
      <c r="I90" s="148">
        <v>0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f>SUM(H90:N90)</f>
        <v>0</v>
      </c>
      <c r="P90" s="83"/>
      <c r="Q90" s="72"/>
    </row>
    <row r="91" spans="1:17" ht="29.25" customHeight="1" x14ac:dyDescent="0.25">
      <c r="A91" s="325"/>
      <c r="B91" s="300"/>
      <c r="C91" s="84" t="s">
        <v>175</v>
      </c>
      <c r="D91" s="218">
        <v>958</v>
      </c>
      <c r="E91" s="103" t="s">
        <v>211</v>
      </c>
      <c r="F91" s="103" t="s">
        <v>229</v>
      </c>
      <c r="G91" s="102">
        <v>610</v>
      </c>
      <c r="H91" s="148">
        <v>0</v>
      </c>
      <c r="I91" s="148">
        <v>0</v>
      </c>
      <c r="J91" s="150">
        <v>0</v>
      </c>
      <c r="K91" s="150">
        <v>0</v>
      </c>
      <c r="L91" s="150">
        <v>0</v>
      </c>
      <c r="M91" s="150">
        <v>0</v>
      </c>
      <c r="N91" s="150">
        <v>0</v>
      </c>
      <c r="O91" s="150">
        <f>SUM(H91:N91)</f>
        <v>0</v>
      </c>
      <c r="P91" s="83"/>
      <c r="Q91" s="72"/>
    </row>
    <row r="92" spans="1:17" ht="68.25" customHeight="1" x14ac:dyDescent="0.25">
      <c r="A92" s="325"/>
      <c r="B92" s="300"/>
      <c r="C92" s="84" t="s">
        <v>176</v>
      </c>
      <c r="D92" s="218">
        <v>958</v>
      </c>
      <c r="E92" s="103" t="s">
        <v>211</v>
      </c>
      <c r="F92" s="103" t="s">
        <v>229</v>
      </c>
      <c r="G92" s="102">
        <v>610</v>
      </c>
      <c r="H92" s="148">
        <v>0</v>
      </c>
      <c r="I92" s="148">
        <f>345-1.11</f>
        <v>343.89</v>
      </c>
      <c r="J92" s="150">
        <f>2400+340+282.10353+400+70-126.74734</f>
        <v>3365.35619</v>
      </c>
      <c r="K92" s="150">
        <f>188.4669-188.4669+900</f>
        <v>900</v>
      </c>
      <c r="L92" s="150">
        <v>0</v>
      </c>
      <c r="M92" s="150">
        <v>0</v>
      </c>
      <c r="N92" s="150">
        <v>0</v>
      </c>
      <c r="O92" s="150">
        <f>SUM(H92:N92)</f>
        <v>4609.2461899999998</v>
      </c>
      <c r="P92" s="83"/>
      <c r="Q92" s="72"/>
    </row>
    <row r="93" spans="1:17" ht="47.25" customHeight="1" x14ac:dyDescent="0.25">
      <c r="A93" s="326"/>
      <c r="B93" s="301"/>
      <c r="C93" s="84" t="s">
        <v>177</v>
      </c>
      <c r="D93" s="218">
        <v>958</v>
      </c>
      <c r="E93" s="82"/>
      <c r="F93" s="82"/>
      <c r="G93" s="82"/>
      <c r="H93" s="148">
        <v>0</v>
      </c>
      <c r="I93" s="148">
        <v>0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>
        <f>SUM(H93:N93)</f>
        <v>0</v>
      </c>
      <c r="P93" s="83"/>
      <c r="Q93" s="72"/>
    </row>
    <row r="94" spans="1:17" ht="22.5" customHeight="1" x14ac:dyDescent="0.25">
      <c r="A94" s="324" t="s">
        <v>323</v>
      </c>
      <c r="B94" s="299" t="s">
        <v>324</v>
      </c>
      <c r="C94" s="84" t="s">
        <v>173</v>
      </c>
      <c r="D94" s="218">
        <v>958</v>
      </c>
      <c r="E94" s="103" t="s">
        <v>211</v>
      </c>
      <c r="F94" s="226" t="s">
        <v>217</v>
      </c>
      <c r="G94" s="119" t="s">
        <v>210</v>
      </c>
      <c r="H94" s="148">
        <v>0</v>
      </c>
      <c r="I94" s="148">
        <f t="shared" ref="I94:O94" si="25">I95+I96+I97+I98</f>
        <v>0</v>
      </c>
      <c r="J94" s="148">
        <f t="shared" si="25"/>
        <v>0</v>
      </c>
      <c r="K94" s="148">
        <f t="shared" si="25"/>
        <v>2347.2730200000001</v>
      </c>
      <c r="L94" s="148">
        <f t="shared" si="25"/>
        <v>6060.6060600000001</v>
      </c>
      <c r="M94" s="148">
        <f t="shared" si="25"/>
        <v>0</v>
      </c>
      <c r="N94" s="148">
        <f t="shared" si="25"/>
        <v>0</v>
      </c>
      <c r="O94" s="148">
        <f t="shared" si="25"/>
        <v>8407.8790800000006</v>
      </c>
      <c r="P94" s="83"/>
      <c r="Q94" s="72"/>
    </row>
    <row r="95" spans="1:17" ht="30" customHeight="1" x14ac:dyDescent="0.25">
      <c r="A95" s="325"/>
      <c r="B95" s="300"/>
      <c r="C95" s="84" t="s">
        <v>174</v>
      </c>
      <c r="D95" s="218">
        <v>958</v>
      </c>
      <c r="E95" s="103" t="s">
        <v>211</v>
      </c>
      <c r="F95" s="84"/>
      <c r="G95" s="84"/>
      <c r="H95" s="148">
        <v>0</v>
      </c>
      <c r="I95" s="148">
        <v>0</v>
      </c>
      <c r="J95" s="150">
        <v>0</v>
      </c>
      <c r="K95" s="150">
        <v>0</v>
      </c>
      <c r="L95" s="150">
        <v>0</v>
      </c>
      <c r="M95" s="150">
        <v>0</v>
      </c>
      <c r="N95" s="150">
        <v>0</v>
      </c>
      <c r="O95" s="150">
        <f>SUM(H95:N95)</f>
        <v>0</v>
      </c>
      <c r="P95" s="83"/>
      <c r="Q95" s="72"/>
    </row>
    <row r="96" spans="1:17" ht="35.25" customHeight="1" x14ac:dyDescent="0.25">
      <c r="A96" s="325"/>
      <c r="B96" s="300"/>
      <c r="C96" s="84" t="s">
        <v>175</v>
      </c>
      <c r="D96" s="218">
        <v>958</v>
      </c>
      <c r="E96" s="103" t="s">
        <v>211</v>
      </c>
      <c r="F96" s="226" t="s">
        <v>376</v>
      </c>
      <c r="G96" s="102">
        <v>610</v>
      </c>
      <c r="H96" s="148">
        <v>0</v>
      </c>
      <c r="I96" s="148">
        <v>0</v>
      </c>
      <c r="J96" s="150">
        <v>0</v>
      </c>
      <c r="K96" s="150">
        <f>2999.61565-887.07</f>
        <v>2112.54565</v>
      </c>
      <c r="L96" s="150">
        <v>6000</v>
      </c>
      <c r="M96" s="150">
        <v>0</v>
      </c>
      <c r="N96" s="150">
        <v>0</v>
      </c>
      <c r="O96" s="150">
        <f>SUM(H96:N96)</f>
        <v>8112.54565</v>
      </c>
      <c r="P96" s="83"/>
      <c r="Q96" s="72"/>
    </row>
    <row r="97" spans="1:17" ht="62.25" customHeight="1" x14ac:dyDescent="0.25">
      <c r="A97" s="325"/>
      <c r="B97" s="300"/>
      <c r="C97" s="84" t="s">
        <v>176</v>
      </c>
      <c r="D97" s="218">
        <v>958</v>
      </c>
      <c r="E97" s="103" t="s">
        <v>211</v>
      </c>
      <c r="F97" s="218" t="s">
        <v>375</v>
      </c>
      <c r="G97" s="102">
        <v>610</v>
      </c>
      <c r="H97" s="148">
        <v>0</v>
      </c>
      <c r="I97" s="148">
        <v>0</v>
      </c>
      <c r="J97" s="150">
        <v>0</v>
      </c>
      <c r="K97" s="150">
        <f>30.30303-0.00388+204.42822</f>
        <v>234.72737000000001</v>
      </c>
      <c r="L97" s="150">
        <v>60.606059999999999</v>
      </c>
      <c r="M97" s="150">
        <v>0</v>
      </c>
      <c r="N97" s="150">
        <v>0</v>
      </c>
      <c r="O97" s="150">
        <f>SUM(H97:N97)</f>
        <v>295.33343000000002</v>
      </c>
      <c r="P97" s="83"/>
      <c r="Q97" s="72"/>
    </row>
    <row r="98" spans="1:17" ht="46.5" customHeight="1" x14ac:dyDescent="0.25">
      <c r="A98" s="326"/>
      <c r="B98" s="301"/>
      <c r="C98" s="84" t="s">
        <v>177</v>
      </c>
      <c r="D98" s="218">
        <v>958</v>
      </c>
      <c r="E98" s="82"/>
      <c r="F98" s="82"/>
      <c r="G98" s="82"/>
      <c r="H98" s="148">
        <v>0</v>
      </c>
      <c r="I98" s="148">
        <v>0</v>
      </c>
      <c r="J98" s="150">
        <v>0</v>
      </c>
      <c r="K98" s="150">
        <v>0</v>
      </c>
      <c r="L98" s="150">
        <v>0</v>
      </c>
      <c r="M98" s="150">
        <v>0</v>
      </c>
      <c r="N98" s="150">
        <v>0</v>
      </c>
      <c r="O98" s="150">
        <f>SUM(H98:N98)</f>
        <v>0</v>
      </c>
      <c r="P98" s="83"/>
      <c r="Q98" s="72"/>
    </row>
    <row r="99" spans="1:17" ht="26.25" customHeight="1" x14ac:dyDescent="0.25">
      <c r="A99" s="324" t="s">
        <v>76</v>
      </c>
      <c r="B99" s="323" t="s">
        <v>180</v>
      </c>
      <c r="C99" s="81" t="s">
        <v>173</v>
      </c>
      <c r="D99" s="217">
        <v>958</v>
      </c>
      <c r="E99" s="220">
        <v>1004</v>
      </c>
      <c r="F99" s="227" t="s">
        <v>374</v>
      </c>
      <c r="G99" s="96" t="s">
        <v>210</v>
      </c>
      <c r="H99" s="147">
        <f>H104</f>
        <v>1882.3</v>
      </c>
      <c r="I99" s="147">
        <f>I104</f>
        <v>3181.4050000000002</v>
      </c>
      <c r="J99" s="147">
        <f>J104</f>
        <v>3077.2844300000002</v>
      </c>
      <c r="K99" s="147">
        <f>K104</f>
        <v>3270.0619999999999</v>
      </c>
      <c r="L99" s="147">
        <f t="shared" ref="L99:L103" si="26">L104</f>
        <v>3925.4110000000001</v>
      </c>
      <c r="M99" s="147">
        <f>M104</f>
        <v>4081.4369999999999</v>
      </c>
      <c r="N99" s="147">
        <f t="shared" ref="N99:O103" si="27">N104</f>
        <v>4244.8919999999998</v>
      </c>
      <c r="O99" s="147">
        <f t="shared" si="27"/>
        <v>23662.791429999997</v>
      </c>
      <c r="P99" s="80"/>
      <c r="Q99" s="72"/>
    </row>
    <row r="100" spans="1:17" ht="35.25" customHeight="1" x14ac:dyDescent="0.25">
      <c r="A100" s="325"/>
      <c r="B100" s="321"/>
      <c r="C100" s="81" t="s">
        <v>174</v>
      </c>
      <c r="D100" s="217">
        <v>958</v>
      </c>
      <c r="E100" s="81"/>
      <c r="F100" s="81"/>
      <c r="G100" s="81"/>
      <c r="H100" s="147">
        <f t="shared" ref="H100:K103" si="28">H105</f>
        <v>0</v>
      </c>
      <c r="I100" s="147">
        <f t="shared" si="28"/>
        <v>0</v>
      </c>
      <c r="J100" s="147">
        <f t="shared" si="28"/>
        <v>0</v>
      </c>
      <c r="K100" s="147">
        <f t="shared" si="28"/>
        <v>0</v>
      </c>
      <c r="L100" s="147">
        <f t="shared" si="26"/>
        <v>0</v>
      </c>
      <c r="M100" s="147">
        <f>M105</f>
        <v>0</v>
      </c>
      <c r="N100" s="147">
        <f t="shared" si="27"/>
        <v>0</v>
      </c>
      <c r="O100" s="147">
        <f t="shared" si="27"/>
        <v>0</v>
      </c>
      <c r="P100" s="80"/>
      <c r="Q100" s="72"/>
    </row>
    <row r="101" spans="1:17" ht="30.75" customHeight="1" x14ac:dyDescent="0.25">
      <c r="A101" s="325"/>
      <c r="B101" s="321"/>
      <c r="C101" s="81" t="s">
        <v>175</v>
      </c>
      <c r="D101" s="217">
        <v>958</v>
      </c>
      <c r="E101" s="220">
        <v>1004</v>
      </c>
      <c r="F101" s="227" t="s">
        <v>374</v>
      </c>
      <c r="G101" s="96" t="s">
        <v>210</v>
      </c>
      <c r="H101" s="147">
        <f t="shared" si="28"/>
        <v>1882.3</v>
      </c>
      <c r="I101" s="147">
        <f t="shared" si="28"/>
        <v>3181.4050000000002</v>
      </c>
      <c r="J101" s="147">
        <f t="shared" si="28"/>
        <v>3077.2844300000002</v>
      </c>
      <c r="K101" s="147">
        <f t="shared" si="28"/>
        <v>3270.0619999999999</v>
      </c>
      <c r="L101" s="147">
        <f t="shared" si="26"/>
        <v>3925.4110000000001</v>
      </c>
      <c r="M101" s="147">
        <f>M106</f>
        <v>4081.4369999999999</v>
      </c>
      <c r="N101" s="147">
        <f t="shared" si="27"/>
        <v>4244.8919999999998</v>
      </c>
      <c r="O101" s="147">
        <f t="shared" si="27"/>
        <v>23662.791429999997</v>
      </c>
      <c r="P101" s="80"/>
      <c r="Q101" s="72"/>
    </row>
    <row r="102" spans="1:17" ht="62.25" customHeight="1" x14ac:dyDescent="0.25">
      <c r="A102" s="325"/>
      <c r="B102" s="321"/>
      <c r="C102" s="81" t="s">
        <v>176</v>
      </c>
      <c r="D102" s="217">
        <v>958</v>
      </c>
      <c r="E102" s="219">
        <v>1004</v>
      </c>
      <c r="F102" s="226" t="s">
        <v>373</v>
      </c>
      <c r="G102" s="219">
        <v>320</v>
      </c>
      <c r="H102" s="147">
        <f t="shared" si="28"/>
        <v>0</v>
      </c>
      <c r="I102" s="147">
        <f t="shared" si="28"/>
        <v>0</v>
      </c>
      <c r="J102" s="147">
        <f t="shared" si="28"/>
        <v>0</v>
      </c>
      <c r="K102" s="147">
        <f t="shared" si="28"/>
        <v>0</v>
      </c>
      <c r="L102" s="147">
        <f t="shared" si="26"/>
        <v>0</v>
      </c>
      <c r="M102" s="147">
        <f>M107</f>
        <v>0</v>
      </c>
      <c r="N102" s="147">
        <f t="shared" si="27"/>
        <v>0</v>
      </c>
      <c r="O102" s="147">
        <f t="shared" si="27"/>
        <v>0</v>
      </c>
      <c r="P102" s="80"/>
      <c r="Q102" s="72"/>
    </row>
    <row r="103" spans="1:17" ht="45" customHeight="1" x14ac:dyDescent="0.25">
      <c r="A103" s="326"/>
      <c r="B103" s="322"/>
      <c r="C103" s="81" t="s">
        <v>177</v>
      </c>
      <c r="D103" s="217">
        <v>958</v>
      </c>
      <c r="E103" s="219">
        <v>1004</v>
      </c>
      <c r="F103" s="226" t="s">
        <v>373</v>
      </c>
      <c r="G103" s="219">
        <v>320</v>
      </c>
      <c r="H103" s="147">
        <f t="shared" si="28"/>
        <v>0</v>
      </c>
      <c r="I103" s="147">
        <f t="shared" si="28"/>
        <v>0</v>
      </c>
      <c r="J103" s="147">
        <f t="shared" si="28"/>
        <v>0</v>
      </c>
      <c r="K103" s="147">
        <f t="shared" si="28"/>
        <v>0</v>
      </c>
      <c r="L103" s="147">
        <f t="shared" si="26"/>
        <v>0</v>
      </c>
      <c r="M103" s="147">
        <f>M108</f>
        <v>0</v>
      </c>
      <c r="N103" s="147">
        <f t="shared" si="27"/>
        <v>0</v>
      </c>
      <c r="O103" s="147">
        <f t="shared" si="27"/>
        <v>0</v>
      </c>
      <c r="P103" s="80"/>
      <c r="Q103" s="72"/>
    </row>
    <row r="104" spans="1:17" ht="18.75" customHeight="1" x14ac:dyDescent="0.25">
      <c r="A104" s="324" t="s">
        <v>78</v>
      </c>
      <c r="B104" s="318" t="s">
        <v>79</v>
      </c>
      <c r="C104" s="84" t="s">
        <v>173</v>
      </c>
      <c r="D104" s="218">
        <v>958</v>
      </c>
      <c r="E104" s="219">
        <v>1004</v>
      </c>
      <c r="F104" s="226" t="s">
        <v>373</v>
      </c>
      <c r="G104" s="219">
        <v>320</v>
      </c>
      <c r="H104" s="148">
        <f t="shared" ref="H104:O104" si="29">H105+H106+H107+H108</f>
        <v>1882.3</v>
      </c>
      <c r="I104" s="148">
        <f t="shared" si="29"/>
        <v>3181.4050000000002</v>
      </c>
      <c r="J104" s="148">
        <f t="shared" si="29"/>
        <v>3077.2844300000002</v>
      </c>
      <c r="K104" s="148">
        <f t="shared" si="29"/>
        <v>3270.0619999999999</v>
      </c>
      <c r="L104" s="148">
        <f t="shared" si="29"/>
        <v>3925.4110000000001</v>
      </c>
      <c r="M104" s="148">
        <f>M105+M106+M107+M108</f>
        <v>4081.4369999999999</v>
      </c>
      <c r="N104" s="148">
        <f t="shared" si="29"/>
        <v>4244.8919999999998</v>
      </c>
      <c r="O104" s="148">
        <f t="shared" si="29"/>
        <v>23662.791429999997</v>
      </c>
      <c r="P104" s="83"/>
      <c r="Q104" s="72"/>
    </row>
    <row r="105" spans="1:17" ht="16.5" customHeight="1" x14ac:dyDescent="0.25">
      <c r="A105" s="325"/>
      <c r="B105" s="319"/>
      <c r="C105" s="84" t="s">
        <v>174</v>
      </c>
      <c r="D105" s="218">
        <v>958</v>
      </c>
      <c r="E105" s="84"/>
      <c r="F105" s="84"/>
      <c r="G105" s="84"/>
      <c r="H105" s="148">
        <v>0</v>
      </c>
      <c r="I105" s="148">
        <v>0</v>
      </c>
      <c r="J105" s="150">
        <v>0</v>
      </c>
      <c r="K105" s="150">
        <v>0</v>
      </c>
      <c r="L105" s="150">
        <v>0</v>
      </c>
      <c r="M105" s="150">
        <v>0</v>
      </c>
      <c r="N105" s="150">
        <v>0</v>
      </c>
      <c r="O105" s="150">
        <f>SUM(H105:N105)</f>
        <v>0</v>
      </c>
      <c r="P105" s="83"/>
      <c r="Q105" s="72"/>
    </row>
    <row r="106" spans="1:17" ht="30" customHeight="1" x14ac:dyDescent="0.25">
      <c r="A106" s="325"/>
      <c r="B106" s="319"/>
      <c r="C106" s="84" t="s">
        <v>175</v>
      </c>
      <c r="D106" s="218">
        <v>958</v>
      </c>
      <c r="E106" s="219">
        <v>1004</v>
      </c>
      <c r="F106" s="226" t="s">
        <v>373</v>
      </c>
      <c r="G106" s="219">
        <v>320</v>
      </c>
      <c r="H106" s="148">
        <v>1882.3</v>
      </c>
      <c r="I106" s="148">
        <f>3404.117-222.712</f>
        <v>3181.4050000000002</v>
      </c>
      <c r="J106" s="148">
        <f>3179.069-101.78457</f>
        <v>3077.2844300000002</v>
      </c>
      <c r="K106" s="148">
        <f>3791.354-521.292</f>
        <v>3270.0619999999999</v>
      </c>
      <c r="L106" s="148">
        <v>3925.4110000000001</v>
      </c>
      <c r="M106" s="148">
        <v>4081.4369999999999</v>
      </c>
      <c r="N106" s="148">
        <v>4244.8919999999998</v>
      </c>
      <c r="O106" s="148">
        <f>SUM(H106:N106)</f>
        <v>23662.791429999997</v>
      </c>
      <c r="P106" s="83"/>
      <c r="Q106" s="72"/>
    </row>
    <row r="107" spans="1:17" ht="60.75" customHeight="1" x14ac:dyDescent="0.25">
      <c r="A107" s="325"/>
      <c r="B107" s="319"/>
      <c r="C107" s="84" t="s">
        <v>176</v>
      </c>
      <c r="D107" s="218">
        <v>958</v>
      </c>
      <c r="E107" s="82"/>
      <c r="F107" s="82"/>
      <c r="G107" s="82"/>
      <c r="H107" s="148">
        <v>0</v>
      </c>
      <c r="I107" s="148">
        <v>0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f>SUM(H107:N107)</f>
        <v>0</v>
      </c>
      <c r="P107" s="83"/>
      <c r="Q107" s="72"/>
    </row>
    <row r="108" spans="1:17" ht="50.25" customHeight="1" x14ac:dyDescent="0.25">
      <c r="A108" s="326"/>
      <c r="B108" s="320"/>
      <c r="C108" s="84" t="s">
        <v>177</v>
      </c>
      <c r="D108" s="218">
        <v>958</v>
      </c>
      <c r="E108" s="82"/>
      <c r="F108" s="82"/>
      <c r="G108" s="82"/>
      <c r="H108" s="148">
        <v>0</v>
      </c>
      <c r="I108" s="148">
        <v>0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f>SUM(H108:N108)</f>
        <v>0</v>
      </c>
      <c r="P108" s="83"/>
      <c r="Q108" s="72"/>
    </row>
    <row r="109" spans="1:17" ht="18" customHeight="1" x14ac:dyDescent="0.25">
      <c r="A109" s="324" t="s">
        <v>181</v>
      </c>
      <c r="B109" s="337" t="s">
        <v>182</v>
      </c>
      <c r="C109" s="81" t="s">
        <v>173</v>
      </c>
      <c r="D109" s="217">
        <v>958</v>
      </c>
      <c r="E109" s="79"/>
      <c r="F109" s="79"/>
      <c r="G109" s="79"/>
      <c r="H109" s="147">
        <f>H114</f>
        <v>0</v>
      </c>
      <c r="I109" s="147">
        <f t="shared" ref="I109:O113" si="30">I114</f>
        <v>0</v>
      </c>
      <c r="J109" s="147">
        <f t="shared" si="30"/>
        <v>0</v>
      </c>
      <c r="K109" s="147">
        <f t="shared" si="30"/>
        <v>0</v>
      </c>
      <c r="L109" s="147">
        <f t="shared" si="30"/>
        <v>0</v>
      </c>
      <c r="M109" s="147">
        <f>M114</f>
        <v>0</v>
      </c>
      <c r="N109" s="147">
        <f t="shared" ref="N109:O110" si="31">N114</f>
        <v>0</v>
      </c>
      <c r="O109" s="147">
        <f t="shared" si="31"/>
        <v>0</v>
      </c>
      <c r="P109" s="80"/>
      <c r="Q109" s="72"/>
    </row>
    <row r="110" spans="1:17" ht="29.25" customHeight="1" x14ac:dyDescent="0.25">
      <c r="A110" s="325"/>
      <c r="B110" s="338"/>
      <c r="C110" s="81" t="s">
        <v>174</v>
      </c>
      <c r="D110" s="217">
        <v>958</v>
      </c>
      <c r="E110" s="81"/>
      <c r="F110" s="81"/>
      <c r="G110" s="81"/>
      <c r="H110" s="147">
        <f>H115</f>
        <v>0</v>
      </c>
      <c r="I110" s="147">
        <f t="shared" si="30"/>
        <v>0</v>
      </c>
      <c r="J110" s="147">
        <f t="shared" si="30"/>
        <v>0</v>
      </c>
      <c r="K110" s="147">
        <f t="shared" si="30"/>
        <v>0</v>
      </c>
      <c r="L110" s="147">
        <f t="shared" si="30"/>
        <v>0</v>
      </c>
      <c r="M110" s="147">
        <f>M115</f>
        <v>0</v>
      </c>
      <c r="N110" s="147">
        <f t="shared" si="31"/>
        <v>0</v>
      </c>
      <c r="O110" s="147">
        <f t="shared" si="31"/>
        <v>0</v>
      </c>
      <c r="P110" s="80"/>
      <c r="Q110" s="72"/>
    </row>
    <row r="111" spans="1:17" ht="29.25" customHeight="1" x14ac:dyDescent="0.25">
      <c r="A111" s="325"/>
      <c r="B111" s="338"/>
      <c r="C111" s="81" t="s">
        <v>175</v>
      </c>
      <c r="D111" s="217">
        <v>958</v>
      </c>
      <c r="E111" s="81"/>
      <c r="F111" s="81"/>
      <c r="G111" s="81"/>
      <c r="H111" s="147">
        <f>H116</f>
        <v>0</v>
      </c>
      <c r="I111" s="147">
        <f t="shared" si="30"/>
        <v>0</v>
      </c>
      <c r="J111" s="147">
        <f t="shared" si="30"/>
        <v>0</v>
      </c>
      <c r="K111" s="147">
        <f t="shared" si="30"/>
        <v>0</v>
      </c>
      <c r="L111" s="147">
        <f t="shared" si="30"/>
        <v>0</v>
      </c>
      <c r="M111" s="147">
        <f>M116</f>
        <v>0</v>
      </c>
      <c r="N111" s="147">
        <f t="shared" ref="N111:N113" si="32">N116</f>
        <v>0</v>
      </c>
      <c r="O111" s="147">
        <f t="shared" si="30"/>
        <v>0</v>
      </c>
      <c r="P111" s="80"/>
      <c r="Q111" s="72"/>
    </row>
    <row r="112" spans="1:17" ht="60" customHeight="1" x14ac:dyDescent="0.25">
      <c r="A112" s="325"/>
      <c r="B112" s="338"/>
      <c r="C112" s="81" t="s">
        <v>176</v>
      </c>
      <c r="D112" s="217">
        <v>958</v>
      </c>
      <c r="E112" s="79"/>
      <c r="F112" s="79"/>
      <c r="G112" s="79"/>
      <c r="H112" s="147">
        <f>H117</f>
        <v>0</v>
      </c>
      <c r="I112" s="147">
        <f t="shared" si="30"/>
        <v>0</v>
      </c>
      <c r="J112" s="147">
        <f t="shared" si="30"/>
        <v>0</v>
      </c>
      <c r="K112" s="147">
        <f t="shared" si="30"/>
        <v>0</v>
      </c>
      <c r="L112" s="147">
        <f t="shared" si="30"/>
        <v>0</v>
      </c>
      <c r="M112" s="147">
        <f>M117</f>
        <v>0</v>
      </c>
      <c r="N112" s="147">
        <f t="shared" si="32"/>
        <v>0</v>
      </c>
      <c r="O112" s="147">
        <f t="shared" si="30"/>
        <v>0</v>
      </c>
      <c r="P112" s="80"/>
      <c r="Q112" s="72"/>
    </row>
    <row r="113" spans="1:17" ht="46.5" customHeight="1" x14ac:dyDescent="0.25">
      <c r="A113" s="326"/>
      <c r="B113" s="339"/>
      <c r="C113" s="81" t="s">
        <v>177</v>
      </c>
      <c r="D113" s="217">
        <v>958</v>
      </c>
      <c r="E113" s="79"/>
      <c r="F113" s="79"/>
      <c r="G113" s="79"/>
      <c r="H113" s="147">
        <f>H118</f>
        <v>0</v>
      </c>
      <c r="I113" s="147">
        <f t="shared" si="30"/>
        <v>0</v>
      </c>
      <c r="J113" s="147">
        <f t="shared" si="30"/>
        <v>0</v>
      </c>
      <c r="K113" s="147">
        <f t="shared" si="30"/>
        <v>0</v>
      </c>
      <c r="L113" s="147">
        <f t="shared" si="30"/>
        <v>0</v>
      </c>
      <c r="M113" s="147">
        <f>M118</f>
        <v>0</v>
      </c>
      <c r="N113" s="147">
        <f t="shared" si="32"/>
        <v>0</v>
      </c>
      <c r="O113" s="147">
        <f t="shared" si="30"/>
        <v>0</v>
      </c>
      <c r="P113" s="80"/>
      <c r="Q113" s="72"/>
    </row>
    <row r="114" spans="1:17" ht="29.25" customHeight="1" x14ac:dyDescent="0.25">
      <c r="A114" s="324" t="s">
        <v>183</v>
      </c>
      <c r="B114" s="340" t="s">
        <v>184</v>
      </c>
      <c r="C114" s="84" t="s">
        <v>173</v>
      </c>
      <c r="D114" s="218">
        <v>958</v>
      </c>
      <c r="E114" s="82"/>
      <c r="F114" s="82"/>
      <c r="G114" s="82"/>
      <c r="H114" s="148">
        <v>0</v>
      </c>
      <c r="I114" s="148">
        <f>I115+I116+I117+I118</f>
        <v>0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>
        <f>SUM(I114:N114)</f>
        <v>0</v>
      </c>
      <c r="P114" s="83"/>
      <c r="Q114" s="72"/>
    </row>
    <row r="115" spans="1:17" ht="36" customHeight="1" x14ac:dyDescent="0.25">
      <c r="A115" s="325"/>
      <c r="B115" s="341"/>
      <c r="C115" s="84" t="s">
        <v>174</v>
      </c>
      <c r="D115" s="218">
        <v>958</v>
      </c>
      <c r="E115" s="84"/>
      <c r="F115" s="84"/>
      <c r="G115" s="84"/>
      <c r="H115" s="148">
        <v>0</v>
      </c>
      <c r="I115" s="148">
        <v>0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f>SUM(I115:N115)</f>
        <v>0</v>
      </c>
      <c r="P115" s="83"/>
      <c r="Q115" s="72"/>
    </row>
    <row r="116" spans="1:17" ht="37.5" customHeight="1" x14ac:dyDescent="0.25">
      <c r="A116" s="325"/>
      <c r="B116" s="341"/>
      <c r="C116" s="84" t="s">
        <v>175</v>
      </c>
      <c r="D116" s="218">
        <v>958</v>
      </c>
      <c r="E116" s="84"/>
      <c r="F116" s="84"/>
      <c r="G116" s="84"/>
      <c r="H116" s="148">
        <v>0</v>
      </c>
      <c r="I116" s="148">
        <f>30570.5-30570.5</f>
        <v>0</v>
      </c>
      <c r="J116" s="150">
        <v>0</v>
      </c>
      <c r="K116" s="150">
        <v>0</v>
      </c>
      <c r="L116" s="150">
        <v>0</v>
      </c>
      <c r="M116" s="150">
        <v>0</v>
      </c>
      <c r="N116" s="150">
        <v>0</v>
      </c>
      <c r="O116" s="150">
        <f>SUM(I116:N116)</f>
        <v>0</v>
      </c>
      <c r="P116" s="83"/>
      <c r="Q116" s="72"/>
    </row>
    <row r="117" spans="1:17" ht="62.25" customHeight="1" x14ac:dyDescent="0.25">
      <c r="A117" s="325"/>
      <c r="B117" s="341"/>
      <c r="C117" s="84" t="s">
        <v>176</v>
      </c>
      <c r="D117" s="218">
        <v>958</v>
      </c>
      <c r="E117" s="82"/>
      <c r="F117" s="82"/>
      <c r="G117" s="82"/>
      <c r="H117" s="148">
        <v>0</v>
      </c>
      <c r="I117" s="148">
        <f>942.12-942.12</f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f>SUM(H117:N117)</f>
        <v>0</v>
      </c>
      <c r="P117" s="83"/>
      <c r="Q117" s="72"/>
    </row>
    <row r="118" spans="1:17" ht="49.5" customHeight="1" x14ac:dyDescent="0.25">
      <c r="A118" s="326"/>
      <c r="B118" s="342"/>
      <c r="C118" s="84" t="s">
        <v>177</v>
      </c>
      <c r="D118" s="218">
        <v>958</v>
      </c>
      <c r="E118" s="82"/>
      <c r="F118" s="82"/>
      <c r="G118" s="82"/>
      <c r="H118" s="148">
        <v>0</v>
      </c>
      <c r="I118" s="148">
        <v>0</v>
      </c>
      <c r="J118" s="150">
        <v>0</v>
      </c>
      <c r="K118" s="150">
        <v>0</v>
      </c>
      <c r="L118" s="150">
        <v>0</v>
      </c>
      <c r="M118" s="150">
        <v>0</v>
      </c>
      <c r="N118" s="150">
        <v>0</v>
      </c>
      <c r="O118" s="150">
        <f>SUM(H118:N118)</f>
        <v>0</v>
      </c>
      <c r="P118" s="83"/>
      <c r="Q118" s="72"/>
    </row>
    <row r="119" spans="1:17" ht="27" customHeight="1" x14ac:dyDescent="0.25">
      <c r="A119" s="333" t="s">
        <v>81</v>
      </c>
      <c r="B119" s="303" t="s">
        <v>353</v>
      </c>
      <c r="C119" s="81" t="s">
        <v>173</v>
      </c>
      <c r="D119" s="217">
        <v>958</v>
      </c>
      <c r="E119" s="96" t="s">
        <v>231</v>
      </c>
      <c r="F119" s="96" t="s">
        <v>232</v>
      </c>
      <c r="G119" s="96" t="s">
        <v>210</v>
      </c>
      <c r="H119" s="147">
        <f t="shared" ref="H119:K123" si="33">H124+H149+H204+H224</f>
        <v>333171.89000000007</v>
      </c>
      <c r="I119" s="147">
        <f t="shared" si="33"/>
        <v>376794.27243999991</v>
      </c>
      <c r="J119" s="147">
        <f t="shared" si="33"/>
        <v>452493.57047999999</v>
      </c>
      <c r="K119" s="147">
        <f>K124+K149+K204+K224+K234</f>
        <v>435351.21029000002</v>
      </c>
      <c r="L119" s="147">
        <f>L124+L149+L204+L224+L234</f>
        <v>584723.88443999994</v>
      </c>
      <c r="M119" s="147">
        <f t="shared" ref="M119:N119" si="34">M124+M149+M204+M224+M234</f>
        <v>597964.20863999985</v>
      </c>
      <c r="N119" s="147">
        <f t="shared" si="34"/>
        <v>623608.12979999988</v>
      </c>
      <c r="O119" s="147">
        <f>O124+O149+O204+O224+O234</f>
        <v>3388219.8252899996</v>
      </c>
      <c r="P119" s="80"/>
      <c r="Q119" s="72"/>
    </row>
    <row r="120" spans="1:17" ht="33.75" customHeight="1" x14ac:dyDescent="0.25">
      <c r="A120" s="333"/>
      <c r="B120" s="303"/>
      <c r="C120" s="81" t="s">
        <v>174</v>
      </c>
      <c r="D120" s="217">
        <v>958</v>
      </c>
      <c r="E120" s="96" t="s">
        <v>231</v>
      </c>
      <c r="F120" s="96" t="s">
        <v>232</v>
      </c>
      <c r="G120" s="96" t="s">
        <v>210</v>
      </c>
      <c r="H120" s="147">
        <f t="shared" si="33"/>
        <v>0</v>
      </c>
      <c r="I120" s="147">
        <f t="shared" si="33"/>
        <v>0</v>
      </c>
      <c r="J120" s="147">
        <f t="shared" si="33"/>
        <v>0</v>
      </c>
      <c r="K120" s="147">
        <f t="shared" si="33"/>
        <v>0</v>
      </c>
      <c r="L120" s="147">
        <f t="shared" ref="L120:N123" si="35">L125+L150+L205+L225</f>
        <v>0</v>
      </c>
      <c r="M120" s="147">
        <f t="shared" si="35"/>
        <v>0</v>
      </c>
      <c r="N120" s="147">
        <f t="shared" ref="N120:O123" si="36">N125+N150+N205+N225</f>
        <v>0</v>
      </c>
      <c r="O120" s="147">
        <f t="shared" si="36"/>
        <v>0</v>
      </c>
      <c r="P120" s="80"/>
      <c r="Q120" s="72"/>
    </row>
    <row r="121" spans="1:17" ht="32.25" customHeight="1" x14ac:dyDescent="0.25">
      <c r="A121" s="333"/>
      <c r="B121" s="303"/>
      <c r="C121" s="81" t="s">
        <v>175</v>
      </c>
      <c r="D121" s="217">
        <v>958</v>
      </c>
      <c r="E121" s="96" t="s">
        <v>231</v>
      </c>
      <c r="F121" s="96" t="s">
        <v>232</v>
      </c>
      <c r="G121" s="96" t="s">
        <v>210</v>
      </c>
      <c r="H121" s="147">
        <f t="shared" si="33"/>
        <v>241993.95</v>
      </c>
      <c r="I121" s="147">
        <f t="shared" si="33"/>
        <v>280020.31244000001</v>
      </c>
      <c r="J121" s="147">
        <f t="shared" si="33"/>
        <v>344083.55771000002</v>
      </c>
      <c r="K121" s="147">
        <f>K126+K151+K206+K226+K236</f>
        <v>322239.78824999998</v>
      </c>
      <c r="L121" s="147">
        <f t="shared" si="35"/>
        <v>454457.76800000004</v>
      </c>
      <c r="M121" s="147">
        <f t="shared" si="35"/>
        <v>478415.44</v>
      </c>
      <c r="N121" s="147">
        <f t="shared" si="35"/>
        <v>503713.64700000006</v>
      </c>
      <c r="O121" s="147">
        <f t="shared" si="36"/>
        <v>2613626.9003999997</v>
      </c>
      <c r="P121" s="80"/>
      <c r="Q121" s="72"/>
    </row>
    <row r="122" spans="1:17" ht="64.5" customHeight="1" x14ac:dyDescent="0.25">
      <c r="A122" s="333"/>
      <c r="B122" s="303"/>
      <c r="C122" s="81" t="s">
        <v>176</v>
      </c>
      <c r="D122" s="217">
        <v>958</v>
      </c>
      <c r="E122" s="96" t="s">
        <v>231</v>
      </c>
      <c r="F122" s="96" t="s">
        <v>232</v>
      </c>
      <c r="G122" s="96" t="s">
        <v>210</v>
      </c>
      <c r="H122" s="147">
        <f t="shared" si="33"/>
        <v>91177.940000000017</v>
      </c>
      <c r="I122" s="147">
        <f t="shared" si="33"/>
        <v>96773.959999999992</v>
      </c>
      <c r="J122" s="147">
        <f t="shared" si="33"/>
        <v>108410.01277</v>
      </c>
      <c r="K122" s="147">
        <f>K127+K152+K207+K227</f>
        <v>113111.42204</v>
      </c>
      <c r="L122" s="147">
        <f t="shared" si="35"/>
        <v>126883.2598</v>
      </c>
      <c r="M122" s="147">
        <f t="shared" si="35"/>
        <v>116165.912</v>
      </c>
      <c r="N122" s="147">
        <f t="shared" si="35"/>
        <v>115665.912</v>
      </c>
      <c r="O122" s="147">
        <f t="shared" si="36"/>
        <v>767475.2186100001</v>
      </c>
      <c r="P122" s="80"/>
      <c r="Q122" s="72"/>
    </row>
    <row r="123" spans="1:17" ht="47.25" x14ac:dyDescent="0.25">
      <c r="A123" s="333"/>
      <c r="B123" s="303"/>
      <c r="C123" s="81" t="s">
        <v>177</v>
      </c>
      <c r="D123" s="217">
        <v>958</v>
      </c>
      <c r="E123" s="96" t="s">
        <v>231</v>
      </c>
      <c r="F123" s="96" t="s">
        <v>232</v>
      </c>
      <c r="G123" s="96" t="s">
        <v>210</v>
      </c>
      <c r="H123" s="147">
        <f t="shared" si="33"/>
        <v>0</v>
      </c>
      <c r="I123" s="147">
        <f t="shared" si="33"/>
        <v>0</v>
      </c>
      <c r="J123" s="147">
        <f t="shared" si="33"/>
        <v>0</v>
      </c>
      <c r="K123" s="147">
        <f t="shared" si="33"/>
        <v>0</v>
      </c>
      <c r="L123" s="147">
        <f t="shared" si="35"/>
        <v>0</v>
      </c>
      <c r="M123" s="147">
        <f t="shared" si="35"/>
        <v>0</v>
      </c>
      <c r="N123" s="147">
        <f t="shared" si="36"/>
        <v>0</v>
      </c>
      <c r="O123" s="147">
        <f t="shared" si="36"/>
        <v>0</v>
      </c>
      <c r="P123" s="80"/>
      <c r="Q123" s="72"/>
    </row>
    <row r="124" spans="1:17" ht="15.75" x14ac:dyDescent="0.25">
      <c r="A124" s="334" t="s">
        <v>10</v>
      </c>
      <c r="B124" s="323" t="s">
        <v>82</v>
      </c>
      <c r="C124" s="81" t="s">
        <v>173</v>
      </c>
      <c r="D124" s="217">
        <v>958</v>
      </c>
      <c r="E124" s="96" t="s">
        <v>231</v>
      </c>
      <c r="F124" s="96" t="s">
        <v>233</v>
      </c>
      <c r="G124" s="96" t="s">
        <v>210</v>
      </c>
      <c r="H124" s="147">
        <f t="shared" ref="H124:O124" si="37">H129+H134+H139+H144</f>
        <v>321094.82000000007</v>
      </c>
      <c r="I124" s="147">
        <f t="shared" si="37"/>
        <v>357222.95399999997</v>
      </c>
      <c r="J124" s="147">
        <f t="shared" si="37"/>
        <v>377919.16284</v>
      </c>
      <c r="K124" s="147">
        <f t="shared" si="37"/>
        <v>421361.65904</v>
      </c>
      <c r="L124" s="147">
        <f t="shared" si="37"/>
        <v>568354.00379999995</v>
      </c>
      <c r="M124" s="147">
        <f t="shared" si="37"/>
        <v>582927.58199999994</v>
      </c>
      <c r="N124" s="147">
        <f t="shared" si="37"/>
        <v>607725.78899999999</v>
      </c>
      <c r="O124" s="147">
        <f t="shared" si="37"/>
        <v>3236605.9706799993</v>
      </c>
      <c r="P124" s="80"/>
      <c r="Q124" s="72"/>
    </row>
    <row r="125" spans="1:17" ht="29.25" customHeight="1" x14ac:dyDescent="0.25">
      <c r="A125" s="335"/>
      <c r="B125" s="321"/>
      <c r="C125" s="81" t="s">
        <v>174</v>
      </c>
      <c r="D125" s="217">
        <v>958</v>
      </c>
      <c r="E125" s="96" t="s">
        <v>231</v>
      </c>
      <c r="F125" s="96" t="s">
        <v>233</v>
      </c>
      <c r="G125" s="96" t="s">
        <v>210</v>
      </c>
      <c r="H125" s="147">
        <f>H130+H135+H140</f>
        <v>0</v>
      </c>
      <c r="I125" s="147">
        <f t="shared" ref="I125:O128" si="38">I130+I135</f>
        <v>0</v>
      </c>
      <c r="J125" s="147">
        <f t="shared" si="38"/>
        <v>0</v>
      </c>
      <c r="K125" s="147">
        <f t="shared" si="38"/>
        <v>0</v>
      </c>
      <c r="L125" s="147">
        <f t="shared" si="38"/>
        <v>0</v>
      </c>
      <c r="M125" s="147">
        <f>M130+M135</f>
        <v>0</v>
      </c>
      <c r="N125" s="147">
        <f t="shared" si="38"/>
        <v>0</v>
      </c>
      <c r="O125" s="147">
        <f t="shared" si="38"/>
        <v>0</v>
      </c>
      <c r="P125" s="80"/>
      <c r="Q125" s="72"/>
    </row>
    <row r="126" spans="1:17" ht="31.5" x14ac:dyDescent="0.25">
      <c r="A126" s="335"/>
      <c r="B126" s="321"/>
      <c r="C126" s="81" t="s">
        <v>175</v>
      </c>
      <c r="D126" s="217">
        <v>958</v>
      </c>
      <c r="E126" s="96" t="s">
        <v>231</v>
      </c>
      <c r="F126" s="96" t="s">
        <v>233</v>
      </c>
      <c r="G126" s="96" t="s">
        <v>210</v>
      </c>
      <c r="H126" s="147">
        <f t="shared" ref="H126:O126" si="39">H131+H136+H141+H146</f>
        <v>233029.19</v>
      </c>
      <c r="I126" s="147">
        <f t="shared" si="39"/>
        <v>263963.14400000003</v>
      </c>
      <c r="J126" s="147">
        <f t="shared" si="39"/>
        <v>279199.41899999999</v>
      </c>
      <c r="K126" s="147">
        <f t="shared" si="39"/>
        <v>311570.73599999998</v>
      </c>
      <c r="L126" s="147">
        <f t="shared" si="39"/>
        <v>442183.94400000002</v>
      </c>
      <c r="M126" s="147">
        <f t="shared" si="39"/>
        <v>467474.87</v>
      </c>
      <c r="N126" s="147">
        <f t="shared" si="39"/>
        <v>492773.07700000005</v>
      </c>
      <c r="O126" s="147">
        <f t="shared" si="39"/>
        <v>2490194.3799999994</v>
      </c>
      <c r="P126" s="80"/>
      <c r="Q126" s="72"/>
    </row>
    <row r="127" spans="1:17" ht="63" x14ac:dyDescent="0.25">
      <c r="A127" s="335"/>
      <c r="B127" s="321"/>
      <c r="C127" s="81" t="s">
        <v>176</v>
      </c>
      <c r="D127" s="217">
        <v>958</v>
      </c>
      <c r="E127" s="96" t="s">
        <v>231</v>
      </c>
      <c r="F127" s="96" t="s">
        <v>233</v>
      </c>
      <c r="G127" s="96" t="s">
        <v>210</v>
      </c>
      <c r="H127" s="147">
        <f>H132+H137</f>
        <v>88065.630000000019</v>
      </c>
      <c r="I127" s="147">
        <f>I132+I137</f>
        <v>93259.809999999983</v>
      </c>
      <c r="J127" s="147">
        <f>J132+J137</f>
        <v>98719.74384000001</v>
      </c>
      <c r="K127" s="147">
        <f>K132+K137</f>
        <v>109790.92304000001</v>
      </c>
      <c r="L127" s="147">
        <f t="shared" si="38"/>
        <v>126170.0598</v>
      </c>
      <c r="M127" s="147">
        <f t="shared" si="38"/>
        <v>115452.712</v>
      </c>
      <c r="N127" s="147">
        <f t="shared" si="38"/>
        <v>114952.712</v>
      </c>
      <c r="O127" s="147">
        <f t="shared" ref="N127:O128" si="40">O132+O137</f>
        <v>746411.59068000014</v>
      </c>
      <c r="P127" s="80"/>
      <c r="Q127" s="72"/>
    </row>
    <row r="128" spans="1:17" ht="47.25" x14ac:dyDescent="0.25">
      <c r="A128" s="336"/>
      <c r="B128" s="322"/>
      <c r="C128" s="81" t="s">
        <v>177</v>
      </c>
      <c r="D128" s="217">
        <v>958</v>
      </c>
      <c r="E128" s="79"/>
      <c r="F128" s="79"/>
      <c r="G128" s="79"/>
      <c r="H128" s="147">
        <f>H133+H138+H143</f>
        <v>0</v>
      </c>
      <c r="I128" s="147">
        <f>I133+I138</f>
        <v>0</v>
      </c>
      <c r="J128" s="147">
        <f>J133+J138</f>
        <v>0</v>
      </c>
      <c r="K128" s="147">
        <f>K133+K138</f>
        <v>0</v>
      </c>
      <c r="L128" s="147">
        <f t="shared" si="38"/>
        <v>0</v>
      </c>
      <c r="M128" s="147">
        <f>M133+M138</f>
        <v>0</v>
      </c>
      <c r="N128" s="147">
        <f t="shared" si="40"/>
        <v>0</v>
      </c>
      <c r="O128" s="147">
        <f t="shared" si="40"/>
        <v>0</v>
      </c>
      <c r="P128" s="80"/>
      <c r="Q128" s="72"/>
    </row>
    <row r="129" spans="1:17" ht="19.5" customHeight="1" x14ac:dyDescent="0.25">
      <c r="A129" s="327" t="s">
        <v>84</v>
      </c>
      <c r="B129" s="304" t="s">
        <v>85</v>
      </c>
      <c r="C129" s="84" t="s">
        <v>173</v>
      </c>
      <c r="D129" s="218">
        <v>958</v>
      </c>
      <c r="E129" s="103" t="s">
        <v>231</v>
      </c>
      <c r="F129" s="226" t="s">
        <v>233</v>
      </c>
      <c r="G129" s="119" t="s">
        <v>210</v>
      </c>
      <c r="H129" s="148">
        <f t="shared" ref="H129:O129" si="41">H130+H131+H132+H133</f>
        <v>309424.98000000004</v>
      </c>
      <c r="I129" s="148">
        <f t="shared" si="41"/>
        <v>325516.35399999999</v>
      </c>
      <c r="J129" s="148">
        <f t="shared" si="41"/>
        <v>345797.56284000003</v>
      </c>
      <c r="K129" s="148">
        <f t="shared" si="41"/>
        <v>384696.10904000001</v>
      </c>
      <c r="L129" s="148">
        <f t="shared" si="41"/>
        <v>528755.55379999999</v>
      </c>
      <c r="M129" s="148">
        <f>M130+M131+M132+M133</f>
        <v>543329.13199999998</v>
      </c>
      <c r="N129" s="148">
        <f t="shared" si="41"/>
        <v>568474.13899999997</v>
      </c>
      <c r="O129" s="148">
        <f t="shared" si="41"/>
        <v>3005993.8306799997</v>
      </c>
      <c r="P129" s="83"/>
      <c r="Q129" s="72"/>
    </row>
    <row r="130" spans="1:17" ht="36.75" customHeight="1" x14ac:dyDescent="0.25">
      <c r="A130" s="327"/>
      <c r="B130" s="304"/>
      <c r="C130" s="84" t="s">
        <v>174</v>
      </c>
      <c r="D130" s="218">
        <v>958</v>
      </c>
      <c r="E130" s="103" t="s">
        <v>231</v>
      </c>
      <c r="F130" s="84"/>
      <c r="G130" s="102">
        <v>610</v>
      </c>
      <c r="H130" s="148">
        <v>0</v>
      </c>
      <c r="I130" s="148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f>SUM(H130:N130)</f>
        <v>0</v>
      </c>
      <c r="P130" s="83"/>
      <c r="Q130" s="72"/>
    </row>
    <row r="131" spans="1:17" ht="30.75" customHeight="1" x14ac:dyDescent="0.25">
      <c r="A131" s="327"/>
      <c r="B131" s="304"/>
      <c r="C131" s="84" t="s">
        <v>175</v>
      </c>
      <c r="D131" s="218">
        <v>958</v>
      </c>
      <c r="E131" s="103" t="s">
        <v>231</v>
      </c>
      <c r="F131" s="226" t="s">
        <v>372</v>
      </c>
      <c r="G131" s="102">
        <v>610</v>
      </c>
      <c r="H131" s="148">
        <v>221359.35</v>
      </c>
      <c r="I131" s="148">
        <f>234603.41-6279.876+3933.01</f>
        <v>232256.54400000002</v>
      </c>
      <c r="J131" s="148">
        <f>238943.0152+8134.8038</f>
        <v>247077.81899999999</v>
      </c>
      <c r="K131" s="148">
        <f>256548.408-53843.688+4885.79+64157.706+3156.97</f>
        <v>274905.18599999999</v>
      </c>
      <c r="L131" s="148">
        <v>402585.49400000001</v>
      </c>
      <c r="M131" s="148">
        <v>427876.42</v>
      </c>
      <c r="N131" s="148">
        <v>453521.42700000003</v>
      </c>
      <c r="O131" s="150">
        <f>SUM(H131:N131)</f>
        <v>2259582.2399999998</v>
      </c>
      <c r="P131" s="83"/>
      <c r="Q131" s="72"/>
    </row>
    <row r="132" spans="1:17" ht="50.1" customHeight="1" x14ac:dyDescent="0.25">
      <c r="A132" s="327"/>
      <c r="B132" s="304"/>
      <c r="C132" s="84" t="s">
        <v>176</v>
      </c>
      <c r="D132" s="218">
        <v>958</v>
      </c>
      <c r="E132" s="103" t="s">
        <v>231</v>
      </c>
      <c r="F132" s="103" t="s">
        <v>234</v>
      </c>
      <c r="G132" s="102">
        <v>610</v>
      </c>
      <c r="H132" s="148">
        <f>82871.33-533.06+4758+1148+333-1148-543.51+71+494.57+434+180.3+H142</f>
        <v>88065.630000000019</v>
      </c>
      <c r="I132" s="148">
        <f>75960.43+11956.87+1924.54-192+3504.73-1285.89+1575+766.13+50-1000</f>
        <v>93259.809999999983</v>
      </c>
      <c r="J132" s="150">
        <f>93113.413+880.323+809.193+85.16+590-50+1454.727+1150.98784+470+215.94</f>
        <v>98719.74384000001</v>
      </c>
      <c r="K132" s="150">
        <f>101256.75804+3552.59+90+2681.187+550+500.788+929+230.6</f>
        <v>109790.92304000001</v>
      </c>
      <c r="L132" s="150">
        <f>126064.29193+13.28305+92.48482</f>
        <v>126170.0598</v>
      </c>
      <c r="M132" s="150">
        <v>115452.712</v>
      </c>
      <c r="N132" s="150">
        <v>114952.712</v>
      </c>
      <c r="O132" s="150">
        <f>SUM(H132:N132)</f>
        <v>746411.59068000014</v>
      </c>
      <c r="P132" s="83"/>
      <c r="Q132" s="72"/>
    </row>
    <row r="133" spans="1:17" ht="48" customHeight="1" x14ac:dyDescent="0.25">
      <c r="A133" s="327"/>
      <c r="B133" s="304"/>
      <c r="C133" s="84" t="s">
        <v>177</v>
      </c>
      <c r="D133" s="218">
        <v>958</v>
      </c>
      <c r="E133" s="82"/>
      <c r="F133" s="82"/>
      <c r="G133" s="82"/>
      <c r="H133" s="148">
        <v>0</v>
      </c>
      <c r="I133" s="148">
        <v>0</v>
      </c>
      <c r="J133" s="150">
        <v>0</v>
      </c>
      <c r="K133" s="150">
        <v>0</v>
      </c>
      <c r="L133" s="150">
        <v>0</v>
      </c>
      <c r="M133" s="150">
        <v>0</v>
      </c>
      <c r="N133" s="150">
        <v>0</v>
      </c>
      <c r="O133" s="150">
        <f>SUM(H133:N133)</f>
        <v>0</v>
      </c>
      <c r="P133" s="83"/>
      <c r="Q133" s="72"/>
    </row>
    <row r="134" spans="1:17" ht="26.25" customHeight="1" x14ac:dyDescent="0.25">
      <c r="A134" s="324" t="s">
        <v>87</v>
      </c>
      <c r="B134" s="318" t="s">
        <v>88</v>
      </c>
      <c r="C134" s="84" t="s">
        <v>173</v>
      </c>
      <c r="D134" s="218">
        <v>958</v>
      </c>
      <c r="E134" s="82"/>
      <c r="F134" s="82"/>
      <c r="G134" s="82"/>
      <c r="H134" s="148">
        <f t="shared" ref="H134:O134" si="42">H135+H136+H137+H138</f>
        <v>0</v>
      </c>
      <c r="I134" s="148">
        <f t="shared" si="42"/>
        <v>0</v>
      </c>
      <c r="J134" s="148">
        <f t="shared" si="42"/>
        <v>0</v>
      </c>
      <c r="K134" s="148">
        <f t="shared" si="42"/>
        <v>0</v>
      </c>
      <c r="L134" s="148">
        <f t="shared" si="42"/>
        <v>0</v>
      </c>
      <c r="M134" s="148">
        <f>M135+M136+M137+M138</f>
        <v>0</v>
      </c>
      <c r="N134" s="148">
        <f t="shared" si="42"/>
        <v>0</v>
      </c>
      <c r="O134" s="148">
        <f t="shared" si="42"/>
        <v>0</v>
      </c>
      <c r="P134" s="83"/>
      <c r="Q134" s="72"/>
    </row>
    <row r="135" spans="1:17" ht="36" customHeight="1" x14ac:dyDescent="0.25">
      <c r="A135" s="325"/>
      <c r="B135" s="319"/>
      <c r="C135" s="84" t="s">
        <v>174</v>
      </c>
      <c r="D135" s="218">
        <v>958</v>
      </c>
      <c r="E135" s="84"/>
      <c r="F135" s="84"/>
      <c r="G135" s="84"/>
      <c r="H135" s="148">
        <v>0</v>
      </c>
      <c r="I135" s="148">
        <v>0</v>
      </c>
      <c r="J135" s="150">
        <v>0</v>
      </c>
      <c r="K135" s="150">
        <v>0</v>
      </c>
      <c r="L135" s="150">
        <v>0</v>
      </c>
      <c r="M135" s="150">
        <v>0</v>
      </c>
      <c r="N135" s="150">
        <v>0</v>
      </c>
      <c r="O135" s="150">
        <f t="shared" ref="O135:O148" si="43">SUM(H135:N135)</f>
        <v>0</v>
      </c>
      <c r="P135" s="83"/>
      <c r="Q135" s="72"/>
    </row>
    <row r="136" spans="1:17" ht="33" customHeight="1" x14ac:dyDescent="0.25">
      <c r="A136" s="325"/>
      <c r="B136" s="319"/>
      <c r="C136" s="84" t="s">
        <v>175</v>
      </c>
      <c r="D136" s="218">
        <v>958</v>
      </c>
      <c r="E136" s="84"/>
      <c r="F136" s="84"/>
      <c r="G136" s="84"/>
      <c r="H136" s="148">
        <v>0</v>
      </c>
      <c r="I136" s="148">
        <v>0</v>
      </c>
      <c r="J136" s="150">
        <v>0</v>
      </c>
      <c r="K136" s="150">
        <v>0</v>
      </c>
      <c r="L136" s="150">
        <v>0</v>
      </c>
      <c r="M136" s="150">
        <v>0</v>
      </c>
      <c r="N136" s="150">
        <v>0</v>
      </c>
      <c r="O136" s="150">
        <f t="shared" si="43"/>
        <v>0</v>
      </c>
      <c r="P136" s="83"/>
      <c r="Q136" s="72"/>
    </row>
    <row r="137" spans="1:17" ht="61.5" customHeight="1" x14ac:dyDescent="0.25">
      <c r="A137" s="325"/>
      <c r="B137" s="319"/>
      <c r="C137" s="84" t="s">
        <v>176</v>
      </c>
      <c r="D137" s="218">
        <v>958</v>
      </c>
      <c r="E137" s="82"/>
      <c r="F137" s="82"/>
      <c r="G137" s="82"/>
      <c r="H137" s="148">
        <v>0</v>
      </c>
      <c r="I137" s="148">
        <v>0</v>
      </c>
      <c r="J137" s="150">
        <v>0</v>
      </c>
      <c r="K137" s="150">
        <v>0</v>
      </c>
      <c r="L137" s="150">
        <v>0</v>
      </c>
      <c r="M137" s="150">
        <v>0</v>
      </c>
      <c r="N137" s="150">
        <v>0</v>
      </c>
      <c r="O137" s="150">
        <f t="shared" si="43"/>
        <v>0</v>
      </c>
      <c r="P137" s="83"/>
      <c r="Q137" s="72"/>
    </row>
    <row r="138" spans="1:17" ht="48.75" customHeight="1" x14ac:dyDescent="0.25">
      <c r="A138" s="326"/>
      <c r="B138" s="320"/>
      <c r="C138" s="84" t="s">
        <v>177</v>
      </c>
      <c r="D138" s="218">
        <v>958</v>
      </c>
      <c r="E138" s="82"/>
      <c r="F138" s="82"/>
      <c r="G138" s="82"/>
      <c r="H138" s="148">
        <v>0</v>
      </c>
      <c r="I138" s="148">
        <v>0</v>
      </c>
      <c r="J138" s="150">
        <v>0</v>
      </c>
      <c r="K138" s="150">
        <v>0</v>
      </c>
      <c r="L138" s="150">
        <v>0</v>
      </c>
      <c r="M138" s="150">
        <v>0</v>
      </c>
      <c r="N138" s="150">
        <v>0</v>
      </c>
      <c r="O138" s="150">
        <f t="shared" si="43"/>
        <v>0</v>
      </c>
      <c r="P138" s="83"/>
      <c r="Q138" s="72"/>
    </row>
    <row r="139" spans="1:17" ht="28.5" customHeight="1" x14ac:dyDescent="0.25">
      <c r="A139" s="324" t="s">
        <v>185</v>
      </c>
      <c r="B139" s="299" t="s">
        <v>186</v>
      </c>
      <c r="C139" s="84" t="s">
        <v>173</v>
      </c>
      <c r="D139" s="218">
        <v>958</v>
      </c>
      <c r="E139" s="103" t="s">
        <v>231</v>
      </c>
      <c r="F139" s="228" t="s">
        <v>370</v>
      </c>
      <c r="G139" s="102">
        <v>610</v>
      </c>
      <c r="H139" s="148">
        <f t="shared" ref="H139:M139" si="44">H140+H141+H142+H143</f>
        <v>6405.84</v>
      </c>
      <c r="I139" s="148">
        <f t="shared" si="44"/>
        <v>20592</v>
      </c>
      <c r="J139" s="148">
        <f t="shared" si="44"/>
        <v>20475</v>
      </c>
      <c r="K139" s="148">
        <f t="shared" si="44"/>
        <v>22230</v>
      </c>
      <c r="L139" s="148">
        <f t="shared" si="44"/>
        <v>23400</v>
      </c>
      <c r="M139" s="148">
        <f t="shared" si="44"/>
        <v>23400</v>
      </c>
      <c r="N139" s="148">
        <f>N140+N141+N142+N143</f>
        <v>23400</v>
      </c>
      <c r="O139" s="150">
        <f t="shared" si="43"/>
        <v>139902.84</v>
      </c>
      <c r="P139" s="83"/>
      <c r="Q139" s="72"/>
    </row>
    <row r="140" spans="1:17" ht="36" customHeight="1" x14ac:dyDescent="0.25">
      <c r="A140" s="325"/>
      <c r="B140" s="300"/>
      <c r="C140" s="84" t="s">
        <v>174</v>
      </c>
      <c r="D140" s="218">
        <v>958</v>
      </c>
      <c r="E140" s="103" t="s">
        <v>231</v>
      </c>
      <c r="F140" s="219"/>
      <c r="G140" s="102">
        <v>610</v>
      </c>
      <c r="H140" s="148">
        <v>0</v>
      </c>
      <c r="I140" s="148">
        <v>0</v>
      </c>
      <c r="J140" s="150">
        <v>0</v>
      </c>
      <c r="K140" s="150">
        <v>0</v>
      </c>
      <c r="L140" s="150">
        <v>0</v>
      </c>
      <c r="M140" s="150">
        <v>0</v>
      </c>
      <c r="N140" s="150">
        <v>0</v>
      </c>
      <c r="O140" s="150">
        <f t="shared" si="43"/>
        <v>0</v>
      </c>
      <c r="P140" s="83"/>
      <c r="Q140" s="72"/>
    </row>
    <row r="141" spans="1:17" ht="35.25" customHeight="1" x14ac:dyDescent="0.25">
      <c r="A141" s="325"/>
      <c r="B141" s="300"/>
      <c r="C141" s="84" t="s">
        <v>175</v>
      </c>
      <c r="D141" s="218">
        <v>958</v>
      </c>
      <c r="E141" s="103" t="s">
        <v>231</v>
      </c>
      <c r="F141" s="228" t="s">
        <v>370</v>
      </c>
      <c r="G141" s="102">
        <v>610</v>
      </c>
      <c r="H141" s="148">
        <v>6405.84</v>
      </c>
      <c r="I141" s="148">
        <v>20592</v>
      </c>
      <c r="J141" s="150">
        <v>20475</v>
      </c>
      <c r="K141" s="150">
        <v>22230</v>
      </c>
      <c r="L141" s="150">
        <v>23400</v>
      </c>
      <c r="M141" s="150">
        <v>23400</v>
      </c>
      <c r="N141" s="150">
        <v>23400</v>
      </c>
      <c r="O141" s="150">
        <f t="shared" si="43"/>
        <v>139902.84</v>
      </c>
      <c r="P141" s="83"/>
      <c r="Q141" s="72"/>
    </row>
    <row r="142" spans="1:17" ht="66" customHeight="1" x14ac:dyDescent="0.25">
      <c r="A142" s="325"/>
      <c r="B142" s="300"/>
      <c r="C142" s="84" t="s">
        <v>176</v>
      </c>
      <c r="D142" s="218">
        <v>958</v>
      </c>
      <c r="E142" s="82"/>
      <c r="F142" s="82"/>
      <c r="G142" s="82"/>
      <c r="H142" s="148">
        <v>0</v>
      </c>
      <c r="I142" s="148">
        <v>0</v>
      </c>
      <c r="J142" s="150">
        <v>0</v>
      </c>
      <c r="K142" s="150">
        <v>0</v>
      </c>
      <c r="L142" s="150">
        <v>0</v>
      </c>
      <c r="M142" s="150">
        <v>0</v>
      </c>
      <c r="N142" s="150">
        <v>0</v>
      </c>
      <c r="O142" s="150">
        <f t="shared" si="43"/>
        <v>0</v>
      </c>
      <c r="P142" s="83"/>
      <c r="Q142" s="72"/>
    </row>
    <row r="143" spans="1:17" ht="52.5" customHeight="1" x14ac:dyDescent="0.25">
      <c r="A143" s="326"/>
      <c r="B143" s="301"/>
      <c r="C143" s="84" t="s">
        <v>177</v>
      </c>
      <c r="D143" s="218">
        <v>958</v>
      </c>
      <c r="E143" s="82"/>
      <c r="F143" s="82"/>
      <c r="G143" s="82"/>
      <c r="H143" s="148">
        <v>0</v>
      </c>
      <c r="I143" s="148">
        <v>0</v>
      </c>
      <c r="J143" s="150">
        <v>0</v>
      </c>
      <c r="K143" s="150">
        <v>0</v>
      </c>
      <c r="L143" s="150">
        <v>0</v>
      </c>
      <c r="M143" s="150">
        <v>0</v>
      </c>
      <c r="N143" s="150">
        <v>0</v>
      </c>
      <c r="O143" s="150">
        <f t="shared" si="43"/>
        <v>0</v>
      </c>
      <c r="P143" s="83"/>
      <c r="Q143" s="72"/>
    </row>
    <row r="144" spans="1:17" ht="24.75" customHeight="1" x14ac:dyDescent="0.25">
      <c r="A144" s="324" t="s">
        <v>187</v>
      </c>
      <c r="B144" s="299" t="s">
        <v>188</v>
      </c>
      <c r="C144" s="84" t="s">
        <v>173</v>
      </c>
      <c r="D144" s="218">
        <v>958</v>
      </c>
      <c r="E144" s="103" t="s">
        <v>231</v>
      </c>
      <c r="F144" s="218" t="s">
        <v>371</v>
      </c>
      <c r="G144" s="102">
        <v>610</v>
      </c>
      <c r="H144" s="148">
        <f t="shared" ref="H144:M144" si="45">H145+H146+H147+H148</f>
        <v>5264</v>
      </c>
      <c r="I144" s="148">
        <f t="shared" si="45"/>
        <v>11114.6</v>
      </c>
      <c r="J144" s="148">
        <f t="shared" si="45"/>
        <v>11646.6</v>
      </c>
      <c r="K144" s="148">
        <f t="shared" si="45"/>
        <v>14435.55</v>
      </c>
      <c r="L144" s="148">
        <f t="shared" si="45"/>
        <v>16198.45</v>
      </c>
      <c r="M144" s="148">
        <f t="shared" si="45"/>
        <v>16198.45</v>
      </c>
      <c r="N144" s="148">
        <f>N145+N146+N147+N148</f>
        <v>15851.65</v>
      </c>
      <c r="O144" s="150">
        <f t="shared" si="43"/>
        <v>90709.299999999988</v>
      </c>
      <c r="P144" s="83"/>
      <c r="Q144" s="72"/>
    </row>
    <row r="145" spans="1:17" ht="33" customHeight="1" x14ac:dyDescent="0.25">
      <c r="A145" s="325"/>
      <c r="B145" s="300"/>
      <c r="C145" s="84" t="s">
        <v>174</v>
      </c>
      <c r="D145" s="218">
        <v>958</v>
      </c>
      <c r="E145" s="103" t="s">
        <v>231</v>
      </c>
      <c r="F145" s="219"/>
      <c r="G145" s="102">
        <v>610</v>
      </c>
      <c r="H145" s="148">
        <v>0</v>
      </c>
      <c r="I145" s="148">
        <v>0</v>
      </c>
      <c r="J145" s="150">
        <v>0</v>
      </c>
      <c r="K145" s="150">
        <v>0</v>
      </c>
      <c r="L145" s="150">
        <v>0</v>
      </c>
      <c r="M145" s="150">
        <v>0</v>
      </c>
      <c r="N145" s="150">
        <v>0</v>
      </c>
      <c r="O145" s="150">
        <f t="shared" si="43"/>
        <v>0</v>
      </c>
      <c r="P145" s="83"/>
      <c r="Q145" s="72"/>
    </row>
    <row r="146" spans="1:17" ht="31.5" x14ac:dyDescent="0.25">
      <c r="A146" s="325"/>
      <c r="B146" s="300"/>
      <c r="C146" s="84" t="s">
        <v>175</v>
      </c>
      <c r="D146" s="218">
        <v>958</v>
      </c>
      <c r="E146" s="103" t="s">
        <v>231</v>
      </c>
      <c r="F146" s="219" t="s">
        <v>371</v>
      </c>
      <c r="G146" s="102">
        <v>610</v>
      </c>
      <c r="H146" s="148">
        <v>5264</v>
      </c>
      <c r="I146" s="148">
        <v>11114.6</v>
      </c>
      <c r="J146" s="150">
        <f>10876.6+770</f>
        <v>11646.6</v>
      </c>
      <c r="K146" s="150">
        <v>14435.55</v>
      </c>
      <c r="L146" s="150">
        <v>16198.45</v>
      </c>
      <c r="M146" s="150">
        <v>16198.45</v>
      </c>
      <c r="N146" s="150">
        <v>15851.65</v>
      </c>
      <c r="O146" s="150">
        <f t="shared" si="43"/>
        <v>90709.299999999988</v>
      </c>
      <c r="P146" s="83"/>
      <c r="Q146" s="72"/>
    </row>
    <row r="147" spans="1:17" ht="46.5" customHeight="1" x14ac:dyDescent="0.25">
      <c r="A147" s="325"/>
      <c r="B147" s="300"/>
      <c r="C147" s="84" t="s">
        <v>176</v>
      </c>
      <c r="D147" s="218">
        <v>958</v>
      </c>
      <c r="E147" s="82"/>
      <c r="F147" s="82"/>
      <c r="G147" s="82"/>
      <c r="H147" s="148">
        <v>0</v>
      </c>
      <c r="I147" s="148">
        <v>0</v>
      </c>
      <c r="J147" s="150">
        <v>0</v>
      </c>
      <c r="K147" s="150">
        <v>0</v>
      </c>
      <c r="L147" s="150">
        <v>0</v>
      </c>
      <c r="M147" s="150">
        <v>0</v>
      </c>
      <c r="N147" s="150">
        <v>0</v>
      </c>
      <c r="O147" s="150">
        <f t="shared" si="43"/>
        <v>0</v>
      </c>
      <c r="P147" s="83"/>
      <c r="Q147" s="72"/>
    </row>
    <row r="148" spans="1:17" ht="33.75" customHeight="1" x14ac:dyDescent="0.25">
      <c r="A148" s="326"/>
      <c r="B148" s="301"/>
      <c r="C148" s="84" t="s">
        <v>177</v>
      </c>
      <c r="D148" s="218">
        <v>958</v>
      </c>
      <c r="E148" s="82"/>
      <c r="F148" s="82"/>
      <c r="G148" s="82"/>
      <c r="H148" s="148">
        <v>0</v>
      </c>
      <c r="I148" s="148">
        <v>0</v>
      </c>
      <c r="J148" s="150">
        <v>0</v>
      </c>
      <c r="K148" s="150">
        <v>0</v>
      </c>
      <c r="L148" s="150">
        <v>0</v>
      </c>
      <c r="M148" s="150">
        <v>0</v>
      </c>
      <c r="N148" s="150">
        <v>0</v>
      </c>
      <c r="O148" s="150">
        <f t="shared" si="43"/>
        <v>0</v>
      </c>
      <c r="P148" s="83"/>
      <c r="Q148" s="72"/>
    </row>
    <row r="149" spans="1:17" ht="28.5" customHeight="1" x14ac:dyDescent="0.25">
      <c r="A149" s="324" t="s">
        <v>11</v>
      </c>
      <c r="B149" s="323" t="s">
        <v>90</v>
      </c>
      <c r="C149" s="81" t="s">
        <v>173</v>
      </c>
      <c r="D149" s="217">
        <v>958</v>
      </c>
      <c r="E149" s="96" t="s">
        <v>231</v>
      </c>
      <c r="F149" s="96" t="s">
        <v>237</v>
      </c>
      <c r="G149" s="122" t="s">
        <v>210</v>
      </c>
      <c r="H149" s="147">
        <f t="shared" ref="H149:O152" si="46">H154+H159+H164+H169+H174+H179+H184+H189</f>
        <v>3112.31</v>
      </c>
      <c r="I149" s="147">
        <f t="shared" si="46"/>
        <v>8079.6084399999991</v>
      </c>
      <c r="J149" s="147">
        <f>J154+J159+J164+J169+J174+J179+J184+J189+J194+J199</f>
        <v>66210.892640000005</v>
      </c>
      <c r="K149" s="147">
        <f>K154+K159+K164+K169+K174+K179+K184+K189+K194</f>
        <v>2755.5590000000002</v>
      </c>
      <c r="L149" s="147">
        <f t="shared" ref="L149:L152" si="47">L154+L159+L164+L169+L174+L179+L184+L189</f>
        <v>291.2</v>
      </c>
      <c r="M149" s="147">
        <f>M154+M159+M164+M169+M174+M179+M184+M189</f>
        <v>291.2</v>
      </c>
      <c r="N149" s="147">
        <f t="shared" ref="N149:N152" si="48">N154+N159+N164+N169+N174+N179+N184+N189</f>
        <v>291.2</v>
      </c>
      <c r="O149" s="147">
        <f>O154+O159+O164+O169+O174+O179+O184+O189+O197</f>
        <v>80735.770080000002</v>
      </c>
      <c r="P149" s="80"/>
      <c r="Q149" s="72"/>
    </row>
    <row r="150" spans="1:17" ht="33.75" customHeight="1" x14ac:dyDescent="0.25">
      <c r="A150" s="325"/>
      <c r="B150" s="321"/>
      <c r="C150" s="81" t="s">
        <v>174</v>
      </c>
      <c r="D150" s="217">
        <v>958</v>
      </c>
      <c r="E150" s="96" t="s">
        <v>231</v>
      </c>
      <c r="F150" s="96" t="s">
        <v>237</v>
      </c>
      <c r="G150" s="122" t="s">
        <v>210</v>
      </c>
      <c r="H150" s="147">
        <f t="shared" si="46"/>
        <v>0</v>
      </c>
      <c r="I150" s="147">
        <f t="shared" si="46"/>
        <v>0</v>
      </c>
      <c r="J150" s="147">
        <f t="shared" si="46"/>
        <v>0</v>
      </c>
      <c r="K150" s="147">
        <f t="shared" si="46"/>
        <v>0</v>
      </c>
      <c r="L150" s="147">
        <f t="shared" si="47"/>
        <v>0</v>
      </c>
      <c r="M150" s="147">
        <f>M155+M160+M165+M170+M175+M180+M185+M190</f>
        <v>0</v>
      </c>
      <c r="N150" s="147">
        <f t="shared" si="48"/>
        <v>0</v>
      </c>
      <c r="O150" s="147">
        <f t="shared" si="46"/>
        <v>0</v>
      </c>
      <c r="P150" s="80"/>
      <c r="Q150" s="72"/>
    </row>
    <row r="151" spans="1:17" ht="36" customHeight="1" x14ac:dyDescent="0.25">
      <c r="A151" s="325"/>
      <c r="B151" s="321"/>
      <c r="C151" s="81" t="s">
        <v>175</v>
      </c>
      <c r="D151" s="217">
        <v>958</v>
      </c>
      <c r="E151" s="96" t="s">
        <v>231</v>
      </c>
      <c r="F151" s="96" t="s">
        <v>237</v>
      </c>
      <c r="G151" s="122" t="s">
        <v>210</v>
      </c>
      <c r="H151" s="147">
        <f t="shared" si="46"/>
        <v>0</v>
      </c>
      <c r="I151" s="147">
        <f t="shared" si="46"/>
        <v>5192.4284399999997</v>
      </c>
      <c r="J151" s="147">
        <f>J156+J161+J166+J171+J176+J181+J186+J191</f>
        <v>56593.553709999993</v>
      </c>
      <c r="K151" s="147">
        <f t="shared" si="46"/>
        <v>0</v>
      </c>
      <c r="L151" s="147">
        <f t="shared" si="47"/>
        <v>0</v>
      </c>
      <c r="M151" s="147">
        <f>M156+M161+M166+M171+M176+M181+M186+M191</f>
        <v>0</v>
      </c>
      <c r="N151" s="147">
        <f t="shared" si="48"/>
        <v>0</v>
      </c>
      <c r="O151" s="147">
        <f t="shared" si="46"/>
        <v>61785.982149999996</v>
      </c>
      <c r="P151" s="80"/>
      <c r="Q151" s="72"/>
    </row>
    <row r="152" spans="1:17" ht="62.25" customHeight="1" x14ac:dyDescent="0.25">
      <c r="A152" s="325"/>
      <c r="B152" s="321"/>
      <c r="C152" s="81" t="s">
        <v>176</v>
      </c>
      <c r="D152" s="217">
        <v>958</v>
      </c>
      <c r="E152" s="96" t="s">
        <v>231</v>
      </c>
      <c r="F152" s="96" t="s">
        <v>237</v>
      </c>
      <c r="G152" s="122" t="s">
        <v>210</v>
      </c>
      <c r="H152" s="147">
        <f t="shared" si="46"/>
        <v>3112.31</v>
      </c>
      <c r="I152" s="147">
        <f t="shared" si="46"/>
        <v>2887.1800000000003</v>
      </c>
      <c r="J152" s="147">
        <f>J157+J162+J167+J172+J177+J182+J187+J192+J197+J202</f>
        <v>9617.3389299999999</v>
      </c>
      <c r="K152" s="147">
        <f>K157+K162+K167+K172+K177+K182+K187+K192+K197</f>
        <v>2755.5590000000002</v>
      </c>
      <c r="L152" s="147">
        <f t="shared" si="47"/>
        <v>291.2</v>
      </c>
      <c r="M152" s="147">
        <f>M157+M162+M167+M172+M177+M182+M187+M192</f>
        <v>291.2</v>
      </c>
      <c r="N152" s="147">
        <f t="shared" si="48"/>
        <v>291.2</v>
      </c>
      <c r="O152" s="147">
        <f>O157+O162+O167+O172+O177+O182+O187+O192+O197+O199</f>
        <v>18954.787930000002</v>
      </c>
      <c r="P152" s="80"/>
      <c r="Q152" s="72"/>
    </row>
    <row r="153" spans="1:17" ht="52.5" customHeight="1" x14ac:dyDescent="0.25">
      <c r="A153" s="326"/>
      <c r="B153" s="322"/>
      <c r="C153" s="81" t="s">
        <v>177</v>
      </c>
      <c r="D153" s="217">
        <v>958</v>
      </c>
      <c r="E153" s="79"/>
      <c r="F153" s="79"/>
      <c r="G153" s="79"/>
      <c r="H153" s="147">
        <f t="shared" ref="H153:O153" si="49">H158+H163+H168+H173+H178+H183+H188</f>
        <v>0</v>
      </c>
      <c r="I153" s="147">
        <f t="shared" si="49"/>
        <v>0</v>
      </c>
      <c r="J153" s="147">
        <f t="shared" si="49"/>
        <v>0</v>
      </c>
      <c r="K153" s="147">
        <f t="shared" si="49"/>
        <v>0</v>
      </c>
      <c r="L153" s="147">
        <f t="shared" si="49"/>
        <v>0</v>
      </c>
      <c r="M153" s="147">
        <f>M158+M163+M168+M173+M178+M183+M188</f>
        <v>0</v>
      </c>
      <c r="N153" s="147">
        <f>N158+N163+N168+N173+N178+N183+N188</f>
        <v>0</v>
      </c>
      <c r="O153" s="147">
        <f t="shared" si="49"/>
        <v>0</v>
      </c>
      <c r="P153" s="80"/>
      <c r="Q153" s="72"/>
    </row>
    <row r="154" spans="1:17" ht="21" customHeight="1" x14ac:dyDescent="0.25">
      <c r="A154" s="324" t="s">
        <v>91</v>
      </c>
      <c r="B154" s="318" t="s">
        <v>92</v>
      </c>
      <c r="C154" s="84" t="s">
        <v>173</v>
      </c>
      <c r="D154" s="218">
        <v>958</v>
      </c>
      <c r="E154" s="82"/>
      <c r="F154" s="82"/>
      <c r="G154" s="82"/>
      <c r="H154" s="148">
        <f t="shared" ref="H154:O154" si="50">H155+H156+H157+H158</f>
        <v>0</v>
      </c>
      <c r="I154" s="148">
        <f t="shared" si="50"/>
        <v>0</v>
      </c>
      <c r="J154" s="148">
        <f t="shared" si="50"/>
        <v>0</v>
      </c>
      <c r="K154" s="148">
        <f t="shared" si="50"/>
        <v>0</v>
      </c>
      <c r="L154" s="148">
        <f t="shared" si="50"/>
        <v>0</v>
      </c>
      <c r="M154" s="148">
        <f>M155+M156+M157+M158</f>
        <v>0</v>
      </c>
      <c r="N154" s="148">
        <f>N155+N156+N157+N158</f>
        <v>0</v>
      </c>
      <c r="O154" s="148">
        <f t="shared" si="50"/>
        <v>0</v>
      </c>
      <c r="P154" s="83"/>
      <c r="Q154" s="72"/>
    </row>
    <row r="155" spans="1:17" ht="35.25" customHeight="1" x14ac:dyDescent="0.25">
      <c r="A155" s="325"/>
      <c r="B155" s="319"/>
      <c r="C155" s="84" t="s">
        <v>174</v>
      </c>
      <c r="D155" s="218">
        <v>958</v>
      </c>
      <c r="E155" s="84"/>
      <c r="F155" s="84"/>
      <c r="G155" s="84"/>
      <c r="H155" s="148">
        <v>0</v>
      </c>
      <c r="I155" s="148">
        <v>0</v>
      </c>
      <c r="J155" s="150">
        <v>0</v>
      </c>
      <c r="K155" s="150">
        <v>0</v>
      </c>
      <c r="L155" s="150">
        <v>0</v>
      </c>
      <c r="M155" s="150">
        <v>0</v>
      </c>
      <c r="N155" s="150">
        <v>0</v>
      </c>
      <c r="O155" s="150">
        <f>SUM(H155:N155)</f>
        <v>0</v>
      </c>
      <c r="P155" s="83"/>
      <c r="Q155" s="72"/>
    </row>
    <row r="156" spans="1:17" ht="30.75" customHeight="1" x14ac:dyDescent="0.25">
      <c r="A156" s="325"/>
      <c r="B156" s="319"/>
      <c r="C156" s="84" t="s">
        <v>175</v>
      </c>
      <c r="D156" s="218">
        <v>958</v>
      </c>
      <c r="E156" s="84"/>
      <c r="F156" s="84"/>
      <c r="G156" s="84"/>
      <c r="H156" s="148">
        <v>0</v>
      </c>
      <c r="I156" s="148">
        <v>0</v>
      </c>
      <c r="J156" s="150">
        <v>0</v>
      </c>
      <c r="K156" s="150">
        <v>0</v>
      </c>
      <c r="L156" s="150">
        <v>0</v>
      </c>
      <c r="M156" s="150">
        <v>0</v>
      </c>
      <c r="N156" s="150">
        <v>0</v>
      </c>
      <c r="O156" s="150">
        <f>SUM(H156:N156)</f>
        <v>0</v>
      </c>
      <c r="P156" s="83"/>
      <c r="Q156" s="72"/>
    </row>
    <row r="157" spans="1:17" ht="63" x14ac:dyDescent="0.25">
      <c r="A157" s="325"/>
      <c r="B157" s="319"/>
      <c r="C157" s="84" t="s">
        <v>176</v>
      </c>
      <c r="D157" s="218">
        <v>958</v>
      </c>
      <c r="E157" s="82"/>
      <c r="F157" s="82"/>
      <c r="G157" s="82"/>
      <c r="H157" s="148">
        <v>0</v>
      </c>
      <c r="I157" s="148">
        <v>0</v>
      </c>
      <c r="J157" s="150">
        <v>0</v>
      </c>
      <c r="K157" s="150">
        <v>0</v>
      </c>
      <c r="L157" s="150">
        <v>0</v>
      </c>
      <c r="M157" s="150">
        <v>0</v>
      </c>
      <c r="N157" s="150">
        <v>0</v>
      </c>
      <c r="O157" s="150">
        <f>SUM(H157:N157)</f>
        <v>0</v>
      </c>
      <c r="P157" s="83"/>
      <c r="Q157" s="72"/>
    </row>
    <row r="158" spans="1:17" ht="48" customHeight="1" x14ac:dyDescent="0.25">
      <c r="A158" s="326"/>
      <c r="B158" s="320"/>
      <c r="C158" s="84" t="s">
        <v>177</v>
      </c>
      <c r="D158" s="218">
        <v>958</v>
      </c>
      <c r="E158" s="82"/>
      <c r="F158" s="82"/>
      <c r="G158" s="82"/>
      <c r="H158" s="148">
        <v>0</v>
      </c>
      <c r="I158" s="148">
        <v>0</v>
      </c>
      <c r="J158" s="150">
        <v>0</v>
      </c>
      <c r="K158" s="150">
        <v>0</v>
      </c>
      <c r="L158" s="150">
        <v>0</v>
      </c>
      <c r="M158" s="150">
        <v>0</v>
      </c>
      <c r="N158" s="150">
        <v>0</v>
      </c>
      <c r="O158" s="150">
        <f>SUM(H158:N158)</f>
        <v>0</v>
      </c>
      <c r="P158" s="83"/>
      <c r="Q158" s="72"/>
    </row>
    <row r="159" spans="1:17" ht="18.75" customHeight="1" x14ac:dyDescent="0.25">
      <c r="A159" s="324" t="s">
        <v>93</v>
      </c>
      <c r="B159" s="318" t="s">
        <v>94</v>
      </c>
      <c r="C159" s="84" t="s">
        <v>173</v>
      </c>
      <c r="D159" s="218">
        <v>958</v>
      </c>
      <c r="E159" s="103" t="s">
        <v>231</v>
      </c>
      <c r="F159" s="103" t="s">
        <v>237</v>
      </c>
      <c r="G159" s="119" t="s">
        <v>210</v>
      </c>
      <c r="H159" s="148">
        <f t="shared" ref="H159:O159" si="51">H160+H161+H162+H163</f>
        <v>0</v>
      </c>
      <c r="I159" s="148">
        <f t="shared" si="51"/>
        <v>5353.0184399999998</v>
      </c>
      <c r="J159" s="148">
        <f t="shared" si="51"/>
        <v>19638.096369999999</v>
      </c>
      <c r="K159" s="148">
        <f t="shared" si="51"/>
        <v>0</v>
      </c>
      <c r="L159" s="148">
        <f t="shared" si="51"/>
        <v>0</v>
      </c>
      <c r="M159" s="148">
        <f t="shared" si="51"/>
        <v>0</v>
      </c>
      <c r="N159" s="148">
        <f>N160+N161+N162+N163</f>
        <v>0</v>
      </c>
      <c r="O159" s="148">
        <f t="shared" si="51"/>
        <v>24991.114809999999</v>
      </c>
      <c r="P159" s="83"/>
      <c r="Q159" s="72"/>
    </row>
    <row r="160" spans="1:17" ht="38.25" customHeight="1" x14ac:dyDescent="0.25">
      <c r="A160" s="325"/>
      <c r="B160" s="319"/>
      <c r="C160" s="84" t="s">
        <v>174</v>
      </c>
      <c r="D160" s="218">
        <v>958</v>
      </c>
      <c r="E160" s="103" t="s">
        <v>231</v>
      </c>
      <c r="F160" s="103" t="s">
        <v>239</v>
      </c>
      <c r="G160" s="102">
        <v>610</v>
      </c>
      <c r="H160" s="148">
        <v>0</v>
      </c>
      <c r="I160" s="148">
        <v>0</v>
      </c>
      <c r="J160" s="150">
        <v>0</v>
      </c>
      <c r="K160" s="150">
        <v>0</v>
      </c>
      <c r="L160" s="150">
        <v>0</v>
      </c>
      <c r="M160" s="150">
        <v>0</v>
      </c>
      <c r="N160" s="150">
        <v>0</v>
      </c>
      <c r="O160" s="150">
        <f>SUM(H160:N160)</f>
        <v>0</v>
      </c>
      <c r="P160" s="83"/>
      <c r="Q160" s="72"/>
    </row>
    <row r="161" spans="1:17" ht="31.5" x14ac:dyDescent="0.25">
      <c r="A161" s="325"/>
      <c r="B161" s="319"/>
      <c r="C161" s="84" t="s">
        <v>175</v>
      </c>
      <c r="D161" s="218">
        <v>958</v>
      </c>
      <c r="E161" s="103" t="s">
        <v>231</v>
      </c>
      <c r="F161" s="103" t="s">
        <v>369</v>
      </c>
      <c r="G161" s="102">
        <v>610</v>
      </c>
      <c r="H161" s="148">
        <v>0</v>
      </c>
      <c r="I161" s="148">
        <f>7642.79-2450.36156</f>
        <v>5192.4284399999997</v>
      </c>
      <c r="J161" s="150">
        <f>36003.23004-16678.06364-305.53034+29.31744</f>
        <v>19048.9535</v>
      </c>
      <c r="K161" s="150">
        <v>0</v>
      </c>
      <c r="L161" s="150">
        <v>0</v>
      </c>
      <c r="M161" s="150">
        <v>0</v>
      </c>
      <c r="N161" s="150">
        <v>0</v>
      </c>
      <c r="O161" s="150">
        <f>SUM(H161:N161)</f>
        <v>24241.381939999999</v>
      </c>
      <c r="P161" s="83"/>
      <c r="Q161" s="72"/>
    </row>
    <row r="162" spans="1:17" ht="68.25" customHeight="1" x14ac:dyDescent="0.25">
      <c r="A162" s="325"/>
      <c r="B162" s="319"/>
      <c r="C162" s="84" t="s">
        <v>176</v>
      </c>
      <c r="D162" s="218">
        <v>958</v>
      </c>
      <c r="E162" s="103" t="s">
        <v>231</v>
      </c>
      <c r="F162" s="103" t="s">
        <v>239</v>
      </c>
      <c r="G162" s="102">
        <v>610</v>
      </c>
      <c r="H162" s="148">
        <f>72.35+17.66-66.94+332.995-332.995-23.07</f>
        <v>0</v>
      </c>
      <c r="I162" s="148">
        <f>1309.44-1073.06-75.79</f>
        <v>160.59000000000009</v>
      </c>
      <c r="J162" s="150">
        <f>100+1630.96-617.458+50-565.81644-8.54269</f>
        <v>589.14287000000002</v>
      </c>
      <c r="K162" s="150">
        <f>0+993.77952-993.77952</f>
        <v>0</v>
      </c>
      <c r="L162" s="150">
        <v>0</v>
      </c>
      <c r="M162" s="150">
        <v>0</v>
      </c>
      <c r="N162" s="150">
        <v>0</v>
      </c>
      <c r="O162" s="150">
        <f>SUM(H162:N162)</f>
        <v>749.73287000000005</v>
      </c>
      <c r="P162" s="83"/>
      <c r="Q162" s="72"/>
    </row>
    <row r="163" spans="1:17" ht="44.25" customHeight="1" x14ac:dyDescent="0.25">
      <c r="A163" s="326"/>
      <c r="B163" s="320"/>
      <c r="C163" s="84" t="s">
        <v>177</v>
      </c>
      <c r="D163" s="218">
        <v>958</v>
      </c>
      <c r="E163" s="82"/>
      <c r="F163" s="82"/>
      <c r="G163" s="82"/>
      <c r="H163" s="148">
        <v>0</v>
      </c>
      <c r="I163" s="148">
        <v>0</v>
      </c>
      <c r="J163" s="150">
        <v>0</v>
      </c>
      <c r="K163" s="150">
        <v>0</v>
      </c>
      <c r="L163" s="150">
        <v>0</v>
      </c>
      <c r="M163" s="150">
        <v>0</v>
      </c>
      <c r="N163" s="150">
        <v>0</v>
      </c>
      <c r="O163" s="150">
        <f>SUM(H163:N163)</f>
        <v>0</v>
      </c>
      <c r="P163" s="83"/>
      <c r="Q163" s="72"/>
    </row>
    <row r="164" spans="1:17" ht="21" customHeight="1" x14ac:dyDescent="0.25">
      <c r="A164" s="324" t="s">
        <v>97</v>
      </c>
      <c r="B164" s="318" t="s">
        <v>71</v>
      </c>
      <c r="C164" s="84" t="s">
        <v>173</v>
      </c>
      <c r="D164" s="218">
        <v>958</v>
      </c>
      <c r="E164" s="103" t="s">
        <v>231</v>
      </c>
      <c r="F164" s="103" t="s">
        <v>240</v>
      </c>
      <c r="G164" s="102">
        <v>610</v>
      </c>
      <c r="H164" s="148">
        <f t="shared" ref="H164:O164" si="52">H165+H166+H167+H168</f>
        <v>209.6</v>
      </c>
      <c r="I164" s="148">
        <f t="shared" si="52"/>
        <v>148.85999999999999</v>
      </c>
      <c r="J164" s="148">
        <f t="shared" si="52"/>
        <v>170.35944000000001</v>
      </c>
      <c r="K164" s="148">
        <f t="shared" si="52"/>
        <v>206.2</v>
      </c>
      <c r="L164" s="148">
        <f t="shared" si="52"/>
        <v>221.2</v>
      </c>
      <c r="M164" s="148">
        <f>M165+M166+M167+M168</f>
        <v>221.2</v>
      </c>
      <c r="N164" s="148">
        <f>N165+N166+N167+N168</f>
        <v>221.2</v>
      </c>
      <c r="O164" s="148">
        <f t="shared" si="52"/>
        <v>1177.4194400000001</v>
      </c>
      <c r="P164" s="83"/>
      <c r="Q164" s="72"/>
    </row>
    <row r="165" spans="1:17" ht="42" customHeight="1" x14ac:dyDescent="0.25">
      <c r="A165" s="325"/>
      <c r="B165" s="319"/>
      <c r="C165" s="84" t="s">
        <v>174</v>
      </c>
      <c r="D165" s="218">
        <v>958</v>
      </c>
      <c r="E165" s="103" t="s">
        <v>231</v>
      </c>
      <c r="F165" s="103" t="s">
        <v>240</v>
      </c>
      <c r="G165" s="102">
        <v>610</v>
      </c>
      <c r="H165" s="148">
        <v>0</v>
      </c>
      <c r="I165" s="148">
        <v>0</v>
      </c>
      <c r="J165" s="150">
        <v>0</v>
      </c>
      <c r="K165" s="150">
        <v>0</v>
      </c>
      <c r="L165" s="150">
        <v>0</v>
      </c>
      <c r="M165" s="150">
        <v>0</v>
      </c>
      <c r="N165" s="150">
        <v>0</v>
      </c>
      <c r="O165" s="150">
        <f>SUM(H165:M165)</f>
        <v>0</v>
      </c>
      <c r="P165" s="83"/>
      <c r="Q165" s="72"/>
    </row>
    <row r="166" spans="1:17" ht="39.75" customHeight="1" x14ac:dyDescent="0.25">
      <c r="A166" s="325"/>
      <c r="B166" s="319"/>
      <c r="C166" s="84" t="s">
        <v>175</v>
      </c>
      <c r="D166" s="218">
        <v>958</v>
      </c>
      <c r="E166" s="103" t="s">
        <v>231</v>
      </c>
      <c r="F166" s="103" t="s">
        <v>240</v>
      </c>
      <c r="G166" s="102">
        <v>610</v>
      </c>
      <c r="H166" s="148">
        <v>0</v>
      </c>
      <c r="I166" s="148">
        <v>0</v>
      </c>
      <c r="J166" s="150">
        <v>0</v>
      </c>
      <c r="K166" s="150">
        <v>0</v>
      </c>
      <c r="L166" s="150">
        <v>0</v>
      </c>
      <c r="M166" s="150">
        <v>0</v>
      </c>
      <c r="N166" s="150">
        <v>0</v>
      </c>
      <c r="O166" s="150">
        <f>SUM(H166:M166)</f>
        <v>0</v>
      </c>
      <c r="P166" s="83"/>
      <c r="Q166" s="72"/>
    </row>
    <row r="167" spans="1:17" ht="67.5" customHeight="1" x14ac:dyDescent="0.25">
      <c r="A167" s="325"/>
      <c r="B167" s="319"/>
      <c r="C167" s="84" t="s">
        <v>176</v>
      </c>
      <c r="D167" s="218">
        <v>958</v>
      </c>
      <c r="E167" s="103" t="s">
        <v>231</v>
      </c>
      <c r="F167" s="103" t="s">
        <v>240</v>
      </c>
      <c r="G167" s="102">
        <v>610</v>
      </c>
      <c r="H167" s="148">
        <v>209.6</v>
      </c>
      <c r="I167" s="148">
        <f>85.7+192-122.9-5.94</f>
        <v>148.85999999999999</v>
      </c>
      <c r="J167" s="150">
        <f>212.8-42.44056</f>
        <v>170.35944000000001</v>
      </c>
      <c r="K167" s="150">
        <f>221.2-15</f>
        <v>206.2</v>
      </c>
      <c r="L167" s="150">
        <v>221.2</v>
      </c>
      <c r="M167" s="150">
        <v>221.2</v>
      </c>
      <c r="N167" s="150">
        <v>221.2</v>
      </c>
      <c r="O167" s="150">
        <f>SUM(H167:M167)</f>
        <v>1177.4194400000001</v>
      </c>
      <c r="P167" s="83"/>
      <c r="Q167" s="72"/>
    </row>
    <row r="168" spans="1:17" ht="48.75" customHeight="1" x14ac:dyDescent="0.25">
      <c r="A168" s="326"/>
      <c r="B168" s="320"/>
      <c r="C168" s="84" t="s">
        <v>177</v>
      </c>
      <c r="D168" s="218">
        <v>958</v>
      </c>
      <c r="E168" s="82"/>
      <c r="F168" s="82"/>
      <c r="G168" s="82"/>
      <c r="H168" s="148">
        <v>0</v>
      </c>
      <c r="I168" s="148">
        <v>0</v>
      </c>
      <c r="J168" s="150">
        <v>0</v>
      </c>
      <c r="K168" s="150">
        <v>0</v>
      </c>
      <c r="L168" s="150">
        <v>0</v>
      </c>
      <c r="M168" s="150">
        <v>0</v>
      </c>
      <c r="N168" s="150">
        <v>0</v>
      </c>
      <c r="O168" s="150">
        <f>SUM(H168:M168)</f>
        <v>0</v>
      </c>
      <c r="P168" s="83"/>
      <c r="Q168" s="72"/>
    </row>
    <row r="169" spans="1:17" ht="15.75" x14ac:dyDescent="0.25">
      <c r="A169" s="324" t="s">
        <v>98</v>
      </c>
      <c r="B169" s="318" t="s">
        <v>189</v>
      </c>
      <c r="C169" s="84" t="s">
        <v>173</v>
      </c>
      <c r="D169" s="218">
        <v>958</v>
      </c>
      <c r="E169" s="119" t="s">
        <v>242</v>
      </c>
      <c r="F169" s="119" t="s">
        <v>243</v>
      </c>
      <c r="G169" s="118">
        <v>240</v>
      </c>
      <c r="H169" s="148">
        <f t="shared" ref="H169:O169" si="53">H170+H171+H172+H173</f>
        <v>70</v>
      </c>
      <c r="I169" s="148">
        <f t="shared" si="53"/>
        <v>70</v>
      </c>
      <c r="J169" s="148">
        <f t="shared" si="53"/>
        <v>65</v>
      </c>
      <c r="K169" s="148">
        <f t="shared" si="53"/>
        <v>70</v>
      </c>
      <c r="L169" s="148">
        <f t="shared" si="53"/>
        <v>70</v>
      </c>
      <c r="M169" s="148">
        <f t="shared" si="53"/>
        <v>70</v>
      </c>
      <c r="N169" s="148">
        <f>N170+N171+N172+N173</f>
        <v>70</v>
      </c>
      <c r="O169" s="148">
        <f t="shared" si="53"/>
        <v>415</v>
      </c>
      <c r="P169" s="83"/>
      <c r="Q169" s="72"/>
    </row>
    <row r="170" spans="1:17" ht="39.75" customHeight="1" x14ac:dyDescent="0.25">
      <c r="A170" s="325"/>
      <c r="B170" s="319"/>
      <c r="C170" s="84" t="s">
        <v>174</v>
      </c>
      <c r="D170" s="218">
        <v>958</v>
      </c>
      <c r="E170" s="119" t="s">
        <v>242</v>
      </c>
      <c r="F170" s="119" t="s">
        <v>243</v>
      </c>
      <c r="G170" s="118">
        <v>240</v>
      </c>
      <c r="H170" s="148">
        <v>0</v>
      </c>
      <c r="I170" s="148">
        <v>0</v>
      </c>
      <c r="J170" s="150">
        <v>0</v>
      </c>
      <c r="K170" s="150">
        <v>0</v>
      </c>
      <c r="L170" s="150">
        <v>0</v>
      </c>
      <c r="M170" s="150">
        <v>0</v>
      </c>
      <c r="N170" s="150">
        <v>0</v>
      </c>
      <c r="O170" s="150">
        <f>SUM(H170:M170)</f>
        <v>0</v>
      </c>
      <c r="P170" s="83"/>
      <c r="Q170" s="72"/>
    </row>
    <row r="171" spans="1:17" ht="42" customHeight="1" x14ac:dyDescent="0.25">
      <c r="A171" s="325"/>
      <c r="B171" s="319"/>
      <c r="C171" s="84" t="s">
        <v>175</v>
      </c>
      <c r="D171" s="218">
        <v>958</v>
      </c>
      <c r="E171" s="119" t="s">
        <v>242</v>
      </c>
      <c r="F171" s="119" t="s">
        <v>243</v>
      </c>
      <c r="G171" s="118">
        <v>240</v>
      </c>
      <c r="H171" s="148">
        <v>0</v>
      </c>
      <c r="I171" s="148">
        <v>0</v>
      </c>
      <c r="J171" s="150">
        <v>0</v>
      </c>
      <c r="K171" s="150">
        <v>0</v>
      </c>
      <c r="L171" s="150">
        <v>0</v>
      </c>
      <c r="M171" s="150">
        <v>0</v>
      </c>
      <c r="N171" s="150">
        <v>0</v>
      </c>
      <c r="O171" s="150">
        <f>SUM(H171:M171)</f>
        <v>0</v>
      </c>
      <c r="P171" s="83"/>
      <c r="Q171" s="72"/>
    </row>
    <row r="172" spans="1:17" ht="63" x14ac:dyDescent="0.25">
      <c r="A172" s="325"/>
      <c r="B172" s="319"/>
      <c r="C172" s="84" t="s">
        <v>176</v>
      </c>
      <c r="D172" s="218">
        <v>958</v>
      </c>
      <c r="E172" s="119" t="s">
        <v>242</v>
      </c>
      <c r="F172" s="119" t="s">
        <v>243</v>
      </c>
      <c r="G172" s="118">
        <v>240</v>
      </c>
      <c r="H172" s="148">
        <v>70</v>
      </c>
      <c r="I172" s="148">
        <v>70</v>
      </c>
      <c r="J172" s="150">
        <f>70-5</f>
        <v>65</v>
      </c>
      <c r="K172" s="150">
        <v>70</v>
      </c>
      <c r="L172" s="150">
        <v>70</v>
      </c>
      <c r="M172" s="150">
        <v>70</v>
      </c>
      <c r="N172" s="150">
        <v>70</v>
      </c>
      <c r="O172" s="150">
        <f>SUM(H172:M172)</f>
        <v>415</v>
      </c>
      <c r="P172" s="83"/>
      <c r="Q172" s="72"/>
    </row>
    <row r="173" spans="1:17" ht="51" customHeight="1" x14ac:dyDescent="0.25">
      <c r="A173" s="326"/>
      <c r="B173" s="320"/>
      <c r="C173" s="84" t="s">
        <v>177</v>
      </c>
      <c r="D173" s="218">
        <v>958</v>
      </c>
      <c r="E173" s="82"/>
      <c r="F173" s="82"/>
      <c r="G173" s="82"/>
      <c r="H173" s="148">
        <v>0</v>
      </c>
      <c r="I173" s="148">
        <v>0</v>
      </c>
      <c r="J173" s="150">
        <v>0</v>
      </c>
      <c r="K173" s="150">
        <v>0</v>
      </c>
      <c r="L173" s="150">
        <v>0</v>
      </c>
      <c r="M173" s="150">
        <v>0</v>
      </c>
      <c r="N173" s="150">
        <v>0</v>
      </c>
      <c r="O173" s="150">
        <f>SUM(H173:M173)</f>
        <v>0</v>
      </c>
      <c r="P173" s="83"/>
      <c r="Q173" s="72"/>
    </row>
    <row r="174" spans="1:17" ht="15.75" x14ac:dyDescent="0.25">
      <c r="A174" s="324" t="s">
        <v>102</v>
      </c>
      <c r="B174" s="318" t="s">
        <v>74</v>
      </c>
      <c r="C174" s="84" t="s">
        <v>173</v>
      </c>
      <c r="D174" s="218">
        <v>958</v>
      </c>
      <c r="E174" s="119" t="s">
        <v>231</v>
      </c>
      <c r="F174" s="119" t="s">
        <v>244</v>
      </c>
      <c r="G174" s="118">
        <v>610</v>
      </c>
      <c r="H174" s="148">
        <f t="shared" ref="H174:O174" si="54">H175+H176+H177+H178</f>
        <v>2832.71</v>
      </c>
      <c r="I174" s="148">
        <f t="shared" si="54"/>
        <v>631.53</v>
      </c>
      <c r="J174" s="148">
        <f t="shared" si="54"/>
        <v>875.35</v>
      </c>
      <c r="K174" s="148">
        <f t="shared" si="54"/>
        <v>1355.1669999999999</v>
      </c>
      <c r="L174" s="148">
        <f t="shared" si="54"/>
        <v>0</v>
      </c>
      <c r="M174" s="148">
        <f>M175+M176+M177+M178</f>
        <v>0</v>
      </c>
      <c r="N174" s="148">
        <f>N175+N176+N177+N178</f>
        <v>0</v>
      </c>
      <c r="O174" s="148">
        <f t="shared" si="54"/>
        <v>5694.7569999999996</v>
      </c>
      <c r="P174" s="83"/>
      <c r="Q174" s="72"/>
    </row>
    <row r="175" spans="1:17" ht="35.25" customHeight="1" x14ac:dyDescent="0.25">
      <c r="A175" s="325"/>
      <c r="B175" s="319"/>
      <c r="C175" s="84" t="s">
        <v>174</v>
      </c>
      <c r="D175" s="218">
        <v>958</v>
      </c>
      <c r="E175" s="119" t="s">
        <v>231</v>
      </c>
      <c r="F175" s="119" t="s">
        <v>244</v>
      </c>
      <c r="G175" s="118">
        <v>610</v>
      </c>
      <c r="H175" s="148">
        <v>0</v>
      </c>
      <c r="I175" s="148">
        <v>0</v>
      </c>
      <c r="J175" s="150">
        <v>0</v>
      </c>
      <c r="K175" s="150">
        <v>0</v>
      </c>
      <c r="L175" s="150">
        <v>0</v>
      </c>
      <c r="M175" s="150">
        <v>0</v>
      </c>
      <c r="N175" s="150">
        <v>0</v>
      </c>
      <c r="O175" s="150">
        <f>SUM(H175:M175)</f>
        <v>0</v>
      </c>
      <c r="P175" s="83"/>
      <c r="Q175" s="72"/>
    </row>
    <row r="176" spans="1:17" ht="30.75" customHeight="1" x14ac:dyDescent="0.25">
      <c r="A176" s="325"/>
      <c r="B176" s="319"/>
      <c r="C176" s="84" t="s">
        <v>175</v>
      </c>
      <c r="D176" s="218">
        <v>958</v>
      </c>
      <c r="E176" s="119" t="s">
        <v>231</v>
      </c>
      <c r="F176" s="119" t="s">
        <v>244</v>
      </c>
      <c r="G176" s="118">
        <v>610</v>
      </c>
      <c r="H176" s="148">
        <v>0</v>
      </c>
      <c r="I176" s="148">
        <v>0</v>
      </c>
      <c r="J176" s="150">
        <v>0</v>
      </c>
      <c r="K176" s="150">
        <v>0</v>
      </c>
      <c r="L176" s="150">
        <v>0</v>
      </c>
      <c r="M176" s="150">
        <v>0</v>
      </c>
      <c r="N176" s="150">
        <v>0</v>
      </c>
      <c r="O176" s="150">
        <f>SUM(H176:M176)</f>
        <v>0</v>
      </c>
      <c r="P176" s="83"/>
      <c r="Q176" s="72"/>
    </row>
    <row r="177" spans="1:17" ht="48.75" customHeight="1" x14ac:dyDescent="0.25">
      <c r="A177" s="325"/>
      <c r="B177" s="319"/>
      <c r="C177" s="84" t="s">
        <v>176</v>
      </c>
      <c r="D177" s="218">
        <v>958</v>
      </c>
      <c r="E177" s="119" t="s">
        <v>231</v>
      </c>
      <c r="F177" s="119" t="s">
        <v>244</v>
      </c>
      <c r="G177" s="118">
        <v>610</v>
      </c>
      <c r="H177" s="148">
        <f>200+2632.71</f>
        <v>2832.71</v>
      </c>
      <c r="I177" s="148">
        <f>100+620+631-88.47-631</f>
        <v>631.53</v>
      </c>
      <c r="J177" s="150">
        <f>350+350.5+180.5-5.65</f>
        <v>875.35</v>
      </c>
      <c r="K177" s="150">
        <f>3000-1047.413+8-605.42</f>
        <v>1355.1669999999999</v>
      </c>
      <c r="L177" s="150">
        <v>0</v>
      </c>
      <c r="M177" s="150">
        <v>0</v>
      </c>
      <c r="N177" s="150">
        <v>0</v>
      </c>
      <c r="O177" s="150">
        <f>SUM(H177:M177)</f>
        <v>5694.7569999999996</v>
      </c>
      <c r="P177" s="83"/>
      <c r="Q177" s="72"/>
    </row>
    <row r="178" spans="1:17" ht="31.5" customHeight="1" x14ac:dyDescent="0.25">
      <c r="A178" s="326"/>
      <c r="B178" s="320"/>
      <c r="C178" s="84" t="s">
        <v>177</v>
      </c>
      <c r="D178" s="218">
        <v>958</v>
      </c>
      <c r="E178" s="82"/>
      <c r="F178" s="82"/>
      <c r="G178" s="82"/>
      <c r="H178" s="148">
        <v>0</v>
      </c>
      <c r="I178" s="148">
        <v>0</v>
      </c>
      <c r="J178" s="150">
        <v>0</v>
      </c>
      <c r="K178" s="150">
        <v>0</v>
      </c>
      <c r="L178" s="150">
        <v>0</v>
      </c>
      <c r="M178" s="150">
        <v>0</v>
      </c>
      <c r="N178" s="150">
        <v>0</v>
      </c>
      <c r="O178" s="150">
        <f>SUM(H178:M178)</f>
        <v>0</v>
      </c>
      <c r="P178" s="83"/>
      <c r="Q178" s="72"/>
    </row>
    <row r="179" spans="1:17" ht="25.5" customHeight="1" x14ac:dyDescent="0.25">
      <c r="A179" s="324" t="s">
        <v>103</v>
      </c>
      <c r="B179" s="318" t="s">
        <v>104</v>
      </c>
      <c r="C179" s="84" t="s">
        <v>173</v>
      </c>
      <c r="D179" s="218">
        <v>958</v>
      </c>
      <c r="E179" s="82"/>
      <c r="F179" s="82"/>
      <c r="G179" s="82"/>
      <c r="H179" s="148">
        <f t="shared" ref="H179:O179" si="55">H180+H181+H182+H183</f>
        <v>0</v>
      </c>
      <c r="I179" s="148">
        <f t="shared" si="55"/>
        <v>0</v>
      </c>
      <c r="J179" s="148">
        <f t="shared" si="55"/>
        <v>0</v>
      </c>
      <c r="K179" s="148">
        <f t="shared" si="55"/>
        <v>0</v>
      </c>
      <c r="L179" s="148">
        <f t="shared" si="55"/>
        <v>0</v>
      </c>
      <c r="M179" s="148">
        <f>M180+M181+M182+M183</f>
        <v>0</v>
      </c>
      <c r="N179" s="148">
        <f>N180+N181+N182+N183</f>
        <v>0</v>
      </c>
      <c r="O179" s="148">
        <f t="shared" si="55"/>
        <v>0</v>
      </c>
      <c r="P179" s="83"/>
      <c r="Q179" s="72"/>
    </row>
    <row r="180" spans="1:17" ht="30" customHeight="1" x14ac:dyDescent="0.25">
      <c r="A180" s="325"/>
      <c r="B180" s="319"/>
      <c r="C180" s="84" t="s">
        <v>174</v>
      </c>
      <c r="D180" s="218">
        <v>958</v>
      </c>
      <c r="E180" s="84"/>
      <c r="F180" s="84"/>
      <c r="G180" s="84"/>
      <c r="H180" s="148">
        <v>0</v>
      </c>
      <c r="I180" s="148">
        <v>0</v>
      </c>
      <c r="J180" s="150">
        <v>0</v>
      </c>
      <c r="K180" s="150">
        <v>0</v>
      </c>
      <c r="L180" s="150">
        <v>0</v>
      </c>
      <c r="M180" s="150">
        <v>0</v>
      </c>
      <c r="N180" s="150">
        <v>0</v>
      </c>
      <c r="O180" s="150">
        <f>SUM(H180:M180)</f>
        <v>0</v>
      </c>
      <c r="P180" s="83"/>
      <c r="Q180" s="72"/>
    </row>
    <row r="181" spans="1:17" ht="28.5" customHeight="1" x14ac:dyDescent="0.25">
      <c r="A181" s="325"/>
      <c r="B181" s="319"/>
      <c r="C181" s="84" t="s">
        <v>175</v>
      </c>
      <c r="D181" s="218">
        <v>958</v>
      </c>
      <c r="E181" s="84"/>
      <c r="F181" s="84"/>
      <c r="G181" s="84"/>
      <c r="H181" s="148">
        <v>0</v>
      </c>
      <c r="I181" s="148">
        <v>0</v>
      </c>
      <c r="J181" s="150">
        <v>0</v>
      </c>
      <c r="K181" s="150">
        <v>0</v>
      </c>
      <c r="L181" s="150">
        <v>0</v>
      </c>
      <c r="M181" s="150">
        <v>0</v>
      </c>
      <c r="N181" s="150">
        <v>0</v>
      </c>
      <c r="O181" s="150">
        <f>SUM(H181:M181)</f>
        <v>0</v>
      </c>
      <c r="P181" s="83"/>
      <c r="Q181" s="72"/>
    </row>
    <row r="182" spans="1:17" ht="61.5" customHeight="1" x14ac:dyDescent="0.25">
      <c r="A182" s="325"/>
      <c r="B182" s="319"/>
      <c r="C182" s="84" t="s">
        <v>176</v>
      </c>
      <c r="D182" s="218">
        <v>958</v>
      </c>
      <c r="E182" s="82"/>
      <c r="F182" s="82"/>
      <c r="G182" s="82"/>
      <c r="H182" s="148">
        <v>0</v>
      </c>
      <c r="I182" s="148">
        <v>0</v>
      </c>
      <c r="J182" s="150">
        <v>0</v>
      </c>
      <c r="K182" s="150">
        <v>0</v>
      </c>
      <c r="L182" s="150">
        <v>0</v>
      </c>
      <c r="M182" s="150">
        <v>0</v>
      </c>
      <c r="N182" s="150">
        <v>0</v>
      </c>
      <c r="O182" s="150">
        <f>SUM(H182:M182)</f>
        <v>0</v>
      </c>
      <c r="P182" s="83"/>
      <c r="Q182" s="72"/>
    </row>
    <row r="183" spans="1:17" ht="49.5" customHeight="1" x14ac:dyDescent="0.25">
      <c r="A183" s="326"/>
      <c r="B183" s="320"/>
      <c r="C183" s="84" t="s">
        <v>177</v>
      </c>
      <c r="D183" s="218">
        <v>958</v>
      </c>
      <c r="E183" s="82"/>
      <c r="F183" s="82"/>
      <c r="G183" s="82"/>
      <c r="H183" s="148">
        <v>0</v>
      </c>
      <c r="I183" s="148">
        <v>0</v>
      </c>
      <c r="J183" s="150">
        <v>0</v>
      </c>
      <c r="K183" s="150">
        <v>0</v>
      </c>
      <c r="L183" s="150">
        <v>0</v>
      </c>
      <c r="M183" s="150">
        <v>0</v>
      </c>
      <c r="N183" s="150">
        <v>0</v>
      </c>
      <c r="O183" s="150">
        <f>SUM(H183:M183)</f>
        <v>0</v>
      </c>
      <c r="P183" s="83"/>
      <c r="Q183" s="72"/>
    </row>
    <row r="184" spans="1:17" ht="24" customHeight="1" x14ac:dyDescent="0.25">
      <c r="A184" s="327" t="s">
        <v>105</v>
      </c>
      <c r="B184" s="304" t="s">
        <v>106</v>
      </c>
      <c r="C184" s="84" t="s">
        <v>173</v>
      </c>
      <c r="D184" s="218">
        <v>958</v>
      </c>
      <c r="E184" s="103" t="s">
        <v>231</v>
      </c>
      <c r="F184" s="103" t="s">
        <v>246</v>
      </c>
      <c r="G184" s="102">
        <v>610</v>
      </c>
      <c r="H184" s="148">
        <f t="shared" ref="H184:O184" si="56">H185+H186+H187+H188</f>
        <v>0</v>
      </c>
      <c r="I184" s="148">
        <f t="shared" si="56"/>
        <v>1876.2</v>
      </c>
      <c r="J184" s="148">
        <f t="shared" si="56"/>
        <v>193.2</v>
      </c>
      <c r="K184" s="148">
        <f t="shared" si="56"/>
        <v>646.89200000000005</v>
      </c>
      <c r="L184" s="148">
        <f t="shared" si="56"/>
        <v>0</v>
      </c>
      <c r="M184" s="148">
        <f>M185+M186+M187+M188</f>
        <v>0</v>
      </c>
      <c r="N184" s="148">
        <f>N185+N186+N187+N188</f>
        <v>0</v>
      </c>
      <c r="O184" s="148">
        <f t="shared" si="56"/>
        <v>2716.2920000000004</v>
      </c>
      <c r="P184" s="83"/>
      <c r="Q184" s="72"/>
    </row>
    <row r="185" spans="1:17" ht="36.75" customHeight="1" x14ac:dyDescent="0.25">
      <c r="A185" s="327"/>
      <c r="B185" s="304"/>
      <c r="C185" s="84" t="s">
        <v>174</v>
      </c>
      <c r="D185" s="218">
        <v>958</v>
      </c>
      <c r="E185" s="103" t="s">
        <v>231</v>
      </c>
      <c r="F185" s="103" t="s">
        <v>246</v>
      </c>
      <c r="G185" s="102">
        <v>610</v>
      </c>
      <c r="H185" s="148">
        <v>0</v>
      </c>
      <c r="I185" s="148">
        <v>0</v>
      </c>
      <c r="J185" s="150">
        <v>0</v>
      </c>
      <c r="K185" s="150">
        <v>0</v>
      </c>
      <c r="L185" s="150">
        <v>0</v>
      </c>
      <c r="M185" s="150">
        <v>0</v>
      </c>
      <c r="N185" s="150">
        <v>0</v>
      </c>
      <c r="O185" s="150">
        <f>SUM(H185:M185)</f>
        <v>0</v>
      </c>
      <c r="P185" s="83"/>
      <c r="Q185" s="72"/>
    </row>
    <row r="186" spans="1:17" ht="38.25" customHeight="1" x14ac:dyDescent="0.25">
      <c r="A186" s="327"/>
      <c r="B186" s="304"/>
      <c r="C186" s="84" t="s">
        <v>175</v>
      </c>
      <c r="D186" s="218">
        <v>958</v>
      </c>
      <c r="E186" s="103" t="s">
        <v>231</v>
      </c>
      <c r="F186" s="103" t="s">
        <v>246</v>
      </c>
      <c r="G186" s="102">
        <v>610</v>
      </c>
      <c r="H186" s="148">
        <v>0</v>
      </c>
      <c r="I186" s="148">
        <v>0</v>
      </c>
      <c r="J186" s="150">
        <v>0</v>
      </c>
      <c r="K186" s="150">
        <v>0</v>
      </c>
      <c r="L186" s="150">
        <v>0</v>
      </c>
      <c r="M186" s="150">
        <v>0</v>
      </c>
      <c r="N186" s="150">
        <v>0</v>
      </c>
      <c r="O186" s="150">
        <f>SUM(H186:M186)</f>
        <v>0</v>
      </c>
      <c r="P186" s="83"/>
      <c r="Q186" s="72"/>
    </row>
    <row r="187" spans="1:17" ht="66" customHeight="1" x14ac:dyDescent="0.25">
      <c r="A187" s="327"/>
      <c r="B187" s="304"/>
      <c r="C187" s="84" t="s">
        <v>176</v>
      </c>
      <c r="D187" s="218">
        <v>958</v>
      </c>
      <c r="E187" s="103" t="s">
        <v>231</v>
      </c>
      <c r="F187" s="103" t="s">
        <v>246</v>
      </c>
      <c r="G187" s="102">
        <v>610</v>
      </c>
      <c r="H187" s="148">
        <v>0</v>
      </c>
      <c r="I187" s="148">
        <f>0+1285.89+594-3.69</f>
        <v>1876.2</v>
      </c>
      <c r="J187" s="150">
        <f>0+193.2</f>
        <v>193.2</v>
      </c>
      <c r="K187" s="150">
        <f>647.08-0.188</f>
        <v>646.89200000000005</v>
      </c>
      <c r="L187" s="150">
        <v>0</v>
      </c>
      <c r="M187" s="150">
        <v>0</v>
      </c>
      <c r="N187" s="150">
        <v>0</v>
      </c>
      <c r="O187" s="150">
        <f>SUM(H187:M187)</f>
        <v>2716.2920000000004</v>
      </c>
      <c r="P187" s="83"/>
      <c r="Q187" s="72"/>
    </row>
    <row r="188" spans="1:17" ht="35.25" customHeight="1" x14ac:dyDescent="0.25">
      <c r="A188" s="327"/>
      <c r="B188" s="304"/>
      <c r="C188" s="84" t="s">
        <v>177</v>
      </c>
      <c r="D188" s="218">
        <v>958</v>
      </c>
      <c r="E188" s="82"/>
      <c r="F188" s="82"/>
      <c r="G188" s="82"/>
      <c r="H188" s="148">
        <v>0</v>
      </c>
      <c r="I188" s="148">
        <v>0</v>
      </c>
      <c r="J188" s="150">
        <v>0</v>
      </c>
      <c r="K188" s="150">
        <v>0</v>
      </c>
      <c r="L188" s="150">
        <v>0</v>
      </c>
      <c r="M188" s="150">
        <v>0</v>
      </c>
      <c r="N188" s="150">
        <v>0</v>
      </c>
      <c r="O188" s="150">
        <f>SUM(H188:M188)</f>
        <v>0</v>
      </c>
      <c r="P188" s="83"/>
      <c r="Q188" s="72"/>
    </row>
    <row r="189" spans="1:17" ht="24" customHeight="1" x14ac:dyDescent="0.25">
      <c r="A189" s="327" t="s">
        <v>293</v>
      </c>
      <c r="B189" s="304" t="s">
        <v>294</v>
      </c>
      <c r="C189" s="84" t="s">
        <v>173</v>
      </c>
      <c r="D189" s="218">
        <v>958</v>
      </c>
      <c r="E189" s="103" t="s">
        <v>231</v>
      </c>
      <c r="F189" s="103" t="s">
        <v>295</v>
      </c>
      <c r="G189" s="102">
        <v>610</v>
      </c>
      <c r="H189" s="148">
        <f t="shared" ref="H189:O189" si="57">H190+H191+H192+H193</f>
        <v>0</v>
      </c>
      <c r="I189" s="148">
        <f t="shared" si="57"/>
        <v>0</v>
      </c>
      <c r="J189" s="148">
        <f t="shared" si="57"/>
        <v>41901.922919999997</v>
      </c>
      <c r="K189" s="148">
        <f t="shared" si="57"/>
        <v>0</v>
      </c>
      <c r="L189" s="148">
        <f t="shared" si="57"/>
        <v>0</v>
      </c>
      <c r="M189" s="148">
        <f t="shared" si="57"/>
        <v>0</v>
      </c>
      <c r="N189" s="148">
        <f>N190+N191+N192+N193</f>
        <v>0</v>
      </c>
      <c r="O189" s="148">
        <f t="shared" si="57"/>
        <v>41901.922919999997</v>
      </c>
      <c r="P189" s="83"/>
      <c r="Q189" s="72"/>
    </row>
    <row r="190" spans="1:17" ht="33" customHeight="1" x14ac:dyDescent="0.25">
      <c r="A190" s="327"/>
      <c r="B190" s="304"/>
      <c r="C190" s="84" t="s">
        <v>174</v>
      </c>
      <c r="D190" s="218">
        <v>958</v>
      </c>
      <c r="E190" s="103" t="s">
        <v>231</v>
      </c>
      <c r="F190" s="103" t="s">
        <v>295</v>
      </c>
      <c r="G190" s="102">
        <v>610</v>
      </c>
      <c r="H190" s="148">
        <v>0</v>
      </c>
      <c r="I190" s="148">
        <v>0</v>
      </c>
      <c r="J190" s="150">
        <v>0</v>
      </c>
      <c r="K190" s="150">
        <v>0</v>
      </c>
      <c r="L190" s="150">
        <v>0</v>
      </c>
      <c r="M190" s="150">
        <v>0</v>
      </c>
      <c r="N190" s="150">
        <v>0</v>
      </c>
      <c r="O190" s="150">
        <f>SUM(H190:M190)</f>
        <v>0</v>
      </c>
      <c r="P190" s="83"/>
      <c r="Q190" s="72"/>
    </row>
    <row r="191" spans="1:17" ht="30.75" customHeight="1" x14ac:dyDescent="0.25">
      <c r="A191" s="327"/>
      <c r="B191" s="304"/>
      <c r="C191" s="84" t="s">
        <v>175</v>
      </c>
      <c r="D191" s="218">
        <v>958</v>
      </c>
      <c r="E191" s="103" t="s">
        <v>231</v>
      </c>
      <c r="F191" s="103" t="s">
        <v>295</v>
      </c>
      <c r="G191" s="102">
        <v>610</v>
      </c>
      <c r="H191" s="148">
        <v>0</v>
      </c>
      <c r="I191" s="148">
        <v>0</v>
      </c>
      <c r="J191" s="150">
        <f>6004.99048+31526.20001+0.00096+13.40876</f>
        <v>37544.600209999997</v>
      </c>
      <c r="K191" s="150">
        <v>0</v>
      </c>
      <c r="L191" s="150">
        <v>0</v>
      </c>
      <c r="M191" s="150">
        <v>0</v>
      </c>
      <c r="N191" s="150">
        <v>0</v>
      </c>
      <c r="O191" s="150">
        <f>SUM(H191:M191)</f>
        <v>37544.600209999997</v>
      </c>
      <c r="P191" s="83"/>
      <c r="Q191" s="72"/>
    </row>
    <row r="192" spans="1:17" ht="63" x14ac:dyDescent="0.25">
      <c r="A192" s="327"/>
      <c r="B192" s="304"/>
      <c r="C192" s="84" t="s">
        <v>176</v>
      </c>
      <c r="D192" s="218">
        <v>958</v>
      </c>
      <c r="E192" s="103" t="s">
        <v>231</v>
      </c>
      <c r="F192" s="103" t="s">
        <v>295</v>
      </c>
      <c r="G192" s="102">
        <v>610</v>
      </c>
      <c r="H192" s="148">
        <v>0</v>
      </c>
      <c r="I192" s="148">
        <v>0</v>
      </c>
      <c r="J192" s="150">
        <f>180.14971+2700+1500-22.827</f>
        <v>4357.3227099999995</v>
      </c>
      <c r="K192" s="150">
        <v>0</v>
      </c>
      <c r="L192" s="150">
        <v>0</v>
      </c>
      <c r="M192" s="150">
        <v>0</v>
      </c>
      <c r="N192" s="150">
        <v>0</v>
      </c>
      <c r="O192" s="150">
        <f>SUM(H192:M192)</f>
        <v>4357.3227099999995</v>
      </c>
      <c r="P192" s="83"/>
      <c r="Q192" s="72"/>
    </row>
    <row r="193" spans="1:17" ht="47.25" customHeight="1" x14ac:dyDescent="0.25">
      <c r="A193" s="327"/>
      <c r="B193" s="318"/>
      <c r="C193" s="84" t="s">
        <v>177</v>
      </c>
      <c r="D193" s="218">
        <v>958</v>
      </c>
      <c r="E193" s="82"/>
      <c r="F193" s="82"/>
      <c r="G193" s="82"/>
      <c r="H193" s="148">
        <v>0</v>
      </c>
      <c r="I193" s="148">
        <v>0</v>
      </c>
      <c r="J193" s="150">
        <v>0</v>
      </c>
      <c r="K193" s="150">
        <v>0</v>
      </c>
      <c r="L193" s="150">
        <v>0</v>
      </c>
      <c r="M193" s="150">
        <v>0</v>
      </c>
      <c r="N193" s="150">
        <v>0</v>
      </c>
      <c r="O193" s="150">
        <f>SUM(H193:M193)</f>
        <v>0</v>
      </c>
      <c r="P193" s="83"/>
      <c r="Q193" s="72"/>
    </row>
    <row r="194" spans="1:17" ht="20.25" customHeight="1" x14ac:dyDescent="0.25">
      <c r="A194" s="324" t="s">
        <v>297</v>
      </c>
      <c r="B194" s="332" t="s">
        <v>298</v>
      </c>
      <c r="C194" s="84" t="s">
        <v>173</v>
      </c>
      <c r="D194" s="218">
        <v>958</v>
      </c>
      <c r="E194" s="103" t="s">
        <v>231</v>
      </c>
      <c r="F194" s="103" t="s">
        <v>299</v>
      </c>
      <c r="G194" s="102">
        <v>610</v>
      </c>
      <c r="H194" s="148">
        <f t="shared" ref="H194:O194" si="58">H195+H196+H197+H198</f>
        <v>0</v>
      </c>
      <c r="I194" s="148">
        <f t="shared" si="58"/>
        <v>0</v>
      </c>
      <c r="J194" s="148">
        <f t="shared" si="58"/>
        <v>3361.9639099999999</v>
      </c>
      <c r="K194" s="148">
        <f t="shared" si="58"/>
        <v>477.3</v>
      </c>
      <c r="L194" s="148">
        <f t="shared" si="58"/>
        <v>0</v>
      </c>
      <c r="M194" s="148">
        <f t="shared" si="58"/>
        <v>0</v>
      </c>
      <c r="N194" s="148">
        <f>N195+N196+N197+N198</f>
        <v>0</v>
      </c>
      <c r="O194" s="148">
        <f t="shared" si="58"/>
        <v>3839.2639100000001</v>
      </c>
      <c r="P194" s="83"/>
      <c r="Q194" s="72"/>
    </row>
    <row r="195" spans="1:17" ht="30.75" customHeight="1" x14ac:dyDescent="0.25">
      <c r="A195" s="325"/>
      <c r="B195" s="332"/>
      <c r="C195" s="84" t="s">
        <v>174</v>
      </c>
      <c r="D195" s="218">
        <v>958</v>
      </c>
      <c r="E195" s="103" t="s">
        <v>231</v>
      </c>
      <c r="F195" s="103" t="s">
        <v>299</v>
      </c>
      <c r="G195" s="102">
        <v>610</v>
      </c>
      <c r="H195" s="148">
        <v>0</v>
      </c>
      <c r="I195" s="148">
        <v>0</v>
      </c>
      <c r="J195" s="150">
        <v>0</v>
      </c>
      <c r="K195" s="150">
        <v>0</v>
      </c>
      <c r="L195" s="150">
        <v>0</v>
      </c>
      <c r="M195" s="150">
        <v>0</v>
      </c>
      <c r="N195" s="150">
        <v>0</v>
      </c>
      <c r="O195" s="150">
        <f>SUM(H195:M195)</f>
        <v>0</v>
      </c>
      <c r="P195" s="83"/>
      <c r="Q195" s="72"/>
    </row>
    <row r="196" spans="1:17" ht="28.5" customHeight="1" x14ac:dyDescent="0.25">
      <c r="A196" s="325"/>
      <c r="B196" s="332"/>
      <c r="C196" s="84" t="s">
        <v>175</v>
      </c>
      <c r="D196" s="218">
        <v>958</v>
      </c>
      <c r="E196" s="103" t="s">
        <v>231</v>
      </c>
      <c r="F196" s="103" t="s">
        <v>299</v>
      </c>
      <c r="G196" s="102">
        <v>610</v>
      </c>
      <c r="H196" s="148">
        <v>0</v>
      </c>
      <c r="I196" s="148">
        <v>0</v>
      </c>
      <c r="J196" s="150">
        <v>0</v>
      </c>
      <c r="K196" s="150">
        <v>0</v>
      </c>
      <c r="L196" s="150">
        <v>0</v>
      </c>
      <c r="M196" s="150">
        <v>0</v>
      </c>
      <c r="N196" s="150">
        <v>0</v>
      </c>
      <c r="O196" s="150">
        <f>SUM(H196:M196)</f>
        <v>0</v>
      </c>
      <c r="P196" s="83"/>
      <c r="Q196" s="72"/>
    </row>
    <row r="197" spans="1:17" ht="64.5" customHeight="1" x14ac:dyDescent="0.25">
      <c r="A197" s="325"/>
      <c r="B197" s="332"/>
      <c r="C197" s="84" t="s">
        <v>176</v>
      </c>
      <c r="D197" s="218">
        <v>958</v>
      </c>
      <c r="E197" s="103" t="s">
        <v>231</v>
      </c>
      <c r="F197" s="103" t="s">
        <v>299</v>
      </c>
      <c r="G197" s="102">
        <v>610</v>
      </c>
      <c r="H197" s="148">
        <v>0</v>
      </c>
      <c r="I197" s="148">
        <v>0</v>
      </c>
      <c r="J197" s="150">
        <f>0+1000+1613.96391+748</f>
        <v>3361.9639099999999</v>
      </c>
      <c r="K197" s="150">
        <v>477.3</v>
      </c>
      <c r="L197" s="150">
        <v>0</v>
      </c>
      <c r="M197" s="150">
        <v>0</v>
      </c>
      <c r="N197" s="150">
        <v>0</v>
      </c>
      <c r="O197" s="150">
        <f>SUM(H197:M197)</f>
        <v>3839.2639100000001</v>
      </c>
      <c r="P197" s="83"/>
      <c r="Q197" s="72"/>
    </row>
    <row r="198" spans="1:17" ht="45" customHeight="1" x14ac:dyDescent="0.25">
      <c r="A198" s="326"/>
      <c r="B198" s="332"/>
      <c r="C198" s="84" t="s">
        <v>177</v>
      </c>
      <c r="D198" s="218">
        <v>958</v>
      </c>
      <c r="E198" s="82"/>
      <c r="F198" s="82"/>
      <c r="G198" s="82"/>
      <c r="H198" s="148">
        <v>0</v>
      </c>
      <c r="I198" s="148">
        <v>0</v>
      </c>
      <c r="J198" s="150">
        <v>0</v>
      </c>
      <c r="K198" s="150">
        <v>0</v>
      </c>
      <c r="L198" s="150">
        <v>0</v>
      </c>
      <c r="M198" s="150">
        <v>0</v>
      </c>
      <c r="N198" s="150">
        <v>0</v>
      </c>
      <c r="O198" s="150">
        <f>SUM(H198:M198)</f>
        <v>0</v>
      </c>
      <c r="P198" s="83"/>
      <c r="Q198" s="72"/>
    </row>
    <row r="199" spans="1:17" s="195" customFormat="1" ht="16.5" customHeight="1" x14ac:dyDescent="0.25">
      <c r="A199" s="324" t="s">
        <v>311</v>
      </c>
      <c r="B199" s="332" t="s">
        <v>314</v>
      </c>
      <c r="C199" s="84" t="s">
        <v>173</v>
      </c>
      <c r="D199" s="218">
        <v>958</v>
      </c>
      <c r="E199" s="119" t="s">
        <v>242</v>
      </c>
      <c r="F199" s="103" t="s">
        <v>312</v>
      </c>
      <c r="G199" s="102">
        <v>240</v>
      </c>
      <c r="H199" s="148">
        <f t="shared" ref="H199:O199" si="59">H200+H201+H202+H203</f>
        <v>0</v>
      </c>
      <c r="I199" s="148">
        <f t="shared" si="59"/>
        <v>0</v>
      </c>
      <c r="J199" s="148">
        <f t="shared" si="59"/>
        <v>5</v>
      </c>
      <c r="K199" s="148">
        <f t="shared" si="59"/>
        <v>0</v>
      </c>
      <c r="L199" s="148">
        <f t="shared" si="59"/>
        <v>0</v>
      </c>
      <c r="M199" s="148">
        <f t="shared" si="59"/>
        <v>0</v>
      </c>
      <c r="N199" s="148">
        <f>N200+N201+N202+N203</f>
        <v>0</v>
      </c>
      <c r="O199" s="148">
        <f t="shared" si="59"/>
        <v>5</v>
      </c>
      <c r="P199" s="193"/>
      <c r="Q199" s="194"/>
    </row>
    <row r="200" spans="1:17" s="195" customFormat="1" ht="30.75" customHeight="1" x14ac:dyDescent="0.25">
      <c r="A200" s="325"/>
      <c r="B200" s="332"/>
      <c r="C200" s="84" t="s">
        <v>174</v>
      </c>
      <c r="D200" s="218">
        <v>958</v>
      </c>
      <c r="E200" s="84"/>
      <c r="F200" s="84"/>
      <c r="G200" s="84"/>
      <c r="H200" s="148">
        <v>0</v>
      </c>
      <c r="I200" s="148">
        <v>0</v>
      </c>
      <c r="J200" s="148">
        <v>0</v>
      </c>
      <c r="K200" s="148">
        <v>0</v>
      </c>
      <c r="L200" s="148">
        <v>0</v>
      </c>
      <c r="M200" s="148">
        <v>0</v>
      </c>
      <c r="N200" s="148">
        <v>0</v>
      </c>
      <c r="O200" s="150">
        <f t="shared" ref="O200:O208" si="60">SUM(H200:M200)</f>
        <v>0</v>
      </c>
      <c r="P200" s="193"/>
      <c r="Q200" s="194"/>
    </row>
    <row r="201" spans="1:17" s="195" customFormat="1" ht="30.75" customHeight="1" x14ac:dyDescent="0.25">
      <c r="A201" s="325"/>
      <c r="B201" s="332"/>
      <c r="C201" s="84" t="s">
        <v>175</v>
      </c>
      <c r="D201" s="218">
        <v>958</v>
      </c>
      <c r="E201" s="84"/>
      <c r="F201" s="84"/>
      <c r="G201" s="84"/>
      <c r="H201" s="148">
        <v>0</v>
      </c>
      <c r="I201" s="148">
        <v>0</v>
      </c>
      <c r="J201" s="148">
        <v>0</v>
      </c>
      <c r="K201" s="148">
        <v>0</v>
      </c>
      <c r="L201" s="148">
        <v>0</v>
      </c>
      <c r="M201" s="148">
        <v>0</v>
      </c>
      <c r="N201" s="148">
        <v>0</v>
      </c>
      <c r="O201" s="150">
        <f t="shared" si="60"/>
        <v>0</v>
      </c>
      <c r="P201" s="193"/>
      <c r="Q201" s="194"/>
    </row>
    <row r="202" spans="1:17" s="195" customFormat="1" ht="64.5" customHeight="1" x14ac:dyDescent="0.25">
      <c r="A202" s="325"/>
      <c r="B202" s="332"/>
      <c r="C202" s="84" t="s">
        <v>176</v>
      </c>
      <c r="D202" s="218">
        <v>958</v>
      </c>
      <c r="E202" s="119" t="s">
        <v>242</v>
      </c>
      <c r="F202" s="103" t="s">
        <v>312</v>
      </c>
      <c r="G202" s="102">
        <v>240</v>
      </c>
      <c r="H202" s="148">
        <v>0</v>
      </c>
      <c r="I202" s="148">
        <v>0</v>
      </c>
      <c r="J202" s="148">
        <v>5</v>
      </c>
      <c r="K202" s="148">
        <v>0</v>
      </c>
      <c r="L202" s="148">
        <v>0</v>
      </c>
      <c r="M202" s="148">
        <v>0</v>
      </c>
      <c r="N202" s="148">
        <v>0</v>
      </c>
      <c r="O202" s="150">
        <f t="shared" si="60"/>
        <v>5</v>
      </c>
      <c r="P202" s="193"/>
      <c r="Q202" s="194"/>
    </row>
    <row r="203" spans="1:17" s="195" customFormat="1" ht="45.75" customHeight="1" x14ac:dyDescent="0.25">
      <c r="A203" s="326"/>
      <c r="B203" s="332"/>
      <c r="C203" s="84" t="s">
        <v>177</v>
      </c>
      <c r="D203" s="218">
        <v>958</v>
      </c>
      <c r="E203" s="84"/>
      <c r="F203" s="84"/>
      <c r="G203" s="84"/>
      <c r="H203" s="148">
        <v>0</v>
      </c>
      <c r="I203" s="148">
        <v>0</v>
      </c>
      <c r="J203" s="148">
        <v>0</v>
      </c>
      <c r="K203" s="148">
        <v>0</v>
      </c>
      <c r="L203" s="148">
        <v>0</v>
      </c>
      <c r="M203" s="148">
        <v>0</v>
      </c>
      <c r="N203" s="148">
        <v>0</v>
      </c>
      <c r="O203" s="150">
        <f t="shared" si="60"/>
        <v>0</v>
      </c>
      <c r="P203" s="193"/>
      <c r="Q203" s="194"/>
    </row>
    <row r="204" spans="1:17" ht="15.6" customHeight="1" x14ac:dyDescent="0.25">
      <c r="A204" s="329" t="s">
        <v>21</v>
      </c>
      <c r="B204" s="323" t="s">
        <v>367</v>
      </c>
      <c r="C204" s="81" t="s">
        <v>173</v>
      </c>
      <c r="D204" s="217">
        <v>958</v>
      </c>
      <c r="E204" s="96" t="s">
        <v>231</v>
      </c>
      <c r="F204" s="227" t="s">
        <v>247</v>
      </c>
      <c r="G204" s="122" t="s">
        <v>210</v>
      </c>
      <c r="H204" s="147">
        <f t="shared" ref="H204:J204" si="61">H205+H206+H207+H208</f>
        <v>8964.76</v>
      </c>
      <c r="I204" s="147">
        <f t="shared" si="61"/>
        <v>8481.6</v>
      </c>
      <c r="J204" s="147">
        <f t="shared" si="61"/>
        <v>8363.5149999999994</v>
      </c>
      <c r="K204" s="147">
        <f>K205+K206+K207+K208</f>
        <v>10876.999250000001</v>
      </c>
      <c r="L204" s="147">
        <f t="shared" ref="L204:M204" si="62">L205+L206+L207+L208</f>
        <v>12695.824000000001</v>
      </c>
      <c r="M204" s="147">
        <f t="shared" si="62"/>
        <v>11362.57</v>
      </c>
      <c r="N204" s="147">
        <f>N205+N206+N207+N208</f>
        <v>11362.57</v>
      </c>
      <c r="O204" s="147">
        <f t="shared" si="60"/>
        <v>60745.268250000001</v>
      </c>
      <c r="P204" s="80"/>
      <c r="Q204" s="72"/>
    </row>
    <row r="205" spans="1:17" ht="33" customHeight="1" x14ac:dyDescent="0.25">
      <c r="A205" s="330"/>
      <c r="B205" s="321"/>
      <c r="C205" s="81" t="s">
        <v>174</v>
      </c>
      <c r="D205" s="217">
        <v>958</v>
      </c>
      <c r="E205" s="96" t="s">
        <v>231</v>
      </c>
      <c r="F205" s="227" t="s">
        <v>247</v>
      </c>
      <c r="G205" s="122" t="s">
        <v>210</v>
      </c>
      <c r="H205" s="147">
        <f t="shared" ref="H205:M205" si="63">H210+H225</f>
        <v>0</v>
      </c>
      <c r="I205" s="147">
        <f t="shared" si="63"/>
        <v>0</v>
      </c>
      <c r="J205" s="147">
        <f t="shared" si="63"/>
        <v>0</v>
      </c>
      <c r="K205" s="147">
        <f t="shared" si="63"/>
        <v>0</v>
      </c>
      <c r="L205" s="147">
        <f t="shared" si="63"/>
        <v>0</v>
      </c>
      <c r="M205" s="147">
        <f t="shared" si="63"/>
        <v>0</v>
      </c>
      <c r="N205" s="147">
        <f>N210+N225</f>
        <v>0</v>
      </c>
      <c r="O205" s="147">
        <f t="shared" si="60"/>
        <v>0</v>
      </c>
      <c r="P205" s="80"/>
      <c r="Q205" s="72"/>
    </row>
    <row r="206" spans="1:17" ht="28.5" customHeight="1" x14ac:dyDescent="0.25">
      <c r="A206" s="330"/>
      <c r="B206" s="321"/>
      <c r="C206" s="81" t="s">
        <v>175</v>
      </c>
      <c r="D206" s="217">
        <v>958</v>
      </c>
      <c r="E206" s="96" t="s">
        <v>231</v>
      </c>
      <c r="F206" s="227" t="s">
        <v>247</v>
      </c>
      <c r="G206" s="122" t="s">
        <v>210</v>
      </c>
      <c r="H206" s="147">
        <f t="shared" ref="H206:I206" si="64">H216+H211</f>
        <v>8964.76</v>
      </c>
      <c r="I206" s="147">
        <f t="shared" si="64"/>
        <v>8481.6</v>
      </c>
      <c r="J206" s="147">
        <f>J216+J211</f>
        <v>8290.5849999999991</v>
      </c>
      <c r="K206" s="147">
        <f>K216+K211</f>
        <v>10312.05925</v>
      </c>
      <c r="L206" s="147">
        <f t="shared" ref="L206:M206" si="65">L216+L211</f>
        <v>12273.824000000001</v>
      </c>
      <c r="M206" s="147">
        <f t="shared" si="65"/>
        <v>10940.57</v>
      </c>
      <c r="N206" s="147">
        <f>N216+N211</f>
        <v>10940.57</v>
      </c>
      <c r="O206" s="147">
        <f t="shared" si="60"/>
        <v>59263.398249999998</v>
      </c>
      <c r="P206" s="80"/>
      <c r="Q206" s="72"/>
    </row>
    <row r="207" spans="1:17" ht="64.5" customHeight="1" x14ac:dyDescent="0.25">
      <c r="A207" s="330"/>
      <c r="B207" s="321"/>
      <c r="C207" s="81" t="s">
        <v>176</v>
      </c>
      <c r="D207" s="217">
        <v>958</v>
      </c>
      <c r="E207" s="96" t="s">
        <v>231</v>
      </c>
      <c r="F207" s="227" t="s">
        <v>247</v>
      </c>
      <c r="G207" s="122" t="s">
        <v>210</v>
      </c>
      <c r="H207" s="147">
        <f>H212+H227</f>
        <v>0</v>
      </c>
      <c r="I207" s="147">
        <v>0</v>
      </c>
      <c r="J207" s="147">
        <f>J212+J217+J222</f>
        <v>72.930000000000007</v>
      </c>
      <c r="K207" s="147">
        <f>K212+K217+K222</f>
        <v>564.94000000000005</v>
      </c>
      <c r="L207" s="147">
        <f>L212+L217+L222</f>
        <v>422</v>
      </c>
      <c r="M207" s="147">
        <f>M212+M217+M222</f>
        <v>422</v>
      </c>
      <c r="N207" s="147">
        <f>N212+N217+N222</f>
        <v>422</v>
      </c>
      <c r="O207" s="147">
        <f t="shared" si="60"/>
        <v>1481.8700000000001</v>
      </c>
      <c r="P207" s="80"/>
      <c r="Q207" s="72"/>
    </row>
    <row r="208" spans="1:17" ht="51" customHeight="1" x14ac:dyDescent="0.25">
      <c r="A208" s="331"/>
      <c r="B208" s="322"/>
      <c r="C208" s="81" t="s">
        <v>177</v>
      </c>
      <c r="D208" s="217">
        <v>958</v>
      </c>
      <c r="E208" s="79"/>
      <c r="F208" s="79"/>
      <c r="G208" s="79"/>
      <c r="H208" s="147">
        <f t="shared" ref="H208:M208" si="66">H213+H218</f>
        <v>0</v>
      </c>
      <c r="I208" s="147">
        <f t="shared" si="66"/>
        <v>0</v>
      </c>
      <c r="J208" s="147">
        <f t="shared" si="66"/>
        <v>0</v>
      </c>
      <c r="K208" s="147">
        <f t="shared" si="66"/>
        <v>0</v>
      </c>
      <c r="L208" s="147">
        <f t="shared" si="66"/>
        <v>0</v>
      </c>
      <c r="M208" s="147">
        <f t="shared" si="66"/>
        <v>0</v>
      </c>
      <c r="N208" s="147">
        <f>N213+N218</f>
        <v>0</v>
      </c>
      <c r="O208" s="147">
        <f t="shared" si="60"/>
        <v>0</v>
      </c>
      <c r="P208" s="80"/>
      <c r="Q208" s="72"/>
    </row>
    <row r="209" spans="1:17" ht="22.5" customHeight="1" x14ac:dyDescent="0.25">
      <c r="A209" s="327" t="s">
        <v>112</v>
      </c>
      <c r="B209" s="304" t="s">
        <v>113</v>
      </c>
      <c r="C209" s="84" t="s">
        <v>173</v>
      </c>
      <c r="D209" s="218">
        <v>958</v>
      </c>
      <c r="E209" s="103" t="s">
        <v>231</v>
      </c>
      <c r="F209" s="226" t="s">
        <v>368</v>
      </c>
      <c r="G209" s="102">
        <v>610</v>
      </c>
      <c r="H209" s="148">
        <f t="shared" ref="H209:O209" si="67">H210+H211+H212+H213</f>
        <v>8964.76</v>
      </c>
      <c r="I209" s="148">
        <f t="shared" si="67"/>
        <v>6226.25</v>
      </c>
      <c r="J209" s="148">
        <f>J210+J211+J212+J213</f>
        <v>6443.2849999999999</v>
      </c>
      <c r="K209" s="148">
        <f t="shared" ref="K209" si="68">K210+K211+K212+K213</f>
        <v>7703.94</v>
      </c>
      <c r="L209" s="148">
        <f t="shared" si="67"/>
        <v>8225.4500000000007</v>
      </c>
      <c r="M209" s="148">
        <f>M210+M211+M212+M213</f>
        <v>8225.4500000000007</v>
      </c>
      <c r="N209" s="148">
        <f>N210+N211+N212+N213</f>
        <v>8225.4500000000007</v>
      </c>
      <c r="O209" s="148">
        <f t="shared" si="67"/>
        <v>54014.584999999992</v>
      </c>
      <c r="P209" s="83"/>
      <c r="Q209" s="72"/>
    </row>
    <row r="210" spans="1:17" ht="29.25" customHeight="1" x14ac:dyDescent="0.25">
      <c r="A210" s="327"/>
      <c r="B210" s="304"/>
      <c r="C210" s="84" t="s">
        <v>174</v>
      </c>
      <c r="D210" s="218">
        <v>958</v>
      </c>
      <c r="E210" s="84"/>
      <c r="F210" s="84"/>
      <c r="G210" s="84"/>
      <c r="H210" s="148">
        <v>0</v>
      </c>
      <c r="I210" s="148">
        <v>0</v>
      </c>
      <c r="J210" s="150">
        <v>0</v>
      </c>
      <c r="K210" s="150">
        <v>0</v>
      </c>
      <c r="L210" s="150">
        <v>0</v>
      </c>
      <c r="M210" s="150">
        <v>0</v>
      </c>
      <c r="N210" s="150">
        <v>0</v>
      </c>
      <c r="O210" s="150">
        <f>SUM(H210:M210)</f>
        <v>0</v>
      </c>
      <c r="P210" s="83"/>
      <c r="Q210" s="72"/>
    </row>
    <row r="211" spans="1:17" ht="34.5" customHeight="1" x14ac:dyDescent="0.25">
      <c r="A211" s="327"/>
      <c r="B211" s="304"/>
      <c r="C211" s="84" t="s">
        <v>175</v>
      </c>
      <c r="D211" s="218">
        <v>958</v>
      </c>
      <c r="E211" s="103" t="s">
        <v>231</v>
      </c>
      <c r="F211" s="226" t="s">
        <v>368</v>
      </c>
      <c r="G211" s="102">
        <v>610</v>
      </c>
      <c r="H211" s="148">
        <v>8964.76</v>
      </c>
      <c r="I211" s="148">
        <v>6226.25</v>
      </c>
      <c r="J211" s="148">
        <f>6117.45+215+110.835</f>
        <v>6443.2849999999999</v>
      </c>
      <c r="K211" s="148">
        <f>7109.4+594.54</f>
        <v>7703.94</v>
      </c>
      <c r="L211" s="148">
        <v>8225.4500000000007</v>
      </c>
      <c r="M211" s="148">
        <v>8225.4500000000007</v>
      </c>
      <c r="N211" s="148">
        <v>8225.4500000000007</v>
      </c>
      <c r="O211" s="150">
        <f>SUM(H211:N211)</f>
        <v>54014.584999999992</v>
      </c>
      <c r="P211" s="83"/>
      <c r="Q211" s="72"/>
    </row>
    <row r="212" spans="1:17" ht="60.75" customHeight="1" x14ac:dyDescent="0.25">
      <c r="A212" s="327"/>
      <c r="B212" s="304"/>
      <c r="C212" s="84" t="s">
        <v>176</v>
      </c>
      <c r="D212" s="218">
        <v>958</v>
      </c>
      <c r="E212" s="82"/>
      <c r="F212" s="82"/>
      <c r="G212" s="82"/>
      <c r="H212" s="148">
        <v>0</v>
      </c>
      <c r="I212" s="148">
        <v>0</v>
      </c>
      <c r="J212" s="150">
        <v>0</v>
      </c>
      <c r="K212" s="150">
        <v>0</v>
      </c>
      <c r="L212" s="150">
        <v>0</v>
      </c>
      <c r="M212" s="150">
        <v>0</v>
      </c>
      <c r="N212" s="150">
        <v>0</v>
      </c>
      <c r="O212" s="150">
        <f>SUM(H212:M212)</f>
        <v>0</v>
      </c>
      <c r="P212" s="83"/>
      <c r="Q212" s="72"/>
    </row>
    <row r="213" spans="1:17" ht="46.5" customHeight="1" x14ac:dyDescent="0.25">
      <c r="A213" s="327"/>
      <c r="B213" s="304"/>
      <c r="C213" s="84" t="s">
        <v>177</v>
      </c>
      <c r="D213" s="218">
        <v>958</v>
      </c>
      <c r="E213" s="82"/>
      <c r="F213" s="82"/>
      <c r="G213" s="82"/>
      <c r="H213" s="148">
        <v>0</v>
      </c>
      <c r="I213" s="148">
        <v>0</v>
      </c>
      <c r="J213" s="150">
        <v>0</v>
      </c>
      <c r="K213" s="150">
        <v>0</v>
      </c>
      <c r="L213" s="150">
        <v>0</v>
      </c>
      <c r="M213" s="150">
        <v>0</v>
      </c>
      <c r="N213" s="150">
        <v>0</v>
      </c>
      <c r="O213" s="150">
        <f>SUM(H213:M213)</f>
        <v>0</v>
      </c>
      <c r="P213" s="83"/>
      <c r="Q213" s="72"/>
    </row>
    <row r="214" spans="1:17" ht="17.25" customHeight="1" x14ac:dyDescent="0.25">
      <c r="A214" s="327" t="s">
        <v>115</v>
      </c>
      <c r="B214" s="304" t="s">
        <v>116</v>
      </c>
      <c r="C214" s="84" t="s">
        <v>173</v>
      </c>
      <c r="D214" s="218">
        <v>958</v>
      </c>
      <c r="E214" s="103" t="s">
        <v>271</v>
      </c>
      <c r="F214" s="226" t="s">
        <v>366</v>
      </c>
      <c r="G214" s="102">
        <v>610</v>
      </c>
      <c r="H214" s="148">
        <f t="shared" ref="H214:O214" si="69">H215+H216+H217+H218</f>
        <v>0</v>
      </c>
      <c r="I214" s="148">
        <f t="shared" si="69"/>
        <v>2255.3500000000004</v>
      </c>
      <c r="J214" s="148">
        <f t="shared" si="69"/>
        <v>1847.3</v>
      </c>
      <c r="K214" s="148">
        <f t="shared" si="69"/>
        <v>2608.1192500000002</v>
      </c>
      <c r="L214" s="148">
        <f t="shared" si="69"/>
        <v>4048.3739999999998</v>
      </c>
      <c r="M214" s="148">
        <f>M215+M216+M217+M218</f>
        <v>2715.12</v>
      </c>
      <c r="N214" s="148">
        <f>N215+N216+N217+N218</f>
        <v>2715.12</v>
      </c>
      <c r="O214" s="148">
        <f t="shared" si="69"/>
        <v>16189.383249999999</v>
      </c>
      <c r="P214" s="83"/>
      <c r="Q214" s="72"/>
    </row>
    <row r="215" spans="1:17" ht="29.25" customHeight="1" x14ac:dyDescent="0.25">
      <c r="A215" s="327"/>
      <c r="B215" s="304"/>
      <c r="C215" s="84" t="s">
        <v>174</v>
      </c>
      <c r="D215" s="218">
        <v>958</v>
      </c>
      <c r="E215" s="84"/>
      <c r="F215" s="84"/>
      <c r="G215" s="102">
        <v>610</v>
      </c>
      <c r="H215" s="148">
        <v>0</v>
      </c>
      <c r="I215" s="148">
        <v>0</v>
      </c>
      <c r="J215" s="150">
        <v>0</v>
      </c>
      <c r="K215" s="150">
        <v>0</v>
      </c>
      <c r="L215" s="150">
        <v>0</v>
      </c>
      <c r="M215" s="150">
        <v>0</v>
      </c>
      <c r="N215" s="150">
        <v>0</v>
      </c>
      <c r="O215" s="150">
        <f>SUM(H215:M215)</f>
        <v>0</v>
      </c>
      <c r="P215" s="83"/>
      <c r="Q215" s="72"/>
    </row>
    <row r="216" spans="1:17" ht="33" customHeight="1" x14ac:dyDescent="0.25">
      <c r="A216" s="327"/>
      <c r="B216" s="304"/>
      <c r="C216" s="84" t="s">
        <v>175</v>
      </c>
      <c r="D216" s="218">
        <v>958</v>
      </c>
      <c r="E216" s="103" t="s">
        <v>271</v>
      </c>
      <c r="F216" s="226" t="s">
        <v>366</v>
      </c>
      <c r="G216" s="102">
        <v>610</v>
      </c>
      <c r="H216" s="148">
        <v>0</v>
      </c>
      <c r="I216" s="148">
        <f>1689.72+830.83-265.2</f>
        <v>2255.3500000000004</v>
      </c>
      <c r="J216" s="148">
        <v>1847.3</v>
      </c>
      <c r="K216" s="148">
        <v>2608.1192500000002</v>
      </c>
      <c r="L216" s="148">
        <v>4048.3739999999998</v>
      </c>
      <c r="M216" s="148">
        <v>2715.12</v>
      </c>
      <c r="N216" s="148">
        <v>2715.12</v>
      </c>
      <c r="O216" s="150">
        <f>SUM(H216:N216)</f>
        <v>16189.383249999999</v>
      </c>
      <c r="P216" s="83"/>
      <c r="Q216" s="72"/>
    </row>
    <row r="217" spans="1:17" ht="50.25" customHeight="1" x14ac:dyDescent="0.25">
      <c r="A217" s="327"/>
      <c r="B217" s="304"/>
      <c r="C217" s="84" t="s">
        <v>176</v>
      </c>
      <c r="D217" s="218">
        <v>958</v>
      </c>
      <c r="E217" s="82"/>
      <c r="F217" s="82"/>
      <c r="G217" s="82"/>
      <c r="H217" s="148">
        <v>0</v>
      </c>
      <c r="I217" s="148">
        <v>0</v>
      </c>
      <c r="J217" s="150">
        <v>0</v>
      </c>
      <c r="K217" s="150">
        <v>0</v>
      </c>
      <c r="L217" s="150">
        <v>0</v>
      </c>
      <c r="M217" s="150">
        <v>0</v>
      </c>
      <c r="N217" s="150">
        <v>0</v>
      </c>
      <c r="O217" s="150">
        <f>SUM(H217:M217)</f>
        <v>0</v>
      </c>
      <c r="P217" s="83"/>
      <c r="Q217" s="72"/>
    </row>
    <row r="218" spans="1:17" ht="26.25" customHeight="1" x14ac:dyDescent="0.25">
      <c r="A218" s="327"/>
      <c r="B218" s="304"/>
      <c r="C218" s="84" t="s">
        <v>177</v>
      </c>
      <c r="D218" s="218">
        <v>958</v>
      </c>
      <c r="E218" s="82"/>
      <c r="F218" s="82"/>
      <c r="G218" s="82"/>
      <c r="H218" s="148">
        <v>0</v>
      </c>
      <c r="I218" s="148">
        <v>0</v>
      </c>
      <c r="J218" s="150">
        <v>0</v>
      </c>
      <c r="K218" s="150">
        <v>0</v>
      </c>
      <c r="L218" s="150">
        <v>0</v>
      </c>
      <c r="M218" s="150">
        <v>0</v>
      </c>
      <c r="N218" s="150">
        <v>0</v>
      </c>
      <c r="O218" s="150">
        <f>SUM(H218:M218)</f>
        <v>0</v>
      </c>
      <c r="P218" s="83"/>
      <c r="Q218" s="72"/>
    </row>
    <row r="219" spans="1:17" ht="26.25" customHeight="1" x14ac:dyDescent="0.25">
      <c r="A219" s="327" t="s">
        <v>306</v>
      </c>
      <c r="B219" s="304" t="s">
        <v>307</v>
      </c>
      <c r="C219" s="84" t="s">
        <v>173</v>
      </c>
      <c r="D219" s="218">
        <v>958</v>
      </c>
      <c r="E219" s="103" t="s">
        <v>231</v>
      </c>
      <c r="F219" s="226" t="s">
        <v>308</v>
      </c>
      <c r="G219" s="102">
        <v>610</v>
      </c>
      <c r="H219" s="148">
        <f t="shared" ref="H219:O219" si="70">H220+H221+H222+H223</f>
        <v>0</v>
      </c>
      <c r="I219" s="148">
        <f t="shared" si="70"/>
        <v>0</v>
      </c>
      <c r="J219" s="148">
        <f t="shared" si="70"/>
        <v>72.930000000000007</v>
      </c>
      <c r="K219" s="148">
        <f t="shared" si="70"/>
        <v>564.94000000000005</v>
      </c>
      <c r="L219" s="148">
        <f t="shared" si="70"/>
        <v>422</v>
      </c>
      <c r="M219" s="148">
        <f t="shared" si="70"/>
        <v>422</v>
      </c>
      <c r="N219" s="148">
        <f>N220+N221+N222+N223</f>
        <v>422</v>
      </c>
      <c r="O219" s="148">
        <f t="shared" si="70"/>
        <v>1481.8700000000001</v>
      </c>
      <c r="P219" s="83"/>
      <c r="Q219" s="72"/>
    </row>
    <row r="220" spans="1:17" ht="38.25" customHeight="1" x14ac:dyDescent="0.25">
      <c r="A220" s="327"/>
      <c r="B220" s="304"/>
      <c r="C220" s="84" t="s">
        <v>174</v>
      </c>
      <c r="D220" s="218">
        <v>958</v>
      </c>
      <c r="E220" s="103" t="s">
        <v>231</v>
      </c>
      <c r="F220" s="219" t="s">
        <v>364</v>
      </c>
      <c r="G220" s="102">
        <v>610</v>
      </c>
      <c r="H220" s="148">
        <v>0</v>
      </c>
      <c r="I220" s="148">
        <v>0</v>
      </c>
      <c r="J220" s="150">
        <v>0</v>
      </c>
      <c r="K220" s="150">
        <v>0</v>
      </c>
      <c r="L220" s="150">
        <v>0</v>
      </c>
      <c r="M220" s="150">
        <v>0</v>
      </c>
      <c r="N220" s="150">
        <v>0</v>
      </c>
      <c r="O220" s="150">
        <f>SUM(H220:M220)</f>
        <v>0</v>
      </c>
      <c r="P220" s="83"/>
      <c r="Q220" s="72"/>
    </row>
    <row r="221" spans="1:17" ht="35.25" customHeight="1" x14ac:dyDescent="0.25">
      <c r="A221" s="327"/>
      <c r="B221" s="304"/>
      <c r="C221" s="84" t="s">
        <v>175</v>
      </c>
      <c r="D221" s="218">
        <v>958</v>
      </c>
      <c r="E221" s="103" t="s">
        <v>231</v>
      </c>
      <c r="F221" s="219" t="s">
        <v>364</v>
      </c>
      <c r="G221" s="102">
        <v>610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8">
        <v>0</v>
      </c>
      <c r="N221" s="148">
        <v>0</v>
      </c>
      <c r="O221" s="150">
        <f>SUM(H221:M221)</f>
        <v>0</v>
      </c>
      <c r="P221" s="83"/>
      <c r="Q221" s="72"/>
    </row>
    <row r="222" spans="1:17" ht="68.25" customHeight="1" x14ac:dyDescent="0.25">
      <c r="A222" s="327"/>
      <c r="B222" s="304"/>
      <c r="C222" s="84" t="s">
        <v>176</v>
      </c>
      <c r="D222" s="218">
        <v>958</v>
      </c>
      <c r="E222" s="103" t="s">
        <v>231</v>
      </c>
      <c r="F222" s="226" t="s">
        <v>308</v>
      </c>
      <c r="G222" s="102">
        <v>610</v>
      </c>
      <c r="H222" s="148">
        <v>0</v>
      </c>
      <c r="I222" s="148">
        <v>0</v>
      </c>
      <c r="J222" s="148">
        <v>72.930000000000007</v>
      </c>
      <c r="K222" s="150">
        <f>904.94-340</f>
        <v>564.94000000000005</v>
      </c>
      <c r="L222" s="150">
        <v>422</v>
      </c>
      <c r="M222" s="150">
        <v>422</v>
      </c>
      <c r="N222" s="150">
        <v>422</v>
      </c>
      <c r="O222" s="150">
        <f>SUM(H222:M222)</f>
        <v>1481.8700000000001</v>
      </c>
      <c r="P222" s="83"/>
      <c r="Q222" s="72"/>
    </row>
    <row r="223" spans="1:17" ht="52.5" customHeight="1" x14ac:dyDescent="0.25">
      <c r="A223" s="327"/>
      <c r="B223" s="304"/>
      <c r="C223" s="84" t="s">
        <v>177</v>
      </c>
      <c r="D223" s="218">
        <v>958</v>
      </c>
      <c r="E223" s="82"/>
      <c r="F223" s="82"/>
      <c r="G223" s="82"/>
      <c r="H223" s="148">
        <v>0</v>
      </c>
      <c r="I223" s="148">
        <v>0</v>
      </c>
      <c r="J223" s="150">
        <v>0</v>
      </c>
      <c r="K223" s="150">
        <v>0</v>
      </c>
      <c r="L223" s="150">
        <v>0</v>
      </c>
      <c r="M223" s="150">
        <v>0</v>
      </c>
      <c r="N223" s="150">
        <v>0</v>
      </c>
      <c r="O223" s="150">
        <f>SUM(H223:M223)</f>
        <v>0</v>
      </c>
      <c r="P223" s="83"/>
      <c r="Q223" s="72"/>
    </row>
    <row r="224" spans="1:17" ht="21.75" customHeight="1" x14ac:dyDescent="0.25">
      <c r="A224" s="324" t="s">
        <v>190</v>
      </c>
      <c r="B224" s="296" t="s">
        <v>327</v>
      </c>
      <c r="C224" s="81" t="s">
        <v>173</v>
      </c>
      <c r="D224" s="217">
        <v>958</v>
      </c>
      <c r="E224" s="96" t="s">
        <v>231</v>
      </c>
      <c r="F224" s="220" t="s">
        <v>365</v>
      </c>
      <c r="G224" s="122" t="s">
        <v>210</v>
      </c>
      <c r="H224" s="147">
        <f t="shared" ref="H224:O224" si="71">H225+H226+H227+H228</f>
        <v>0</v>
      </c>
      <c r="I224" s="147">
        <f t="shared" si="71"/>
        <v>3010.1099999999997</v>
      </c>
      <c r="J224" s="147">
        <f t="shared" si="71"/>
        <v>0</v>
      </c>
      <c r="K224" s="147">
        <f t="shared" si="71"/>
        <v>0</v>
      </c>
      <c r="L224" s="147">
        <f t="shared" si="71"/>
        <v>0</v>
      </c>
      <c r="M224" s="147">
        <f t="shared" si="71"/>
        <v>0</v>
      </c>
      <c r="N224" s="147">
        <f t="shared" si="71"/>
        <v>0</v>
      </c>
      <c r="O224" s="147">
        <f t="shared" si="71"/>
        <v>3010.1099999999997</v>
      </c>
      <c r="P224" s="80"/>
      <c r="Q224" s="72"/>
    </row>
    <row r="225" spans="1:17" ht="39" customHeight="1" x14ac:dyDescent="0.25">
      <c r="A225" s="325"/>
      <c r="B225" s="297"/>
      <c r="C225" s="81" t="s">
        <v>174</v>
      </c>
      <c r="D225" s="217">
        <v>958</v>
      </c>
      <c r="E225" s="96" t="s">
        <v>231</v>
      </c>
      <c r="F225" s="81"/>
      <c r="G225" s="122" t="s">
        <v>210</v>
      </c>
      <c r="H225" s="147">
        <v>0</v>
      </c>
      <c r="I225" s="147">
        <v>0</v>
      </c>
      <c r="J225" s="147">
        <f>J230</f>
        <v>0</v>
      </c>
      <c r="K225" s="147">
        <v>0</v>
      </c>
      <c r="L225" s="147">
        <v>0</v>
      </c>
      <c r="M225" s="147">
        <v>0</v>
      </c>
      <c r="N225" s="147">
        <v>0</v>
      </c>
      <c r="O225" s="147">
        <v>0</v>
      </c>
      <c r="P225" s="80"/>
      <c r="Q225" s="72"/>
    </row>
    <row r="226" spans="1:17" ht="38.25" customHeight="1" x14ac:dyDescent="0.25">
      <c r="A226" s="325"/>
      <c r="B226" s="297"/>
      <c r="C226" s="81" t="s">
        <v>175</v>
      </c>
      <c r="D226" s="217">
        <v>958</v>
      </c>
      <c r="E226" s="96" t="s">
        <v>231</v>
      </c>
      <c r="F226" s="220" t="s">
        <v>365</v>
      </c>
      <c r="G226" s="122" t="s">
        <v>210</v>
      </c>
      <c r="H226" s="147">
        <v>0</v>
      </c>
      <c r="I226" s="151">
        <f>I231</f>
        <v>2383.14</v>
      </c>
      <c r="J226" s="152">
        <f>J231</f>
        <v>0</v>
      </c>
      <c r="K226" s="152">
        <f>K231</f>
        <v>0</v>
      </c>
      <c r="L226" s="152">
        <f>L231</f>
        <v>0</v>
      </c>
      <c r="M226" s="152">
        <f t="shared" ref="M226:N226" si="72">M231</f>
        <v>0</v>
      </c>
      <c r="N226" s="152">
        <f t="shared" si="72"/>
        <v>0</v>
      </c>
      <c r="O226" s="152">
        <f>SUM(H226:M226)</f>
        <v>2383.14</v>
      </c>
      <c r="P226" s="85"/>
      <c r="Q226" s="72"/>
    </row>
    <row r="227" spans="1:17" ht="63" customHeight="1" x14ac:dyDescent="0.25">
      <c r="A227" s="325"/>
      <c r="B227" s="297"/>
      <c r="C227" s="81" t="s">
        <v>176</v>
      </c>
      <c r="D227" s="217">
        <v>958</v>
      </c>
      <c r="E227" s="96" t="s">
        <v>231</v>
      </c>
      <c r="F227" s="220" t="s">
        <v>365</v>
      </c>
      <c r="G227" s="122" t="s">
        <v>210</v>
      </c>
      <c r="H227" s="147">
        <v>0</v>
      </c>
      <c r="I227" s="147">
        <f>I232</f>
        <v>626.97</v>
      </c>
      <c r="J227" s="152">
        <f>J232</f>
        <v>0</v>
      </c>
      <c r="K227" s="152">
        <f>K232</f>
        <v>0</v>
      </c>
      <c r="L227" s="152">
        <f>L232</f>
        <v>0</v>
      </c>
      <c r="M227" s="152">
        <f t="shared" ref="M227:N227" si="73">M232</f>
        <v>0</v>
      </c>
      <c r="N227" s="152">
        <f t="shared" si="73"/>
        <v>0</v>
      </c>
      <c r="O227" s="152">
        <f>SUM(H227:M227)</f>
        <v>626.97</v>
      </c>
      <c r="P227" s="80"/>
      <c r="Q227" s="72"/>
    </row>
    <row r="228" spans="1:17" ht="47.25" x14ac:dyDescent="0.25">
      <c r="A228" s="326"/>
      <c r="B228" s="298"/>
      <c r="C228" s="81" t="s">
        <v>177</v>
      </c>
      <c r="D228" s="217">
        <v>958</v>
      </c>
      <c r="E228" s="79"/>
      <c r="F228" s="79"/>
      <c r="G228" s="79"/>
      <c r="H228" s="147">
        <v>0</v>
      </c>
      <c r="I228" s="147">
        <v>0</v>
      </c>
      <c r="J228" s="152">
        <f>J233</f>
        <v>0</v>
      </c>
      <c r="K228" s="152">
        <v>0</v>
      </c>
      <c r="L228" s="152">
        <v>0</v>
      </c>
      <c r="M228" s="152">
        <v>0</v>
      </c>
      <c r="N228" s="152">
        <v>0</v>
      </c>
      <c r="O228" s="152">
        <f>SUM(H228:M228)</f>
        <v>0</v>
      </c>
      <c r="P228" s="80"/>
      <c r="Q228" s="72"/>
    </row>
    <row r="229" spans="1:17" ht="20.25" customHeight="1" x14ac:dyDescent="0.25">
      <c r="A229" s="324" t="s">
        <v>191</v>
      </c>
      <c r="B229" s="299" t="s">
        <v>192</v>
      </c>
      <c r="C229" s="81" t="s">
        <v>173</v>
      </c>
      <c r="D229" s="218">
        <v>958</v>
      </c>
      <c r="E229" s="103" t="s">
        <v>231</v>
      </c>
      <c r="F229" s="219" t="s">
        <v>364</v>
      </c>
      <c r="G229" s="102">
        <v>610</v>
      </c>
      <c r="H229" s="147">
        <f t="shared" ref="H229:O229" si="74">H230+H231+H232+H233</f>
        <v>0</v>
      </c>
      <c r="I229" s="147">
        <f t="shared" si="74"/>
        <v>3010.1099999999997</v>
      </c>
      <c r="J229" s="147">
        <f t="shared" si="74"/>
        <v>0</v>
      </c>
      <c r="K229" s="147">
        <f t="shared" si="74"/>
        <v>0</v>
      </c>
      <c r="L229" s="147">
        <f t="shared" si="74"/>
        <v>0</v>
      </c>
      <c r="M229" s="147">
        <f t="shared" si="74"/>
        <v>0</v>
      </c>
      <c r="N229" s="147">
        <f t="shared" si="74"/>
        <v>0</v>
      </c>
      <c r="O229" s="147">
        <f t="shared" si="74"/>
        <v>3010.1099999999997</v>
      </c>
      <c r="P229" s="80"/>
      <c r="Q229" s="72"/>
    </row>
    <row r="230" spans="1:17" ht="35.25" customHeight="1" x14ac:dyDescent="0.25">
      <c r="A230" s="325"/>
      <c r="B230" s="300"/>
      <c r="C230" s="84" t="s">
        <v>174</v>
      </c>
      <c r="D230" s="218">
        <v>958</v>
      </c>
      <c r="E230" s="84"/>
      <c r="F230" s="84"/>
      <c r="G230" s="84"/>
      <c r="H230" s="148">
        <v>0</v>
      </c>
      <c r="I230" s="148">
        <v>0</v>
      </c>
      <c r="J230" s="150">
        <v>0</v>
      </c>
      <c r="K230" s="150">
        <v>0</v>
      </c>
      <c r="L230" s="150">
        <v>0</v>
      </c>
      <c r="M230" s="150">
        <v>0</v>
      </c>
      <c r="N230" s="150">
        <v>0</v>
      </c>
      <c r="O230" s="150">
        <f>SUM(H230:M230)</f>
        <v>0</v>
      </c>
      <c r="P230" s="83"/>
      <c r="Q230" s="72"/>
    </row>
    <row r="231" spans="1:17" ht="34.5" customHeight="1" x14ac:dyDescent="0.25">
      <c r="A231" s="325"/>
      <c r="B231" s="300"/>
      <c r="C231" s="84" t="s">
        <v>175</v>
      </c>
      <c r="D231" s="218">
        <v>958</v>
      </c>
      <c r="E231" s="103" t="s">
        <v>231</v>
      </c>
      <c r="F231" s="219" t="s">
        <v>364</v>
      </c>
      <c r="G231" s="102">
        <v>610</v>
      </c>
      <c r="H231" s="148">
        <v>0</v>
      </c>
      <c r="I231" s="153">
        <v>2383.14</v>
      </c>
      <c r="J231" s="150">
        <v>0</v>
      </c>
      <c r="K231" s="150">
        <v>0</v>
      </c>
      <c r="L231" s="150">
        <f>1315.01193-1315.01193</f>
        <v>0</v>
      </c>
      <c r="M231" s="150">
        <v>0</v>
      </c>
      <c r="N231" s="150">
        <v>0</v>
      </c>
      <c r="O231" s="150">
        <f>SUM(H231:M231)</f>
        <v>2383.14</v>
      </c>
      <c r="P231" s="86"/>
      <c r="Q231" s="72"/>
    </row>
    <row r="232" spans="1:17" ht="68.25" customHeight="1" x14ac:dyDescent="0.25">
      <c r="A232" s="325"/>
      <c r="B232" s="300"/>
      <c r="C232" s="84" t="s">
        <v>176</v>
      </c>
      <c r="D232" s="218">
        <v>958</v>
      </c>
      <c r="E232" s="103" t="s">
        <v>231</v>
      </c>
      <c r="F232" s="219" t="s">
        <v>364</v>
      </c>
      <c r="G232" s="102">
        <v>610</v>
      </c>
      <c r="H232" s="148">
        <v>0</v>
      </c>
      <c r="I232" s="147">
        <f>122.1+661.87-157</f>
        <v>626.97</v>
      </c>
      <c r="J232" s="150">
        <v>0</v>
      </c>
      <c r="K232" s="150">
        <v>0</v>
      </c>
      <c r="L232" s="150">
        <f>13.28305-13.28305</f>
        <v>0</v>
      </c>
      <c r="M232" s="150">
        <v>0</v>
      </c>
      <c r="N232" s="150">
        <v>0</v>
      </c>
      <c r="O232" s="150">
        <f>SUM(H232:M232)</f>
        <v>626.97</v>
      </c>
      <c r="P232" s="83"/>
      <c r="Q232" s="72"/>
    </row>
    <row r="233" spans="1:17" ht="49.5" customHeight="1" x14ac:dyDescent="0.25">
      <c r="A233" s="326"/>
      <c r="B233" s="301"/>
      <c r="C233" s="84" t="s">
        <v>177</v>
      </c>
      <c r="D233" s="218">
        <v>958</v>
      </c>
      <c r="E233" s="82"/>
      <c r="F233" s="82"/>
      <c r="G233" s="82"/>
      <c r="H233" s="148">
        <v>0</v>
      </c>
      <c r="I233" s="148">
        <v>0</v>
      </c>
      <c r="J233" s="150">
        <v>0</v>
      </c>
      <c r="K233" s="150">
        <v>0</v>
      </c>
      <c r="L233" s="150">
        <v>0</v>
      </c>
      <c r="M233" s="150">
        <v>0</v>
      </c>
      <c r="N233" s="150">
        <v>0</v>
      </c>
      <c r="O233" s="150">
        <f>SUM(H233:M233)</f>
        <v>0</v>
      </c>
      <c r="P233" s="83"/>
      <c r="Q233" s="72"/>
    </row>
    <row r="234" spans="1:17" ht="22.5" customHeight="1" x14ac:dyDescent="0.25">
      <c r="A234" s="324" t="s">
        <v>318</v>
      </c>
      <c r="B234" s="296" t="s">
        <v>320</v>
      </c>
      <c r="C234" s="81" t="s">
        <v>173</v>
      </c>
      <c r="D234" s="217">
        <v>958</v>
      </c>
      <c r="E234" s="96" t="s">
        <v>231</v>
      </c>
      <c r="F234" s="220" t="s">
        <v>363</v>
      </c>
      <c r="G234" s="122" t="s">
        <v>210</v>
      </c>
      <c r="H234" s="147">
        <f t="shared" ref="H234:M234" si="75">H235+H236+H237+H238</f>
        <v>0</v>
      </c>
      <c r="I234" s="147">
        <f t="shared" si="75"/>
        <v>0</v>
      </c>
      <c r="J234" s="147">
        <f t="shared" si="75"/>
        <v>0</v>
      </c>
      <c r="K234" s="147">
        <f t="shared" si="75"/>
        <v>356.99300000000005</v>
      </c>
      <c r="L234" s="147">
        <f t="shared" si="75"/>
        <v>3382.85664</v>
      </c>
      <c r="M234" s="147">
        <f t="shared" si="75"/>
        <v>3382.85664</v>
      </c>
      <c r="N234" s="147">
        <f>N235+N236+N237+N238</f>
        <v>4228.5708000000004</v>
      </c>
      <c r="O234" s="147">
        <f>O235+O236+O237+O238</f>
        <v>7122.7062800000003</v>
      </c>
      <c r="P234" s="80"/>
      <c r="Q234" s="72"/>
    </row>
    <row r="235" spans="1:17" ht="30.75" customHeight="1" x14ac:dyDescent="0.25">
      <c r="A235" s="325"/>
      <c r="B235" s="297"/>
      <c r="C235" s="81" t="s">
        <v>174</v>
      </c>
      <c r="D235" s="217">
        <v>958</v>
      </c>
      <c r="E235" s="81"/>
      <c r="F235" s="81"/>
      <c r="G235" s="122" t="s">
        <v>210</v>
      </c>
      <c r="H235" s="147">
        <v>0</v>
      </c>
      <c r="I235" s="147">
        <v>0</v>
      </c>
      <c r="J235" s="147">
        <f>J240</f>
        <v>0</v>
      </c>
      <c r="K235" s="147">
        <v>0</v>
      </c>
      <c r="L235" s="147">
        <v>0</v>
      </c>
      <c r="M235" s="147">
        <v>0</v>
      </c>
      <c r="N235" s="147">
        <v>0</v>
      </c>
      <c r="O235" s="147">
        <v>0</v>
      </c>
      <c r="P235" s="80"/>
      <c r="Q235" s="72"/>
    </row>
    <row r="236" spans="1:17" ht="29.25" customHeight="1" x14ac:dyDescent="0.25">
      <c r="A236" s="325"/>
      <c r="B236" s="297"/>
      <c r="C236" s="81" t="s">
        <v>175</v>
      </c>
      <c r="D236" s="217">
        <v>958</v>
      </c>
      <c r="E236" s="96" t="s">
        <v>231</v>
      </c>
      <c r="F236" s="220" t="s">
        <v>363</v>
      </c>
      <c r="G236" s="122" t="s">
        <v>210</v>
      </c>
      <c r="H236" s="147">
        <v>0</v>
      </c>
      <c r="I236" s="151">
        <f>I241</f>
        <v>0</v>
      </c>
      <c r="J236" s="152">
        <f>J241</f>
        <v>0</v>
      </c>
      <c r="K236" s="152">
        <f>K241</f>
        <v>356.99300000000005</v>
      </c>
      <c r="L236" s="152">
        <f>L241</f>
        <v>3382.85664</v>
      </c>
      <c r="M236" s="152">
        <f>M241</f>
        <v>3382.85664</v>
      </c>
      <c r="N236" s="152">
        <f>N241</f>
        <v>4228.5708000000004</v>
      </c>
      <c r="O236" s="152">
        <f>SUM(H236:M236)</f>
        <v>7122.7062800000003</v>
      </c>
      <c r="P236" s="85"/>
      <c r="Q236" s="72"/>
    </row>
    <row r="237" spans="1:17" ht="48.75" customHeight="1" x14ac:dyDescent="0.25">
      <c r="A237" s="325"/>
      <c r="B237" s="297"/>
      <c r="C237" s="81" t="s">
        <v>176</v>
      </c>
      <c r="D237" s="217">
        <v>958</v>
      </c>
      <c r="E237" s="79"/>
      <c r="F237" s="79"/>
      <c r="G237" s="79"/>
      <c r="H237" s="147">
        <v>0</v>
      </c>
      <c r="I237" s="147">
        <f>I242</f>
        <v>0</v>
      </c>
      <c r="J237" s="152">
        <f>J242</f>
        <v>0</v>
      </c>
      <c r="K237" s="152">
        <f>K242</f>
        <v>0</v>
      </c>
      <c r="L237" s="152">
        <v>0</v>
      </c>
      <c r="M237" s="152">
        <v>0</v>
      </c>
      <c r="N237" s="152">
        <v>0</v>
      </c>
      <c r="O237" s="152">
        <f>SUM(H237:M237)</f>
        <v>0</v>
      </c>
      <c r="P237" s="80"/>
      <c r="Q237" s="72"/>
    </row>
    <row r="238" spans="1:17" ht="48.75" customHeight="1" x14ac:dyDescent="0.25">
      <c r="A238" s="326"/>
      <c r="B238" s="298"/>
      <c r="C238" s="81" t="s">
        <v>177</v>
      </c>
      <c r="D238" s="217">
        <v>958</v>
      </c>
      <c r="E238" s="79"/>
      <c r="F238" s="79"/>
      <c r="G238" s="79"/>
      <c r="H238" s="147">
        <v>0</v>
      </c>
      <c r="I238" s="147">
        <v>0</v>
      </c>
      <c r="J238" s="152">
        <f>J243</f>
        <v>0</v>
      </c>
      <c r="K238" s="152">
        <v>0</v>
      </c>
      <c r="L238" s="152">
        <v>0</v>
      </c>
      <c r="M238" s="152">
        <v>0</v>
      </c>
      <c r="N238" s="152">
        <v>0</v>
      </c>
      <c r="O238" s="152">
        <f>SUM(H238:M238)</f>
        <v>0</v>
      </c>
      <c r="P238" s="80"/>
      <c r="Q238" s="72"/>
    </row>
    <row r="239" spans="1:17" ht="19.5" customHeight="1" x14ac:dyDescent="0.25">
      <c r="A239" s="324" t="s">
        <v>319</v>
      </c>
      <c r="B239" s="299" t="s">
        <v>321</v>
      </c>
      <c r="C239" s="81" t="s">
        <v>173</v>
      </c>
      <c r="D239" s="218">
        <v>958</v>
      </c>
      <c r="E239" s="103" t="s">
        <v>231</v>
      </c>
      <c r="F239" s="219" t="s">
        <v>362</v>
      </c>
      <c r="G239" s="102">
        <v>610</v>
      </c>
      <c r="H239" s="147">
        <f t="shared" ref="H239:O239" si="76">H240+H241+H242+H243</f>
        <v>0</v>
      </c>
      <c r="I239" s="147">
        <f t="shared" si="76"/>
        <v>0</v>
      </c>
      <c r="J239" s="147">
        <f t="shared" si="76"/>
        <v>0</v>
      </c>
      <c r="K239" s="147">
        <f t="shared" si="76"/>
        <v>356.99300000000005</v>
      </c>
      <c r="L239" s="147">
        <f t="shared" si="76"/>
        <v>3382.85664</v>
      </c>
      <c r="M239" s="147">
        <f t="shared" si="76"/>
        <v>3382.85664</v>
      </c>
      <c r="N239" s="147">
        <f>N240+N241+N242+N243</f>
        <v>4228.5708000000004</v>
      </c>
      <c r="O239" s="147">
        <f t="shared" si="76"/>
        <v>11351.27708</v>
      </c>
      <c r="P239" s="80"/>
      <c r="Q239" s="72"/>
    </row>
    <row r="240" spans="1:17" ht="28.5" customHeight="1" x14ac:dyDescent="0.25">
      <c r="A240" s="325"/>
      <c r="B240" s="300"/>
      <c r="C240" s="84" t="s">
        <v>174</v>
      </c>
      <c r="D240" s="218">
        <v>958</v>
      </c>
      <c r="E240" s="103" t="s">
        <v>231</v>
      </c>
      <c r="F240" s="84"/>
      <c r="G240" s="102">
        <v>610</v>
      </c>
      <c r="H240" s="148">
        <v>0</v>
      </c>
      <c r="I240" s="148">
        <v>0</v>
      </c>
      <c r="J240" s="150">
        <v>0</v>
      </c>
      <c r="K240" s="150">
        <v>0</v>
      </c>
      <c r="L240" s="150">
        <v>0</v>
      </c>
      <c r="M240" s="150">
        <v>0</v>
      </c>
      <c r="N240" s="150">
        <v>0</v>
      </c>
      <c r="O240" s="150">
        <f>SUM(H240:M240)</f>
        <v>0</v>
      </c>
      <c r="P240" s="83"/>
      <c r="Q240" s="72"/>
    </row>
    <row r="241" spans="1:17" ht="34.5" customHeight="1" x14ac:dyDescent="0.25">
      <c r="A241" s="325"/>
      <c r="B241" s="300"/>
      <c r="C241" s="84" t="s">
        <v>175</v>
      </c>
      <c r="D241" s="218">
        <v>958</v>
      </c>
      <c r="E241" s="103" t="s">
        <v>231</v>
      </c>
      <c r="F241" s="219" t="s">
        <v>362</v>
      </c>
      <c r="G241" s="102">
        <v>610</v>
      </c>
      <c r="H241" s="148">
        <v>0</v>
      </c>
      <c r="I241" s="153">
        <v>0</v>
      </c>
      <c r="J241" s="150">
        <v>0</v>
      </c>
      <c r="K241" s="150">
        <f>989.4248-632.4318</f>
        <v>356.99300000000005</v>
      </c>
      <c r="L241" s="150">
        <v>3382.85664</v>
      </c>
      <c r="M241" s="150">
        <v>3382.85664</v>
      </c>
      <c r="N241" s="150">
        <v>4228.5708000000004</v>
      </c>
      <c r="O241" s="150">
        <f>SUM(H241:N241)</f>
        <v>11351.27708</v>
      </c>
      <c r="P241" s="86"/>
      <c r="Q241" s="72"/>
    </row>
    <row r="242" spans="1:17" ht="63.75" customHeight="1" x14ac:dyDescent="0.25">
      <c r="A242" s="325"/>
      <c r="B242" s="300"/>
      <c r="C242" s="84" t="s">
        <v>176</v>
      </c>
      <c r="D242" s="218">
        <v>958</v>
      </c>
      <c r="E242" s="82"/>
      <c r="F242" s="82"/>
      <c r="G242" s="82"/>
      <c r="H242" s="148">
        <v>0</v>
      </c>
      <c r="I242" s="147">
        <v>0</v>
      </c>
      <c r="J242" s="150">
        <v>0</v>
      </c>
      <c r="K242" s="150">
        <v>0</v>
      </c>
      <c r="L242" s="150">
        <v>0</v>
      </c>
      <c r="M242" s="150">
        <v>0</v>
      </c>
      <c r="N242" s="150">
        <v>0</v>
      </c>
      <c r="O242" s="150">
        <f>SUM(H242:M242)</f>
        <v>0</v>
      </c>
      <c r="P242" s="83"/>
      <c r="Q242" s="72"/>
    </row>
    <row r="243" spans="1:17" ht="34.5" customHeight="1" x14ac:dyDescent="0.25">
      <c r="A243" s="326"/>
      <c r="B243" s="301"/>
      <c r="C243" s="84" t="s">
        <v>177</v>
      </c>
      <c r="D243" s="218">
        <v>958</v>
      </c>
      <c r="E243" s="82">
        <v>702</v>
      </c>
      <c r="F243" s="82"/>
      <c r="G243" s="82"/>
      <c r="H243" s="148">
        <v>0</v>
      </c>
      <c r="I243" s="148">
        <v>0</v>
      </c>
      <c r="J243" s="150">
        <v>0</v>
      </c>
      <c r="K243" s="150">
        <v>0</v>
      </c>
      <c r="L243" s="150">
        <v>0</v>
      </c>
      <c r="M243" s="150">
        <v>0</v>
      </c>
      <c r="N243" s="150">
        <v>0</v>
      </c>
      <c r="O243" s="150">
        <f>SUM(H243:M243)</f>
        <v>0</v>
      </c>
      <c r="P243" s="83"/>
      <c r="Q243" s="72"/>
    </row>
    <row r="244" spans="1:17" ht="18.75" customHeight="1" x14ac:dyDescent="0.25">
      <c r="A244" s="328" t="s">
        <v>118</v>
      </c>
      <c r="B244" s="303" t="s">
        <v>354</v>
      </c>
      <c r="C244" s="81" t="s">
        <v>173</v>
      </c>
      <c r="D244" s="217">
        <v>958</v>
      </c>
      <c r="E244" s="96" t="s">
        <v>251</v>
      </c>
      <c r="F244" s="122" t="s">
        <v>252</v>
      </c>
      <c r="G244" s="122" t="s">
        <v>210</v>
      </c>
      <c r="H244" s="147">
        <f>H249+H279+H329</f>
        <v>28739.599999999999</v>
      </c>
      <c r="I244" s="147">
        <f>I249+I279+I329+I314</f>
        <v>23958.890000000003</v>
      </c>
      <c r="J244" s="147">
        <f>J249+J279+J329+J314</f>
        <v>25850.126849999997</v>
      </c>
      <c r="K244" s="147">
        <f>K249+K279+K329+K314+K319</f>
        <v>28838.710759999998</v>
      </c>
      <c r="L244" s="147">
        <f>L249+L279+L329+L314+L319</f>
        <v>28502.775139999998</v>
      </c>
      <c r="M244" s="147">
        <f>M249+M279+M329+M314+M319</f>
        <v>26534.881999999998</v>
      </c>
      <c r="N244" s="147">
        <f>N249+N279+N329+N314+N319</f>
        <v>26034.881999999998</v>
      </c>
      <c r="O244" s="147">
        <f>O249+O279+O329+O314+O319</f>
        <v>162424.98474999997</v>
      </c>
      <c r="P244" s="80"/>
      <c r="Q244" s="72"/>
    </row>
    <row r="245" spans="1:17" ht="34.5" customHeight="1" x14ac:dyDescent="0.25">
      <c r="A245" s="328"/>
      <c r="B245" s="303"/>
      <c r="C245" s="81" t="s">
        <v>174</v>
      </c>
      <c r="D245" s="217">
        <v>958</v>
      </c>
      <c r="E245" s="96" t="s">
        <v>251</v>
      </c>
      <c r="F245" s="122" t="s">
        <v>252</v>
      </c>
      <c r="G245" s="122" t="s">
        <v>210</v>
      </c>
      <c r="H245" s="147">
        <f>H250+H280+H330</f>
        <v>0</v>
      </c>
      <c r="I245" s="147">
        <f t="shared" ref="I245:O246" si="77">I250+I280+I330</f>
        <v>0</v>
      </c>
      <c r="J245" s="147">
        <f t="shared" si="77"/>
        <v>0</v>
      </c>
      <c r="K245" s="147">
        <f t="shared" si="77"/>
        <v>0</v>
      </c>
      <c r="L245" s="147">
        <f t="shared" si="77"/>
        <v>0</v>
      </c>
      <c r="M245" s="147">
        <f t="shared" si="77"/>
        <v>0</v>
      </c>
      <c r="N245" s="147">
        <f t="shared" si="77"/>
        <v>0</v>
      </c>
      <c r="O245" s="147">
        <f t="shared" si="77"/>
        <v>0</v>
      </c>
      <c r="P245" s="80"/>
      <c r="Q245" s="72"/>
    </row>
    <row r="246" spans="1:17" ht="33" customHeight="1" x14ac:dyDescent="0.25">
      <c r="A246" s="328"/>
      <c r="B246" s="303"/>
      <c r="C246" s="81" t="s">
        <v>175</v>
      </c>
      <c r="D246" s="217">
        <v>958</v>
      </c>
      <c r="E246" s="96" t="s">
        <v>251</v>
      </c>
      <c r="F246" s="122" t="s">
        <v>252</v>
      </c>
      <c r="G246" s="122" t="s">
        <v>210</v>
      </c>
      <c r="H246" s="147">
        <f>H251+H281+H331</f>
        <v>6929.3099999999995</v>
      </c>
      <c r="I246" s="147">
        <f t="shared" si="77"/>
        <v>0</v>
      </c>
      <c r="J246" s="147">
        <f t="shared" si="77"/>
        <v>0</v>
      </c>
      <c r="K246" s="147">
        <f t="shared" si="77"/>
        <v>0</v>
      </c>
      <c r="L246" s="147">
        <f t="shared" si="77"/>
        <v>0</v>
      </c>
      <c r="M246" s="147">
        <f t="shared" si="77"/>
        <v>0</v>
      </c>
      <c r="N246" s="147">
        <f t="shared" si="77"/>
        <v>0</v>
      </c>
      <c r="O246" s="147">
        <f t="shared" si="77"/>
        <v>6929.3099999999995</v>
      </c>
      <c r="P246" s="80"/>
      <c r="Q246" s="72"/>
    </row>
    <row r="247" spans="1:17" ht="60" customHeight="1" x14ac:dyDescent="0.25">
      <c r="A247" s="328"/>
      <c r="B247" s="303"/>
      <c r="C247" s="81" t="s">
        <v>176</v>
      </c>
      <c r="D247" s="217">
        <v>958</v>
      </c>
      <c r="E247" s="96" t="s">
        <v>251</v>
      </c>
      <c r="F247" s="122" t="s">
        <v>252</v>
      </c>
      <c r="G247" s="122" t="s">
        <v>210</v>
      </c>
      <c r="H247" s="147">
        <f>H252+H282+H332</f>
        <v>21810.29</v>
      </c>
      <c r="I247" s="147">
        <f>I252+I282+I332+I317</f>
        <v>23958.890000000003</v>
      </c>
      <c r="J247" s="147">
        <f>J252+J282+J332+J317</f>
        <v>25850.126849999997</v>
      </c>
      <c r="K247" s="147">
        <f>K252+K282+K332+K317+K322</f>
        <v>28838.710759999998</v>
      </c>
      <c r="L247" s="147">
        <f>L252+L282+L332+L317+L322</f>
        <v>28502.775139999998</v>
      </c>
      <c r="M247" s="147">
        <f>M252+M282+M332+M317+M322</f>
        <v>26534.881999999998</v>
      </c>
      <c r="N247" s="147">
        <f>N252+N282+N332+N317+N322</f>
        <v>26034.881999999998</v>
      </c>
      <c r="O247" s="147">
        <f>O252+O282+O332+O317+O322</f>
        <v>155495.67474999998</v>
      </c>
      <c r="P247" s="80"/>
      <c r="Q247" s="72"/>
    </row>
    <row r="248" spans="1:17" ht="45" customHeight="1" x14ac:dyDescent="0.25">
      <c r="A248" s="328"/>
      <c r="B248" s="303"/>
      <c r="C248" s="81" t="s">
        <v>177</v>
      </c>
      <c r="D248" s="217">
        <v>958</v>
      </c>
      <c r="E248" s="96" t="s">
        <v>251</v>
      </c>
      <c r="F248" s="122" t="s">
        <v>252</v>
      </c>
      <c r="G248" s="122" t="s">
        <v>210</v>
      </c>
      <c r="H248" s="147">
        <f>H253+H283+H333</f>
        <v>0</v>
      </c>
      <c r="I248" s="147">
        <f t="shared" ref="I248:O248" si="78">I253+I283+I333</f>
        <v>0</v>
      </c>
      <c r="J248" s="147">
        <f t="shared" si="78"/>
        <v>0</v>
      </c>
      <c r="K248" s="147">
        <f t="shared" si="78"/>
        <v>0</v>
      </c>
      <c r="L248" s="147">
        <f t="shared" si="78"/>
        <v>0</v>
      </c>
      <c r="M248" s="147">
        <f t="shared" si="78"/>
        <v>0</v>
      </c>
      <c r="N248" s="147">
        <f>N253+N283+N333</f>
        <v>0</v>
      </c>
      <c r="O248" s="147">
        <f t="shared" si="78"/>
        <v>0</v>
      </c>
      <c r="P248" s="80"/>
      <c r="Q248" s="72"/>
    </row>
    <row r="249" spans="1:17" ht="27.75" customHeight="1" x14ac:dyDescent="0.25">
      <c r="A249" s="324"/>
      <c r="B249" s="323" t="s">
        <v>119</v>
      </c>
      <c r="C249" s="84" t="s">
        <v>173</v>
      </c>
      <c r="D249" s="217">
        <v>958</v>
      </c>
      <c r="E249" s="96" t="s">
        <v>251</v>
      </c>
      <c r="F249" s="122" t="s">
        <v>253</v>
      </c>
      <c r="G249" s="122" t="s">
        <v>210</v>
      </c>
      <c r="H249" s="147">
        <f t="shared" ref="H249:O249" si="79">H254+H259+H264+H269+H274</f>
        <v>28602.5</v>
      </c>
      <c r="I249" s="147">
        <f t="shared" si="79"/>
        <v>23284.740000000005</v>
      </c>
      <c r="J249" s="147">
        <f>J254+J259+J264+J269+J274</f>
        <v>24214.664689999998</v>
      </c>
      <c r="K249" s="147">
        <f>K254+K259+K264+K269+K274</f>
        <v>26982.775319999997</v>
      </c>
      <c r="L249" s="147">
        <f t="shared" si="79"/>
        <v>26734.985140000001</v>
      </c>
      <c r="M249" s="147">
        <f t="shared" ref="M249:N253" si="80">M254+M259+M264+M269+M274</f>
        <v>25267.092000000001</v>
      </c>
      <c r="N249" s="147">
        <f t="shared" si="80"/>
        <v>24767.092000000001</v>
      </c>
      <c r="O249" s="147">
        <f t="shared" si="79"/>
        <v>155086.75714999999</v>
      </c>
      <c r="P249" s="80"/>
      <c r="Q249" s="72"/>
    </row>
    <row r="250" spans="1:17" ht="30.75" customHeight="1" x14ac:dyDescent="0.25">
      <c r="A250" s="325"/>
      <c r="B250" s="321"/>
      <c r="C250" s="84" t="s">
        <v>174</v>
      </c>
      <c r="D250" s="217">
        <v>958</v>
      </c>
      <c r="E250" s="96" t="s">
        <v>251</v>
      </c>
      <c r="F250" s="122" t="s">
        <v>253</v>
      </c>
      <c r="G250" s="122" t="s">
        <v>210</v>
      </c>
      <c r="H250" s="147">
        <f t="shared" ref="H250:O253" si="81">H255+H260+H265+H270+H275</f>
        <v>0</v>
      </c>
      <c r="I250" s="147">
        <f t="shared" si="81"/>
        <v>0</v>
      </c>
      <c r="J250" s="147">
        <f t="shared" si="81"/>
        <v>0</v>
      </c>
      <c r="K250" s="147">
        <f t="shared" si="81"/>
        <v>0</v>
      </c>
      <c r="L250" s="147">
        <f t="shared" si="81"/>
        <v>0</v>
      </c>
      <c r="M250" s="147">
        <f t="shared" si="80"/>
        <v>0</v>
      </c>
      <c r="N250" s="147">
        <f t="shared" si="80"/>
        <v>0</v>
      </c>
      <c r="O250" s="147">
        <f>O255+O260+O265+O270+O275</f>
        <v>0</v>
      </c>
      <c r="P250" s="80"/>
      <c r="Q250" s="72"/>
    </row>
    <row r="251" spans="1:17" ht="33.75" customHeight="1" x14ac:dyDescent="0.25">
      <c r="A251" s="325"/>
      <c r="B251" s="321"/>
      <c r="C251" s="84" t="s">
        <v>175</v>
      </c>
      <c r="D251" s="217">
        <v>958</v>
      </c>
      <c r="E251" s="96" t="s">
        <v>251</v>
      </c>
      <c r="F251" s="122" t="s">
        <v>253</v>
      </c>
      <c r="G251" s="122" t="s">
        <v>210</v>
      </c>
      <c r="H251" s="147">
        <f t="shared" si="81"/>
        <v>6929.3099999999995</v>
      </c>
      <c r="I251" s="147">
        <f t="shared" si="81"/>
        <v>0</v>
      </c>
      <c r="J251" s="147">
        <f t="shared" si="81"/>
        <v>0</v>
      </c>
      <c r="K251" s="147">
        <f t="shared" si="81"/>
        <v>0</v>
      </c>
      <c r="L251" s="147">
        <f t="shared" si="81"/>
        <v>0</v>
      </c>
      <c r="M251" s="147">
        <f t="shared" si="80"/>
        <v>0</v>
      </c>
      <c r="N251" s="147">
        <f t="shared" si="80"/>
        <v>0</v>
      </c>
      <c r="O251" s="147">
        <f t="shared" si="81"/>
        <v>6929.3099999999995</v>
      </c>
      <c r="P251" s="80"/>
      <c r="Q251" s="72"/>
    </row>
    <row r="252" spans="1:17" ht="64.5" customHeight="1" x14ac:dyDescent="0.25">
      <c r="A252" s="325"/>
      <c r="B252" s="321"/>
      <c r="C252" s="84" t="s">
        <v>176</v>
      </c>
      <c r="D252" s="217">
        <v>958</v>
      </c>
      <c r="E252" s="96" t="s">
        <v>251</v>
      </c>
      <c r="F252" s="122" t="s">
        <v>253</v>
      </c>
      <c r="G252" s="122" t="s">
        <v>210</v>
      </c>
      <c r="H252" s="147">
        <f t="shared" si="81"/>
        <v>21673.190000000002</v>
      </c>
      <c r="I252" s="147">
        <f t="shared" si="81"/>
        <v>23284.740000000005</v>
      </c>
      <c r="J252" s="147">
        <f t="shared" si="81"/>
        <v>24214.664689999998</v>
      </c>
      <c r="K252" s="147">
        <f t="shared" si="81"/>
        <v>26982.775319999997</v>
      </c>
      <c r="L252" s="147">
        <f>L257+L262+L267+L272+L277</f>
        <v>26734.985140000001</v>
      </c>
      <c r="M252" s="147">
        <f t="shared" si="80"/>
        <v>25267.092000000001</v>
      </c>
      <c r="N252" s="147">
        <f t="shared" si="80"/>
        <v>24767.092000000001</v>
      </c>
      <c r="O252" s="147">
        <f t="shared" si="81"/>
        <v>148157.44714999999</v>
      </c>
      <c r="P252" s="80"/>
      <c r="Q252" s="72"/>
    </row>
    <row r="253" spans="1:17" ht="48" customHeight="1" x14ac:dyDescent="0.25">
      <c r="A253" s="326"/>
      <c r="B253" s="322"/>
      <c r="C253" s="84" t="s">
        <v>177</v>
      </c>
      <c r="D253" s="217">
        <v>958</v>
      </c>
      <c r="E253" s="96" t="s">
        <v>251</v>
      </c>
      <c r="F253" s="122" t="s">
        <v>253</v>
      </c>
      <c r="G253" s="122" t="s">
        <v>210</v>
      </c>
      <c r="H253" s="147">
        <f t="shared" si="81"/>
        <v>0</v>
      </c>
      <c r="I253" s="147">
        <f t="shared" si="81"/>
        <v>0</v>
      </c>
      <c r="J253" s="147">
        <f t="shared" si="81"/>
        <v>0</v>
      </c>
      <c r="K253" s="147">
        <f t="shared" si="81"/>
        <v>0</v>
      </c>
      <c r="L253" s="147">
        <f t="shared" si="81"/>
        <v>0</v>
      </c>
      <c r="M253" s="147">
        <f t="shared" si="80"/>
        <v>0</v>
      </c>
      <c r="N253" s="147">
        <f t="shared" si="80"/>
        <v>0</v>
      </c>
      <c r="O253" s="147">
        <f t="shared" si="81"/>
        <v>0</v>
      </c>
      <c r="P253" s="80"/>
      <c r="Q253" s="72"/>
    </row>
    <row r="254" spans="1:17" ht="26.25" customHeight="1" x14ac:dyDescent="0.25">
      <c r="A254" s="324" t="s">
        <v>120</v>
      </c>
      <c r="B254" s="318" t="s">
        <v>121</v>
      </c>
      <c r="C254" s="84" t="s">
        <v>173</v>
      </c>
      <c r="D254" s="218">
        <v>958</v>
      </c>
      <c r="E254" s="103" t="s">
        <v>251</v>
      </c>
      <c r="F254" s="103" t="s">
        <v>255</v>
      </c>
      <c r="G254" s="102">
        <v>610</v>
      </c>
      <c r="H254" s="148">
        <f t="shared" ref="H254:O254" si="82">H255+H256+H257+H258</f>
        <v>0</v>
      </c>
      <c r="I254" s="148">
        <f t="shared" si="82"/>
        <v>0</v>
      </c>
      <c r="J254" s="148">
        <f t="shared" si="82"/>
        <v>0</v>
      </c>
      <c r="K254" s="148">
        <f t="shared" si="82"/>
        <v>0</v>
      </c>
      <c r="L254" s="148">
        <f t="shared" si="82"/>
        <v>0</v>
      </c>
      <c r="M254" s="148">
        <f>M255+M256+M257+M258</f>
        <v>0</v>
      </c>
      <c r="N254" s="148">
        <f>N255+N256+N257+N258</f>
        <v>0</v>
      </c>
      <c r="O254" s="148">
        <f t="shared" si="82"/>
        <v>0</v>
      </c>
      <c r="P254" s="83"/>
      <c r="Q254" s="72"/>
    </row>
    <row r="255" spans="1:17" ht="34.5" customHeight="1" x14ac:dyDescent="0.25">
      <c r="A255" s="325"/>
      <c r="B255" s="319"/>
      <c r="C255" s="84" t="s">
        <v>174</v>
      </c>
      <c r="D255" s="218">
        <v>958</v>
      </c>
      <c r="E255" s="103" t="s">
        <v>251</v>
      </c>
      <c r="F255" s="103" t="s">
        <v>255</v>
      </c>
      <c r="G255" s="102">
        <v>610</v>
      </c>
      <c r="H255" s="148">
        <v>0</v>
      </c>
      <c r="I255" s="148">
        <v>0</v>
      </c>
      <c r="J255" s="148">
        <v>0</v>
      </c>
      <c r="K255" s="148">
        <v>0</v>
      </c>
      <c r="L255" s="148">
        <v>0</v>
      </c>
      <c r="M255" s="148">
        <v>0</v>
      </c>
      <c r="N255" s="148">
        <v>0</v>
      </c>
      <c r="O255" s="150">
        <f>SUM(H255:M255)</f>
        <v>0</v>
      </c>
      <c r="P255" s="83"/>
      <c r="Q255" s="72"/>
    </row>
    <row r="256" spans="1:17" ht="33.75" customHeight="1" x14ac:dyDescent="0.25">
      <c r="A256" s="325"/>
      <c r="B256" s="319"/>
      <c r="C256" s="84" t="s">
        <v>175</v>
      </c>
      <c r="D256" s="218">
        <v>958</v>
      </c>
      <c r="E256" s="103" t="s">
        <v>251</v>
      </c>
      <c r="F256" s="103" t="s">
        <v>255</v>
      </c>
      <c r="G256" s="102">
        <v>610</v>
      </c>
      <c r="H256" s="148">
        <v>0</v>
      </c>
      <c r="I256" s="148">
        <v>0</v>
      </c>
      <c r="J256" s="148">
        <v>0</v>
      </c>
      <c r="K256" s="148">
        <v>0</v>
      </c>
      <c r="L256" s="148">
        <v>0</v>
      </c>
      <c r="M256" s="148">
        <v>0</v>
      </c>
      <c r="N256" s="148">
        <v>0</v>
      </c>
      <c r="O256" s="150">
        <f>SUM(H256:M256)</f>
        <v>0</v>
      </c>
      <c r="P256" s="83"/>
      <c r="Q256" s="72"/>
    </row>
    <row r="257" spans="1:17" ht="59.25" customHeight="1" x14ac:dyDescent="0.25">
      <c r="A257" s="325"/>
      <c r="B257" s="319"/>
      <c r="C257" s="84" t="s">
        <v>176</v>
      </c>
      <c r="D257" s="218">
        <v>958</v>
      </c>
      <c r="E257" s="103" t="s">
        <v>251</v>
      </c>
      <c r="F257" s="103" t="s">
        <v>255</v>
      </c>
      <c r="G257" s="102">
        <v>610</v>
      </c>
      <c r="H257" s="148">
        <f>80-80</f>
        <v>0</v>
      </c>
      <c r="I257" s="148">
        <v>0</v>
      </c>
      <c r="J257" s="148">
        <v>0</v>
      </c>
      <c r="K257" s="148">
        <v>0</v>
      </c>
      <c r="L257" s="148">
        <v>0</v>
      </c>
      <c r="M257" s="148">
        <v>0</v>
      </c>
      <c r="N257" s="148">
        <v>0</v>
      </c>
      <c r="O257" s="150">
        <f>SUM(H257:M257)</f>
        <v>0</v>
      </c>
      <c r="P257" s="83"/>
      <c r="Q257" s="72"/>
    </row>
    <row r="258" spans="1:17" ht="50.25" customHeight="1" x14ac:dyDescent="0.25">
      <c r="A258" s="326"/>
      <c r="B258" s="320"/>
      <c r="C258" s="84" t="s">
        <v>177</v>
      </c>
      <c r="D258" s="218">
        <v>958</v>
      </c>
      <c r="E258" s="103" t="s">
        <v>251</v>
      </c>
      <c r="F258" s="103" t="s">
        <v>255</v>
      </c>
      <c r="G258" s="102">
        <v>610</v>
      </c>
      <c r="H258" s="148">
        <v>0</v>
      </c>
      <c r="I258" s="148">
        <v>0</v>
      </c>
      <c r="J258" s="148">
        <v>0</v>
      </c>
      <c r="K258" s="148">
        <v>0</v>
      </c>
      <c r="L258" s="148">
        <v>0</v>
      </c>
      <c r="M258" s="148">
        <v>0</v>
      </c>
      <c r="N258" s="148">
        <v>0</v>
      </c>
      <c r="O258" s="150">
        <f>SUM(H258:M258)</f>
        <v>0</v>
      </c>
      <c r="P258" s="83"/>
      <c r="Q258" s="72"/>
    </row>
    <row r="259" spans="1:17" ht="15.75" x14ac:dyDescent="0.25">
      <c r="A259" s="327" t="s">
        <v>124</v>
      </c>
      <c r="B259" s="304" t="s">
        <v>193</v>
      </c>
      <c r="C259" s="84" t="s">
        <v>173</v>
      </c>
      <c r="D259" s="218">
        <v>958</v>
      </c>
      <c r="E259" s="103" t="s">
        <v>251</v>
      </c>
      <c r="F259" s="103" t="s">
        <v>256</v>
      </c>
      <c r="G259" s="102">
        <v>610</v>
      </c>
      <c r="H259" s="148">
        <f t="shared" ref="H259:O259" si="83">H260+H261+H262+H263</f>
        <v>21603.200000000001</v>
      </c>
      <c r="I259" s="148">
        <f t="shared" si="83"/>
        <v>23284.740000000005</v>
      </c>
      <c r="J259" s="148">
        <f t="shared" si="83"/>
        <v>24214.664689999998</v>
      </c>
      <c r="K259" s="148">
        <f t="shared" si="83"/>
        <v>26982.775319999997</v>
      </c>
      <c r="L259" s="148">
        <f t="shared" si="83"/>
        <v>26734.985140000001</v>
      </c>
      <c r="M259" s="148">
        <f>M260+M261+M262+M263</f>
        <v>25267.092000000001</v>
      </c>
      <c r="N259" s="148">
        <f>N260+N261+N262+N263</f>
        <v>24767.092000000001</v>
      </c>
      <c r="O259" s="148">
        <f t="shared" si="83"/>
        <v>148087.45715</v>
      </c>
      <c r="P259" s="83"/>
      <c r="Q259" s="72"/>
    </row>
    <row r="260" spans="1:17" ht="44.25" customHeight="1" x14ac:dyDescent="0.25">
      <c r="A260" s="327"/>
      <c r="B260" s="304"/>
      <c r="C260" s="84" t="s">
        <v>174</v>
      </c>
      <c r="D260" s="218">
        <v>958</v>
      </c>
      <c r="E260" s="103" t="s">
        <v>251</v>
      </c>
      <c r="F260" s="103" t="s">
        <v>256</v>
      </c>
      <c r="G260" s="102">
        <v>610</v>
      </c>
      <c r="H260" s="148">
        <v>0</v>
      </c>
      <c r="I260" s="148">
        <v>0</v>
      </c>
      <c r="J260" s="150">
        <v>0</v>
      </c>
      <c r="K260" s="150">
        <v>0</v>
      </c>
      <c r="L260" s="150">
        <v>0</v>
      </c>
      <c r="M260" s="150">
        <v>0</v>
      </c>
      <c r="N260" s="150">
        <v>0</v>
      </c>
      <c r="O260" s="150">
        <f>SUM(H260:M260)</f>
        <v>0</v>
      </c>
      <c r="P260" s="83"/>
      <c r="Q260" s="72"/>
    </row>
    <row r="261" spans="1:17" ht="40.5" customHeight="1" x14ac:dyDescent="0.25">
      <c r="A261" s="327"/>
      <c r="B261" s="304"/>
      <c r="C261" s="84" t="s">
        <v>175</v>
      </c>
      <c r="D261" s="218">
        <v>958</v>
      </c>
      <c r="E261" s="103" t="s">
        <v>251</v>
      </c>
      <c r="F261" s="103" t="s">
        <v>256</v>
      </c>
      <c r="G261" s="102">
        <v>610</v>
      </c>
      <c r="H261" s="148">
        <v>0</v>
      </c>
      <c r="I261" s="148">
        <v>0</v>
      </c>
      <c r="J261" s="150">
        <v>0</v>
      </c>
      <c r="K261" s="150">
        <v>0</v>
      </c>
      <c r="L261" s="150">
        <v>0</v>
      </c>
      <c r="M261" s="150">
        <v>0</v>
      </c>
      <c r="N261" s="150">
        <v>0</v>
      </c>
      <c r="O261" s="150">
        <f>SUM(H261:M261)</f>
        <v>0</v>
      </c>
      <c r="P261" s="83"/>
      <c r="Q261" s="72"/>
    </row>
    <row r="262" spans="1:17" ht="63.75" customHeight="1" x14ac:dyDescent="0.25">
      <c r="A262" s="327"/>
      <c r="B262" s="304"/>
      <c r="C262" s="84" t="s">
        <v>176</v>
      </c>
      <c r="D262" s="218">
        <v>958</v>
      </c>
      <c r="E262" s="103" t="s">
        <v>251</v>
      </c>
      <c r="F262" s="103" t="s">
        <v>256</v>
      </c>
      <c r="G262" s="102">
        <v>610</v>
      </c>
      <c r="H262" s="148">
        <v>21603.200000000001</v>
      </c>
      <c r="I262" s="148">
        <f>22647.4+24.39+309.24+515+210-401.1+179.81-200</f>
        <v>23284.740000000005</v>
      </c>
      <c r="J262" s="150">
        <f>23996.964+460-1677.41874+39.762+130.222+1265.13543</f>
        <v>24214.664689999998</v>
      </c>
      <c r="K262" s="150">
        <f>24725.57796+1356.3-1600+342.846+124.6-14+2047.45136</f>
        <v>26982.775319999997</v>
      </c>
      <c r="L262" s="150">
        <v>26734.985140000001</v>
      </c>
      <c r="M262" s="150">
        <v>25267.092000000001</v>
      </c>
      <c r="N262" s="150">
        <v>24767.092000000001</v>
      </c>
      <c r="O262" s="150">
        <f>SUM(H262:M262)</f>
        <v>148087.45715</v>
      </c>
      <c r="P262" s="83"/>
      <c r="Q262" s="72"/>
    </row>
    <row r="263" spans="1:17" ht="34.5" customHeight="1" x14ac:dyDescent="0.25">
      <c r="A263" s="327"/>
      <c r="B263" s="304"/>
      <c r="C263" s="84" t="s">
        <v>177</v>
      </c>
      <c r="D263" s="218">
        <v>958</v>
      </c>
      <c r="E263" s="103" t="s">
        <v>251</v>
      </c>
      <c r="F263" s="103" t="s">
        <v>256</v>
      </c>
      <c r="G263" s="102">
        <v>610</v>
      </c>
      <c r="H263" s="148">
        <v>0</v>
      </c>
      <c r="I263" s="148">
        <v>0</v>
      </c>
      <c r="J263" s="150">
        <v>0</v>
      </c>
      <c r="K263" s="150">
        <v>0</v>
      </c>
      <c r="L263" s="150">
        <v>0</v>
      </c>
      <c r="M263" s="150">
        <v>0</v>
      </c>
      <c r="N263" s="150">
        <v>0</v>
      </c>
      <c r="O263" s="150">
        <f>SUM(H263:M263)</f>
        <v>0</v>
      </c>
      <c r="P263" s="83"/>
      <c r="Q263" s="72"/>
    </row>
    <row r="264" spans="1:17" ht="22.5" customHeight="1" x14ac:dyDescent="0.25">
      <c r="A264" s="302" t="s">
        <v>127</v>
      </c>
      <c r="B264" s="304" t="s">
        <v>128</v>
      </c>
      <c r="C264" s="84" t="s">
        <v>173</v>
      </c>
      <c r="D264" s="218">
        <v>958</v>
      </c>
      <c r="E264" s="103" t="s">
        <v>251</v>
      </c>
      <c r="F264" s="103" t="s">
        <v>259</v>
      </c>
      <c r="G264" s="102">
        <v>610</v>
      </c>
      <c r="H264" s="148">
        <f t="shared" ref="H264:O264" si="84">H265+H266+H267+H268</f>
        <v>0</v>
      </c>
      <c r="I264" s="148">
        <f t="shared" si="84"/>
        <v>0</v>
      </c>
      <c r="J264" s="148">
        <f t="shared" si="84"/>
        <v>0</v>
      </c>
      <c r="K264" s="148">
        <f t="shared" si="84"/>
        <v>0</v>
      </c>
      <c r="L264" s="148">
        <f t="shared" si="84"/>
        <v>0</v>
      </c>
      <c r="M264" s="148">
        <f>M265+M266+M267+M268</f>
        <v>0</v>
      </c>
      <c r="N264" s="148">
        <f>N265+N266+N267+N268</f>
        <v>0</v>
      </c>
      <c r="O264" s="148">
        <f t="shared" si="84"/>
        <v>0</v>
      </c>
      <c r="P264" s="83"/>
      <c r="Q264" s="72"/>
    </row>
    <row r="265" spans="1:17" ht="35.25" customHeight="1" x14ac:dyDescent="0.25">
      <c r="A265" s="302"/>
      <c r="B265" s="304"/>
      <c r="C265" s="84" t="s">
        <v>174</v>
      </c>
      <c r="D265" s="218">
        <v>958</v>
      </c>
      <c r="E265" s="103" t="s">
        <v>251</v>
      </c>
      <c r="F265" s="103" t="s">
        <v>259</v>
      </c>
      <c r="G265" s="102">
        <v>610</v>
      </c>
      <c r="H265" s="148">
        <v>0</v>
      </c>
      <c r="I265" s="148">
        <v>0</v>
      </c>
      <c r="J265" s="150">
        <v>0</v>
      </c>
      <c r="K265" s="150">
        <v>0</v>
      </c>
      <c r="L265" s="150">
        <v>0</v>
      </c>
      <c r="M265" s="150">
        <v>0</v>
      </c>
      <c r="N265" s="150">
        <v>0</v>
      </c>
      <c r="O265" s="150">
        <f>SUM(H265:M265)</f>
        <v>0</v>
      </c>
      <c r="P265" s="83"/>
      <c r="Q265" s="72"/>
    </row>
    <row r="266" spans="1:17" ht="34.5" customHeight="1" x14ac:dyDescent="0.25">
      <c r="A266" s="302"/>
      <c r="B266" s="304"/>
      <c r="C266" s="84" t="s">
        <v>175</v>
      </c>
      <c r="D266" s="218">
        <v>958</v>
      </c>
      <c r="E266" s="103" t="s">
        <v>251</v>
      </c>
      <c r="F266" s="103" t="s">
        <v>259</v>
      </c>
      <c r="G266" s="102">
        <v>610</v>
      </c>
      <c r="H266" s="148">
        <v>0</v>
      </c>
      <c r="I266" s="148">
        <v>0</v>
      </c>
      <c r="J266" s="150">
        <v>0</v>
      </c>
      <c r="K266" s="150">
        <v>0</v>
      </c>
      <c r="L266" s="150">
        <v>0</v>
      </c>
      <c r="M266" s="150">
        <v>0</v>
      </c>
      <c r="N266" s="150">
        <v>0</v>
      </c>
      <c r="O266" s="150">
        <f>SUM(H266:M266)</f>
        <v>0</v>
      </c>
      <c r="P266" s="83"/>
      <c r="Q266" s="72"/>
    </row>
    <row r="267" spans="1:17" ht="68.25" customHeight="1" x14ac:dyDescent="0.25">
      <c r="A267" s="302"/>
      <c r="B267" s="304"/>
      <c r="C267" s="84" t="s">
        <v>176</v>
      </c>
      <c r="D267" s="218">
        <v>958</v>
      </c>
      <c r="E267" s="103" t="s">
        <v>251</v>
      </c>
      <c r="F267" s="103" t="s">
        <v>259</v>
      </c>
      <c r="G267" s="102">
        <v>610</v>
      </c>
      <c r="H267" s="148">
        <v>0</v>
      </c>
      <c r="I267" s="148">
        <v>0</v>
      </c>
      <c r="J267" s="150">
        <v>0</v>
      </c>
      <c r="K267" s="150">
        <v>0</v>
      </c>
      <c r="L267" s="150">
        <v>0</v>
      </c>
      <c r="M267" s="150">
        <v>0</v>
      </c>
      <c r="N267" s="150">
        <v>0</v>
      </c>
      <c r="O267" s="150">
        <f>SUM(H267:M267)</f>
        <v>0</v>
      </c>
      <c r="P267" s="83"/>
      <c r="Q267" s="72"/>
    </row>
    <row r="268" spans="1:17" ht="51" customHeight="1" x14ac:dyDescent="0.25">
      <c r="A268" s="302"/>
      <c r="B268" s="304"/>
      <c r="C268" s="84" t="s">
        <v>177</v>
      </c>
      <c r="D268" s="218">
        <v>958</v>
      </c>
      <c r="E268" s="103" t="s">
        <v>251</v>
      </c>
      <c r="F268" s="103" t="s">
        <v>259</v>
      </c>
      <c r="G268" s="102">
        <v>610</v>
      </c>
      <c r="H268" s="148">
        <v>0</v>
      </c>
      <c r="I268" s="148">
        <v>0</v>
      </c>
      <c r="J268" s="150">
        <v>0</v>
      </c>
      <c r="K268" s="150">
        <v>0</v>
      </c>
      <c r="L268" s="150">
        <v>0</v>
      </c>
      <c r="M268" s="150">
        <v>0</v>
      </c>
      <c r="N268" s="150">
        <v>0</v>
      </c>
      <c r="O268" s="150">
        <f>SUM(H268:M268)</f>
        <v>0</v>
      </c>
      <c r="P268" s="83"/>
      <c r="Q268" s="72"/>
    </row>
    <row r="269" spans="1:17" ht="23.25" customHeight="1" x14ac:dyDescent="0.25">
      <c r="A269" s="302" t="s">
        <v>130</v>
      </c>
      <c r="B269" s="304" t="s">
        <v>131</v>
      </c>
      <c r="C269" s="84" t="s">
        <v>173</v>
      </c>
      <c r="D269" s="218">
        <v>958</v>
      </c>
      <c r="E269" s="103" t="s">
        <v>251</v>
      </c>
      <c r="F269" s="103" t="s">
        <v>261</v>
      </c>
      <c r="G269" s="102">
        <v>610</v>
      </c>
      <c r="H269" s="148">
        <f t="shared" ref="H269:O269" si="85">H270+H271+H272+H273</f>
        <v>0</v>
      </c>
      <c r="I269" s="148">
        <f t="shared" si="85"/>
        <v>0</v>
      </c>
      <c r="J269" s="148">
        <f t="shared" si="85"/>
        <v>0</v>
      </c>
      <c r="K269" s="148">
        <f t="shared" si="85"/>
        <v>0</v>
      </c>
      <c r="L269" s="148">
        <f t="shared" si="85"/>
        <v>0</v>
      </c>
      <c r="M269" s="148">
        <f>M270+M271+M272+M273</f>
        <v>0</v>
      </c>
      <c r="N269" s="148">
        <f>N270+N271+N272+N273</f>
        <v>0</v>
      </c>
      <c r="O269" s="148">
        <f t="shared" si="85"/>
        <v>0</v>
      </c>
      <c r="P269" s="83"/>
      <c r="Q269" s="72"/>
    </row>
    <row r="270" spans="1:17" ht="36.75" customHeight="1" x14ac:dyDescent="0.25">
      <c r="A270" s="302"/>
      <c r="B270" s="304"/>
      <c r="C270" s="84" t="s">
        <v>174</v>
      </c>
      <c r="D270" s="218">
        <v>958</v>
      </c>
      <c r="E270" s="103" t="s">
        <v>251</v>
      </c>
      <c r="F270" s="103" t="s">
        <v>261</v>
      </c>
      <c r="G270" s="102">
        <v>610</v>
      </c>
      <c r="H270" s="148">
        <v>0</v>
      </c>
      <c r="I270" s="148">
        <v>0</v>
      </c>
      <c r="J270" s="150">
        <v>0</v>
      </c>
      <c r="K270" s="150">
        <v>0</v>
      </c>
      <c r="L270" s="150">
        <v>0</v>
      </c>
      <c r="M270" s="150">
        <v>0</v>
      </c>
      <c r="N270" s="150">
        <v>0</v>
      </c>
      <c r="O270" s="150">
        <f>SUM(H270:M270)</f>
        <v>0</v>
      </c>
      <c r="P270" s="83"/>
      <c r="Q270" s="72"/>
    </row>
    <row r="271" spans="1:17" ht="36" customHeight="1" x14ac:dyDescent="0.25">
      <c r="A271" s="302"/>
      <c r="B271" s="304"/>
      <c r="C271" s="84" t="s">
        <v>175</v>
      </c>
      <c r="D271" s="218">
        <v>958</v>
      </c>
      <c r="E271" s="103" t="s">
        <v>251</v>
      </c>
      <c r="F271" s="103" t="s">
        <v>261</v>
      </c>
      <c r="G271" s="102">
        <v>610</v>
      </c>
      <c r="H271" s="148">
        <v>0</v>
      </c>
      <c r="I271" s="148">
        <v>0</v>
      </c>
      <c r="J271" s="150">
        <v>0</v>
      </c>
      <c r="K271" s="150">
        <v>0</v>
      </c>
      <c r="L271" s="150">
        <v>0</v>
      </c>
      <c r="M271" s="150">
        <v>0</v>
      </c>
      <c r="N271" s="150">
        <v>0</v>
      </c>
      <c r="O271" s="150">
        <f>SUM(H271:M271)</f>
        <v>0</v>
      </c>
      <c r="P271" s="83"/>
      <c r="Q271" s="72"/>
    </row>
    <row r="272" spans="1:17" ht="66" customHeight="1" x14ac:dyDescent="0.25">
      <c r="A272" s="302"/>
      <c r="B272" s="304"/>
      <c r="C272" s="84" t="s">
        <v>176</v>
      </c>
      <c r="D272" s="218">
        <v>958</v>
      </c>
      <c r="E272" s="103" t="s">
        <v>251</v>
      </c>
      <c r="F272" s="103" t="s">
        <v>261</v>
      </c>
      <c r="G272" s="102">
        <v>610</v>
      </c>
      <c r="H272" s="148">
        <v>0</v>
      </c>
      <c r="I272" s="148">
        <v>0</v>
      </c>
      <c r="J272" s="150">
        <v>0</v>
      </c>
      <c r="K272" s="150">
        <v>0</v>
      </c>
      <c r="L272" s="150">
        <v>0</v>
      </c>
      <c r="M272" s="150">
        <v>0</v>
      </c>
      <c r="N272" s="150">
        <v>0</v>
      </c>
      <c r="O272" s="150">
        <f>SUM(H272:M272)</f>
        <v>0</v>
      </c>
      <c r="P272" s="83"/>
      <c r="Q272" s="72"/>
    </row>
    <row r="273" spans="1:17" ht="48.75" customHeight="1" x14ac:dyDescent="0.25">
      <c r="A273" s="302"/>
      <c r="B273" s="304"/>
      <c r="C273" s="84" t="s">
        <v>177</v>
      </c>
      <c r="D273" s="218">
        <v>958</v>
      </c>
      <c r="E273" s="103" t="s">
        <v>251</v>
      </c>
      <c r="F273" s="103" t="s">
        <v>261</v>
      </c>
      <c r="G273" s="102">
        <v>610</v>
      </c>
      <c r="H273" s="148">
        <v>0</v>
      </c>
      <c r="I273" s="148">
        <v>0</v>
      </c>
      <c r="J273" s="150">
        <v>0</v>
      </c>
      <c r="K273" s="150">
        <v>0</v>
      </c>
      <c r="L273" s="150">
        <v>0</v>
      </c>
      <c r="M273" s="150">
        <v>0</v>
      </c>
      <c r="N273" s="150">
        <v>0</v>
      </c>
      <c r="O273" s="150">
        <f>SUM(H273:M273)</f>
        <v>0</v>
      </c>
      <c r="P273" s="83"/>
      <c r="Q273" s="72"/>
    </row>
    <row r="274" spans="1:17" ht="23.25" customHeight="1" x14ac:dyDescent="0.25">
      <c r="A274" s="293" t="s">
        <v>194</v>
      </c>
      <c r="B274" s="299" t="s">
        <v>133</v>
      </c>
      <c r="C274" s="84" t="s">
        <v>173</v>
      </c>
      <c r="D274" s="218">
        <v>958</v>
      </c>
      <c r="E274" s="103" t="s">
        <v>251</v>
      </c>
      <c r="F274" s="103" t="s">
        <v>262</v>
      </c>
      <c r="G274" s="118">
        <v>610</v>
      </c>
      <c r="H274" s="148">
        <f t="shared" ref="H274:O274" si="86">H275+H276+H277+H278</f>
        <v>6999.2999999999993</v>
      </c>
      <c r="I274" s="148">
        <f t="shared" si="86"/>
        <v>0</v>
      </c>
      <c r="J274" s="148">
        <f t="shared" si="86"/>
        <v>0</v>
      </c>
      <c r="K274" s="148">
        <f t="shared" si="86"/>
        <v>0</v>
      </c>
      <c r="L274" s="148">
        <f t="shared" si="86"/>
        <v>0</v>
      </c>
      <c r="M274" s="148">
        <f>M275+M276+M277+M278</f>
        <v>0</v>
      </c>
      <c r="N274" s="148">
        <f>N275+N276+N277+N278</f>
        <v>0</v>
      </c>
      <c r="O274" s="148">
        <f t="shared" si="86"/>
        <v>6999.2999999999993</v>
      </c>
      <c r="P274" s="83"/>
      <c r="Q274" s="72"/>
    </row>
    <row r="275" spans="1:17" ht="37.5" customHeight="1" x14ac:dyDescent="0.25">
      <c r="A275" s="294"/>
      <c r="B275" s="300"/>
      <c r="C275" s="84" t="s">
        <v>174</v>
      </c>
      <c r="D275" s="218">
        <v>958</v>
      </c>
      <c r="E275" s="103" t="s">
        <v>251</v>
      </c>
      <c r="F275" s="103" t="s">
        <v>262</v>
      </c>
      <c r="G275" s="118">
        <v>610</v>
      </c>
      <c r="H275" s="148">
        <v>0</v>
      </c>
      <c r="I275" s="148">
        <v>0</v>
      </c>
      <c r="J275" s="150">
        <v>0</v>
      </c>
      <c r="K275" s="150">
        <v>0</v>
      </c>
      <c r="L275" s="150">
        <v>0</v>
      </c>
      <c r="M275" s="150">
        <v>0</v>
      </c>
      <c r="N275" s="150">
        <v>0</v>
      </c>
      <c r="O275" s="150">
        <f>SUM(H275:M275)</f>
        <v>0</v>
      </c>
      <c r="P275" s="83"/>
      <c r="Q275" s="72"/>
    </row>
    <row r="276" spans="1:17" ht="33.75" customHeight="1" x14ac:dyDescent="0.25">
      <c r="A276" s="294"/>
      <c r="B276" s="300"/>
      <c r="C276" s="84" t="s">
        <v>175</v>
      </c>
      <c r="D276" s="218">
        <v>958</v>
      </c>
      <c r="E276" s="103" t="s">
        <v>251</v>
      </c>
      <c r="F276" s="103" t="s">
        <v>262</v>
      </c>
      <c r="G276" s="118">
        <v>610</v>
      </c>
      <c r="H276" s="148">
        <f>9900-2970.69</f>
        <v>6929.3099999999995</v>
      </c>
      <c r="I276" s="148">
        <v>0</v>
      </c>
      <c r="J276" s="150">
        <v>0</v>
      </c>
      <c r="K276" s="150">
        <v>0</v>
      </c>
      <c r="L276" s="150">
        <v>0</v>
      </c>
      <c r="M276" s="150">
        <v>0</v>
      </c>
      <c r="N276" s="150">
        <v>0</v>
      </c>
      <c r="O276" s="150">
        <f>SUM(H276:M276)</f>
        <v>6929.3099999999995</v>
      </c>
      <c r="P276" s="83"/>
      <c r="Q276" s="72"/>
    </row>
    <row r="277" spans="1:17" ht="63" customHeight="1" x14ac:dyDescent="0.25">
      <c r="A277" s="294"/>
      <c r="B277" s="300"/>
      <c r="C277" s="84" t="s">
        <v>176</v>
      </c>
      <c r="D277" s="218">
        <v>958</v>
      </c>
      <c r="E277" s="103" t="s">
        <v>251</v>
      </c>
      <c r="F277" s="103" t="s">
        <v>262</v>
      </c>
      <c r="G277" s="118">
        <v>610</v>
      </c>
      <c r="H277" s="148">
        <v>69.989999999999995</v>
      </c>
      <c r="I277" s="148">
        <v>0</v>
      </c>
      <c r="J277" s="150">
        <v>0</v>
      </c>
      <c r="K277" s="150">
        <v>0</v>
      </c>
      <c r="L277" s="150">
        <v>0</v>
      </c>
      <c r="M277" s="150">
        <v>0</v>
      </c>
      <c r="N277" s="150">
        <v>0</v>
      </c>
      <c r="O277" s="150">
        <f>SUM(H277:M277)</f>
        <v>69.989999999999995</v>
      </c>
      <c r="P277" s="83"/>
      <c r="Q277" s="72"/>
    </row>
    <row r="278" spans="1:17" ht="43.5" customHeight="1" x14ac:dyDescent="0.25">
      <c r="A278" s="295"/>
      <c r="B278" s="301"/>
      <c r="C278" s="84" t="s">
        <v>177</v>
      </c>
      <c r="D278" s="218">
        <v>958</v>
      </c>
      <c r="E278" s="103" t="s">
        <v>251</v>
      </c>
      <c r="F278" s="103" t="s">
        <v>262</v>
      </c>
      <c r="G278" s="118">
        <v>610</v>
      </c>
      <c r="H278" s="148">
        <v>0</v>
      </c>
      <c r="I278" s="148">
        <v>0</v>
      </c>
      <c r="J278" s="150">
        <v>0</v>
      </c>
      <c r="K278" s="150">
        <v>0</v>
      </c>
      <c r="L278" s="150">
        <v>0</v>
      </c>
      <c r="M278" s="150">
        <v>0</v>
      </c>
      <c r="N278" s="150">
        <v>0</v>
      </c>
      <c r="O278" s="150">
        <f>SUM(H278:M278)</f>
        <v>0</v>
      </c>
      <c r="P278" s="83"/>
      <c r="Q278" s="72"/>
    </row>
    <row r="279" spans="1:17" ht="32.25" customHeight="1" x14ac:dyDescent="0.25">
      <c r="A279" s="293" t="s">
        <v>13</v>
      </c>
      <c r="B279" s="323" t="s">
        <v>134</v>
      </c>
      <c r="C279" s="81" t="s">
        <v>173</v>
      </c>
      <c r="D279" s="217">
        <v>958</v>
      </c>
      <c r="E279" s="96" t="s">
        <v>251</v>
      </c>
      <c r="F279" s="225">
        <v>131200000</v>
      </c>
      <c r="G279" s="122" t="s">
        <v>210</v>
      </c>
      <c r="H279" s="147">
        <f>H284+H289+H294+H304+H299</f>
        <v>137.1</v>
      </c>
      <c r="I279" s="147">
        <f>I284+I289+I294+I304+I299</f>
        <v>273.05</v>
      </c>
      <c r="J279" s="147">
        <f>J284+J289+J294+J304+J299+J309</f>
        <v>547.27856999999995</v>
      </c>
      <c r="K279" s="147">
        <f>K284+K289+K294+K304+K299</f>
        <v>119.74544</v>
      </c>
      <c r="L279" s="147">
        <f>L284+L289+L294+L304+L299</f>
        <v>31.6</v>
      </c>
      <c r="M279" s="147">
        <f>M284+M289+M294+M304+M299</f>
        <v>31.6</v>
      </c>
      <c r="N279" s="147">
        <f>N284+N289+N294+N304+N299</f>
        <v>31.6</v>
      </c>
      <c r="O279" s="147">
        <f>O284+O289+O294+O304+O299+O309</f>
        <v>1140.37401</v>
      </c>
      <c r="P279" s="80"/>
      <c r="Q279" s="72"/>
    </row>
    <row r="280" spans="1:17" ht="37.5" customHeight="1" x14ac:dyDescent="0.25">
      <c r="A280" s="294"/>
      <c r="B280" s="321"/>
      <c r="C280" s="81" t="s">
        <v>174</v>
      </c>
      <c r="D280" s="217">
        <v>958</v>
      </c>
      <c r="E280" s="96" t="s">
        <v>251</v>
      </c>
      <c r="F280" s="225">
        <v>131200000</v>
      </c>
      <c r="G280" s="122" t="s">
        <v>210</v>
      </c>
      <c r="H280" s="147">
        <f t="shared" ref="H280:O283" si="87">H285+H290+H295</f>
        <v>0</v>
      </c>
      <c r="I280" s="147">
        <f t="shared" si="87"/>
        <v>0</v>
      </c>
      <c r="J280" s="147">
        <f t="shared" si="87"/>
        <v>0</v>
      </c>
      <c r="K280" s="147">
        <f t="shared" si="87"/>
        <v>0</v>
      </c>
      <c r="L280" s="147">
        <f t="shared" si="87"/>
        <v>0</v>
      </c>
      <c r="M280" s="147">
        <f>M285+M290+M295</f>
        <v>0</v>
      </c>
      <c r="N280" s="147">
        <f>N285+N290+N295</f>
        <v>0</v>
      </c>
      <c r="O280" s="147">
        <f t="shared" si="87"/>
        <v>0</v>
      </c>
      <c r="P280" s="80"/>
      <c r="Q280" s="72"/>
    </row>
    <row r="281" spans="1:17" ht="33" customHeight="1" x14ac:dyDescent="0.25">
      <c r="A281" s="294"/>
      <c r="B281" s="321"/>
      <c r="C281" s="81" t="s">
        <v>175</v>
      </c>
      <c r="D281" s="217">
        <v>958</v>
      </c>
      <c r="E281" s="96" t="s">
        <v>251</v>
      </c>
      <c r="F281" s="225">
        <v>131200000</v>
      </c>
      <c r="G281" s="122" t="s">
        <v>210</v>
      </c>
      <c r="H281" s="147">
        <f t="shared" si="87"/>
        <v>0</v>
      </c>
      <c r="I281" s="147">
        <f t="shared" si="87"/>
        <v>0</v>
      </c>
      <c r="J281" s="147">
        <f t="shared" si="87"/>
        <v>0</v>
      </c>
      <c r="K281" s="147">
        <f t="shared" si="87"/>
        <v>0</v>
      </c>
      <c r="L281" s="147">
        <f t="shared" si="87"/>
        <v>0</v>
      </c>
      <c r="M281" s="147">
        <f>M286+M291+M296</f>
        <v>0</v>
      </c>
      <c r="N281" s="147">
        <f>N286+N291+N296</f>
        <v>0</v>
      </c>
      <c r="O281" s="147">
        <f t="shared" si="87"/>
        <v>0</v>
      </c>
      <c r="P281" s="80"/>
      <c r="Q281" s="72"/>
    </row>
    <row r="282" spans="1:17" ht="68.25" customHeight="1" x14ac:dyDescent="0.25">
      <c r="A282" s="294"/>
      <c r="B282" s="321"/>
      <c r="C282" s="81" t="s">
        <v>176</v>
      </c>
      <c r="D282" s="217">
        <v>958</v>
      </c>
      <c r="E282" s="96" t="s">
        <v>251</v>
      </c>
      <c r="F282" s="225">
        <v>131200000</v>
      </c>
      <c r="G282" s="122" t="s">
        <v>210</v>
      </c>
      <c r="H282" s="147">
        <f>H287+H292+H297</f>
        <v>137.1</v>
      </c>
      <c r="I282" s="147">
        <f>I287+I292+I297+I302+I307</f>
        <v>273.05</v>
      </c>
      <c r="J282" s="147">
        <f>J287+J292+J297+J302+J307+J312</f>
        <v>547.27856999999995</v>
      </c>
      <c r="K282" s="147">
        <f>K287+K292+K297+K302+K307</f>
        <v>119.74544</v>
      </c>
      <c r="L282" s="147">
        <f>L287+L292+L297+L302+L307</f>
        <v>31.6</v>
      </c>
      <c r="M282" s="147">
        <f>M287+M292+M297+M302+M307</f>
        <v>31.6</v>
      </c>
      <c r="N282" s="147">
        <f>N287+N292+N297+N302+N307</f>
        <v>31.6</v>
      </c>
      <c r="O282" s="147">
        <f>O287+O292+O297+O302+O307+O312</f>
        <v>1140.37401</v>
      </c>
      <c r="P282" s="80"/>
      <c r="Q282" s="72"/>
    </row>
    <row r="283" spans="1:17" ht="48" customHeight="1" x14ac:dyDescent="0.25">
      <c r="A283" s="295"/>
      <c r="B283" s="322"/>
      <c r="C283" s="81" t="s">
        <v>177</v>
      </c>
      <c r="D283" s="217">
        <v>958</v>
      </c>
      <c r="E283" s="96" t="s">
        <v>251</v>
      </c>
      <c r="F283" s="225">
        <v>131200000</v>
      </c>
      <c r="G283" s="122" t="s">
        <v>210</v>
      </c>
      <c r="H283" s="147">
        <f t="shared" si="87"/>
        <v>0</v>
      </c>
      <c r="I283" s="147">
        <f t="shared" si="87"/>
        <v>0</v>
      </c>
      <c r="J283" s="147">
        <f t="shared" si="87"/>
        <v>0</v>
      </c>
      <c r="K283" s="147">
        <f t="shared" si="87"/>
        <v>0</v>
      </c>
      <c r="L283" s="147">
        <f t="shared" si="87"/>
        <v>0</v>
      </c>
      <c r="M283" s="147">
        <f>M288+M293+M298</f>
        <v>0</v>
      </c>
      <c r="N283" s="147">
        <f>N288+N293+N298</f>
        <v>0</v>
      </c>
      <c r="O283" s="147">
        <f t="shared" si="87"/>
        <v>0</v>
      </c>
      <c r="P283" s="80"/>
      <c r="Q283" s="72"/>
    </row>
    <row r="284" spans="1:17" ht="24" customHeight="1" x14ac:dyDescent="0.25">
      <c r="A284" s="302" t="s">
        <v>135</v>
      </c>
      <c r="B284" s="304" t="s">
        <v>136</v>
      </c>
      <c r="C284" s="84" t="s">
        <v>173</v>
      </c>
      <c r="D284" s="218">
        <v>958</v>
      </c>
      <c r="E284" s="103" t="s">
        <v>251</v>
      </c>
      <c r="F284" s="103" t="s">
        <v>266</v>
      </c>
      <c r="G284" s="102">
        <v>610</v>
      </c>
      <c r="H284" s="148">
        <f t="shared" ref="H284:O284" si="88">H285+H286+H287+H288</f>
        <v>79.3</v>
      </c>
      <c r="I284" s="148">
        <f t="shared" si="88"/>
        <v>77.5</v>
      </c>
      <c r="J284" s="148">
        <f t="shared" si="88"/>
        <v>65.16</v>
      </c>
      <c r="K284" s="148">
        <f t="shared" si="88"/>
        <v>0</v>
      </c>
      <c r="L284" s="148">
        <f t="shared" si="88"/>
        <v>0</v>
      </c>
      <c r="M284" s="148">
        <f>M285+M286+M287+M288</f>
        <v>0</v>
      </c>
      <c r="N284" s="148">
        <f>N285+N286+N287+N288</f>
        <v>0</v>
      </c>
      <c r="O284" s="148">
        <f t="shared" si="88"/>
        <v>221.96</v>
      </c>
      <c r="P284" s="83"/>
      <c r="Q284" s="72"/>
    </row>
    <row r="285" spans="1:17" ht="35.25" customHeight="1" x14ac:dyDescent="0.25">
      <c r="A285" s="302"/>
      <c r="B285" s="304"/>
      <c r="C285" s="84" t="s">
        <v>174</v>
      </c>
      <c r="D285" s="218">
        <v>958</v>
      </c>
      <c r="E285" s="103" t="s">
        <v>251</v>
      </c>
      <c r="F285" s="103" t="s">
        <v>266</v>
      </c>
      <c r="G285" s="102">
        <v>610</v>
      </c>
      <c r="H285" s="148">
        <v>0</v>
      </c>
      <c r="I285" s="148">
        <v>0</v>
      </c>
      <c r="J285" s="150">
        <v>0</v>
      </c>
      <c r="K285" s="150">
        <v>0</v>
      </c>
      <c r="L285" s="150">
        <v>0</v>
      </c>
      <c r="M285" s="150">
        <v>0</v>
      </c>
      <c r="N285" s="150">
        <v>0</v>
      </c>
      <c r="O285" s="150">
        <f>SUM(H285:M285)</f>
        <v>0</v>
      </c>
      <c r="P285" s="83"/>
      <c r="Q285" s="72"/>
    </row>
    <row r="286" spans="1:17" ht="38.25" customHeight="1" x14ac:dyDescent="0.25">
      <c r="A286" s="302"/>
      <c r="B286" s="304"/>
      <c r="C286" s="84" t="s">
        <v>175</v>
      </c>
      <c r="D286" s="218">
        <v>958</v>
      </c>
      <c r="E286" s="103" t="s">
        <v>251</v>
      </c>
      <c r="F286" s="103" t="s">
        <v>266</v>
      </c>
      <c r="G286" s="102">
        <v>610</v>
      </c>
      <c r="H286" s="148">
        <v>0</v>
      </c>
      <c r="I286" s="148">
        <v>0</v>
      </c>
      <c r="J286" s="150">
        <v>0</v>
      </c>
      <c r="K286" s="150">
        <v>0</v>
      </c>
      <c r="L286" s="150">
        <v>0</v>
      </c>
      <c r="M286" s="150">
        <v>0</v>
      </c>
      <c r="N286" s="150">
        <v>0</v>
      </c>
      <c r="O286" s="150">
        <f>SUM(H286:M286)</f>
        <v>0</v>
      </c>
      <c r="P286" s="83"/>
      <c r="Q286" s="72"/>
    </row>
    <row r="287" spans="1:17" ht="63" customHeight="1" x14ac:dyDescent="0.25">
      <c r="A287" s="302"/>
      <c r="B287" s="304"/>
      <c r="C287" s="84" t="s">
        <v>176</v>
      </c>
      <c r="D287" s="218">
        <v>958</v>
      </c>
      <c r="E287" s="103" t="s">
        <v>251</v>
      </c>
      <c r="F287" s="103" t="s">
        <v>266</v>
      </c>
      <c r="G287" s="102">
        <v>610</v>
      </c>
      <c r="H287" s="148">
        <v>79.3</v>
      </c>
      <c r="I287" s="148">
        <f>85.5-8</f>
        <v>77.5</v>
      </c>
      <c r="J287" s="150">
        <f>85.5-20.34</f>
        <v>65.16</v>
      </c>
      <c r="K287" s="150">
        <v>0</v>
      </c>
      <c r="L287" s="150">
        <v>0</v>
      </c>
      <c r="M287" s="150">
        <v>0</v>
      </c>
      <c r="N287" s="150">
        <v>0</v>
      </c>
      <c r="O287" s="150">
        <f>SUM(H287:M287)</f>
        <v>221.96</v>
      </c>
      <c r="P287" s="83"/>
      <c r="Q287" s="72"/>
    </row>
    <row r="288" spans="1:17" ht="47.25" customHeight="1" x14ac:dyDescent="0.25">
      <c r="A288" s="302"/>
      <c r="B288" s="304"/>
      <c r="C288" s="84" t="s">
        <v>177</v>
      </c>
      <c r="D288" s="218">
        <v>958</v>
      </c>
      <c r="E288" s="103" t="s">
        <v>251</v>
      </c>
      <c r="F288" s="103" t="s">
        <v>266</v>
      </c>
      <c r="G288" s="102">
        <v>610</v>
      </c>
      <c r="H288" s="148">
        <v>0</v>
      </c>
      <c r="I288" s="148">
        <v>0</v>
      </c>
      <c r="J288" s="150">
        <v>0</v>
      </c>
      <c r="K288" s="150">
        <v>0</v>
      </c>
      <c r="L288" s="150">
        <v>0</v>
      </c>
      <c r="M288" s="150">
        <v>0</v>
      </c>
      <c r="N288" s="150">
        <v>0</v>
      </c>
      <c r="O288" s="150">
        <f>SUM(H288:M288)</f>
        <v>0</v>
      </c>
      <c r="P288" s="83"/>
      <c r="Q288" s="72"/>
    </row>
    <row r="289" spans="1:17" ht="26.25" customHeight="1" x14ac:dyDescent="0.25">
      <c r="A289" s="302" t="s">
        <v>138</v>
      </c>
      <c r="B289" s="304" t="s">
        <v>71</v>
      </c>
      <c r="C289" s="84" t="s">
        <v>173</v>
      </c>
      <c r="D289" s="218">
        <v>958</v>
      </c>
      <c r="E289" s="103" t="s">
        <v>251</v>
      </c>
      <c r="F289" s="103" t="s">
        <v>267</v>
      </c>
      <c r="G289" s="102">
        <v>610</v>
      </c>
      <c r="H289" s="148">
        <f t="shared" ref="H289:O289" si="89">H290+H291+H292+H293</f>
        <v>57.8</v>
      </c>
      <c r="I289" s="148">
        <f t="shared" si="89"/>
        <v>19.200000000000003</v>
      </c>
      <c r="J289" s="148">
        <f t="shared" si="89"/>
        <v>22.118569999999998</v>
      </c>
      <c r="K289" s="148">
        <f t="shared" si="89"/>
        <v>21.32544</v>
      </c>
      <c r="L289" s="148">
        <f t="shared" si="89"/>
        <v>31.6</v>
      </c>
      <c r="M289" s="148">
        <f>M290+M291+M292+M293</f>
        <v>31.6</v>
      </c>
      <c r="N289" s="148">
        <f>N290+N291+N292+N293</f>
        <v>31.6</v>
      </c>
      <c r="O289" s="148">
        <f t="shared" si="89"/>
        <v>183.64401000000001</v>
      </c>
      <c r="P289" s="83"/>
      <c r="Q289" s="72"/>
    </row>
    <row r="290" spans="1:17" ht="29.25" customHeight="1" x14ac:dyDescent="0.25">
      <c r="A290" s="302"/>
      <c r="B290" s="304"/>
      <c r="C290" s="84" t="s">
        <v>174</v>
      </c>
      <c r="D290" s="218">
        <v>958</v>
      </c>
      <c r="E290" s="103" t="s">
        <v>251</v>
      </c>
      <c r="F290" s="103" t="s">
        <v>267</v>
      </c>
      <c r="G290" s="102">
        <v>610</v>
      </c>
      <c r="H290" s="148">
        <v>0</v>
      </c>
      <c r="I290" s="148">
        <v>0</v>
      </c>
      <c r="J290" s="150">
        <v>0</v>
      </c>
      <c r="K290" s="150">
        <v>0</v>
      </c>
      <c r="L290" s="150">
        <v>0</v>
      </c>
      <c r="M290" s="150">
        <v>0</v>
      </c>
      <c r="N290" s="150">
        <v>0</v>
      </c>
      <c r="O290" s="150">
        <f>SUM(H290:M290)</f>
        <v>0</v>
      </c>
      <c r="P290" s="83"/>
      <c r="Q290" s="72"/>
    </row>
    <row r="291" spans="1:17" ht="27" customHeight="1" x14ac:dyDescent="0.25">
      <c r="A291" s="302"/>
      <c r="B291" s="304"/>
      <c r="C291" s="84" t="s">
        <v>175</v>
      </c>
      <c r="D291" s="218">
        <v>958</v>
      </c>
      <c r="E291" s="103" t="s">
        <v>251</v>
      </c>
      <c r="F291" s="103" t="s">
        <v>267</v>
      </c>
      <c r="G291" s="102">
        <v>610</v>
      </c>
      <c r="H291" s="148">
        <v>0</v>
      </c>
      <c r="I291" s="148">
        <v>0</v>
      </c>
      <c r="J291" s="150">
        <v>0</v>
      </c>
      <c r="K291" s="150">
        <v>0</v>
      </c>
      <c r="L291" s="150">
        <v>0</v>
      </c>
      <c r="M291" s="150">
        <v>0</v>
      </c>
      <c r="N291" s="150">
        <v>0</v>
      </c>
      <c r="O291" s="150">
        <f>SUM(H291:M291)</f>
        <v>0</v>
      </c>
      <c r="P291" s="83"/>
      <c r="Q291" s="72"/>
    </row>
    <row r="292" spans="1:17" ht="70.5" customHeight="1" x14ac:dyDescent="0.25">
      <c r="A292" s="302"/>
      <c r="B292" s="304"/>
      <c r="C292" s="84" t="s">
        <v>176</v>
      </c>
      <c r="D292" s="218">
        <v>958</v>
      </c>
      <c r="E292" s="103" t="s">
        <v>251</v>
      </c>
      <c r="F292" s="103" t="s">
        <v>267</v>
      </c>
      <c r="G292" s="102">
        <v>610</v>
      </c>
      <c r="H292" s="148">
        <v>57.8</v>
      </c>
      <c r="I292" s="148">
        <f>24.8-5.6</f>
        <v>19.200000000000003</v>
      </c>
      <c r="J292" s="150">
        <f>25-2.88143</f>
        <v>22.118569999999998</v>
      </c>
      <c r="K292" s="150">
        <f>31.6-10.27456</f>
        <v>21.32544</v>
      </c>
      <c r="L292" s="150">
        <v>31.6</v>
      </c>
      <c r="M292" s="150">
        <v>31.6</v>
      </c>
      <c r="N292" s="150">
        <v>31.6</v>
      </c>
      <c r="O292" s="150">
        <f>SUM(H292:M292)</f>
        <v>183.64401000000001</v>
      </c>
      <c r="P292" s="83"/>
      <c r="Q292" s="72"/>
    </row>
    <row r="293" spans="1:17" ht="51" customHeight="1" x14ac:dyDescent="0.25">
      <c r="A293" s="302"/>
      <c r="B293" s="304"/>
      <c r="C293" s="84" t="s">
        <v>177</v>
      </c>
      <c r="D293" s="218">
        <v>958</v>
      </c>
      <c r="E293" s="103" t="s">
        <v>251</v>
      </c>
      <c r="F293" s="103" t="s">
        <v>267</v>
      </c>
      <c r="G293" s="102">
        <v>610</v>
      </c>
      <c r="H293" s="148">
        <v>0</v>
      </c>
      <c r="I293" s="148">
        <v>0</v>
      </c>
      <c r="J293" s="150">
        <v>0</v>
      </c>
      <c r="K293" s="150">
        <v>0</v>
      </c>
      <c r="L293" s="150">
        <v>0</v>
      </c>
      <c r="M293" s="150">
        <v>0</v>
      </c>
      <c r="N293" s="150">
        <v>0</v>
      </c>
      <c r="O293" s="150">
        <f>SUM(H293:M293)</f>
        <v>0</v>
      </c>
      <c r="P293" s="83"/>
      <c r="Q293" s="72"/>
    </row>
    <row r="294" spans="1:17" ht="39" customHeight="1" x14ac:dyDescent="0.25">
      <c r="A294" s="302" t="s">
        <v>139</v>
      </c>
      <c r="B294" s="304" t="s">
        <v>104</v>
      </c>
      <c r="C294" s="84" t="s">
        <v>173</v>
      </c>
      <c r="D294" s="218">
        <v>958</v>
      </c>
      <c r="E294" s="103" t="s">
        <v>251</v>
      </c>
      <c r="F294" s="103" t="s">
        <v>268</v>
      </c>
      <c r="G294" s="102">
        <v>610</v>
      </c>
      <c r="H294" s="148">
        <f t="shared" ref="H294:O294" si="90">H295+H296+H297+H298</f>
        <v>0</v>
      </c>
      <c r="I294" s="148">
        <f t="shared" si="90"/>
        <v>0</v>
      </c>
      <c r="J294" s="148">
        <f t="shared" si="90"/>
        <v>0</v>
      </c>
      <c r="K294" s="148">
        <f t="shared" si="90"/>
        <v>0</v>
      </c>
      <c r="L294" s="148">
        <f t="shared" si="90"/>
        <v>0</v>
      </c>
      <c r="M294" s="148">
        <f>M295+M296+M297+M298</f>
        <v>0</v>
      </c>
      <c r="N294" s="148">
        <f>N295+N296+N297+N298</f>
        <v>0</v>
      </c>
      <c r="O294" s="148">
        <f t="shared" si="90"/>
        <v>0</v>
      </c>
      <c r="P294" s="83"/>
      <c r="Q294" s="72"/>
    </row>
    <row r="295" spans="1:17" ht="37.5" customHeight="1" x14ac:dyDescent="0.25">
      <c r="A295" s="302"/>
      <c r="B295" s="304"/>
      <c r="C295" s="84" t="s">
        <v>174</v>
      </c>
      <c r="D295" s="218">
        <v>958</v>
      </c>
      <c r="E295" s="103" t="s">
        <v>251</v>
      </c>
      <c r="F295" s="103" t="s">
        <v>268</v>
      </c>
      <c r="G295" s="102">
        <v>610</v>
      </c>
      <c r="H295" s="148">
        <v>0</v>
      </c>
      <c r="I295" s="148">
        <v>0</v>
      </c>
      <c r="J295" s="150">
        <v>0</v>
      </c>
      <c r="K295" s="150">
        <v>0</v>
      </c>
      <c r="L295" s="150">
        <v>0</v>
      </c>
      <c r="M295" s="150">
        <v>0</v>
      </c>
      <c r="N295" s="150">
        <v>0</v>
      </c>
      <c r="O295" s="150">
        <f t="shared" ref="O295:O303" si="91">SUM(H295:M295)</f>
        <v>0</v>
      </c>
      <c r="P295" s="83"/>
      <c r="Q295" s="72"/>
    </row>
    <row r="296" spans="1:17" ht="39" customHeight="1" x14ac:dyDescent="0.25">
      <c r="A296" s="302"/>
      <c r="B296" s="304"/>
      <c r="C296" s="84" t="s">
        <v>175</v>
      </c>
      <c r="D296" s="218">
        <v>958</v>
      </c>
      <c r="E296" s="103" t="s">
        <v>251</v>
      </c>
      <c r="F296" s="103" t="s">
        <v>268</v>
      </c>
      <c r="G296" s="102">
        <v>610</v>
      </c>
      <c r="H296" s="148">
        <v>0</v>
      </c>
      <c r="I296" s="148">
        <v>0</v>
      </c>
      <c r="J296" s="150">
        <v>0</v>
      </c>
      <c r="K296" s="150">
        <v>0</v>
      </c>
      <c r="L296" s="150">
        <v>0</v>
      </c>
      <c r="M296" s="150">
        <v>0</v>
      </c>
      <c r="N296" s="150">
        <v>0</v>
      </c>
      <c r="O296" s="150">
        <f t="shared" si="91"/>
        <v>0</v>
      </c>
      <c r="P296" s="83"/>
      <c r="Q296" s="72"/>
    </row>
    <row r="297" spans="1:17" ht="63" customHeight="1" x14ac:dyDescent="0.25">
      <c r="A297" s="302"/>
      <c r="B297" s="304"/>
      <c r="C297" s="84" t="s">
        <v>176</v>
      </c>
      <c r="D297" s="218">
        <v>958</v>
      </c>
      <c r="E297" s="103" t="s">
        <v>251</v>
      </c>
      <c r="F297" s="103" t="s">
        <v>268</v>
      </c>
      <c r="G297" s="102">
        <v>610</v>
      </c>
      <c r="H297" s="148">
        <v>0</v>
      </c>
      <c r="I297" s="148">
        <v>0</v>
      </c>
      <c r="J297" s="150">
        <v>0</v>
      </c>
      <c r="K297" s="150">
        <v>0</v>
      </c>
      <c r="L297" s="150">
        <v>0</v>
      </c>
      <c r="M297" s="150">
        <v>0</v>
      </c>
      <c r="N297" s="150">
        <v>0</v>
      </c>
      <c r="O297" s="150">
        <f t="shared" si="91"/>
        <v>0</v>
      </c>
      <c r="P297" s="83"/>
      <c r="Q297" s="72"/>
    </row>
    <row r="298" spans="1:17" ht="50.25" customHeight="1" x14ac:dyDescent="0.25">
      <c r="A298" s="302"/>
      <c r="B298" s="304"/>
      <c r="C298" s="84" t="s">
        <v>177</v>
      </c>
      <c r="D298" s="218">
        <v>958</v>
      </c>
      <c r="E298" s="103" t="s">
        <v>251</v>
      </c>
      <c r="F298" s="103" t="s">
        <v>268</v>
      </c>
      <c r="G298" s="102">
        <v>610</v>
      </c>
      <c r="H298" s="148">
        <v>0</v>
      </c>
      <c r="I298" s="148">
        <v>0</v>
      </c>
      <c r="J298" s="150">
        <v>0</v>
      </c>
      <c r="K298" s="150">
        <v>0</v>
      </c>
      <c r="L298" s="150">
        <v>0</v>
      </c>
      <c r="M298" s="150">
        <v>0</v>
      </c>
      <c r="N298" s="150">
        <v>0</v>
      </c>
      <c r="O298" s="150">
        <f t="shared" si="91"/>
        <v>0</v>
      </c>
      <c r="P298" s="83"/>
      <c r="Q298" s="72"/>
    </row>
    <row r="299" spans="1:17" ht="26.25" customHeight="1" x14ac:dyDescent="0.25">
      <c r="A299" s="293" t="s">
        <v>195</v>
      </c>
      <c r="B299" s="299" t="s">
        <v>74</v>
      </c>
      <c r="C299" s="84" t="s">
        <v>173</v>
      </c>
      <c r="D299" s="218">
        <v>958</v>
      </c>
      <c r="E299" s="103" t="s">
        <v>251</v>
      </c>
      <c r="F299" s="105" t="s">
        <v>269</v>
      </c>
      <c r="G299" s="102">
        <v>610</v>
      </c>
      <c r="H299" s="148">
        <v>0</v>
      </c>
      <c r="I299" s="148">
        <f>I300+I301+I302+I303</f>
        <v>124.35000000000001</v>
      </c>
      <c r="J299" s="150">
        <v>0</v>
      </c>
      <c r="K299" s="148">
        <f>K300+K301+K302+K303</f>
        <v>98.42</v>
      </c>
      <c r="L299" s="150">
        <v>0</v>
      </c>
      <c r="M299" s="150">
        <v>0</v>
      </c>
      <c r="N299" s="150">
        <v>0</v>
      </c>
      <c r="O299" s="150">
        <f t="shared" si="91"/>
        <v>222.77</v>
      </c>
      <c r="P299" s="83"/>
      <c r="Q299" s="72"/>
    </row>
    <row r="300" spans="1:17" ht="33.75" customHeight="1" x14ac:dyDescent="0.25">
      <c r="A300" s="294"/>
      <c r="B300" s="300"/>
      <c r="C300" s="84" t="s">
        <v>174</v>
      </c>
      <c r="D300" s="218">
        <v>958</v>
      </c>
      <c r="E300" s="103" t="s">
        <v>251</v>
      </c>
      <c r="F300" s="105" t="s">
        <v>269</v>
      </c>
      <c r="G300" s="102">
        <v>610</v>
      </c>
      <c r="H300" s="148">
        <v>0</v>
      </c>
      <c r="I300" s="148">
        <v>0</v>
      </c>
      <c r="J300" s="150">
        <v>0</v>
      </c>
      <c r="K300" s="150">
        <v>0</v>
      </c>
      <c r="L300" s="150">
        <v>0</v>
      </c>
      <c r="M300" s="150">
        <v>0</v>
      </c>
      <c r="N300" s="150">
        <v>0</v>
      </c>
      <c r="O300" s="150">
        <f t="shared" si="91"/>
        <v>0</v>
      </c>
      <c r="P300" s="83"/>
      <c r="Q300" s="72"/>
    </row>
    <row r="301" spans="1:17" ht="28.5" customHeight="1" x14ac:dyDescent="0.25">
      <c r="A301" s="294"/>
      <c r="B301" s="300"/>
      <c r="C301" s="84" t="s">
        <v>175</v>
      </c>
      <c r="D301" s="218">
        <v>958</v>
      </c>
      <c r="E301" s="103" t="s">
        <v>251</v>
      </c>
      <c r="F301" s="105" t="s">
        <v>269</v>
      </c>
      <c r="G301" s="102">
        <v>610</v>
      </c>
      <c r="H301" s="148">
        <v>0</v>
      </c>
      <c r="I301" s="148">
        <v>0</v>
      </c>
      <c r="J301" s="150">
        <v>0</v>
      </c>
      <c r="K301" s="150">
        <v>0</v>
      </c>
      <c r="L301" s="150">
        <v>0</v>
      </c>
      <c r="M301" s="150">
        <v>0</v>
      </c>
      <c r="N301" s="150">
        <v>0</v>
      </c>
      <c r="O301" s="150">
        <f t="shared" si="91"/>
        <v>0</v>
      </c>
      <c r="P301" s="83"/>
      <c r="Q301" s="72"/>
    </row>
    <row r="302" spans="1:17" ht="51" customHeight="1" x14ac:dyDescent="0.25">
      <c r="A302" s="294"/>
      <c r="B302" s="300"/>
      <c r="C302" s="84" t="s">
        <v>196</v>
      </c>
      <c r="D302" s="218">
        <v>958</v>
      </c>
      <c r="E302" s="103" t="s">
        <v>251</v>
      </c>
      <c r="F302" s="105" t="s">
        <v>269</v>
      </c>
      <c r="G302" s="102">
        <v>610</v>
      </c>
      <c r="H302" s="148">
        <v>0</v>
      </c>
      <c r="I302" s="148">
        <f>0+125.65-1.3</f>
        <v>124.35000000000001</v>
      </c>
      <c r="J302" s="150">
        <v>0</v>
      </c>
      <c r="K302" s="150">
        <f>84.42+14</f>
        <v>98.42</v>
      </c>
      <c r="L302" s="150">
        <v>0</v>
      </c>
      <c r="M302" s="150">
        <v>0</v>
      </c>
      <c r="N302" s="150">
        <v>0</v>
      </c>
      <c r="O302" s="150">
        <f t="shared" si="91"/>
        <v>222.77</v>
      </c>
      <c r="P302" s="83"/>
      <c r="Q302" s="72"/>
    </row>
    <row r="303" spans="1:17" ht="45" customHeight="1" x14ac:dyDescent="0.25">
      <c r="A303" s="295"/>
      <c r="B303" s="301"/>
      <c r="C303" s="84" t="s">
        <v>177</v>
      </c>
      <c r="D303" s="218">
        <v>958</v>
      </c>
      <c r="E303" s="103" t="s">
        <v>251</v>
      </c>
      <c r="F303" s="105" t="s">
        <v>269</v>
      </c>
      <c r="G303" s="102">
        <v>610</v>
      </c>
      <c r="H303" s="148">
        <v>0</v>
      </c>
      <c r="I303" s="148">
        <v>0</v>
      </c>
      <c r="J303" s="150">
        <v>0</v>
      </c>
      <c r="K303" s="150">
        <v>0</v>
      </c>
      <c r="L303" s="150">
        <v>0</v>
      </c>
      <c r="M303" s="150">
        <v>0</v>
      </c>
      <c r="N303" s="150">
        <v>0</v>
      </c>
      <c r="O303" s="150">
        <f t="shared" si="91"/>
        <v>0</v>
      </c>
      <c r="P303" s="83"/>
      <c r="Q303" s="72"/>
    </row>
    <row r="304" spans="1:17" ht="21.75" customHeight="1" x14ac:dyDescent="0.25">
      <c r="A304" s="293" t="s">
        <v>197</v>
      </c>
      <c r="B304" s="304" t="s">
        <v>128</v>
      </c>
      <c r="C304" s="84" t="s">
        <v>173</v>
      </c>
      <c r="D304" s="218">
        <v>958</v>
      </c>
      <c r="E304" s="103" t="s">
        <v>251</v>
      </c>
      <c r="F304" s="105" t="s">
        <v>259</v>
      </c>
      <c r="G304" s="102">
        <v>610</v>
      </c>
      <c r="H304" s="148">
        <f t="shared" ref="H304:O304" si="92">H305+H306+H307+H308</f>
        <v>0</v>
      </c>
      <c r="I304" s="148">
        <f t="shared" si="92"/>
        <v>52</v>
      </c>
      <c r="J304" s="148">
        <f t="shared" si="92"/>
        <v>0</v>
      </c>
      <c r="K304" s="148">
        <f t="shared" si="92"/>
        <v>0</v>
      </c>
      <c r="L304" s="148">
        <f t="shared" si="92"/>
        <v>0</v>
      </c>
      <c r="M304" s="148">
        <f>M305+M306+M307+M308</f>
        <v>0</v>
      </c>
      <c r="N304" s="148">
        <f>N305+N306+N307+N308</f>
        <v>0</v>
      </c>
      <c r="O304" s="148">
        <f t="shared" si="92"/>
        <v>52</v>
      </c>
      <c r="P304" s="83"/>
      <c r="Q304" s="72"/>
    </row>
    <row r="305" spans="1:17" ht="27" customHeight="1" x14ac:dyDescent="0.25">
      <c r="A305" s="294"/>
      <c r="B305" s="304"/>
      <c r="C305" s="84" t="s">
        <v>174</v>
      </c>
      <c r="D305" s="218">
        <v>958</v>
      </c>
      <c r="E305" s="103" t="s">
        <v>251</v>
      </c>
      <c r="F305" s="105" t="s">
        <v>259</v>
      </c>
      <c r="G305" s="102">
        <v>610</v>
      </c>
      <c r="H305" s="148">
        <v>0</v>
      </c>
      <c r="I305" s="148">
        <v>0</v>
      </c>
      <c r="J305" s="150">
        <v>0</v>
      </c>
      <c r="K305" s="150">
        <v>0</v>
      </c>
      <c r="L305" s="150">
        <v>0</v>
      </c>
      <c r="M305" s="150">
        <v>0</v>
      </c>
      <c r="N305" s="150">
        <v>0</v>
      </c>
      <c r="O305" s="150">
        <f>SUM(H305:M305)</f>
        <v>0</v>
      </c>
      <c r="P305" s="83"/>
      <c r="Q305" s="72"/>
    </row>
    <row r="306" spans="1:17" ht="32.25" customHeight="1" x14ac:dyDescent="0.25">
      <c r="A306" s="294"/>
      <c r="B306" s="304"/>
      <c r="C306" s="84" t="s">
        <v>175</v>
      </c>
      <c r="D306" s="218">
        <v>958</v>
      </c>
      <c r="E306" s="103" t="s">
        <v>251</v>
      </c>
      <c r="F306" s="105" t="s">
        <v>259</v>
      </c>
      <c r="G306" s="102">
        <v>610</v>
      </c>
      <c r="H306" s="148">
        <v>0</v>
      </c>
      <c r="I306" s="148">
        <v>0</v>
      </c>
      <c r="J306" s="150">
        <v>0</v>
      </c>
      <c r="K306" s="150">
        <v>0</v>
      </c>
      <c r="L306" s="150">
        <v>0</v>
      </c>
      <c r="M306" s="150">
        <v>0</v>
      </c>
      <c r="N306" s="150">
        <v>0</v>
      </c>
      <c r="O306" s="150">
        <f>SUM(H306:M306)</f>
        <v>0</v>
      </c>
      <c r="P306" s="83"/>
      <c r="Q306" s="72"/>
    </row>
    <row r="307" spans="1:17" ht="48.75" customHeight="1" x14ac:dyDescent="0.25">
      <c r="A307" s="294"/>
      <c r="B307" s="304"/>
      <c r="C307" s="84" t="s">
        <v>196</v>
      </c>
      <c r="D307" s="218">
        <v>958</v>
      </c>
      <c r="E307" s="103" t="s">
        <v>251</v>
      </c>
      <c r="F307" s="105" t="s">
        <v>259</v>
      </c>
      <c r="G307" s="102">
        <v>610</v>
      </c>
      <c r="H307" s="148">
        <v>0</v>
      </c>
      <c r="I307" s="148">
        <v>52</v>
      </c>
      <c r="J307" s="150">
        <v>0</v>
      </c>
      <c r="K307" s="150">
        <v>0</v>
      </c>
      <c r="L307" s="150">
        <v>0</v>
      </c>
      <c r="M307" s="150">
        <v>0</v>
      </c>
      <c r="N307" s="150">
        <v>0</v>
      </c>
      <c r="O307" s="150">
        <f>SUM(H307:M307)</f>
        <v>52</v>
      </c>
      <c r="P307" s="83"/>
      <c r="Q307" s="72"/>
    </row>
    <row r="308" spans="1:17" ht="47.25" customHeight="1" x14ac:dyDescent="0.25">
      <c r="A308" s="295"/>
      <c r="B308" s="304"/>
      <c r="C308" s="84" t="s">
        <v>177</v>
      </c>
      <c r="D308" s="218">
        <v>958</v>
      </c>
      <c r="E308" s="103" t="s">
        <v>251</v>
      </c>
      <c r="F308" s="105" t="s">
        <v>259</v>
      </c>
      <c r="G308" s="102">
        <v>610</v>
      </c>
      <c r="H308" s="148">
        <v>0</v>
      </c>
      <c r="I308" s="148">
        <v>0</v>
      </c>
      <c r="J308" s="150">
        <v>0</v>
      </c>
      <c r="K308" s="150">
        <v>0</v>
      </c>
      <c r="L308" s="150">
        <v>0</v>
      </c>
      <c r="M308" s="150">
        <v>0</v>
      </c>
      <c r="N308" s="150">
        <v>0</v>
      </c>
      <c r="O308" s="150">
        <f>SUM(H308:M308)</f>
        <v>0</v>
      </c>
      <c r="P308" s="83"/>
      <c r="Q308" s="72"/>
    </row>
    <row r="309" spans="1:17" ht="15.75" x14ac:dyDescent="0.25">
      <c r="A309" s="196" t="s">
        <v>300</v>
      </c>
      <c r="B309" s="318" t="s">
        <v>302</v>
      </c>
      <c r="C309" s="84" t="s">
        <v>173</v>
      </c>
      <c r="D309" s="218">
        <v>958</v>
      </c>
      <c r="E309" s="103" t="s">
        <v>251</v>
      </c>
      <c r="F309" s="105" t="s">
        <v>301</v>
      </c>
      <c r="G309" s="102">
        <v>610</v>
      </c>
      <c r="H309" s="148">
        <f t="shared" ref="H309:O309" si="93">H310+H311+H312+H313</f>
        <v>0</v>
      </c>
      <c r="I309" s="148">
        <f t="shared" si="93"/>
        <v>0</v>
      </c>
      <c r="J309" s="148">
        <f t="shared" si="93"/>
        <v>460</v>
      </c>
      <c r="K309" s="148">
        <f t="shared" si="93"/>
        <v>0</v>
      </c>
      <c r="L309" s="148">
        <f t="shared" si="93"/>
        <v>0</v>
      </c>
      <c r="M309" s="148">
        <f>M310+M311+M312+M313</f>
        <v>0</v>
      </c>
      <c r="N309" s="148">
        <f>N310+N311+N312+N313</f>
        <v>0</v>
      </c>
      <c r="O309" s="148">
        <f t="shared" si="93"/>
        <v>460</v>
      </c>
      <c r="P309" s="83"/>
      <c r="Q309" s="72"/>
    </row>
    <row r="310" spans="1:17" ht="31.5" x14ac:dyDescent="0.25">
      <c r="A310" s="196"/>
      <c r="B310" s="319"/>
      <c r="C310" s="84" t="s">
        <v>174</v>
      </c>
      <c r="D310" s="218">
        <v>958</v>
      </c>
      <c r="E310" s="103" t="s">
        <v>251</v>
      </c>
      <c r="F310" s="105" t="s">
        <v>301</v>
      </c>
      <c r="G310" s="102">
        <v>610</v>
      </c>
      <c r="H310" s="148">
        <v>0</v>
      </c>
      <c r="I310" s="148">
        <v>0</v>
      </c>
      <c r="J310" s="150">
        <v>0</v>
      </c>
      <c r="K310" s="150">
        <v>0</v>
      </c>
      <c r="L310" s="150">
        <v>0</v>
      </c>
      <c r="M310" s="150">
        <v>0</v>
      </c>
      <c r="N310" s="150">
        <v>0</v>
      </c>
      <c r="O310" s="150">
        <f>SUM(H310:M310)</f>
        <v>0</v>
      </c>
      <c r="P310" s="83"/>
      <c r="Q310" s="72"/>
    </row>
    <row r="311" spans="1:17" ht="31.5" x14ac:dyDescent="0.25">
      <c r="A311" s="196"/>
      <c r="B311" s="319"/>
      <c r="C311" s="84" t="s">
        <v>175</v>
      </c>
      <c r="D311" s="218">
        <v>958</v>
      </c>
      <c r="E311" s="103" t="s">
        <v>251</v>
      </c>
      <c r="F311" s="105" t="s">
        <v>301</v>
      </c>
      <c r="G311" s="102">
        <v>610</v>
      </c>
      <c r="H311" s="148">
        <v>0</v>
      </c>
      <c r="I311" s="148">
        <v>0</v>
      </c>
      <c r="J311" s="150"/>
      <c r="K311" s="150">
        <v>0</v>
      </c>
      <c r="L311" s="150">
        <v>0</v>
      </c>
      <c r="M311" s="150">
        <v>0</v>
      </c>
      <c r="N311" s="150">
        <v>0</v>
      </c>
      <c r="O311" s="150">
        <f>SUM(H311:M311)</f>
        <v>0</v>
      </c>
      <c r="P311" s="83"/>
      <c r="Q311" s="72"/>
    </row>
    <row r="312" spans="1:17" ht="63" x14ac:dyDescent="0.25">
      <c r="A312" s="196"/>
      <c r="B312" s="319"/>
      <c r="C312" s="84" t="s">
        <v>176</v>
      </c>
      <c r="D312" s="218">
        <v>958</v>
      </c>
      <c r="E312" s="103" t="s">
        <v>251</v>
      </c>
      <c r="F312" s="105" t="s">
        <v>301</v>
      </c>
      <c r="G312" s="102">
        <v>610</v>
      </c>
      <c r="H312" s="148">
        <v>0</v>
      </c>
      <c r="I312" s="148">
        <v>0</v>
      </c>
      <c r="J312" s="150">
        <f>0+460</f>
        <v>460</v>
      </c>
      <c r="K312" s="150">
        <v>0</v>
      </c>
      <c r="L312" s="150">
        <v>0</v>
      </c>
      <c r="M312" s="150">
        <v>0</v>
      </c>
      <c r="N312" s="150">
        <v>0</v>
      </c>
      <c r="O312" s="150">
        <f>SUM(H312:M312)</f>
        <v>460</v>
      </c>
      <c r="P312" s="83"/>
      <c r="Q312" s="72"/>
    </row>
    <row r="313" spans="1:17" ht="47.25" x14ac:dyDescent="0.25">
      <c r="A313" s="196"/>
      <c r="B313" s="320"/>
      <c r="C313" s="84" t="s">
        <v>177</v>
      </c>
      <c r="D313" s="218">
        <v>958</v>
      </c>
      <c r="E313" s="103" t="s">
        <v>251</v>
      </c>
      <c r="F313" s="105" t="s">
        <v>301</v>
      </c>
      <c r="G313" s="102">
        <v>610</v>
      </c>
      <c r="H313" s="148">
        <v>0</v>
      </c>
      <c r="I313" s="148">
        <v>0</v>
      </c>
      <c r="J313" s="150">
        <v>0</v>
      </c>
      <c r="K313" s="150">
        <v>0</v>
      </c>
      <c r="L313" s="150">
        <v>0</v>
      </c>
      <c r="M313" s="150">
        <v>0</v>
      </c>
      <c r="N313" s="150">
        <v>0</v>
      </c>
      <c r="O313" s="150">
        <f>SUM(H313:M313)</f>
        <v>0</v>
      </c>
      <c r="P313" s="83"/>
      <c r="Q313" s="72"/>
    </row>
    <row r="314" spans="1:17" ht="15.75" x14ac:dyDescent="0.25">
      <c r="A314" s="293" t="s">
        <v>140</v>
      </c>
      <c r="B314" s="296" t="s">
        <v>198</v>
      </c>
      <c r="C314" s="81" t="s">
        <v>173</v>
      </c>
      <c r="D314" s="217">
        <v>958</v>
      </c>
      <c r="E314" s="96" t="s">
        <v>251</v>
      </c>
      <c r="F314" s="225" t="s">
        <v>270</v>
      </c>
      <c r="G314" s="95">
        <v>610</v>
      </c>
      <c r="H314" s="147">
        <f t="shared" ref="H314:O314" si="94">H315+H316+H317+H318</f>
        <v>0</v>
      </c>
      <c r="I314" s="147">
        <f t="shared" si="94"/>
        <v>401.1</v>
      </c>
      <c r="J314" s="147">
        <f t="shared" si="94"/>
        <v>1088.1835900000001</v>
      </c>
      <c r="K314" s="147">
        <f t="shared" si="94"/>
        <v>604.40665000000001</v>
      </c>
      <c r="L314" s="147">
        <f t="shared" si="94"/>
        <v>0</v>
      </c>
      <c r="M314" s="147">
        <f>M315+M316+M317+M318</f>
        <v>0</v>
      </c>
      <c r="N314" s="147">
        <f>N315+N316+N317+N318</f>
        <v>0</v>
      </c>
      <c r="O314" s="147">
        <f t="shared" si="94"/>
        <v>2093.6902399999999</v>
      </c>
      <c r="P314" s="83"/>
      <c r="Q314" s="72"/>
    </row>
    <row r="315" spans="1:17" ht="31.5" x14ac:dyDescent="0.25">
      <c r="A315" s="294"/>
      <c r="B315" s="297"/>
      <c r="C315" s="81" t="s">
        <v>174</v>
      </c>
      <c r="D315" s="217">
        <v>958</v>
      </c>
      <c r="E315" s="96" t="s">
        <v>251</v>
      </c>
      <c r="F315" s="225" t="s">
        <v>270</v>
      </c>
      <c r="G315" s="95">
        <v>610</v>
      </c>
      <c r="H315" s="147">
        <v>0</v>
      </c>
      <c r="I315" s="147">
        <v>0</v>
      </c>
      <c r="J315" s="152">
        <v>0</v>
      </c>
      <c r="K315" s="152">
        <v>0</v>
      </c>
      <c r="L315" s="152">
        <v>0</v>
      </c>
      <c r="M315" s="152">
        <v>0</v>
      </c>
      <c r="N315" s="152">
        <v>0</v>
      </c>
      <c r="O315" s="152">
        <v>0</v>
      </c>
      <c r="P315" s="83"/>
      <c r="Q315" s="72"/>
    </row>
    <row r="316" spans="1:17" ht="31.5" x14ac:dyDescent="0.25">
      <c r="A316" s="294"/>
      <c r="B316" s="297"/>
      <c r="C316" s="81" t="s">
        <v>175</v>
      </c>
      <c r="D316" s="217">
        <v>958</v>
      </c>
      <c r="E316" s="96" t="s">
        <v>251</v>
      </c>
      <c r="F316" s="225" t="s">
        <v>270</v>
      </c>
      <c r="G316" s="95">
        <v>610</v>
      </c>
      <c r="H316" s="147">
        <v>0</v>
      </c>
      <c r="I316" s="147">
        <v>0</v>
      </c>
      <c r="J316" s="152">
        <v>0</v>
      </c>
      <c r="K316" s="152">
        <v>0</v>
      </c>
      <c r="L316" s="152">
        <v>0</v>
      </c>
      <c r="M316" s="152">
        <v>0</v>
      </c>
      <c r="N316" s="152">
        <v>0</v>
      </c>
      <c r="O316" s="152">
        <v>0</v>
      </c>
      <c r="P316" s="83"/>
      <c r="Q316" s="72"/>
    </row>
    <row r="317" spans="1:17" ht="47.25" x14ac:dyDescent="0.25">
      <c r="A317" s="294"/>
      <c r="B317" s="297"/>
      <c r="C317" s="81" t="s">
        <v>196</v>
      </c>
      <c r="D317" s="217">
        <v>958</v>
      </c>
      <c r="E317" s="96" t="s">
        <v>251</v>
      </c>
      <c r="F317" s="225" t="s">
        <v>270</v>
      </c>
      <c r="G317" s="95">
        <v>610</v>
      </c>
      <c r="H317" s="147">
        <v>0</v>
      </c>
      <c r="I317" s="147">
        <v>401.1</v>
      </c>
      <c r="J317" s="152">
        <f>1203-114.81641</f>
        <v>1088.1835900000001</v>
      </c>
      <c r="K317" s="152">
        <v>604.40665000000001</v>
      </c>
      <c r="L317" s="152">
        <v>0</v>
      </c>
      <c r="M317" s="152">
        <v>0</v>
      </c>
      <c r="N317" s="152">
        <v>0</v>
      </c>
      <c r="O317" s="152">
        <f>H317+I317+J317+K317+L317+M317</f>
        <v>2093.6902399999999</v>
      </c>
      <c r="P317" s="83"/>
      <c r="Q317" s="72"/>
    </row>
    <row r="318" spans="1:17" ht="45.75" customHeight="1" x14ac:dyDescent="0.25">
      <c r="A318" s="295"/>
      <c r="B318" s="298"/>
      <c r="C318" s="81" t="s">
        <v>177</v>
      </c>
      <c r="D318" s="217">
        <v>958</v>
      </c>
      <c r="E318" s="96" t="s">
        <v>251</v>
      </c>
      <c r="F318" s="225" t="s">
        <v>270</v>
      </c>
      <c r="G318" s="95">
        <v>610</v>
      </c>
      <c r="H318" s="147">
        <v>0</v>
      </c>
      <c r="I318" s="147">
        <v>0</v>
      </c>
      <c r="J318" s="152">
        <v>0</v>
      </c>
      <c r="K318" s="152">
        <v>0</v>
      </c>
      <c r="L318" s="152">
        <v>0</v>
      </c>
      <c r="M318" s="152">
        <v>0</v>
      </c>
      <c r="N318" s="152">
        <v>0</v>
      </c>
      <c r="O318" s="152">
        <v>0</v>
      </c>
      <c r="P318" s="83"/>
      <c r="Q318" s="72"/>
    </row>
    <row r="319" spans="1:17" s="195" customFormat="1" ht="24.75" customHeight="1" x14ac:dyDescent="0.25">
      <c r="A319" s="293" t="s">
        <v>339</v>
      </c>
      <c r="B319" s="296" t="s">
        <v>341</v>
      </c>
      <c r="C319" s="81" t="s">
        <v>173</v>
      </c>
      <c r="D319" s="217">
        <v>958</v>
      </c>
      <c r="E319" s="96" t="s">
        <v>251</v>
      </c>
      <c r="F319" s="225" t="s">
        <v>346</v>
      </c>
      <c r="G319" s="96" t="s">
        <v>210</v>
      </c>
      <c r="H319" s="147">
        <f t="shared" ref="H319:O319" si="95">H320+H321+H322+H323</f>
        <v>0</v>
      </c>
      <c r="I319" s="147">
        <f t="shared" si="95"/>
        <v>0</v>
      </c>
      <c r="J319" s="147">
        <f t="shared" si="95"/>
        <v>0</v>
      </c>
      <c r="K319" s="147">
        <f t="shared" si="95"/>
        <v>1131.7833499999999</v>
      </c>
      <c r="L319" s="147">
        <f t="shared" si="95"/>
        <v>1736.19</v>
      </c>
      <c r="M319" s="147">
        <f t="shared" si="95"/>
        <v>1236.19</v>
      </c>
      <c r="N319" s="147">
        <f t="shared" si="95"/>
        <v>1236.19</v>
      </c>
      <c r="O319" s="147">
        <f t="shared" si="95"/>
        <v>4104.1633500000007</v>
      </c>
      <c r="P319" s="193"/>
      <c r="Q319" s="194"/>
    </row>
    <row r="320" spans="1:17" s="195" customFormat="1" ht="36" customHeight="1" x14ac:dyDescent="0.25">
      <c r="A320" s="294"/>
      <c r="B320" s="297"/>
      <c r="C320" s="81" t="s">
        <v>174</v>
      </c>
      <c r="D320" s="217">
        <v>958</v>
      </c>
      <c r="E320" s="96" t="s">
        <v>251</v>
      </c>
      <c r="F320" s="225" t="s">
        <v>346</v>
      </c>
      <c r="G320" s="96" t="s">
        <v>210</v>
      </c>
      <c r="H320" s="147">
        <f>H325</f>
        <v>0</v>
      </c>
      <c r="I320" s="147">
        <f t="shared" ref="I320:O323" si="96">I325</f>
        <v>0</v>
      </c>
      <c r="J320" s="147">
        <f t="shared" si="96"/>
        <v>0</v>
      </c>
      <c r="K320" s="147">
        <f t="shared" si="96"/>
        <v>0</v>
      </c>
      <c r="L320" s="147">
        <f t="shared" si="96"/>
        <v>0</v>
      </c>
      <c r="M320" s="147">
        <f t="shared" si="96"/>
        <v>0</v>
      </c>
      <c r="N320" s="147">
        <f t="shared" si="96"/>
        <v>0</v>
      </c>
      <c r="O320" s="147">
        <f t="shared" si="96"/>
        <v>0</v>
      </c>
      <c r="P320" s="193"/>
      <c r="Q320" s="194"/>
    </row>
    <row r="321" spans="1:17" s="195" customFormat="1" ht="29.25" customHeight="1" x14ac:dyDescent="0.25">
      <c r="A321" s="294"/>
      <c r="B321" s="297"/>
      <c r="C321" s="81" t="s">
        <v>175</v>
      </c>
      <c r="D321" s="217">
        <v>958</v>
      </c>
      <c r="E321" s="96" t="s">
        <v>251</v>
      </c>
      <c r="F321" s="225" t="s">
        <v>346</v>
      </c>
      <c r="G321" s="96" t="s">
        <v>210</v>
      </c>
      <c r="H321" s="147">
        <f t="shared" ref="H321:O322" si="97">H326</f>
        <v>0</v>
      </c>
      <c r="I321" s="147">
        <f t="shared" si="97"/>
        <v>0</v>
      </c>
      <c r="J321" s="147">
        <f t="shared" si="97"/>
        <v>0</v>
      </c>
      <c r="K321" s="147">
        <f t="shared" si="96"/>
        <v>0</v>
      </c>
      <c r="L321" s="147">
        <f t="shared" si="97"/>
        <v>0</v>
      </c>
      <c r="M321" s="147">
        <f t="shared" si="97"/>
        <v>0</v>
      </c>
      <c r="N321" s="147">
        <f t="shared" si="97"/>
        <v>0</v>
      </c>
      <c r="O321" s="147">
        <f t="shared" si="97"/>
        <v>0</v>
      </c>
      <c r="P321" s="193"/>
      <c r="Q321" s="194"/>
    </row>
    <row r="322" spans="1:17" s="195" customFormat="1" ht="48.75" customHeight="1" x14ac:dyDescent="0.25">
      <c r="A322" s="294"/>
      <c r="B322" s="297"/>
      <c r="C322" s="81" t="s">
        <v>196</v>
      </c>
      <c r="D322" s="217">
        <v>958</v>
      </c>
      <c r="E322" s="96" t="s">
        <v>251</v>
      </c>
      <c r="F322" s="225" t="s">
        <v>346</v>
      </c>
      <c r="G322" s="96" t="s">
        <v>210</v>
      </c>
      <c r="H322" s="147">
        <f t="shared" si="97"/>
        <v>0</v>
      </c>
      <c r="I322" s="147">
        <f t="shared" si="97"/>
        <v>0</v>
      </c>
      <c r="J322" s="147">
        <f t="shared" si="97"/>
        <v>0</v>
      </c>
      <c r="K322" s="147">
        <f t="shared" si="96"/>
        <v>1131.7833499999999</v>
      </c>
      <c r="L322" s="147">
        <f t="shared" si="97"/>
        <v>1736.19</v>
      </c>
      <c r="M322" s="147">
        <f t="shared" si="97"/>
        <v>1236.19</v>
      </c>
      <c r="N322" s="147">
        <f t="shared" si="97"/>
        <v>1236.19</v>
      </c>
      <c r="O322" s="147">
        <f t="shared" si="97"/>
        <v>4104.1633500000007</v>
      </c>
      <c r="P322" s="193"/>
      <c r="Q322" s="194"/>
    </row>
    <row r="323" spans="1:17" s="195" customFormat="1" ht="34.5" customHeight="1" x14ac:dyDescent="0.25">
      <c r="A323" s="295"/>
      <c r="B323" s="298"/>
      <c r="C323" s="81" t="s">
        <v>177</v>
      </c>
      <c r="D323" s="217">
        <v>958</v>
      </c>
      <c r="E323" s="96" t="s">
        <v>251</v>
      </c>
      <c r="F323" s="225" t="s">
        <v>346</v>
      </c>
      <c r="G323" s="96" t="s">
        <v>210</v>
      </c>
      <c r="H323" s="147">
        <f>H328</f>
        <v>0</v>
      </c>
      <c r="I323" s="147">
        <f t="shared" ref="I323:O323" si="98">I328</f>
        <v>0</v>
      </c>
      <c r="J323" s="147">
        <f t="shared" si="98"/>
        <v>0</v>
      </c>
      <c r="K323" s="147">
        <f t="shared" si="96"/>
        <v>0</v>
      </c>
      <c r="L323" s="147">
        <f t="shared" si="98"/>
        <v>0</v>
      </c>
      <c r="M323" s="147">
        <f t="shared" si="98"/>
        <v>0</v>
      </c>
      <c r="N323" s="147">
        <f t="shared" si="98"/>
        <v>0</v>
      </c>
      <c r="O323" s="147">
        <f t="shared" si="98"/>
        <v>0</v>
      </c>
      <c r="P323" s="193"/>
      <c r="Q323" s="194"/>
    </row>
    <row r="324" spans="1:17" s="195" customFormat="1" ht="21" customHeight="1" x14ac:dyDescent="0.25">
      <c r="A324" s="293" t="s">
        <v>340</v>
      </c>
      <c r="B324" s="299" t="s">
        <v>345</v>
      </c>
      <c r="C324" s="84" t="s">
        <v>173</v>
      </c>
      <c r="D324" s="218">
        <v>958</v>
      </c>
      <c r="E324" s="103" t="s">
        <v>251</v>
      </c>
      <c r="F324" s="105" t="s">
        <v>347</v>
      </c>
      <c r="G324" s="102">
        <v>610</v>
      </c>
      <c r="H324" s="148">
        <f>H325+H326+H327+H328</f>
        <v>0</v>
      </c>
      <c r="I324" s="148">
        <f>I325+I326+I327+I328</f>
        <v>0</v>
      </c>
      <c r="J324" s="148">
        <f t="shared" ref="J324:O324" si="99">J325+J326+J327+J328</f>
        <v>0</v>
      </c>
      <c r="K324" s="148">
        <f t="shared" si="99"/>
        <v>1131.7833499999999</v>
      </c>
      <c r="L324" s="148">
        <f t="shared" si="99"/>
        <v>1736.19</v>
      </c>
      <c r="M324" s="148">
        <f t="shared" si="99"/>
        <v>1236.19</v>
      </c>
      <c r="N324" s="148">
        <f t="shared" si="99"/>
        <v>1236.19</v>
      </c>
      <c r="O324" s="148">
        <f t="shared" si="99"/>
        <v>4104.1633500000007</v>
      </c>
      <c r="P324" s="193"/>
      <c r="Q324" s="194"/>
    </row>
    <row r="325" spans="1:17" s="195" customFormat="1" ht="30.75" customHeight="1" x14ac:dyDescent="0.25">
      <c r="A325" s="294"/>
      <c r="B325" s="300"/>
      <c r="C325" s="84" t="s">
        <v>174</v>
      </c>
      <c r="D325" s="218">
        <v>958</v>
      </c>
      <c r="E325" s="103" t="s">
        <v>251</v>
      </c>
      <c r="F325" s="105" t="s">
        <v>347</v>
      </c>
      <c r="G325" s="102">
        <v>610</v>
      </c>
      <c r="H325" s="148">
        <v>0</v>
      </c>
      <c r="I325" s="148">
        <v>0</v>
      </c>
      <c r="J325" s="150">
        <v>0</v>
      </c>
      <c r="K325" s="150">
        <v>0</v>
      </c>
      <c r="L325" s="150">
        <v>0</v>
      </c>
      <c r="M325" s="150">
        <v>0</v>
      </c>
      <c r="N325" s="150">
        <v>0</v>
      </c>
      <c r="O325" s="150">
        <v>0</v>
      </c>
      <c r="P325" s="193"/>
      <c r="Q325" s="194"/>
    </row>
    <row r="326" spans="1:17" s="195" customFormat="1" ht="33" customHeight="1" x14ac:dyDescent="0.25">
      <c r="A326" s="294"/>
      <c r="B326" s="300"/>
      <c r="C326" s="84" t="s">
        <v>175</v>
      </c>
      <c r="D326" s="218">
        <v>958</v>
      </c>
      <c r="E326" s="103" t="s">
        <v>251</v>
      </c>
      <c r="F326" s="105" t="s">
        <v>347</v>
      </c>
      <c r="G326" s="102">
        <v>610</v>
      </c>
      <c r="H326" s="148">
        <v>0</v>
      </c>
      <c r="I326" s="148">
        <v>0</v>
      </c>
      <c r="J326" s="150">
        <v>0</v>
      </c>
      <c r="K326" s="150">
        <v>0</v>
      </c>
      <c r="L326" s="150">
        <v>0</v>
      </c>
      <c r="M326" s="150">
        <v>0</v>
      </c>
      <c r="N326" s="150">
        <v>0</v>
      </c>
      <c r="O326" s="150">
        <v>0</v>
      </c>
      <c r="P326" s="193"/>
      <c r="Q326" s="194"/>
    </row>
    <row r="327" spans="1:17" s="195" customFormat="1" ht="50.1" customHeight="1" x14ac:dyDescent="0.25">
      <c r="A327" s="294"/>
      <c r="B327" s="300"/>
      <c r="C327" s="84" t="s">
        <v>196</v>
      </c>
      <c r="D327" s="218">
        <v>958</v>
      </c>
      <c r="E327" s="103" t="s">
        <v>251</v>
      </c>
      <c r="F327" s="105" t="s">
        <v>347</v>
      </c>
      <c r="G327" s="102">
        <v>610</v>
      </c>
      <c r="H327" s="148">
        <v>0</v>
      </c>
      <c r="I327" s="148">
        <v>0</v>
      </c>
      <c r="J327" s="150">
        <v>0</v>
      </c>
      <c r="K327" s="150">
        <v>1131.7833499999999</v>
      </c>
      <c r="L327" s="150">
        <v>1736.19</v>
      </c>
      <c r="M327" s="150">
        <v>1236.19</v>
      </c>
      <c r="N327" s="150">
        <v>1236.19</v>
      </c>
      <c r="O327" s="150">
        <f>H327+I327+J327+K327+L327+M327</f>
        <v>4104.1633500000007</v>
      </c>
      <c r="P327" s="193"/>
      <c r="Q327" s="194"/>
    </row>
    <row r="328" spans="1:17" s="195" customFormat="1" ht="24" hidden="1" customHeight="1" x14ac:dyDescent="0.25">
      <c r="A328" s="295"/>
      <c r="B328" s="301"/>
      <c r="C328" s="84" t="s">
        <v>177</v>
      </c>
      <c r="D328" s="218">
        <v>958</v>
      </c>
      <c r="E328" s="103" t="s">
        <v>251</v>
      </c>
      <c r="F328" s="105" t="s">
        <v>347</v>
      </c>
      <c r="G328" s="102">
        <v>610</v>
      </c>
      <c r="H328" s="148">
        <v>0</v>
      </c>
      <c r="I328" s="148">
        <v>0</v>
      </c>
      <c r="J328" s="150">
        <v>0</v>
      </c>
      <c r="K328" s="150">
        <v>0</v>
      </c>
      <c r="L328" s="150">
        <v>0</v>
      </c>
      <c r="M328" s="150">
        <v>0</v>
      </c>
      <c r="N328" s="150">
        <v>0</v>
      </c>
      <c r="O328" s="150">
        <v>0</v>
      </c>
      <c r="P328" s="193"/>
      <c r="Q328" s="194"/>
    </row>
    <row r="329" spans="1:17" ht="23.25" hidden="1" customHeight="1" x14ac:dyDescent="0.25">
      <c r="A329" s="305"/>
      <c r="B329" s="296" t="s">
        <v>199</v>
      </c>
      <c r="C329" s="81" t="s">
        <v>173</v>
      </c>
      <c r="D329" s="217">
        <v>958</v>
      </c>
      <c r="E329" s="96" t="s">
        <v>251</v>
      </c>
      <c r="F329" s="96" t="s">
        <v>361</v>
      </c>
      <c r="G329" s="96" t="s">
        <v>210</v>
      </c>
      <c r="H329" s="147">
        <v>0</v>
      </c>
      <c r="I329" s="147">
        <f>I333+I332+I331+I330</f>
        <v>0</v>
      </c>
      <c r="J329" s="152">
        <v>0</v>
      </c>
      <c r="K329" s="152">
        <v>0</v>
      </c>
      <c r="L329" s="152">
        <v>0</v>
      </c>
      <c r="M329" s="152">
        <v>0</v>
      </c>
      <c r="N329" s="152">
        <v>0</v>
      </c>
      <c r="O329" s="152">
        <f t="shared" ref="O329:O338" si="100">SUM(H329:M329)</f>
        <v>0</v>
      </c>
      <c r="P329" s="80"/>
      <c r="Q329" s="72"/>
    </row>
    <row r="330" spans="1:17" ht="23.25" hidden="1" customHeight="1" x14ac:dyDescent="0.25">
      <c r="A330" s="306"/>
      <c r="B330" s="297"/>
      <c r="C330" s="81" t="s">
        <v>174</v>
      </c>
      <c r="D330" s="217">
        <v>958</v>
      </c>
      <c r="E330" s="96" t="s">
        <v>251</v>
      </c>
      <c r="F330" s="96" t="s">
        <v>361</v>
      </c>
      <c r="G330" s="96" t="s">
        <v>210</v>
      </c>
      <c r="H330" s="147">
        <v>0</v>
      </c>
      <c r="I330" s="147">
        <v>0</v>
      </c>
      <c r="J330" s="152">
        <v>0</v>
      </c>
      <c r="K330" s="152">
        <v>0</v>
      </c>
      <c r="L330" s="152">
        <v>0</v>
      </c>
      <c r="M330" s="152">
        <v>0</v>
      </c>
      <c r="N330" s="152">
        <v>0</v>
      </c>
      <c r="O330" s="152">
        <f t="shared" si="100"/>
        <v>0</v>
      </c>
      <c r="P330" s="80"/>
      <c r="Q330" s="72"/>
    </row>
    <row r="331" spans="1:17" ht="23.25" hidden="1" customHeight="1" x14ac:dyDescent="0.25">
      <c r="A331" s="306"/>
      <c r="B331" s="297"/>
      <c r="C331" s="81" t="s">
        <v>175</v>
      </c>
      <c r="D331" s="217">
        <v>958</v>
      </c>
      <c r="E331" s="96" t="s">
        <v>251</v>
      </c>
      <c r="F331" s="96" t="s">
        <v>361</v>
      </c>
      <c r="G331" s="96" t="s">
        <v>210</v>
      </c>
      <c r="H331" s="147">
        <v>0</v>
      </c>
      <c r="I331" s="147">
        <v>0</v>
      </c>
      <c r="J331" s="152">
        <v>0</v>
      </c>
      <c r="K331" s="152">
        <v>0</v>
      </c>
      <c r="L331" s="152">
        <v>0</v>
      </c>
      <c r="M331" s="152">
        <v>0</v>
      </c>
      <c r="N331" s="152">
        <v>0</v>
      </c>
      <c r="O331" s="152">
        <f t="shared" si="100"/>
        <v>0</v>
      </c>
      <c r="P331" s="80"/>
      <c r="Q331" s="72"/>
    </row>
    <row r="332" spans="1:17" ht="23.25" hidden="1" customHeight="1" x14ac:dyDescent="0.25">
      <c r="A332" s="306"/>
      <c r="B332" s="297"/>
      <c r="C332" s="81" t="s">
        <v>176</v>
      </c>
      <c r="D332" s="217">
        <v>958</v>
      </c>
      <c r="E332" s="96" t="s">
        <v>251</v>
      </c>
      <c r="F332" s="96" t="s">
        <v>361</v>
      </c>
      <c r="G332" s="96" t="s">
        <v>210</v>
      </c>
      <c r="H332" s="147">
        <v>0</v>
      </c>
      <c r="I332" s="147">
        <v>0</v>
      </c>
      <c r="J332" s="152">
        <v>0</v>
      </c>
      <c r="K332" s="152">
        <v>0</v>
      </c>
      <c r="L332" s="152">
        <v>0</v>
      </c>
      <c r="M332" s="152">
        <v>0</v>
      </c>
      <c r="N332" s="152">
        <v>0</v>
      </c>
      <c r="O332" s="152">
        <f t="shared" si="100"/>
        <v>0</v>
      </c>
      <c r="P332" s="80"/>
      <c r="Q332" s="72"/>
    </row>
    <row r="333" spans="1:17" ht="23.25" hidden="1" customHeight="1" x14ac:dyDescent="0.25">
      <c r="A333" s="307"/>
      <c r="B333" s="298"/>
      <c r="C333" s="81" t="s">
        <v>177</v>
      </c>
      <c r="D333" s="217">
        <v>958</v>
      </c>
      <c r="E333" s="96" t="s">
        <v>251</v>
      </c>
      <c r="F333" s="96" t="s">
        <v>361</v>
      </c>
      <c r="G333" s="96" t="s">
        <v>210</v>
      </c>
      <c r="H333" s="147">
        <v>0</v>
      </c>
      <c r="I333" s="147">
        <v>0</v>
      </c>
      <c r="J333" s="152">
        <v>0</v>
      </c>
      <c r="K333" s="152">
        <v>0</v>
      </c>
      <c r="L333" s="152">
        <v>0</v>
      </c>
      <c r="M333" s="152">
        <v>0</v>
      </c>
      <c r="N333" s="152">
        <v>0</v>
      </c>
      <c r="O333" s="152">
        <f t="shared" si="100"/>
        <v>0</v>
      </c>
      <c r="P333" s="80"/>
      <c r="Q333" s="72"/>
    </row>
    <row r="334" spans="1:17" ht="23.25" hidden="1" customHeight="1" x14ac:dyDescent="0.25">
      <c r="A334" s="305"/>
      <c r="B334" s="299" t="s">
        <v>200</v>
      </c>
      <c r="C334" s="84" t="s">
        <v>173</v>
      </c>
      <c r="D334" s="218">
        <v>958</v>
      </c>
      <c r="E334" s="103" t="s">
        <v>251</v>
      </c>
      <c r="F334" s="103" t="s">
        <v>264</v>
      </c>
      <c r="G334" s="118">
        <v>610</v>
      </c>
      <c r="H334" s="148">
        <v>0</v>
      </c>
      <c r="I334" s="148">
        <f>I338+I337+I336+I335</f>
        <v>0</v>
      </c>
      <c r="J334" s="150">
        <v>0</v>
      </c>
      <c r="K334" s="150">
        <v>0</v>
      </c>
      <c r="L334" s="150">
        <v>0</v>
      </c>
      <c r="M334" s="150">
        <v>0</v>
      </c>
      <c r="N334" s="150">
        <v>0</v>
      </c>
      <c r="O334" s="150">
        <f t="shared" si="100"/>
        <v>0</v>
      </c>
      <c r="P334" s="83"/>
      <c r="Q334" s="72"/>
    </row>
    <row r="335" spans="1:17" ht="23.25" hidden="1" customHeight="1" x14ac:dyDescent="0.25">
      <c r="A335" s="306"/>
      <c r="B335" s="300"/>
      <c r="C335" s="84" t="s">
        <v>174</v>
      </c>
      <c r="D335" s="218">
        <v>958</v>
      </c>
      <c r="E335" s="103" t="s">
        <v>251</v>
      </c>
      <c r="F335" s="103" t="s">
        <v>264</v>
      </c>
      <c r="G335" s="118">
        <v>610</v>
      </c>
      <c r="H335" s="148">
        <v>0</v>
      </c>
      <c r="I335" s="148">
        <v>0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>
        <f t="shared" si="100"/>
        <v>0</v>
      </c>
      <c r="P335" s="83"/>
      <c r="Q335" s="72"/>
    </row>
    <row r="336" spans="1:17" ht="23.25" hidden="1" customHeight="1" x14ac:dyDescent="0.25">
      <c r="A336" s="306"/>
      <c r="B336" s="300"/>
      <c r="C336" s="84" t="s">
        <v>175</v>
      </c>
      <c r="D336" s="218">
        <v>958</v>
      </c>
      <c r="E336" s="103" t="s">
        <v>251</v>
      </c>
      <c r="F336" s="103" t="s">
        <v>264</v>
      </c>
      <c r="G336" s="118">
        <v>610</v>
      </c>
      <c r="H336" s="148">
        <v>0</v>
      </c>
      <c r="I336" s="148">
        <v>0</v>
      </c>
      <c r="J336" s="150">
        <v>0</v>
      </c>
      <c r="K336" s="150">
        <v>0</v>
      </c>
      <c r="L336" s="150">
        <v>0</v>
      </c>
      <c r="M336" s="150">
        <v>0</v>
      </c>
      <c r="N336" s="150">
        <v>0</v>
      </c>
      <c r="O336" s="150">
        <f t="shared" si="100"/>
        <v>0</v>
      </c>
      <c r="P336" s="83"/>
      <c r="Q336" s="72"/>
    </row>
    <row r="337" spans="1:17" ht="23.25" hidden="1" customHeight="1" x14ac:dyDescent="0.25">
      <c r="A337" s="306"/>
      <c r="B337" s="300"/>
      <c r="C337" s="84" t="s">
        <v>176</v>
      </c>
      <c r="D337" s="218">
        <v>958</v>
      </c>
      <c r="E337" s="103" t="s">
        <v>251</v>
      </c>
      <c r="F337" s="103" t="s">
        <v>264</v>
      </c>
      <c r="G337" s="118">
        <v>610</v>
      </c>
      <c r="H337" s="148">
        <v>0</v>
      </c>
      <c r="I337" s="148">
        <v>0</v>
      </c>
      <c r="J337" s="150">
        <v>0</v>
      </c>
      <c r="K337" s="150">
        <v>0</v>
      </c>
      <c r="L337" s="150">
        <v>0</v>
      </c>
      <c r="M337" s="150">
        <v>0</v>
      </c>
      <c r="N337" s="150">
        <v>0</v>
      </c>
      <c r="O337" s="150">
        <f t="shared" si="100"/>
        <v>0</v>
      </c>
      <c r="P337" s="83"/>
      <c r="Q337" s="72"/>
    </row>
    <row r="338" spans="1:17" ht="51" customHeight="1" x14ac:dyDescent="0.25">
      <c r="A338" s="307"/>
      <c r="B338" s="301"/>
      <c r="C338" s="84" t="s">
        <v>177</v>
      </c>
      <c r="D338" s="218">
        <v>958</v>
      </c>
      <c r="E338" s="103" t="s">
        <v>251</v>
      </c>
      <c r="F338" s="103" t="s">
        <v>264</v>
      </c>
      <c r="G338" s="118">
        <v>610</v>
      </c>
      <c r="H338" s="148">
        <v>0</v>
      </c>
      <c r="I338" s="148">
        <v>0</v>
      </c>
      <c r="J338" s="150">
        <v>0</v>
      </c>
      <c r="K338" s="150">
        <v>0</v>
      </c>
      <c r="L338" s="150">
        <v>0</v>
      </c>
      <c r="M338" s="150">
        <v>0</v>
      </c>
      <c r="N338" s="150">
        <v>0</v>
      </c>
      <c r="O338" s="150">
        <f t="shared" si="100"/>
        <v>0</v>
      </c>
      <c r="P338" s="83"/>
      <c r="Q338" s="72"/>
    </row>
    <row r="339" spans="1:17" ht="24" customHeight="1" x14ac:dyDescent="0.25">
      <c r="A339" s="308" t="s">
        <v>143</v>
      </c>
      <c r="B339" s="303" t="s">
        <v>144</v>
      </c>
      <c r="C339" s="81" t="s">
        <v>173</v>
      </c>
      <c r="D339" s="217">
        <v>958</v>
      </c>
      <c r="E339" s="96" t="s">
        <v>271</v>
      </c>
      <c r="F339" s="96" t="s">
        <v>272</v>
      </c>
      <c r="G339" s="96" t="s">
        <v>210</v>
      </c>
      <c r="H339" s="147">
        <f t="shared" ref="H339:O343" si="101">H344+H369+H379</f>
        <v>21209.079000000002</v>
      </c>
      <c r="I339" s="147">
        <f t="shared" si="101"/>
        <v>22817.95</v>
      </c>
      <c r="J339" s="147">
        <f t="shared" si="101"/>
        <v>25820.885780000001</v>
      </c>
      <c r="K339" s="147">
        <f t="shared" si="101"/>
        <v>26473.939399999996</v>
      </c>
      <c r="L339" s="147">
        <f t="shared" si="101"/>
        <v>31512.54</v>
      </c>
      <c r="M339" s="147">
        <f>M344+M369+M379</f>
        <v>21522.758019999997</v>
      </c>
      <c r="N339" s="147">
        <f>N344+N369+N379</f>
        <v>19772.872630000002</v>
      </c>
      <c r="O339" s="147">
        <f t="shared" si="101"/>
        <v>149357.15220000001</v>
      </c>
      <c r="P339" s="80"/>
      <c r="Q339" s="72"/>
    </row>
    <row r="340" spans="1:17" ht="30" customHeight="1" x14ac:dyDescent="0.25">
      <c r="A340" s="308"/>
      <c r="B340" s="303"/>
      <c r="C340" s="81" t="s">
        <v>174</v>
      </c>
      <c r="D340" s="217">
        <v>958</v>
      </c>
      <c r="E340" s="96" t="s">
        <v>271</v>
      </c>
      <c r="F340" s="96" t="s">
        <v>272</v>
      </c>
      <c r="G340" s="96" t="s">
        <v>210</v>
      </c>
      <c r="H340" s="147">
        <f t="shared" ref="H340:J343" si="102">H345+H370+H380</f>
        <v>0</v>
      </c>
      <c r="I340" s="147">
        <f t="shared" si="102"/>
        <v>0</v>
      </c>
      <c r="J340" s="147">
        <f t="shared" si="102"/>
        <v>0</v>
      </c>
      <c r="K340" s="147">
        <f t="shared" si="101"/>
        <v>0</v>
      </c>
      <c r="L340" s="147">
        <f t="shared" si="101"/>
        <v>0</v>
      </c>
      <c r="M340" s="147">
        <f t="shared" si="101"/>
        <v>0</v>
      </c>
      <c r="N340" s="147">
        <f>N345+N370+N380</f>
        <v>0</v>
      </c>
      <c r="O340" s="147">
        <f t="shared" ref="O340:O341" si="103">O345+O370+O380</f>
        <v>0</v>
      </c>
      <c r="P340" s="80"/>
      <c r="Q340" s="72"/>
    </row>
    <row r="341" spans="1:17" ht="30.75" customHeight="1" x14ac:dyDescent="0.25">
      <c r="A341" s="308"/>
      <c r="B341" s="303"/>
      <c r="C341" s="81" t="s">
        <v>175</v>
      </c>
      <c r="D341" s="217">
        <v>958</v>
      </c>
      <c r="E341" s="96" t="s">
        <v>271</v>
      </c>
      <c r="F341" s="96" t="s">
        <v>272</v>
      </c>
      <c r="G341" s="96" t="s">
        <v>210</v>
      </c>
      <c r="H341" s="147">
        <f t="shared" si="102"/>
        <v>1938.4</v>
      </c>
      <c r="I341" s="147">
        <f t="shared" si="102"/>
        <v>1750</v>
      </c>
      <c r="J341" s="147">
        <f t="shared" si="102"/>
        <v>657</v>
      </c>
      <c r="K341" s="147">
        <f t="shared" si="101"/>
        <v>360</v>
      </c>
      <c r="L341" s="147">
        <f t="shared" si="101"/>
        <v>1160</v>
      </c>
      <c r="M341" s="147">
        <f t="shared" si="101"/>
        <v>1310</v>
      </c>
      <c r="N341" s="147">
        <f>N346+N371+N381</f>
        <v>0</v>
      </c>
      <c r="O341" s="147">
        <f t="shared" si="103"/>
        <v>7175.4</v>
      </c>
      <c r="P341" s="80"/>
      <c r="Q341" s="72"/>
    </row>
    <row r="342" spans="1:17" ht="70.5" customHeight="1" x14ac:dyDescent="0.25">
      <c r="A342" s="308"/>
      <c r="B342" s="303"/>
      <c r="C342" s="81" t="s">
        <v>176</v>
      </c>
      <c r="D342" s="217">
        <v>958</v>
      </c>
      <c r="E342" s="96" t="s">
        <v>271</v>
      </c>
      <c r="F342" s="96" t="s">
        <v>272</v>
      </c>
      <c r="G342" s="96" t="s">
        <v>210</v>
      </c>
      <c r="H342" s="147">
        <f>H347+H372+H382</f>
        <v>19270.679</v>
      </c>
      <c r="I342" s="147">
        <f t="shared" si="102"/>
        <v>21067.95</v>
      </c>
      <c r="J342" s="147">
        <f t="shared" si="102"/>
        <v>25163.885780000001</v>
      </c>
      <c r="K342" s="147">
        <f t="shared" si="101"/>
        <v>26113.939399999996</v>
      </c>
      <c r="L342" s="147">
        <f>L347+L372+L382</f>
        <v>30352.54</v>
      </c>
      <c r="M342" s="147">
        <f>M347+M372+M382</f>
        <v>20212.758019999997</v>
      </c>
      <c r="N342" s="147">
        <f>N347+N372+N382</f>
        <v>19772.872630000002</v>
      </c>
      <c r="O342" s="147">
        <f>O347+O372+O382</f>
        <v>142181.75220000002</v>
      </c>
      <c r="P342" s="80"/>
      <c r="Q342" s="72"/>
    </row>
    <row r="343" spans="1:17" ht="46.5" customHeight="1" x14ac:dyDescent="0.25">
      <c r="A343" s="308"/>
      <c r="B343" s="303"/>
      <c r="C343" s="81" t="s">
        <v>177</v>
      </c>
      <c r="D343" s="217">
        <v>958</v>
      </c>
      <c r="E343" s="96" t="s">
        <v>271</v>
      </c>
      <c r="F343" s="96" t="s">
        <v>272</v>
      </c>
      <c r="G343" s="96" t="s">
        <v>210</v>
      </c>
      <c r="H343" s="147">
        <f t="shared" si="102"/>
        <v>0</v>
      </c>
      <c r="I343" s="147">
        <f t="shared" ref="I343:M348" si="104">I348+I353+I358+I363</f>
        <v>0</v>
      </c>
      <c r="J343" s="147">
        <f t="shared" si="104"/>
        <v>0</v>
      </c>
      <c r="K343" s="147">
        <f t="shared" si="104"/>
        <v>0</v>
      </c>
      <c r="L343" s="147">
        <f t="shared" si="101"/>
        <v>0</v>
      </c>
      <c r="M343" s="147">
        <f>M348+M373+M383</f>
        <v>0</v>
      </c>
      <c r="N343" s="147">
        <f>N348+N373+N383</f>
        <v>0</v>
      </c>
      <c r="O343" s="147">
        <f>SUM(H343:M343)</f>
        <v>0</v>
      </c>
      <c r="P343" s="80"/>
      <c r="Q343" s="72"/>
    </row>
    <row r="344" spans="1:17" ht="22.5" customHeight="1" x14ac:dyDescent="0.25">
      <c r="A344" s="302" t="s">
        <v>16</v>
      </c>
      <c r="B344" s="303" t="s">
        <v>145</v>
      </c>
      <c r="C344" s="81" t="s">
        <v>173</v>
      </c>
      <c r="D344" s="217">
        <v>958</v>
      </c>
      <c r="E344" s="96" t="s">
        <v>271</v>
      </c>
      <c r="F344" s="96" t="s">
        <v>272</v>
      </c>
      <c r="G344" s="96" t="s">
        <v>210</v>
      </c>
      <c r="H344" s="147">
        <f>H349+H354+H359+H364</f>
        <v>19196.679</v>
      </c>
      <c r="I344" s="147">
        <f t="shared" si="104"/>
        <v>20943.95</v>
      </c>
      <c r="J344" s="147">
        <f>J349+J354+J359+J364</f>
        <v>25038.885780000001</v>
      </c>
      <c r="K344" s="147">
        <f t="shared" si="104"/>
        <v>25988.939399999996</v>
      </c>
      <c r="L344" s="147">
        <f t="shared" si="104"/>
        <v>30227.54</v>
      </c>
      <c r="M344" s="147">
        <f t="shared" si="104"/>
        <v>20087.758019999997</v>
      </c>
      <c r="N344" s="147">
        <f>N349+N354+N359+N364</f>
        <v>19647.872630000002</v>
      </c>
      <c r="O344" s="147">
        <f>O349+O354+O359+O364</f>
        <v>141483.75220000002</v>
      </c>
      <c r="P344" s="80"/>
      <c r="Q344" s="72"/>
    </row>
    <row r="345" spans="1:17" ht="36" customHeight="1" x14ac:dyDescent="0.25">
      <c r="A345" s="302"/>
      <c r="B345" s="303"/>
      <c r="C345" s="81" t="s">
        <v>174</v>
      </c>
      <c r="D345" s="217">
        <v>958</v>
      </c>
      <c r="E345" s="96" t="s">
        <v>271</v>
      </c>
      <c r="F345" s="96" t="s">
        <v>272</v>
      </c>
      <c r="G345" s="96" t="s">
        <v>210</v>
      </c>
      <c r="H345" s="147">
        <f t="shared" ref="H345:J348" si="105">H350+H355+H360+H365</f>
        <v>0</v>
      </c>
      <c r="I345" s="147">
        <f t="shared" si="105"/>
        <v>0</v>
      </c>
      <c r="J345" s="147">
        <f t="shared" si="105"/>
        <v>0</v>
      </c>
      <c r="K345" s="147">
        <f t="shared" si="104"/>
        <v>0</v>
      </c>
      <c r="L345" s="147">
        <f t="shared" si="104"/>
        <v>0</v>
      </c>
      <c r="M345" s="147">
        <f t="shared" si="104"/>
        <v>0</v>
      </c>
      <c r="N345" s="147">
        <f>N350+N355+N360+N365</f>
        <v>0</v>
      </c>
      <c r="O345" s="147">
        <f t="shared" ref="O345:O348" si="106">O350+O355+O360+O365</f>
        <v>0</v>
      </c>
      <c r="P345" s="80"/>
      <c r="Q345" s="72"/>
    </row>
    <row r="346" spans="1:17" ht="30.75" customHeight="1" x14ac:dyDescent="0.25">
      <c r="A346" s="302"/>
      <c r="B346" s="303"/>
      <c r="C346" s="81" t="s">
        <v>175</v>
      </c>
      <c r="D346" s="217">
        <v>958</v>
      </c>
      <c r="E346" s="96" t="s">
        <v>271</v>
      </c>
      <c r="F346" s="96" t="s">
        <v>272</v>
      </c>
      <c r="G346" s="96" t="s">
        <v>210</v>
      </c>
      <c r="H346" s="147">
        <f t="shared" si="105"/>
        <v>0</v>
      </c>
      <c r="I346" s="147">
        <f t="shared" si="105"/>
        <v>0</v>
      </c>
      <c r="J346" s="147">
        <f t="shared" si="105"/>
        <v>0</v>
      </c>
      <c r="K346" s="147">
        <f t="shared" si="104"/>
        <v>0</v>
      </c>
      <c r="L346" s="147">
        <f t="shared" si="104"/>
        <v>0</v>
      </c>
      <c r="M346" s="147">
        <f t="shared" si="104"/>
        <v>0</v>
      </c>
      <c r="N346" s="147">
        <f>N351+N356+N361+N366</f>
        <v>0</v>
      </c>
      <c r="O346" s="147">
        <f t="shared" si="106"/>
        <v>0</v>
      </c>
      <c r="P346" s="80"/>
      <c r="Q346" s="72"/>
    </row>
    <row r="347" spans="1:17" ht="50.1" customHeight="1" x14ac:dyDescent="0.25">
      <c r="A347" s="302"/>
      <c r="B347" s="303"/>
      <c r="C347" s="81" t="s">
        <v>176</v>
      </c>
      <c r="D347" s="217">
        <v>958</v>
      </c>
      <c r="E347" s="96" t="s">
        <v>271</v>
      </c>
      <c r="F347" s="96" t="s">
        <v>272</v>
      </c>
      <c r="G347" s="96" t="s">
        <v>210</v>
      </c>
      <c r="H347" s="147">
        <f>H352+H357+H362+H367</f>
        <v>19196.679</v>
      </c>
      <c r="I347" s="147">
        <f t="shared" si="105"/>
        <v>20943.95</v>
      </c>
      <c r="J347" s="147">
        <f>J352+J357+J362+J367</f>
        <v>25038.885780000001</v>
      </c>
      <c r="K347" s="147">
        <f t="shared" si="104"/>
        <v>25988.939399999996</v>
      </c>
      <c r="L347" s="147">
        <f t="shared" si="104"/>
        <v>30227.54</v>
      </c>
      <c r="M347" s="147">
        <f t="shared" si="104"/>
        <v>20087.758019999997</v>
      </c>
      <c r="N347" s="147">
        <f>N352+N357+N362+N367</f>
        <v>19647.872630000002</v>
      </c>
      <c r="O347" s="147">
        <f t="shared" si="106"/>
        <v>141483.75220000002</v>
      </c>
      <c r="P347" s="80"/>
      <c r="Q347" s="72"/>
    </row>
    <row r="348" spans="1:17" ht="50.1" customHeight="1" x14ac:dyDescent="0.25">
      <c r="A348" s="302"/>
      <c r="B348" s="303"/>
      <c r="C348" s="81" t="s">
        <v>177</v>
      </c>
      <c r="D348" s="217">
        <v>958</v>
      </c>
      <c r="E348" s="96" t="s">
        <v>271</v>
      </c>
      <c r="F348" s="96" t="s">
        <v>272</v>
      </c>
      <c r="G348" s="96" t="s">
        <v>210</v>
      </c>
      <c r="H348" s="147">
        <f t="shared" si="105"/>
        <v>0</v>
      </c>
      <c r="I348" s="147">
        <f t="shared" si="105"/>
        <v>0</v>
      </c>
      <c r="J348" s="147">
        <f t="shared" si="105"/>
        <v>0</v>
      </c>
      <c r="K348" s="147">
        <f t="shared" si="104"/>
        <v>0</v>
      </c>
      <c r="L348" s="147">
        <f t="shared" si="104"/>
        <v>0</v>
      </c>
      <c r="M348" s="147">
        <f t="shared" si="104"/>
        <v>0</v>
      </c>
      <c r="N348" s="147">
        <f>N353+N358+N363+N368</f>
        <v>0</v>
      </c>
      <c r="O348" s="147">
        <f t="shared" si="106"/>
        <v>0</v>
      </c>
      <c r="P348" s="80"/>
      <c r="Q348" s="72"/>
    </row>
    <row r="349" spans="1:17" ht="26.25" customHeight="1" x14ac:dyDescent="0.25">
      <c r="A349" s="302" t="s">
        <v>147</v>
      </c>
      <c r="B349" s="304" t="s">
        <v>148</v>
      </c>
      <c r="C349" s="84" t="s">
        <v>173</v>
      </c>
      <c r="D349" s="218">
        <v>958</v>
      </c>
      <c r="E349" s="103" t="s">
        <v>271</v>
      </c>
      <c r="F349" s="103" t="s">
        <v>273</v>
      </c>
      <c r="G349" s="103" t="s">
        <v>210</v>
      </c>
      <c r="H349" s="148">
        <f t="shared" ref="H349:O349" si="107">H350+H351+H352+H353</f>
        <v>3652.44</v>
      </c>
      <c r="I349" s="148">
        <f t="shared" si="107"/>
        <v>4738.29</v>
      </c>
      <c r="J349" s="148">
        <f t="shared" si="107"/>
        <v>6894.7489999999998</v>
      </c>
      <c r="K349" s="148">
        <f t="shared" si="107"/>
        <v>6124.3413999999993</v>
      </c>
      <c r="L349" s="148">
        <f t="shared" si="107"/>
        <v>7154.3580000000002</v>
      </c>
      <c r="M349" s="148">
        <f t="shared" si="107"/>
        <v>5373.36</v>
      </c>
      <c r="N349" s="148">
        <f>N350+N351+N352+N353</f>
        <v>5775.5219999999999</v>
      </c>
      <c r="O349" s="148">
        <f t="shared" si="107"/>
        <v>33937.538399999998</v>
      </c>
      <c r="P349" s="83"/>
      <c r="Q349" s="72"/>
    </row>
    <row r="350" spans="1:17" ht="34.5" customHeight="1" x14ac:dyDescent="0.25">
      <c r="A350" s="302"/>
      <c r="B350" s="304"/>
      <c r="C350" s="84" t="s">
        <v>174</v>
      </c>
      <c r="D350" s="218">
        <v>958</v>
      </c>
      <c r="E350" s="103" t="s">
        <v>271</v>
      </c>
      <c r="F350" s="103" t="s">
        <v>273</v>
      </c>
      <c r="G350" s="103" t="s">
        <v>210</v>
      </c>
      <c r="H350" s="148">
        <v>0</v>
      </c>
      <c r="I350" s="148">
        <v>0</v>
      </c>
      <c r="J350" s="150">
        <v>0</v>
      </c>
      <c r="K350" s="150">
        <v>0</v>
      </c>
      <c r="L350" s="150">
        <v>0</v>
      </c>
      <c r="M350" s="150">
        <v>0</v>
      </c>
      <c r="N350" s="150">
        <v>0</v>
      </c>
      <c r="O350" s="150">
        <f>SUM(H350:M350)</f>
        <v>0</v>
      </c>
      <c r="P350" s="83"/>
      <c r="Q350" s="72"/>
    </row>
    <row r="351" spans="1:17" ht="33.75" customHeight="1" x14ac:dyDescent="0.25">
      <c r="A351" s="302"/>
      <c r="B351" s="304"/>
      <c r="C351" s="84" t="s">
        <v>175</v>
      </c>
      <c r="D351" s="218">
        <v>958</v>
      </c>
      <c r="E351" s="103" t="s">
        <v>271</v>
      </c>
      <c r="F351" s="103" t="s">
        <v>273</v>
      </c>
      <c r="G351" s="103" t="s">
        <v>210</v>
      </c>
      <c r="H351" s="148">
        <v>0</v>
      </c>
      <c r="I351" s="148">
        <v>0</v>
      </c>
      <c r="J351" s="150">
        <v>0</v>
      </c>
      <c r="K351" s="150">
        <v>0</v>
      </c>
      <c r="L351" s="150">
        <v>0</v>
      </c>
      <c r="M351" s="150">
        <v>0</v>
      </c>
      <c r="N351" s="150">
        <v>0</v>
      </c>
      <c r="O351" s="150">
        <f>SUM(H351:M351)</f>
        <v>0</v>
      </c>
      <c r="P351" s="83"/>
      <c r="Q351" s="72"/>
    </row>
    <row r="352" spans="1:17" ht="50.1" customHeight="1" x14ac:dyDescent="0.25">
      <c r="A352" s="302"/>
      <c r="B352" s="304"/>
      <c r="C352" s="84" t="s">
        <v>176</v>
      </c>
      <c r="D352" s="218">
        <v>958</v>
      </c>
      <c r="E352" s="103" t="s">
        <v>271</v>
      </c>
      <c r="F352" s="103" t="s">
        <v>273</v>
      </c>
      <c r="G352" s="103" t="s">
        <v>210</v>
      </c>
      <c r="H352" s="148">
        <f>3460.9+62.94+28+90.6+10</f>
        <v>3652.44</v>
      </c>
      <c r="I352" s="148">
        <f>3419+210+200+952.65+97.37-140.73</f>
        <v>4738.29</v>
      </c>
      <c r="J352" s="150">
        <f>5189.242+1200+220.4+134.136+150.971</f>
        <v>6894.7489999999998</v>
      </c>
      <c r="K352" s="150">
        <f>5400.41+135.774+93.66+170+198.4+126.0974</f>
        <v>6124.3413999999993</v>
      </c>
      <c r="L352" s="150">
        <v>7154.3580000000002</v>
      </c>
      <c r="M352" s="150">
        <v>5373.36</v>
      </c>
      <c r="N352" s="150">
        <v>5775.5219999999999</v>
      </c>
      <c r="O352" s="150">
        <f>SUM(H352:M352)</f>
        <v>33937.538399999998</v>
      </c>
      <c r="P352" s="83"/>
      <c r="Q352" s="72"/>
    </row>
    <row r="353" spans="1:17" ht="50.1" customHeight="1" x14ac:dyDescent="0.25">
      <c r="A353" s="302"/>
      <c r="B353" s="304"/>
      <c r="C353" s="84" t="s">
        <v>177</v>
      </c>
      <c r="D353" s="218">
        <v>958</v>
      </c>
      <c r="E353" s="103" t="s">
        <v>271</v>
      </c>
      <c r="F353" s="103" t="s">
        <v>273</v>
      </c>
      <c r="G353" s="103" t="s">
        <v>210</v>
      </c>
      <c r="H353" s="148">
        <v>0</v>
      </c>
      <c r="I353" s="148">
        <v>0</v>
      </c>
      <c r="J353" s="150">
        <v>0</v>
      </c>
      <c r="K353" s="150">
        <v>0</v>
      </c>
      <c r="L353" s="150">
        <v>0</v>
      </c>
      <c r="M353" s="150">
        <v>0</v>
      </c>
      <c r="N353" s="150">
        <v>0</v>
      </c>
      <c r="O353" s="150">
        <f>SUM(H353:M353)</f>
        <v>0</v>
      </c>
      <c r="P353" s="83"/>
      <c r="Q353" s="72"/>
    </row>
    <row r="354" spans="1:17" ht="20.25" customHeight="1" x14ac:dyDescent="0.25">
      <c r="A354" s="302" t="s">
        <v>151</v>
      </c>
      <c r="B354" s="304" t="s">
        <v>152</v>
      </c>
      <c r="C354" s="84" t="s">
        <v>173</v>
      </c>
      <c r="D354" s="218">
        <v>958</v>
      </c>
      <c r="E354" s="103" t="s">
        <v>271</v>
      </c>
      <c r="F354" s="103" t="s">
        <v>276</v>
      </c>
      <c r="G354" s="103" t="s">
        <v>210</v>
      </c>
      <c r="H354" s="148">
        <f t="shared" ref="H354:O354" si="108">H355+H356+H357+H358</f>
        <v>13500.84</v>
      </c>
      <c r="I354" s="148">
        <f t="shared" si="108"/>
        <v>14131.890000000001</v>
      </c>
      <c r="J354" s="148">
        <f t="shared" si="108"/>
        <v>15860.732000000002</v>
      </c>
      <c r="K354" s="148">
        <f t="shared" si="108"/>
        <v>17250.063999999998</v>
      </c>
      <c r="L354" s="148">
        <f t="shared" si="108"/>
        <v>20199.157999999999</v>
      </c>
      <c r="M354" s="148">
        <f t="shared" si="108"/>
        <v>12760.19202</v>
      </c>
      <c r="N354" s="148">
        <f>N355+N356+N357+N358</f>
        <v>11736.367630000001</v>
      </c>
      <c r="O354" s="148">
        <f t="shared" si="108"/>
        <v>93702.876020000011</v>
      </c>
      <c r="P354" s="83"/>
      <c r="Q354" s="72"/>
    </row>
    <row r="355" spans="1:17" ht="31.5" customHeight="1" x14ac:dyDescent="0.25">
      <c r="A355" s="302"/>
      <c r="B355" s="304"/>
      <c r="C355" s="84" t="s">
        <v>174</v>
      </c>
      <c r="D355" s="218">
        <v>958</v>
      </c>
      <c r="E355" s="103" t="s">
        <v>271</v>
      </c>
      <c r="F355" s="103" t="s">
        <v>276</v>
      </c>
      <c r="G355" s="103" t="s">
        <v>210</v>
      </c>
      <c r="H355" s="148">
        <v>0</v>
      </c>
      <c r="I355" s="148">
        <v>0</v>
      </c>
      <c r="J355" s="150">
        <v>0</v>
      </c>
      <c r="K355" s="150">
        <v>0</v>
      </c>
      <c r="L355" s="150">
        <v>0</v>
      </c>
      <c r="M355" s="150">
        <v>0</v>
      </c>
      <c r="N355" s="150">
        <v>0</v>
      </c>
      <c r="O355" s="150">
        <f>SUM(H355:M355)</f>
        <v>0</v>
      </c>
      <c r="P355" s="83"/>
      <c r="Q355" s="72"/>
    </row>
    <row r="356" spans="1:17" ht="30" customHeight="1" x14ac:dyDescent="0.25">
      <c r="A356" s="302"/>
      <c r="B356" s="304"/>
      <c r="C356" s="84" t="s">
        <v>175</v>
      </c>
      <c r="D356" s="218">
        <v>958</v>
      </c>
      <c r="E356" s="103" t="s">
        <v>271</v>
      </c>
      <c r="F356" s="103" t="s">
        <v>276</v>
      </c>
      <c r="G356" s="103" t="s">
        <v>210</v>
      </c>
      <c r="H356" s="148">
        <v>0</v>
      </c>
      <c r="I356" s="148">
        <v>0</v>
      </c>
      <c r="J356" s="150">
        <v>0</v>
      </c>
      <c r="K356" s="150">
        <v>0</v>
      </c>
      <c r="L356" s="150">
        <v>0</v>
      </c>
      <c r="M356" s="150">
        <v>0</v>
      </c>
      <c r="N356" s="150">
        <v>0</v>
      </c>
      <c r="O356" s="150">
        <f>SUM(H356:M356)</f>
        <v>0</v>
      </c>
      <c r="P356" s="83"/>
      <c r="Q356" s="72"/>
    </row>
    <row r="357" spans="1:17" ht="50.1" customHeight="1" x14ac:dyDescent="0.25">
      <c r="A357" s="302"/>
      <c r="B357" s="304"/>
      <c r="C357" s="84" t="s">
        <v>176</v>
      </c>
      <c r="D357" s="218">
        <v>958</v>
      </c>
      <c r="E357" s="103" t="s">
        <v>271</v>
      </c>
      <c r="F357" s="103" t="s">
        <v>276</v>
      </c>
      <c r="G357" s="103" t="s">
        <v>210</v>
      </c>
      <c r="H357" s="148">
        <f>13452.84+4+44</f>
        <v>13500.84</v>
      </c>
      <c r="I357" s="148">
        <f>13934.2+8+152.78-6.16-2.5+35+10.57</f>
        <v>14131.890000000001</v>
      </c>
      <c r="J357" s="150">
        <f>14457.2+650+7.424+0.108+240+506</f>
        <v>15860.732000000002</v>
      </c>
      <c r="K357" s="150">
        <f>15890.92+45.14+28.4+1285.604</f>
        <v>17250.063999999998</v>
      </c>
      <c r="L357" s="150">
        <v>20199.157999999999</v>
      </c>
      <c r="M357" s="150">
        <v>12760.19202</v>
      </c>
      <c r="N357" s="150">
        <v>11736.367630000001</v>
      </c>
      <c r="O357" s="150">
        <f>SUM(H357:M357)</f>
        <v>93702.876020000011</v>
      </c>
      <c r="P357" s="83"/>
      <c r="Q357" s="72"/>
    </row>
    <row r="358" spans="1:17" ht="44.25" customHeight="1" x14ac:dyDescent="0.25">
      <c r="A358" s="302"/>
      <c r="B358" s="304"/>
      <c r="C358" s="84" t="s">
        <v>177</v>
      </c>
      <c r="D358" s="218">
        <v>958</v>
      </c>
      <c r="E358" s="103" t="s">
        <v>271</v>
      </c>
      <c r="F358" s="103" t="s">
        <v>276</v>
      </c>
      <c r="G358" s="103" t="s">
        <v>210</v>
      </c>
      <c r="H358" s="148">
        <v>0</v>
      </c>
      <c r="I358" s="148">
        <v>0</v>
      </c>
      <c r="J358" s="150">
        <v>0</v>
      </c>
      <c r="K358" s="150">
        <v>0</v>
      </c>
      <c r="L358" s="150">
        <v>0</v>
      </c>
      <c r="M358" s="150">
        <v>0</v>
      </c>
      <c r="N358" s="150">
        <v>0</v>
      </c>
      <c r="O358" s="150">
        <f>SUM(H358:M358)</f>
        <v>0</v>
      </c>
      <c r="P358" s="83"/>
      <c r="Q358" s="72"/>
    </row>
    <row r="359" spans="1:17" ht="15.75" x14ac:dyDescent="0.25">
      <c r="A359" s="302" t="s">
        <v>154</v>
      </c>
      <c r="B359" s="304" t="s">
        <v>155</v>
      </c>
      <c r="C359" s="84" t="s">
        <v>173</v>
      </c>
      <c r="D359" s="218">
        <v>958</v>
      </c>
      <c r="E359" s="103" t="s">
        <v>271</v>
      </c>
      <c r="F359" s="103" t="s">
        <v>277</v>
      </c>
      <c r="G359" s="102">
        <v>244</v>
      </c>
      <c r="H359" s="148">
        <f t="shared" ref="H359:O359" si="109">H360+H361+H362+H363</f>
        <v>0</v>
      </c>
      <c r="I359" s="148">
        <f t="shared" si="109"/>
        <v>0</v>
      </c>
      <c r="J359" s="148">
        <f t="shared" si="109"/>
        <v>0</v>
      </c>
      <c r="K359" s="148">
        <f t="shared" si="109"/>
        <v>0</v>
      </c>
      <c r="L359" s="148">
        <f t="shared" si="109"/>
        <v>0</v>
      </c>
      <c r="M359" s="148">
        <f t="shared" si="109"/>
        <v>0</v>
      </c>
      <c r="N359" s="148">
        <f>N360+N361+N362+N363</f>
        <v>0</v>
      </c>
      <c r="O359" s="148">
        <f t="shared" si="109"/>
        <v>0</v>
      </c>
      <c r="P359" s="83"/>
      <c r="Q359" s="72"/>
    </row>
    <row r="360" spans="1:17" ht="31.5" x14ac:dyDescent="0.25">
      <c r="A360" s="302"/>
      <c r="B360" s="304"/>
      <c r="C360" s="84" t="s">
        <v>174</v>
      </c>
      <c r="D360" s="218">
        <v>958</v>
      </c>
      <c r="E360" s="103" t="s">
        <v>271</v>
      </c>
      <c r="F360" s="103" t="s">
        <v>277</v>
      </c>
      <c r="G360" s="102">
        <v>244</v>
      </c>
      <c r="H360" s="148">
        <v>0</v>
      </c>
      <c r="I360" s="148">
        <v>0</v>
      </c>
      <c r="J360" s="150">
        <v>0</v>
      </c>
      <c r="K360" s="150">
        <v>0</v>
      </c>
      <c r="L360" s="150">
        <v>0</v>
      </c>
      <c r="M360" s="150">
        <v>0</v>
      </c>
      <c r="N360" s="150">
        <v>0</v>
      </c>
      <c r="O360" s="150">
        <f>SUM(H360:M360)</f>
        <v>0</v>
      </c>
      <c r="P360" s="83"/>
      <c r="Q360" s="72"/>
    </row>
    <row r="361" spans="1:17" ht="36.75" customHeight="1" x14ac:dyDescent="0.25">
      <c r="A361" s="302"/>
      <c r="B361" s="304"/>
      <c r="C361" s="84" t="s">
        <v>175</v>
      </c>
      <c r="D361" s="218">
        <v>958</v>
      </c>
      <c r="E361" s="103" t="s">
        <v>271</v>
      </c>
      <c r="F361" s="103" t="s">
        <v>277</v>
      </c>
      <c r="G361" s="102">
        <v>244</v>
      </c>
      <c r="H361" s="148">
        <v>0</v>
      </c>
      <c r="I361" s="148">
        <v>0</v>
      </c>
      <c r="J361" s="150">
        <v>0</v>
      </c>
      <c r="K361" s="150">
        <v>0</v>
      </c>
      <c r="L361" s="150">
        <v>0</v>
      </c>
      <c r="M361" s="150">
        <v>0</v>
      </c>
      <c r="N361" s="150">
        <v>0</v>
      </c>
      <c r="O361" s="150">
        <f>SUM(H361:M361)</f>
        <v>0</v>
      </c>
      <c r="P361" s="83"/>
      <c r="Q361" s="72"/>
    </row>
    <row r="362" spans="1:17" ht="50.1" customHeight="1" x14ac:dyDescent="0.25">
      <c r="A362" s="302"/>
      <c r="B362" s="304"/>
      <c r="C362" s="84" t="s">
        <v>176</v>
      </c>
      <c r="D362" s="218">
        <v>958</v>
      </c>
      <c r="E362" s="103" t="s">
        <v>271</v>
      </c>
      <c r="F362" s="103" t="s">
        <v>277</v>
      </c>
      <c r="G362" s="102">
        <v>244</v>
      </c>
      <c r="H362" s="148">
        <v>0</v>
      </c>
      <c r="I362" s="148">
        <v>0</v>
      </c>
      <c r="J362" s="150">
        <v>0</v>
      </c>
      <c r="K362" s="150">
        <v>0</v>
      </c>
      <c r="L362" s="150">
        <v>0</v>
      </c>
      <c r="M362" s="150">
        <v>0</v>
      </c>
      <c r="N362" s="150">
        <v>0</v>
      </c>
      <c r="O362" s="150">
        <f>SUM(H362:M362)</f>
        <v>0</v>
      </c>
      <c r="P362" s="83"/>
      <c r="Q362" s="72"/>
    </row>
    <row r="363" spans="1:17" ht="45" customHeight="1" x14ac:dyDescent="0.25">
      <c r="A363" s="302"/>
      <c r="B363" s="304"/>
      <c r="C363" s="84" t="s">
        <v>177</v>
      </c>
      <c r="D363" s="218">
        <v>958</v>
      </c>
      <c r="E363" s="103" t="s">
        <v>271</v>
      </c>
      <c r="F363" s="103" t="s">
        <v>277</v>
      </c>
      <c r="G363" s="102">
        <v>244</v>
      </c>
      <c r="H363" s="148">
        <v>0</v>
      </c>
      <c r="I363" s="148">
        <v>0</v>
      </c>
      <c r="J363" s="150">
        <v>0</v>
      </c>
      <c r="K363" s="150">
        <v>0</v>
      </c>
      <c r="L363" s="150">
        <v>0</v>
      </c>
      <c r="M363" s="150">
        <v>0</v>
      </c>
      <c r="N363" s="150">
        <v>0</v>
      </c>
      <c r="O363" s="150">
        <f>SUM(H363:M363)</f>
        <v>0</v>
      </c>
      <c r="P363" s="83"/>
      <c r="Q363" s="72"/>
    </row>
    <row r="364" spans="1:17" ht="21" customHeight="1" x14ac:dyDescent="0.25">
      <c r="A364" s="302" t="s">
        <v>157</v>
      </c>
      <c r="B364" s="318" t="s">
        <v>158</v>
      </c>
      <c r="C364" s="84" t="s">
        <v>173</v>
      </c>
      <c r="D364" s="218">
        <v>958</v>
      </c>
      <c r="E364" s="103" t="s">
        <v>271</v>
      </c>
      <c r="F364" s="103" t="s">
        <v>279</v>
      </c>
      <c r="G364" s="102">
        <v>620</v>
      </c>
      <c r="H364" s="148">
        <f t="shared" ref="H364:O364" si="110">H365+H366+H367+H368</f>
        <v>2043.3989999999999</v>
      </c>
      <c r="I364" s="148">
        <f t="shared" si="110"/>
        <v>2073.77</v>
      </c>
      <c r="J364" s="148">
        <f t="shared" si="110"/>
        <v>2283.4047799999998</v>
      </c>
      <c r="K364" s="148">
        <f t="shared" si="110"/>
        <v>2614.5340000000001</v>
      </c>
      <c r="L364" s="148">
        <f t="shared" si="110"/>
        <v>2874.0239999999999</v>
      </c>
      <c r="M364" s="148">
        <f t="shared" si="110"/>
        <v>1954.2059999999999</v>
      </c>
      <c r="N364" s="148">
        <f>N365+N366+N367+N368</f>
        <v>2135.9830000000002</v>
      </c>
      <c r="O364" s="148">
        <f t="shared" si="110"/>
        <v>13843.33778</v>
      </c>
      <c r="P364" s="83"/>
      <c r="Q364" s="72"/>
    </row>
    <row r="365" spans="1:17" ht="28.5" customHeight="1" x14ac:dyDescent="0.25">
      <c r="A365" s="302"/>
      <c r="B365" s="319"/>
      <c r="C365" s="84" t="s">
        <v>174</v>
      </c>
      <c r="D365" s="218">
        <v>958</v>
      </c>
      <c r="E365" s="103" t="s">
        <v>271</v>
      </c>
      <c r="F365" s="103" t="s">
        <v>279</v>
      </c>
      <c r="G365" s="102">
        <v>620</v>
      </c>
      <c r="H365" s="148">
        <v>0</v>
      </c>
      <c r="I365" s="148">
        <v>0</v>
      </c>
      <c r="J365" s="150">
        <v>0</v>
      </c>
      <c r="K365" s="150">
        <v>0</v>
      </c>
      <c r="L365" s="150">
        <v>0</v>
      </c>
      <c r="M365" s="150">
        <v>0</v>
      </c>
      <c r="N365" s="150">
        <v>0</v>
      </c>
      <c r="O365" s="150">
        <f>SUM(H365:M365)</f>
        <v>0</v>
      </c>
      <c r="P365" s="83"/>
      <c r="Q365" s="72"/>
    </row>
    <row r="366" spans="1:17" ht="33" customHeight="1" x14ac:dyDescent="0.25">
      <c r="A366" s="302"/>
      <c r="B366" s="319"/>
      <c r="C366" s="84" t="s">
        <v>175</v>
      </c>
      <c r="D366" s="218">
        <v>958</v>
      </c>
      <c r="E366" s="103" t="s">
        <v>271</v>
      </c>
      <c r="F366" s="103" t="s">
        <v>279</v>
      </c>
      <c r="G366" s="102">
        <v>620</v>
      </c>
      <c r="H366" s="148">
        <v>0</v>
      </c>
      <c r="I366" s="148">
        <v>0</v>
      </c>
      <c r="J366" s="150">
        <v>0</v>
      </c>
      <c r="K366" s="150">
        <v>0</v>
      </c>
      <c r="L366" s="150">
        <v>0</v>
      </c>
      <c r="M366" s="150">
        <v>0</v>
      </c>
      <c r="N366" s="150">
        <v>0</v>
      </c>
      <c r="O366" s="150">
        <f>SUM(H366:M366)</f>
        <v>0</v>
      </c>
      <c r="P366" s="83"/>
      <c r="Q366" s="72"/>
    </row>
    <row r="367" spans="1:17" ht="50.1" customHeight="1" x14ac:dyDescent="0.25">
      <c r="A367" s="302"/>
      <c r="B367" s="319"/>
      <c r="C367" s="84" t="s">
        <v>176</v>
      </c>
      <c r="D367" s="218">
        <v>958</v>
      </c>
      <c r="E367" s="103" t="s">
        <v>271</v>
      </c>
      <c r="F367" s="103" t="s">
        <v>279</v>
      </c>
      <c r="G367" s="102">
        <v>620</v>
      </c>
      <c r="H367" s="148">
        <f>1762.4+27.6+236.899+16.5</f>
        <v>2043.3989999999999</v>
      </c>
      <c r="I367" s="148">
        <f>1851.4+152+20.15+50.22</f>
        <v>2073.77</v>
      </c>
      <c r="J367" s="150">
        <f>2145.555+11.706+126.14378</f>
        <v>2283.4047799999998</v>
      </c>
      <c r="K367" s="150">
        <f>2266.235+306.77+41.529</f>
        <v>2614.5340000000001</v>
      </c>
      <c r="L367" s="150">
        <v>2874.0239999999999</v>
      </c>
      <c r="M367" s="150">
        <v>1954.2059999999999</v>
      </c>
      <c r="N367" s="150">
        <v>2135.9830000000002</v>
      </c>
      <c r="O367" s="150">
        <f>SUM(H367:M367)</f>
        <v>13843.33778</v>
      </c>
      <c r="P367" s="83"/>
      <c r="Q367" s="72"/>
    </row>
    <row r="368" spans="1:17" ht="50.1" customHeight="1" x14ac:dyDescent="0.25">
      <c r="A368" s="302"/>
      <c r="B368" s="320"/>
      <c r="C368" s="84" t="s">
        <v>177</v>
      </c>
      <c r="D368" s="218">
        <v>958</v>
      </c>
      <c r="E368" s="103" t="s">
        <v>271</v>
      </c>
      <c r="F368" s="103" t="s">
        <v>279</v>
      </c>
      <c r="G368" s="102">
        <v>620</v>
      </c>
      <c r="H368" s="148">
        <v>0</v>
      </c>
      <c r="I368" s="148">
        <v>0</v>
      </c>
      <c r="J368" s="150">
        <v>0</v>
      </c>
      <c r="K368" s="150">
        <v>0</v>
      </c>
      <c r="L368" s="150">
        <v>0</v>
      </c>
      <c r="M368" s="150">
        <v>0</v>
      </c>
      <c r="N368" s="150">
        <v>0</v>
      </c>
      <c r="O368" s="150">
        <f>SUM(H368:M368)</f>
        <v>0</v>
      </c>
      <c r="P368" s="83"/>
      <c r="Q368" s="72"/>
    </row>
    <row r="369" spans="1:17" ht="31.5" customHeight="1" x14ac:dyDescent="0.25">
      <c r="A369" s="305" t="s">
        <v>17</v>
      </c>
      <c r="B369" s="321" t="s">
        <v>161</v>
      </c>
      <c r="C369" s="81" t="s">
        <v>173</v>
      </c>
      <c r="D369" s="217">
        <v>958</v>
      </c>
      <c r="E369" s="96" t="s">
        <v>242</v>
      </c>
      <c r="F369" s="96" t="s">
        <v>280</v>
      </c>
      <c r="G369" s="96" t="s">
        <v>210</v>
      </c>
      <c r="H369" s="147">
        <f t="shared" ref="H369:O373" si="111">H374</f>
        <v>74</v>
      </c>
      <c r="I369" s="147">
        <f t="shared" si="111"/>
        <v>124</v>
      </c>
      <c r="J369" s="147">
        <f t="shared" si="111"/>
        <v>125</v>
      </c>
      <c r="K369" s="147">
        <f t="shared" si="111"/>
        <v>125</v>
      </c>
      <c r="L369" s="147">
        <f t="shared" si="111"/>
        <v>125</v>
      </c>
      <c r="M369" s="147">
        <f t="shared" si="111"/>
        <v>125</v>
      </c>
      <c r="N369" s="147">
        <f>N374</f>
        <v>125</v>
      </c>
      <c r="O369" s="147">
        <f t="shared" si="111"/>
        <v>698</v>
      </c>
      <c r="P369" s="80"/>
      <c r="Q369" s="72"/>
    </row>
    <row r="370" spans="1:17" ht="30" customHeight="1" x14ac:dyDescent="0.25">
      <c r="A370" s="306"/>
      <c r="B370" s="321"/>
      <c r="C370" s="81" t="s">
        <v>174</v>
      </c>
      <c r="D370" s="217">
        <v>958</v>
      </c>
      <c r="E370" s="96" t="s">
        <v>242</v>
      </c>
      <c r="F370" s="96" t="s">
        <v>280</v>
      </c>
      <c r="G370" s="96" t="s">
        <v>210</v>
      </c>
      <c r="H370" s="147">
        <f t="shared" ref="H370:J373" si="112">H375</f>
        <v>0</v>
      </c>
      <c r="I370" s="147">
        <f t="shared" si="112"/>
        <v>0</v>
      </c>
      <c r="J370" s="147">
        <f t="shared" si="112"/>
        <v>0</v>
      </c>
      <c r="K370" s="147">
        <f t="shared" si="111"/>
        <v>0</v>
      </c>
      <c r="L370" s="147">
        <f t="shared" si="111"/>
        <v>0</v>
      </c>
      <c r="M370" s="147">
        <f t="shared" si="111"/>
        <v>0</v>
      </c>
      <c r="N370" s="147">
        <f>N375</f>
        <v>0</v>
      </c>
      <c r="O370" s="147">
        <f t="shared" ref="O370:O373" si="113">O375</f>
        <v>0</v>
      </c>
      <c r="P370" s="80"/>
      <c r="Q370" s="72"/>
    </row>
    <row r="371" spans="1:17" ht="27.75" customHeight="1" x14ac:dyDescent="0.25">
      <c r="A371" s="306"/>
      <c r="B371" s="321"/>
      <c r="C371" s="81" t="s">
        <v>175</v>
      </c>
      <c r="D371" s="217">
        <v>958</v>
      </c>
      <c r="E371" s="96" t="s">
        <v>242</v>
      </c>
      <c r="F371" s="96" t="s">
        <v>280</v>
      </c>
      <c r="G371" s="96" t="s">
        <v>210</v>
      </c>
      <c r="H371" s="147">
        <f t="shared" si="112"/>
        <v>0</v>
      </c>
      <c r="I371" s="147">
        <f t="shared" si="112"/>
        <v>0</v>
      </c>
      <c r="J371" s="147">
        <f t="shared" si="112"/>
        <v>0</v>
      </c>
      <c r="K371" s="147">
        <f t="shared" si="111"/>
        <v>0</v>
      </c>
      <c r="L371" s="147">
        <f t="shared" si="111"/>
        <v>0</v>
      </c>
      <c r="M371" s="147">
        <f t="shared" si="111"/>
        <v>0</v>
      </c>
      <c r="N371" s="147">
        <f>N376</f>
        <v>0</v>
      </c>
      <c r="O371" s="147">
        <f t="shared" si="113"/>
        <v>0</v>
      </c>
      <c r="P371" s="80"/>
      <c r="Q371" s="72"/>
    </row>
    <row r="372" spans="1:17" ht="50.1" customHeight="1" x14ac:dyDescent="0.25">
      <c r="A372" s="306"/>
      <c r="B372" s="321"/>
      <c r="C372" s="81" t="s">
        <v>176</v>
      </c>
      <c r="D372" s="217">
        <v>958</v>
      </c>
      <c r="E372" s="96" t="s">
        <v>242</v>
      </c>
      <c r="F372" s="96" t="s">
        <v>280</v>
      </c>
      <c r="G372" s="96" t="s">
        <v>210</v>
      </c>
      <c r="H372" s="147">
        <f t="shared" si="112"/>
        <v>74</v>
      </c>
      <c r="I372" s="147">
        <f t="shared" si="112"/>
        <v>124</v>
      </c>
      <c r="J372" s="147">
        <f t="shared" si="112"/>
        <v>125</v>
      </c>
      <c r="K372" s="147">
        <f t="shared" si="111"/>
        <v>125</v>
      </c>
      <c r="L372" s="147">
        <f t="shared" si="111"/>
        <v>125</v>
      </c>
      <c r="M372" s="147">
        <f t="shared" si="111"/>
        <v>125</v>
      </c>
      <c r="N372" s="147">
        <f>N377</f>
        <v>125</v>
      </c>
      <c r="O372" s="147">
        <f t="shared" si="113"/>
        <v>698</v>
      </c>
      <c r="P372" s="80"/>
      <c r="Q372" s="72"/>
    </row>
    <row r="373" spans="1:17" ht="50.1" customHeight="1" x14ac:dyDescent="0.25">
      <c r="A373" s="307"/>
      <c r="B373" s="322"/>
      <c r="C373" s="81" t="s">
        <v>177</v>
      </c>
      <c r="D373" s="217">
        <v>958</v>
      </c>
      <c r="E373" s="96" t="s">
        <v>242</v>
      </c>
      <c r="F373" s="96" t="s">
        <v>280</v>
      </c>
      <c r="G373" s="96" t="s">
        <v>210</v>
      </c>
      <c r="H373" s="147">
        <f t="shared" si="112"/>
        <v>0</v>
      </c>
      <c r="I373" s="147">
        <f t="shared" si="112"/>
        <v>0</v>
      </c>
      <c r="J373" s="147">
        <f t="shared" si="112"/>
        <v>0</v>
      </c>
      <c r="K373" s="147">
        <f t="shared" si="111"/>
        <v>0</v>
      </c>
      <c r="L373" s="147">
        <f t="shared" si="111"/>
        <v>0</v>
      </c>
      <c r="M373" s="147">
        <f t="shared" si="111"/>
        <v>0</v>
      </c>
      <c r="N373" s="147">
        <f>N378</f>
        <v>0</v>
      </c>
      <c r="O373" s="147">
        <f t="shared" si="113"/>
        <v>0</v>
      </c>
      <c r="P373" s="80"/>
      <c r="Q373" s="72"/>
    </row>
    <row r="374" spans="1:17" ht="25.5" customHeight="1" x14ac:dyDescent="0.25">
      <c r="A374" s="293" t="s">
        <v>162</v>
      </c>
      <c r="B374" s="309" t="s">
        <v>163</v>
      </c>
      <c r="C374" s="84" t="s">
        <v>173</v>
      </c>
      <c r="D374" s="218">
        <v>958</v>
      </c>
      <c r="E374" s="103" t="s">
        <v>242</v>
      </c>
      <c r="F374" s="103" t="s">
        <v>282</v>
      </c>
      <c r="G374" s="102">
        <v>240</v>
      </c>
      <c r="H374" s="148">
        <f t="shared" ref="H374:O374" si="114">H375+H376+H377+H378</f>
        <v>74</v>
      </c>
      <c r="I374" s="148">
        <f t="shared" si="114"/>
        <v>124</v>
      </c>
      <c r="J374" s="148">
        <f t="shared" si="114"/>
        <v>125</v>
      </c>
      <c r="K374" s="148">
        <f t="shared" si="114"/>
        <v>125</v>
      </c>
      <c r="L374" s="148">
        <f t="shared" si="114"/>
        <v>125</v>
      </c>
      <c r="M374" s="148">
        <f t="shared" si="114"/>
        <v>125</v>
      </c>
      <c r="N374" s="148">
        <f>N375+N376+N377+N378</f>
        <v>125</v>
      </c>
      <c r="O374" s="148">
        <f t="shared" si="114"/>
        <v>698</v>
      </c>
      <c r="P374" s="83"/>
      <c r="Q374" s="72"/>
    </row>
    <row r="375" spans="1:17" ht="30.75" customHeight="1" x14ac:dyDescent="0.25">
      <c r="A375" s="294"/>
      <c r="B375" s="310"/>
      <c r="C375" s="84" t="s">
        <v>174</v>
      </c>
      <c r="D375" s="218">
        <v>958</v>
      </c>
      <c r="E375" s="103" t="s">
        <v>242</v>
      </c>
      <c r="F375" s="103" t="s">
        <v>282</v>
      </c>
      <c r="G375" s="102">
        <v>240</v>
      </c>
      <c r="H375" s="150">
        <v>0</v>
      </c>
      <c r="I375" s="150">
        <v>0</v>
      </c>
      <c r="J375" s="150">
        <v>0</v>
      </c>
      <c r="K375" s="150">
        <v>0</v>
      </c>
      <c r="L375" s="150">
        <v>0</v>
      </c>
      <c r="M375" s="150">
        <v>0</v>
      </c>
      <c r="N375" s="150">
        <v>0</v>
      </c>
      <c r="O375" s="150">
        <f>SUM(H375:M375)</f>
        <v>0</v>
      </c>
      <c r="P375" s="87"/>
      <c r="Q375" s="72"/>
    </row>
    <row r="376" spans="1:17" ht="28.5" customHeight="1" x14ac:dyDescent="0.25">
      <c r="A376" s="294"/>
      <c r="B376" s="310"/>
      <c r="C376" s="84" t="s">
        <v>175</v>
      </c>
      <c r="D376" s="218">
        <v>958</v>
      </c>
      <c r="E376" s="103" t="s">
        <v>242</v>
      </c>
      <c r="F376" s="103" t="s">
        <v>282</v>
      </c>
      <c r="G376" s="102">
        <v>240</v>
      </c>
      <c r="H376" s="150">
        <v>0</v>
      </c>
      <c r="I376" s="150">
        <v>0</v>
      </c>
      <c r="J376" s="150">
        <v>0</v>
      </c>
      <c r="K376" s="150">
        <v>0</v>
      </c>
      <c r="L376" s="150">
        <v>0</v>
      </c>
      <c r="M376" s="150">
        <v>0</v>
      </c>
      <c r="N376" s="150">
        <v>0</v>
      </c>
      <c r="O376" s="150">
        <f>SUM(H376:M376)</f>
        <v>0</v>
      </c>
      <c r="P376" s="87"/>
      <c r="Q376" s="72"/>
    </row>
    <row r="377" spans="1:17" ht="50.1" customHeight="1" x14ac:dyDescent="0.25">
      <c r="A377" s="294"/>
      <c r="B377" s="310"/>
      <c r="C377" s="84" t="s">
        <v>176</v>
      </c>
      <c r="D377" s="218">
        <v>958</v>
      </c>
      <c r="E377" s="103" t="s">
        <v>242</v>
      </c>
      <c r="F377" s="103" t="s">
        <v>282</v>
      </c>
      <c r="G377" s="102">
        <v>240</v>
      </c>
      <c r="H377" s="150">
        <v>74</v>
      </c>
      <c r="I377" s="150">
        <v>124</v>
      </c>
      <c r="J377" s="150">
        <v>125</v>
      </c>
      <c r="K377" s="150">
        <v>125</v>
      </c>
      <c r="L377" s="150">
        <v>125</v>
      </c>
      <c r="M377" s="150">
        <v>125</v>
      </c>
      <c r="N377" s="150">
        <v>125</v>
      </c>
      <c r="O377" s="150">
        <f>SUM(H377:M377)</f>
        <v>698</v>
      </c>
      <c r="P377" s="87"/>
      <c r="Q377" s="72"/>
    </row>
    <row r="378" spans="1:17" ht="50.1" customHeight="1" x14ac:dyDescent="0.25">
      <c r="A378" s="295"/>
      <c r="B378" s="311"/>
      <c r="C378" s="84" t="s">
        <v>177</v>
      </c>
      <c r="D378" s="218">
        <v>958</v>
      </c>
      <c r="E378" s="103" t="s">
        <v>242</v>
      </c>
      <c r="F378" s="103" t="s">
        <v>282</v>
      </c>
      <c r="G378" s="102">
        <v>240</v>
      </c>
      <c r="H378" s="150">
        <v>0</v>
      </c>
      <c r="I378" s="150">
        <v>0</v>
      </c>
      <c r="J378" s="150">
        <v>0</v>
      </c>
      <c r="K378" s="150">
        <v>0</v>
      </c>
      <c r="L378" s="150">
        <v>0</v>
      </c>
      <c r="M378" s="150">
        <v>0</v>
      </c>
      <c r="N378" s="150">
        <v>0</v>
      </c>
      <c r="O378" s="150">
        <f>SUM(H378:M378)</f>
        <v>0</v>
      </c>
      <c r="P378" s="87"/>
      <c r="Q378" s="72"/>
    </row>
    <row r="379" spans="1:17" ht="20.25" customHeight="1" x14ac:dyDescent="0.25">
      <c r="A379" s="312" t="s">
        <v>165</v>
      </c>
      <c r="B379" s="315" t="s">
        <v>326</v>
      </c>
      <c r="C379" s="81" t="s">
        <v>173</v>
      </c>
      <c r="D379" s="217">
        <v>958</v>
      </c>
      <c r="E379" s="223">
        <v>1003</v>
      </c>
      <c r="F379" s="224" t="s">
        <v>360</v>
      </c>
      <c r="G379" s="96" t="s">
        <v>210</v>
      </c>
      <c r="H379" s="152">
        <f t="shared" ref="H379:O383" si="115">H384</f>
        <v>1938.4</v>
      </c>
      <c r="I379" s="152">
        <f t="shared" si="115"/>
        <v>1750</v>
      </c>
      <c r="J379" s="152">
        <f t="shared" si="115"/>
        <v>657</v>
      </c>
      <c r="K379" s="152">
        <f t="shared" si="115"/>
        <v>360</v>
      </c>
      <c r="L379" s="152">
        <f t="shared" si="115"/>
        <v>1160</v>
      </c>
      <c r="M379" s="152">
        <f t="shared" si="115"/>
        <v>1310</v>
      </c>
      <c r="N379" s="152">
        <f>N384</f>
        <v>0</v>
      </c>
      <c r="O379" s="152">
        <f t="shared" si="115"/>
        <v>7175.4</v>
      </c>
      <c r="P379" s="88"/>
      <c r="Q379" s="72"/>
    </row>
    <row r="380" spans="1:17" ht="30.75" customHeight="1" x14ac:dyDescent="0.25">
      <c r="A380" s="313"/>
      <c r="B380" s="315"/>
      <c r="C380" s="81" t="s">
        <v>174</v>
      </c>
      <c r="D380" s="217">
        <v>958</v>
      </c>
      <c r="E380" s="223">
        <v>1003</v>
      </c>
      <c r="F380" s="224" t="s">
        <v>360</v>
      </c>
      <c r="G380" s="96" t="s">
        <v>210</v>
      </c>
      <c r="H380" s="152">
        <f t="shared" ref="H380:J383" si="116">H385</f>
        <v>0</v>
      </c>
      <c r="I380" s="152">
        <f t="shared" si="116"/>
        <v>0</v>
      </c>
      <c r="J380" s="152">
        <f t="shared" si="116"/>
        <v>0</v>
      </c>
      <c r="K380" s="152">
        <f t="shared" si="115"/>
        <v>0</v>
      </c>
      <c r="L380" s="152">
        <f t="shared" si="115"/>
        <v>0</v>
      </c>
      <c r="M380" s="152">
        <f t="shared" si="115"/>
        <v>0</v>
      </c>
      <c r="N380" s="152">
        <f>N385</f>
        <v>0</v>
      </c>
      <c r="O380" s="152">
        <f t="shared" ref="O380:O383" si="117">O385</f>
        <v>0</v>
      </c>
      <c r="P380" s="88"/>
      <c r="Q380" s="72"/>
    </row>
    <row r="381" spans="1:17" ht="37.5" customHeight="1" x14ac:dyDescent="0.25">
      <c r="A381" s="313"/>
      <c r="B381" s="315"/>
      <c r="C381" s="81" t="s">
        <v>175</v>
      </c>
      <c r="D381" s="217">
        <v>958</v>
      </c>
      <c r="E381" s="223">
        <v>1003</v>
      </c>
      <c r="F381" s="224" t="s">
        <v>360</v>
      </c>
      <c r="G381" s="96" t="s">
        <v>210</v>
      </c>
      <c r="H381" s="152">
        <f t="shared" si="116"/>
        <v>1938.4</v>
      </c>
      <c r="I381" s="152">
        <f t="shared" si="116"/>
        <v>1750</v>
      </c>
      <c r="J381" s="152">
        <f t="shared" si="116"/>
        <v>657</v>
      </c>
      <c r="K381" s="152">
        <f t="shared" si="115"/>
        <v>360</v>
      </c>
      <c r="L381" s="152">
        <f t="shared" si="115"/>
        <v>1160</v>
      </c>
      <c r="M381" s="152">
        <f t="shared" si="115"/>
        <v>1310</v>
      </c>
      <c r="N381" s="152">
        <f>N386</f>
        <v>0</v>
      </c>
      <c r="O381" s="152">
        <f t="shared" si="117"/>
        <v>7175.4</v>
      </c>
      <c r="P381" s="88"/>
      <c r="Q381" s="72"/>
    </row>
    <row r="382" spans="1:17" ht="50.1" customHeight="1" x14ac:dyDescent="0.25">
      <c r="A382" s="313"/>
      <c r="B382" s="315"/>
      <c r="C382" s="81" t="s">
        <v>176</v>
      </c>
      <c r="D382" s="217">
        <v>958</v>
      </c>
      <c r="E382" s="223">
        <v>1003</v>
      </c>
      <c r="F382" s="224" t="s">
        <v>360</v>
      </c>
      <c r="G382" s="96" t="s">
        <v>210</v>
      </c>
      <c r="H382" s="152">
        <f t="shared" si="116"/>
        <v>0</v>
      </c>
      <c r="I382" s="152">
        <f t="shared" si="116"/>
        <v>0</v>
      </c>
      <c r="J382" s="152">
        <f t="shared" si="116"/>
        <v>0</v>
      </c>
      <c r="K382" s="152">
        <f t="shared" si="115"/>
        <v>0</v>
      </c>
      <c r="L382" s="152">
        <f t="shared" si="115"/>
        <v>0</v>
      </c>
      <c r="M382" s="152">
        <f t="shared" si="115"/>
        <v>0</v>
      </c>
      <c r="N382" s="152">
        <f>N387</f>
        <v>0</v>
      </c>
      <c r="O382" s="152">
        <f t="shared" si="117"/>
        <v>0</v>
      </c>
      <c r="P382" s="88"/>
      <c r="Q382" s="72"/>
    </row>
    <row r="383" spans="1:17" ht="50.1" customHeight="1" x14ac:dyDescent="0.25">
      <c r="A383" s="314"/>
      <c r="B383" s="316"/>
      <c r="C383" s="81" t="s">
        <v>177</v>
      </c>
      <c r="D383" s="217">
        <v>958</v>
      </c>
      <c r="E383" s="223">
        <v>1003</v>
      </c>
      <c r="F383" s="224" t="s">
        <v>360</v>
      </c>
      <c r="G383" s="96" t="s">
        <v>210</v>
      </c>
      <c r="H383" s="152">
        <f t="shared" si="116"/>
        <v>0</v>
      </c>
      <c r="I383" s="152">
        <f t="shared" si="116"/>
        <v>0</v>
      </c>
      <c r="J383" s="152">
        <f t="shared" si="116"/>
        <v>0</v>
      </c>
      <c r="K383" s="152">
        <f t="shared" si="115"/>
        <v>0</v>
      </c>
      <c r="L383" s="152">
        <f t="shared" si="115"/>
        <v>0</v>
      </c>
      <c r="M383" s="152">
        <f t="shared" si="115"/>
        <v>0</v>
      </c>
      <c r="N383" s="152">
        <f>N388</f>
        <v>0</v>
      </c>
      <c r="O383" s="152">
        <f t="shared" si="117"/>
        <v>0</v>
      </c>
      <c r="P383" s="88"/>
      <c r="Q383" s="72"/>
    </row>
    <row r="384" spans="1:17" ht="20.25" customHeight="1" x14ac:dyDescent="0.25">
      <c r="A384" s="312" t="s">
        <v>167</v>
      </c>
      <c r="B384" s="317" t="s">
        <v>168</v>
      </c>
      <c r="C384" s="89" t="s">
        <v>173</v>
      </c>
      <c r="D384" s="218">
        <v>958</v>
      </c>
      <c r="E384" s="221">
        <v>1003</v>
      </c>
      <c r="F384" s="222" t="s">
        <v>360</v>
      </c>
      <c r="G384" s="103" t="s">
        <v>210</v>
      </c>
      <c r="H384" s="148">
        <f t="shared" ref="H384:O384" si="118">H385+H386+H387+H388</f>
        <v>1938.4</v>
      </c>
      <c r="I384" s="148">
        <f t="shared" si="118"/>
        <v>1750</v>
      </c>
      <c r="J384" s="148">
        <f t="shared" si="118"/>
        <v>657</v>
      </c>
      <c r="K384" s="148">
        <f t="shared" si="118"/>
        <v>360</v>
      </c>
      <c r="L384" s="148">
        <f t="shared" si="118"/>
        <v>1160</v>
      </c>
      <c r="M384" s="148">
        <f t="shared" si="118"/>
        <v>1310</v>
      </c>
      <c r="N384" s="148">
        <f>N385+N386+N387+N388</f>
        <v>0</v>
      </c>
      <c r="O384" s="148">
        <f t="shared" si="118"/>
        <v>7175.4</v>
      </c>
      <c r="P384" s="83"/>
      <c r="Q384" s="72"/>
    </row>
    <row r="385" spans="1:17" ht="28.5" customHeight="1" x14ac:dyDescent="0.25">
      <c r="A385" s="313"/>
      <c r="B385" s="317"/>
      <c r="C385" s="89" t="s">
        <v>174</v>
      </c>
      <c r="D385" s="218">
        <v>958</v>
      </c>
      <c r="E385" s="221">
        <v>1003</v>
      </c>
      <c r="F385" s="222" t="s">
        <v>359</v>
      </c>
      <c r="G385" s="221">
        <v>320</v>
      </c>
      <c r="H385" s="148">
        <v>0</v>
      </c>
      <c r="I385" s="148">
        <v>0</v>
      </c>
      <c r="J385" s="150">
        <v>0</v>
      </c>
      <c r="K385" s="150">
        <v>0</v>
      </c>
      <c r="L385" s="150">
        <v>0</v>
      </c>
      <c r="M385" s="150">
        <v>0</v>
      </c>
      <c r="N385" s="150">
        <v>0</v>
      </c>
      <c r="O385" s="150">
        <f>SUM(H385:M385)</f>
        <v>0</v>
      </c>
      <c r="P385" s="83"/>
      <c r="Q385" s="72"/>
    </row>
    <row r="386" spans="1:17" ht="31.5" customHeight="1" x14ac:dyDescent="0.25">
      <c r="A386" s="313"/>
      <c r="B386" s="317"/>
      <c r="C386" s="89" t="s">
        <v>175</v>
      </c>
      <c r="D386" s="218">
        <v>958</v>
      </c>
      <c r="E386" s="221">
        <v>1003</v>
      </c>
      <c r="F386" s="222" t="s">
        <v>359</v>
      </c>
      <c r="G386" s="221">
        <v>320</v>
      </c>
      <c r="H386" s="148">
        <v>1938.4</v>
      </c>
      <c r="I386" s="148">
        <f>2460-710</f>
        <v>1750</v>
      </c>
      <c r="J386" s="148">
        <f>1310-210-653+210</f>
        <v>657</v>
      </c>
      <c r="K386" s="148">
        <f>1685-1325</f>
        <v>360</v>
      </c>
      <c r="L386" s="148">
        <v>1160</v>
      </c>
      <c r="M386" s="148">
        <v>1310</v>
      </c>
      <c r="N386" s="148">
        <v>0</v>
      </c>
      <c r="O386" s="150">
        <f>SUM(H386:N386)</f>
        <v>7175.4</v>
      </c>
      <c r="P386" s="83"/>
      <c r="Q386" s="72"/>
    </row>
    <row r="387" spans="1:17" ht="63" hidden="1" x14ac:dyDescent="0.25">
      <c r="A387" s="313"/>
      <c r="B387" s="317"/>
      <c r="C387" s="89" t="s">
        <v>176</v>
      </c>
      <c r="D387" s="218">
        <v>958</v>
      </c>
      <c r="E387" s="221">
        <v>1003</v>
      </c>
      <c r="F387" s="222" t="s">
        <v>359</v>
      </c>
      <c r="G387" s="221">
        <v>320</v>
      </c>
      <c r="H387" s="148">
        <v>0</v>
      </c>
      <c r="I387" s="148">
        <v>0</v>
      </c>
      <c r="J387" s="150">
        <v>0</v>
      </c>
      <c r="K387" s="150">
        <v>0</v>
      </c>
      <c r="L387" s="150">
        <v>0</v>
      </c>
      <c r="M387" s="150">
        <v>0</v>
      </c>
      <c r="N387" s="150">
        <v>0</v>
      </c>
      <c r="O387" s="150">
        <f>SUM(H387:M387)</f>
        <v>0</v>
      </c>
      <c r="P387" s="83"/>
      <c r="Q387" s="72"/>
    </row>
    <row r="388" spans="1:17" ht="47.25" hidden="1" x14ac:dyDescent="0.25">
      <c r="A388" s="313"/>
      <c r="B388" s="317"/>
      <c r="C388" s="89" t="s">
        <v>177</v>
      </c>
      <c r="D388" s="218">
        <v>958</v>
      </c>
      <c r="E388" s="221">
        <v>1003</v>
      </c>
      <c r="F388" s="222" t="s">
        <v>359</v>
      </c>
      <c r="G388" s="221">
        <v>320</v>
      </c>
      <c r="H388" s="148">
        <v>0</v>
      </c>
      <c r="I388" s="148">
        <v>0</v>
      </c>
      <c r="J388" s="150">
        <v>0</v>
      </c>
      <c r="K388" s="150">
        <v>0</v>
      </c>
      <c r="L388" s="150">
        <v>0</v>
      </c>
      <c r="M388" s="150">
        <v>0</v>
      </c>
      <c r="N388" s="150">
        <v>0</v>
      </c>
      <c r="O388" s="150">
        <f>SUM(H388:M388)</f>
        <v>0</v>
      </c>
      <c r="P388" s="83"/>
      <c r="Q388" s="72"/>
    </row>
    <row r="389" spans="1:17" ht="15.75" x14ac:dyDescent="0.25">
      <c r="M389" s="87"/>
      <c r="N389" s="87"/>
    </row>
    <row r="390" spans="1:17" ht="15.75" x14ac:dyDescent="0.25">
      <c r="M390" s="87"/>
      <c r="N390" s="87"/>
    </row>
  </sheetData>
  <autoFilter ref="A22:O388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56">
    <mergeCell ref="H1:O1"/>
    <mergeCell ref="H2:O2"/>
    <mergeCell ref="H3:O3"/>
    <mergeCell ref="H4:O4"/>
    <mergeCell ref="H10:O13"/>
    <mergeCell ref="A54:A58"/>
    <mergeCell ref="B54:B58"/>
    <mergeCell ref="A59:A63"/>
    <mergeCell ref="B59:B63"/>
    <mergeCell ref="A24:A28"/>
    <mergeCell ref="B24:B28"/>
    <mergeCell ref="A29:A33"/>
    <mergeCell ref="B29:B33"/>
    <mergeCell ref="A34:A38"/>
    <mergeCell ref="B34:B38"/>
    <mergeCell ref="H8:K9"/>
    <mergeCell ref="A15:K20"/>
    <mergeCell ref="B22:B23"/>
    <mergeCell ref="C22:C23"/>
    <mergeCell ref="H22:O22"/>
    <mergeCell ref="D22:G22"/>
    <mergeCell ref="A64:A68"/>
    <mergeCell ref="B64:B68"/>
    <mergeCell ref="A39:A43"/>
    <mergeCell ref="B39:B43"/>
    <mergeCell ref="A44:A48"/>
    <mergeCell ref="B44:B48"/>
    <mergeCell ref="A49:A53"/>
    <mergeCell ref="B49:B53"/>
    <mergeCell ref="A84:A88"/>
    <mergeCell ref="B84:B88"/>
    <mergeCell ref="A89:A93"/>
    <mergeCell ref="B89:B93"/>
    <mergeCell ref="A99:A103"/>
    <mergeCell ref="B99:B103"/>
    <mergeCell ref="A69:A73"/>
    <mergeCell ref="B69:B73"/>
    <mergeCell ref="A74:A78"/>
    <mergeCell ref="B74:B78"/>
    <mergeCell ref="A79:A83"/>
    <mergeCell ref="B79:B83"/>
    <mergeCell ref="A94:A98"/>
    <mergeCell ref="B94:B98"/>
    <mergeCell ref="A119:A123"/>
    <mergeCell ref="B119:B123"/>
    <mergeCell ref="A124:A128"/>
    <mergeCell ref="B124:B128"/>
    <mergeCell ref="A129:A133"/>
    <mergeCell ref="B129:B133"/>
    <mergeCell ref="A104:A108"/>
    <mergeCell ref="B104:B108"/>
    <mergeCell ref="A109:A113"/>
    <mergeCell ref="B109:B113"/>
    <mergeCell ref="A114:A118"/>
    <mergeCell ref="B114:B118"/>
    <mergeCell ref="A149:A153"/>
    <mergeCell ref="B149:B153"/>
    <mergeCell ref="A154:A158"/>
    <mergeCell ref="B154:B158"/>
    <mergeCell ref="A159:A163"/>
    <mergeCell ref="B159:B163"/>
    <mergeCell ref="A134:A138"/>
    <mergeCell ref="B134:B138"/>
    <mergeCell ref="A139:A143"/>
    <mergeCell ref="B139:B143"/>
    <mergeCell ref="A144:A148"/>
    <mergeCell ref="B144:B148"/>
    <mergeCell ref="A179:A183"/>
    <mergeCell ref="B179:B183"/>
    <mergeCell ref="A184:A188"/>
    <mergeCell ref="B184:B188"/>
    <mergeCell ref="A204:A208"/>
    <mergeCell ref="B204:B208"/>
    <mergeCell ref="A164:A168"/>
    <mergeCell ref="B164:B168"/>
    <mergeCell ref="A169:A173"/>
    <mergeCell ref="B169:B173"/>
    <mergeCell ref="A174:A178"/>
    <mergeCell ref="B174:B178"/>
    <mergeCell ref="A189:A193"/>
    <mergeCell ref="B189:B193"/>
    <mergeCell ref="B194:B198"/>
    <mergeCell ref="A194:A198"/>
    <mergeCell ref="A199:A203"/>
    <mergeCell ref="B199:B203"/>
    <mergeCell ref="A229:A233"/>
    <mergeCell ref="B229:B233"/>
    <mergeCell ref="A244:A248"/>
    <mergeCell ref="B244:B248"/>
    <mergeCell ref="A249:A253"/>
    <mergeCell ref="B249:B253"/>
    <mergeCell ref="A209:A213"/>
    <mergeCell ref="B209:B213"/>
    <mergeCell ref="A214:A218"/>
    <mergeCell ref="B214:B218"/>
    <mergeCell ref="A224:A228"/>
    <mergeCell ref="B224:B228"/>
    <mergeCell ref="A219:A223"/>
    <mergeCell ref="B219:B223"/>
    <mergeCell ref="A234:A238"/>
    <mergeCell ref="B234:B238"/>
    <mergeCell ref="A239:A243"/>
    <mergeCell ref="B239:B243"/>
    <mergeCell ref="A269:A273"/>
    <mergeCell ref="B269:B273"/>
    <mergeCell ref="A274:A278"/>
    <mergeCell ref="B274:B278"/>
    <mergeCell ref="A279:A283"/>
    <mergeCell ref="B279:B283"/>
    <mergeCell ref="A254:A258"/>
    <mergeCell ref="B254:B258"/>
    <mergeCell ref="A259:A263"/>
    <mergeCell ref="B259:B263"/>
    <mergeCell ref="A264:A268"/>
    <mergeCell ref="B264:B268"/>
    <mergeCell ref="A299:A303"/>
    <mergeCell ref="B299:B303"/>
    <mergeCell ref="A304:A308"/>
    <mergeCell ref="B304:B308"/>
    <mergeCell ref="A314:A318"/>
    <mergeCell ref="B314:B318"/>
    <mergeCell ref="A284:A288"/>
    <mergeCell ref="B284:B288"/>
    <mergeCell ref="A289:A293"/>
    <mergeCell ref="B289:B293"/>
    <mergeCell ref="A294:A298"/>
    <mergeCell ref="B294:B298"/>
    <mergeCell ref="B309:B313"/>
    <mergeCell ref="A374:A378"/>
    <mergeCell ref="B374:B378"/>
    <mergeCell ref="A379:A383"/>
    <mergeCell ref="B379:B383"/>
    <mergeCell ref="A384:A388"/>
    <mergeCell ref="B384:B388"/>
    <mergeCell ref="A359:A363"/>
    <mergeCell ref="B359:B363"/>
    <mergeCell ref="A364:A368"/>
    <mergeCell ref="B364:B368"/>
    <mergeCell ref="A369:A373"/>
    <mergeCell ref="B369:B373"/>
    <mergeCell ref="A319:A323"/>
    <mergeCell ref="B319:B323"/>
    <mergeCell ref="A324:A328"/>
    <mergeCell ref="B324:B328"/>
    <mergeCell ref="A344:A348"/>
    <mergeCell ref="B344:B348"/>
    <mergeCell ref="A349:A353"/>
    <mergeCell ref="B349:B353"/>
    <mergeCell ref="A354:A358"/>
    <mergeCell ref="B354:B358"/>
    <mergeCell ref="A329:A333"/>
    <mergeCell ref="B329:B333"/>
    <mergeCell ref="A334:A338"/>
    <mergeCell ref="B334:B338"/>
    <mergeCell ref="A339:A343"/>
    <mergeCell ref="B339:B343"/>
  </mergeCells>
  <pageMargins left="0.31496062992125984" right="0.31496062992125984" top="0.31496062992125984" bottom="0.31496062992125984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'1'!Область_печати</vt:lpstr>
      <vt:lpstr>'3'!Область_печати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Гурулев</dc:creator>
  <cp:lastModifiedBy>Шпачкова Марина Семеновна</cp:lastModifiedBy>
  <cp:lastPrinted>2024-04-01T23:50:16Z</cp:lastPrinted>
  <dcterms:created xsi:type="dcterms:W3CDTF">2019-08-09T00:39:39Z</dcterms:created>
  <dcterms:modified xsi:type="dcterms:W3CDTF">2024-04-02T23:22:33Z</dcterms:modified>
</cp:coreProperties>
</file>