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12105" activeTab="2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рес.об.'!$A$1:$K$296</definedName>
    <definedName name="_xlnm.Print_Area" localSheetId="1">Ресурсн.обеспеч.!$A$1:$O$77</definedName>
  </definedNames>
  <calcPr calcId="145621"/>
</workbook>
</file>

<file path=xl/calcChain.xml><?xml version="1.0" encoding="utf-8"?>
<calcChain xmlns="http://schemas.openxmlformats.org/spreadsheetml/2006/main">
  <c r="K25" i="3" l="1"/>
  <c r="K26" i="3"/>
  <c r="K27" i="3"/>
  <c r="K28" i="3"/>
  <c r="K29" i="3"/>
  <c r="K30" i="3"/>
  <c r="K31" i="3"/>
  <c r="H272" i="3" l="1"/>
  <c r="H286" i="3"/>
  <c r="H97" i="3"/>
  <c r="L69" i="2" l="1"/>
  <c r="L67" i="2"/>
  <c r="L71" i="2"/>
  <c r="L33" i="2"/>
  <c r="L76" i="2"/>
  <c r="K251" i="3" l="1"/>
  <c r="L32" i="3"/>
  <c r="L33" i="3"/>
  <c r="L34" i="3"/>
  <c r="L35" i="3"/>
  <c r="L36" i="3"/>
  <c r="L37" i="3"/>
  <c r="L39" i="3"/>
  <c r="L40" i="3"/>
  <c r="L42" i="3"/>
  <c r="L43" i="3"/>
  <c r="L44" i="3"/>
  <c r="L46" i="3"/>
  <c r="L47" i="3"/>
  <c r="L48" i="3"/>
  <c r="L49" i="3"/>
  <c r="L50" i="3"/>
  <c r="L51" i="3"/>
  <c r="L53" i="3"/>
  <c r="L54" i="3"/>
  <c r="L55" i="3"/>
  <c r="L56" i="3"/>
  <c r="L57" i="3"/>
  <c r="L58" i="3"/>
  <c r="L60" i="3"/>
  <c r="L61" i="3"/>
  <c r="L62" i="3"/>
  <c r="L63" i="3"/>
  <c r="L64" i="3"/>
  <c r="L65" i="3"/>
  <c r="L67" i="3"/>
  <c r="L70" i="3"/>
  <c r="L71" i="3"/>
  <c r="L72" i="3"/>
  <c r="L74" i="3"/>
  <c r="L76" i="3"/>
  <c r="L77" i="3"/>
  <c r="L78" i="3"/>
  <c r="L79" i="3"/>
  <c r="L81" i="3"/>
  <c r="L82" i="3"/>
  <c r="L84" i="3"/>
  <c r="L85" i="3"/>
  <c r="L86" i="3"/>
  <c r="L95" i="3"/>
  <c r="L98" i="3"/>
  <c r="L99" i="3"/>
  <c r="L100" i="3"/>
  <c r="L102" i="3"/>
  <c r="L105" i="3"/>
  <c r="L106" i="3"/>
  <c r="L107" i="3"/>
  <c r="L109" i="3"/>
  <c r="L110" i="3"/>
  <c r="L112" i="3"/>
  <c r="L113" i="3"/>
  <c r="L114" i="3"/>
  <c r="L116" i="3"/>
  <c r="L119" i="3"/>
  <c r="L120" i="3"/>
  <c r="L121" i="3"/>
  <c r="L123" i="3"/>
  <c r="L125" i="3"/>
  <c r="L126" i="3"/>
  <c r="L127" i="3"/>
  <c r="L128" i="3"/>
  <c r="L130" i="3"/>
  <c r="L131" i="3"/>
  <c r="L132" i="3"/>
  <c r="L133" i="3"/>
  <c r="L134" i="3"/>
  <c r="L135" i="3"/>
  <c r="L137" i="3"/>
  <c r="L138" i="3"/>
  <c r="L139" i="3"/>
  <c r="L140" i="3"/>
  <c r="L141" i="3"/>
  <c r="L142" i="3"/>
  <c r="L144" i="3"/>
  <c r="L145" i="3"/>
  <c r="L147" i="3"/>
  <c r="L148" i="3"/>
  <c r="L149" i="3"/>
  <c r="L151" i="3"/>
  <c r="L152" i="3"/>
  <c r="L153" i="3"/>
  <c r="L154" i="3"/>
  <c r="L155" i="3"/>
  <c r="L156" i="3"/>
  <c r="L158" i="3"/>
  <c r="L159" i="3"/>
  <c r="L160" i="3"/>
  <c r="L161" i="3"/>
  <c r="L162" i="3"/>
  <c r="L163" i="3"/>
  <c r="L165" i="3"/>
  <c r="L166" i="3"/>
  <c r="L167" i="3"/>
  <c r="L168" i="3"/>
  <c r="L169" i="3"/>
  <c r="L170" i="3"/>
  <c r="L172" i="3"/>
  <c r="L173" i="3"/>
  <c r="L175" i="3"/>
  <c r="L176" i="3"/>
  <c r="L177" i="3"/>
  <c r="L179" i="3"/>
  <c r="L180" i="3"/>
  <c r="L181" i="3"/>
  <c r="L182" i="3"/>
  <c r="L183" i="3"/>
  <c r="L184" i="3"/>
  <c r="L193" i="3"/>
  <c r="L194" i="3"/>
  <c r="L196" i="3"/>
  <c r="L197" i="3"/>
  <c r="L198" i="3"/>
  <c r="L200" i="3"/>
  <c r="L201" i="3"/>
  <c r="L202" i="3"/>
  <c r="L203" i="3"/>
  <c r="L204" i="3"/>
  <c r="L205" i="3"/>
  <c r="L207" i="3"/>
  <c r="L208" i="3"/>
  <c r="L209" i="3"/>
  <c r="L210" i="3"/>
  <c r="L211" i="3"/>
  <c r="L212" i="3"/>
  <c r="L214" i="3"/>
  <c r="L215" i="3"/>
  <c r="L217" i="3"/>
  <c r="L218" i="3"/>
  <c r="L219" i="3"/>
  <c r="L221" i="3"/>
  <c r="L222" i="3"/>
  <c r="L223" i="3"/>
  <c r="L224" i="3"/>
  <c r="L225" i="3"/>
  <c r="L226" i="3"/>
  <c r="L228" i="3"/>
  <c r="L229" i="3"/>
  <c r="L230" i="3"/>
  <c r="L231" i="3"/>
  <c r="L232" i="3"/>
  <c r="L233" i="3"/>
  <c r="L235" i="3"/>
  <c r="L236" i="3"/>
  <c r="L237" i="3"/>
  <c r="L238" i="3"/>
  <c r="L239" i="3"/>
  <c r="L240" i="3"/>
  <c r="L242" i="3"/>
  <c r="L243" i="3"/>
  <c r="L244" i="3"/>
  <c r="L245" i="3"/>
  <c r="L246" i="3"/>
  <c r="L247" i="3"/>
  <c r="L256" i="3"/>
  <c r="L257" i="3"/>
  <c r="L258" i="3"/>
  <c r="L259" i="3"/>
  <c r="L260" i="3"/>
  <c r="L261" i="3"/>
  <c r="L263" i="3"/>
  <c r="L264" i="3"/>
  <c r="L266" i="3"/>
  <c r="L267" i="3"/>
  <c r="L268" i="3"/>
  <c r="L270" i="3"/>
  <c r="L271" i="3"/>
  <c r="L273" i="3"/>
  <c r="L274" i="3"/>
  <c r="L275" i="3"/>
  <c r="L277" i="3"/>
  <c r="L278" i="3"/>
  <c r="L279" i="3"/>
  <c r="L280" i="3"/>
  <c r="L281" i="3"/>
  <c r="L282" i="3"/>
  <c r="L284" i="3"/>
  <c r="L285" i="3"/>
  <c r="L287" i="3"/>
  <c r="L288" i="3"/>
  <c r="L289" i="3"/>
  <c r="L291" i="3"/>
  <c r="L292" i="3"/>
  <c r="L294" i="3"/>
  <c r="L295" i="3"/>
  <c r="L296" i="3"/>
  <c r="K290" i="3"/>
  <c r="K283" i="3"/>
  <c r="K276" i="3"/>
  <c r="K269" i="3"/>
  <c r="K262" i="3"/>
  <c r="K255" i="3"/>
  <c r="K241" i="3"/>
  <c r="K234" i="3"/>
  <c r="K227" i="3"/>
  <c r="K220" i="3"/>
  <c r="K213" i="3"/>
  <c r="K206" i="3"/>
  <c r="K199" i="3"/>
  <c r="K192" i="3"/>
  <c r="K189" i="3"/>
  <c r="K188" i="3"/>
  <c r="K187" i="3"/>
  <c r="I178" i="3"/>
  <c r="J178" i="3"/>
  <c r="K178" i="3"/>
  <c r="K171" i="3"/>
  <c r="K164" i="3"/>
  <c r="K157" i="3"/>
  <c r="K150" i="3"/>
  <c r="K143" i="3"/>
  <c r="K136" i="3"/>
  <c r="K129" i="3"/>
  <c r="K122" i="3"/>
  <c r="K115" i="3"/>
  <c r="K108" i="3"/>
  <c r="K101" i="3"/>
  <c r="K94" i="3"/>
  <c r="K90" i="3"/>
  <c r="K20" i="3" s="1"/>
  <c r="K89" i="3"/>
  <c r="K19" i="3" s="1"/>
  <c r="K80" i="3"/>
  <c r="K73" i="3"/>
  <c r="K66" i="3"/>
  <c r="K59" i="3"/>
  <c r="K52" i="3"/>
  <c r="K45" i="3"/>
  <c r="K38" i="3"/>
  <c r="K24" i="3" s="1"/>
  <c r="P16" i="2"/>
  <c r="P17" i="2"/>
  <c r="P18" i="2"/>
  <c r="P19" i="2"/>
  <c r="P20" i="2"/>
  <c r="P21" i="2"/>
  <c r="P22" i="2"/>
  <c r="P23" i="2"/>
  <c r="P24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7" i="2"/>
  <c r="P58" i="2"/>
  <c r="P59" i="2"/>
  <c r="P60" i="2"/>
  <c r="P61" i="2"/>
  <c r="P62" i="2"/>
  <c r="P63" i="2"/>
  <c r="P64" i="2"/>
  <c r="P65" i="2"/>
  <c r="P67" i="2"/>
  <c r="P68" i="2"/>
  <c r="P69" i="2"/>
  <c r="P70" i="2"/>
  <c r="P71" i="2"/>
  <c r="P72" i="2"/>
  <c r="P73" i="2"/>
  <c r="P74" i="2"/>
  <c r="P75" i="2"/>
  <c r="P76" i="2"/>
  <c r="P77" i="2"/>
  <c r="N25" i="2"/>
  <c r="O25" i="2"/>
  <c r="M25" i="2"/>
  <c r="K248" i="3" l="1"/>
  <c r="K185" i="3"/>
  <c r="K87" i="3"/>
  <c r="K17" i="3" s="1"/>
  <c r="O66" i="2"/>
  <c r="O59" i="2"/>
  <c r="O47" i="2"/>
  <c r="O34" i="2"/>
  <c r="O26" i="2"/>
  <c r="R15" i="1" s="1"/>
  <c r="O17" i="2"/>
  <c r="J18" i="1"/>
  <c r="R17" i="1"/>
  <c r="R16" i="1"/>
  <c r="R14" i="1"/>
  <c r="O56" i="2" l="1"/>
  <c r="R18" i="1"/>
  <c r="H104" i="3"/>
  <c r="L35" i="2"/>
  <c r="O15" i="2" l="1"/>
  <c r="I90" i="3"/>
  <c r="J90" i="3"/>
  <c r="H96" i="3" l="1"/>
  <c r="H195" i="3"/>
  <c r="H88" i="3"/>
  <c r="H89" i="3"/>
  <c r="H91" i="3"/>
  <c r="H92" i="3"/>
  <c r="H93" i="3"/>
  <c r="H178" i="3"/>
  <c r="L178" i="3" s="1"/>
  <c r="H68" i="3"/>
  <c r="H69" i="3"/>
  <c r="L48" i="2"/>
  <c r="L23" i="2"/>
  <c r="L34" i="2" l="1"/>
  <c r="I89" i="3" l="1"/>
  <c r="J89" i="3"/>
  <c r="H174" i="3" l="1"/>
  <c r="H90" i="3" s="1"/>
  <c r="L45" i="2"/>
  <c r="G103" i="3"/>
  <c r="L66" i="2"/>
  <c r="P66" i="2" s="1"/>
  <c r="M66" i="2"/>
  <c r="N66" i="2"/>
  <c r="K62" i="2"/>
  <c r="K60" i="2"/>
  <c r="J26" i="3"/>
  <c r="G124" i="3"/>
  <c r="G272" i="3"/>
  <c r="G286" i="3"/>
  <c r="G265" i="3"/>
  <c r="G97" i="3"/>
  <c r="G69" i="3"/>
  <c r="K76" i="2"/>
  <c r="K71" i="2"/>
  <c r="K69" i="2"/>
  <c r="K67" i="2"/>
  <c r="K63" i="2"/>
  <c r="K23" i="2"/>
  <c r="K33" i="2"/>
  <c r="G104" i="3"/>
  <c r="K35" i="2"/>
  <c r="F290" i="3"/>
  <c r="G195" i="3"/>
  <c r="G41" i="3"/>
  <c r="K19" i="2"/>
  <c r="K48" i="2"/>
  <c r="G174" i="3"/>
  <c r="L174" i="3" s="1"/>
  <c r="K45" i="2"/>
  <c r="G75" i="3"/>
  <c r="K36" i="2"/>
  <c r="K59" i="2" l="1"/>
  <c r="G89" i="3"/>
  <c r="G68" i="3"/>
  <c r="H171" i="3"/>
  <c r="I171" i="3"/>
  <c r="J171" i="3"/>
  <c r="G171" i="3"/>
  <c r="G111" i="3"/>
  <c r="K72" i="2"/>
  <c r="K66" i="2" s="1"/>
  <c r="K37" i="2"/>
  <c r="J23" i="2"/>
  <c r="F68" i="3"/>
  <c r="F75" i="3"/>
  <c r="L75" i="3" s="1"/>
  <c r="F124" i="3"/>
  <c r="L124" i="3" s="1"/>
  <c r="F272" i="3"/>
  <c r="F83" i="3"/>
  <c r="L83" i="3" s="1"/>
  <c r="J72" i="2"/>
  <c r="J67" i="2"/>
  <c r="J24" i="2"/>
  <c r="F97" i="3"/>
  <c r="F69" i="3"/>
  <c r="J33" i="2"/>
  <c r="L59" i="2"/>
  <c r="M59" i="2"/>
  <c r="J71" i="2"/>
  <c r="F118" i="3"/>
  <c r="L118" i="3" s="1"/>
  <c r="J38" i="2"/>
  <c r="F265" i="3"/>
  <c r="J62" i="2"/>
  <c r="J60" i="2"/>
  <c r="G27" i="3"/>
  <c r="F286" i="3"/>
  <c r="F195" i="3"/>
  <c r="F41" i="3"/>
  <c r="J76" i="2"/>
  <c r="J69" i="2"/>
  <c r="J48" i="2"/>
  <c r="J19" i="2"/>
  <c r="I94" i="3"/>
  <c r="J94" i="3"/>
  <c r="I290" i="3"/>
  <c r="J290" i="3"/>
  <c r="I283" i="3"/>
  <c r="J283" i="3"/>
  <c r="I276" i="3"/>
  <c r="J276" i="3"/>
  <c r="I269" i="3"/>
  <c r="J269" i="3"/>
  <c r="I262" i="3"/>
  <c r="J262" i="3"/>
  <c r="I255" i="3"/>
  <c r="J255" i="3"/>
  <c r="I254" i="3"/>
  <c r="J254" i="3"/>
  <c r="I253" i="3"/>
  <c r="J253" i="3"/>
  <c r="I252" i="3"/>
  <c r="J252" i="3"/>
  <c r="I251" i="3"/>
  <c r="J251" i="3"/>
  <c r="I250" i="3"/>
  <c r="J250" i="3"/>
  <c r="I249" i="3"/>
  <c r="J249" i="3"/>
  <c r="I241" i="3"/>
  <c r="J241" i="3"/>
  <c r="I234" i="3"/>
  <c r="J234" i="3"/>
  <c r="I227" i="3"/>
  <c r="J227" i="3"/>
  <c r="I220" i="3"/>
  <c r="J220" i="3"/>
  <c r="I213" i="3"/>
  <c r="J213" i="3"/>
  <c r="I206" i="3"/>
  <c r="J206" i="3"/>
  <c r="I199" i="3"/>
  <c r="J199" i="3"/>
  <c r="I192" i="3"/>
  <c r="J192" i="3"/>
  <c r="I191" i="3"/>
  <c r="J191" i="3"/>
  <c r="I190" i="3"/>
  <c r="J190" i="3"/>
  <c r="I189" i="3"/>
  <c r="J189" i="3"/>
  <c r="I188" i="3"/>
  <c r="J188" i="3"/>
  <c r="I187" i="3"/>
  <c r="J187" i="3"/>
  <c r="I186" i="3"/>
  <c r="J186" i="3"/>
  <c r="I164" i="3"/>
  <c r="J164" i="3"/>
  <c r="I157" i="3"/>
  <c r="J157" i="3"/>
  <c r="I150" i="3"/>
  <c r="J150" i="3"/>
  <c r="I143" i="3"/>
  <c r="J143" i="3"/>
  <c r="I136" i="3"/>
  <c r="J136" i="3"/>
  <c r="I129" i="3"/>
  <c r="J129" i="3"/>
  <c r="I122" i="3"/>
  <c r="J122" i="3"/>
  <c r="I115" i="3"/>
  <c r="J115" i="3"/>
  <c r="I108" i="3"/>
  <c r="J108" i="3"/>
  <c r="I101" i="3"/>
  <c r="J101" i="3"/>
  <c r="I93" i="3"/>
  <c r="J93" i="3"/>
  <c r="I92" i="3"/>
  <c r="J92" i="3"/>
  <c r="I91" i="3"/>
  <c r="J91" i="3"/>
  <c r="I88" i="3"/>
  <c r="J88" i="3"/>
  <c r="I80" i="3"/>
  <c r="J80" i="3"/>
  <c r="I73" i="3"/>
  <c r="J73" i="3"/>
  <c r="I66" i="3"/>
  <c r="J66" i="3"/>
  <c r="I59" i="3"/>
  <c r="J59" i="3"/>
  <c r="I52" i="3"/>
  <c r="J52" i="3"/>
  <c r="I45" i="3"/>
  <c r="J45" i="3"/>
  <c r="I38" i="3"/>
  <c r="J38" i="3"/>
  <c r="I31" i="3"/>
  <c r="J31" i="3"/>
  <c r="I30" i="3"/>
  <c r="J30" i="3"/>
  <c r="I29" i="3"/>
  <c r="J29" i="3"/>
  <c r="I28" i="3"/>
  <c r="J28" i="3"/>
  <c r="I27" i="3"/>
  <c r="J27" i="3"/>
  <c r="I26" i="3"/>
  <c r="I25" i="3"/>
  <c r="J25" i="3"/>
  <c r="N17" i="1"/>
  <c r="O17" i="1"/>
  <c r="P17" i="1"/>
  <c r="Q17" i="1"/>
  <c r="N16" i="1"/>
  <c r="O16" i="1"/>
  <c r="P16" i="1"/>
  <c r="Q16" i="1"/>
  <c r="N14" i="1"/>
  <c r="O14" i="1"/>
  <c r="P14" i="1"/>
  <c r="Q14" i="1"/>
  <c r="J248" i="3" l="1"/>
  <c r="I248" i="3"/>
  <c r="I87" i="3"/>
  <c r="L171" i="3"/>
  <c r="J87" i="3"/>
  <c r="J185" i="3"/>
  <c r="G90" i="3"/>
  <c r="L111" i="3"/>
  <c r="J24" i="3"/>
  <c r="I185" i="3"/>
  <c r="I20" i="3"/>
  <c r="J19" i="3"/>
  <c r="I19" i="3"/>
  <c r="J20" i="3"/>
  <c r="I24" i="3"/>
  <c r="M56" i="2"/>
  <c r="N59" i="2"/>
  <c r="M47" i="2"/>
  <c r="N47" i="2"/>
  <c r="M34" i="2"/>
  <c r="N34" i="2"/>
  <c r="N26" i="2"/>
  <c r="M17" i="2"/>
  <c r="N17" i="2"/>
  <c r="M16" i="2"/>
  <c r="N16" i="2"/>
  <c r="F18" i="1"/>
  <c r="G18" i="1"/>
  <c r="H18" i="1"/>
  <c r="I18" i="1"/>
  <c r="M17" i="1"/>
  <c r="M16" i="1"/>
  <c r="M14" i="1"/>
  <c r="J63" i="2"/>
  <c r="E195" i="3"/>
  <c r="L195" i="3" s="1"/>
  <c r="I48" i="2"/>
  <c r="E117" i="3"/>
  <c r="L117" i="3" s="1"/>
  <c r="E96" i="3"/>
  <c r="L96" i="3" s="1"/>
  <c r="E68" i="3"/>
  <c r="L68" i="3" s="1"/>
  <c r="E69" i="3"/>
  <c r="L69" i="3" s="1"/>
  <c r="I23" i="2"/>
  <c r="E103" i="3"/>
  <c r="L103" i="3" s="1"/>
  <c r="E272" i="3"/>
  <c r="L272" i="3" s="1"/>
  <c r="E286" i="3"/>
  <c r="L286" i="3" s="1"/>
  <c r="E265" i="3"/>
  <c r="L265" i="3" s="1"/>
  <c r="E97" i="3"/>
  <c r="L97" i="3" s="1"/>
  <c r="I76" i="2"/>
  <c r="I71" i="2"/>
  <c r="I67" i="2"/>
  <c r="I61" i="2"/>
  <c r="I60" i="2"/>
  <c r="I33" i="2"/>
  <c r="F269" i="3"/>
  <c r="E191" i="3"/>
  <c r="F191" i="3"/>
  <c r="G191" i="3"/>
  <c r="H191" i="3"/>
  <c r="E190" i="3"/>
  <c r="F190" i="3"/>
  <c r="G190" i="3"/>
  <c r="H190" i="3"/>
  <c r="E189" i="3"/>
  <c r="F189" i="3"/>
  <c r="G189" i="3"/>
  <c r="H189" i="3"/>
  <c r="F188" i="3"/>
  <c r="G188" i="3"/>
  <c r="H188" i="3"/>
  <c r="E187" i="3"/>
  <c r="F187" i="3"/>
  <c r="G187" i="3"/>
  <c r="H187" i="3"/>
  <c r="E186" i="3"/>
  <c r="F186" i="3"/>
  <c r="G186" i="3"/>
  <c r="H186" i="3"/>
  <c r="D186" i="3"/>
  <c r="D187" i="3"/>
  <c r="L187" i="3" s="1"/>
  <c r="D188" i="3"/>
  <c r="D189" i="3"/>
  <c r="D190" i="3"/>
  <c r="D191" i="3"/>
  <c r="L191" i="3" s="1"/>
  <c r="E241" i="3"/>
  <c r="F241" i="3"/>
  <c r="G241" i="3"/>
  <c r="H241" i="3"/>
  <c r="D241" i="3"/>
  <c r="F27" i="3"/>
  <c r="H27" i="3"/>
  <c r="F26" i="3"/>
  <c r="G26" i="3"/>
  <c r="H26" i="3"/>
  <c r="D25" i="3"/>
  <c r="D26" i="3"/>
  <c r="D27" i="3"/>
  <c r="D28" i="3"/>
  <c r="D29" i="3"/>
  <c r="D30" i="3"/>
  <c r="E73" i="3"/>
  <c r="F73" i="3"/>
  <c r="G73" i="3"/>
  <c r="H73" i="3"/>
  <c r="D73" i="3"/>
  <c r="E157" i="3"/>
  <c r="F157" i="3"/>
  <c r="G157" i="3"/>
  <c r="H157" i="3"/>
  <c r="D157" i="3"/>
  <c r="E93" i="3"/>
  <c r="F93" i="3"/>
  <c r="G93" i="3"/>
  <c r="E92" i="3"/>
  <c r="F92" i="3"/>
  <c r="G92" i="3"/>
  <c r="E91" i="3"/>
  <c r="F91" i="3"/>
  <c r="G91" i="3"/>
  <c r="F90" i="3"/>
  <c r="F89" i="3"/>
  <c r="E88" i="3"/>
  <c r="F88" i="3"/>
  <c r="G88" i="3"/>
  <c r="D88" i="3"/>
  <c r="D89" i="3"/>
  <c r="D90" i="3"/>
  <c r="D91" i="3"/>
  <c r="L91" i="3" s="1"/>
  <c r="D92" i="3"/>
  <c r="D93" i="3"/>
  <c r="J17" i="3" l="1"/>
  <c r="L190" i="3"/>
  <c r="L186" i="3"/>
  <c r="L93" i="3"/>
  <c r="L157" i="3"/>
  <c r="L189" i="3"/>
  <c r="L92" i="3"/>
  <c r="L88" i="3"/>
  <c r="L73" i="3"/>
  <c r="L241" i="3"/>
  <c r="E89" i="3"/>
  <c r="L89" i="3" s="1"/>
  <c r="I17" i="3"/>
  <c r="N56" i="2"/>
  <c r="E26" i="3"/>
  <c r="L26" i="3" s="1"/>
  <c r="Q15" i="1"/>
  <c r="Q18" i="1" s="1"/>
  <c r="I66" i="2"/>
  <c r="J66" i="2"/>
  <c r="H66" i="2"/>
  <c r="J59" i="2"/>
  <c r="H59" i="2"/>
  <c r="J47" i="2"/>
  <c r="K47" i="2"/>
  <c r="L47" i="2"/>
  <c r="H47" i="2"/>
  <c r="J17" i="2"/>
  <c r="K17" i="2"/>
  <c r="L17" i="2"/>
  <c r="H17" i="2"/>
  <c r="N15" i="2" l="1"/>
  <c r="E293" i="3"/>
  <c r="L293" i="3" s="1"/>
  <c r="I77" i="2"/>
  <c r="K56" i="2"/>
  <c r="L56" i="2"/>
  <c r="P56" i="2" s="1"/>
  <c r="I57" i="2"/>
  <c r="E216" i="3"/>
  <c r="E146" i="3"/>
  <c r="L146" i="3" s="1"/>
  <c r="E104" i="3"/>
  <c r="L104" i="3" s="1"/>
  <c r="E41" i="3"/>
  <c r="L41" i="3" s="1"/>
  <c r="I63" i="2"/>
  <c r="I51" i="2"/>
  <c r="I35" i="2"/>
  <c r="I42" i="2"/>
  <c r="I19" i="2"/>
  <c r="J34" i="2"/>
  <c r="K34" i="2"/>
  <c r="H34" i="2"/>
  <c r="F251" i="3"/>
  <c r="G251" i="3"/>
  <c r="G20" i="3" s="1"/>
  <c r="H251" i="3"/>
  <c r="H20" i="3" s="1"/>
  <c r="E251" i="3"/>
  <c r="E192" i="3"/>
  <c r="H290" i="3"/>
  <c r="G290" i="3"/>
  <c r="E290" i="3"/>
  <c r="D290" i="3"/>
  <c r="H234" i="3"/>
  <c r="G234" i="3"/>
  <c r="F234" i="3"/>
  <c r="E234" i="3"/>
  <c r="D234" i="3"/>
  <c r="L234" i="3" s="1"/>
  <c r="K18" i="1"/>
  <c r="L18" i="1"/>
  <c r="D18" i="1"/>
  <c r="E18" i="1"/>
  <c r="C18" i="1"/>
  <c r="M26" i="2"/>
  <c r="J26" i="2"/>
  <c r="M15" i="1" s="1"/>
  <c r="M18" i="1" s="1"/>
  <c r="K26" i="2"/>
  <c r="L26" i="2"/>
  <c r="I26" i="2"/>
  <c r="D251" i="3"/>
  <c r="H283" i="3"/>
  <c r="G283" i="3"/>
  <c r="F283" i="3"/>
  <c r="E283" i="3"/>
  <c r="D283" i="3"/>
  <c r="L283" i="3" s="1"/>
  <c r="H26" i="2"/>
  <c r="I16" i="2"/>
  <c r="J16" i="2"/>
  <c r="K16" i="2"/>
  <c r="L16" i="2"/>
  <c r="H16" i="2"/>
  <c r="G276" i="3"/>
  <c r="H276" i="3"/>
  <c r="G269" i="3"/>
  <c r="H269" i="3"/>
  <c r="G262" i="3"/>
  <c r="H262" i="3"/>
  <c r="G255" i="3"/>
  <c r="H255" i="3"/>
  <c r="G254" i="3"/>
  <c r="H254" i="3"/>
  <c r="H252" i="3"/>
  <c r="G253" i="3"/>
  <c r="H253" i="3"/>
  <c r="G252" i="3"/>
  <c r="G250" i="3"/>
  <c r="G19" i="3" s="1"/>
  <c r="H250" i="3"/>
  <c r="H19" i="3" s="1"/>
  <c r="G249" i="3"/>
  <c r="H249" i="3"/>
  <c r="G227" i="3"/>
  <c r="H227" i="3"/>
  <c r="G220" i="3"/>
  <c r="H220" i="3"/>
  <c r="F213" i="3"/>
  <c r="G213" i="3"/>
  <c r="H213" i="3"/>
  <c r="D213" i="3"/>
  <c r="G206" i="3"/>
  <c r="H206" i="3"/>
  <c r="G199" i="3"/>
  <c r="H199" i="3"/>
  <c r="G192" i="3"/>
  <c r="H192" i="3"/>
  <c r="G164" i="3"/>
  <c r="H164" i="3"/>
  <c r="G150" i="3"/>
  <c r="H150" i="3"/>
  <c r="G143" i="3"/>
  <c r="H143" i="3"/>
  <c r="G136" i="3"/>
  <c r="H136" i="3"/>
  <c r="G129" i="3"/>
  <c r="H129" i="3"/>
  <c r="G122" i="3"/>
  <c r="H122" i="3"/>
  <c r="G115" i="3"/>
  <c r="H115" i="3"/>
  <c r="G108" i="3"/>
  <c r="H108" i="3"/>
  <c r="G101" i="3"/>
  <c r="H101" i="3"/>
  <c r="G94" i="3"/>
  <c r="H94" i="3"/>
  <c r="G80" i="3"/>
  <c r="H80" i="3"/>
  <c r="G66" i="3"/>
  <c r="H66" i="3"/>
  <c r="G59" i="3"/>
  <c r="H59" i="3"/>
  <c r="G52" i="3"/>
  <c r="H52" i="3"/>
  <c r="G45" i="3"/>
  <c r="H45" i="3"/>
  <c r="G38" i="3"/>
  <c r="H38" i="3"/>
  <c r="G31" i="3"/>
  <c r="H31" i="3"/>
  <c r="G30" i="3"/>
  <c r="H30" i="3"/>
  <c r="G29" i="3"/>
  <c r="H29" i="3"/>
  <c r="G28" i="3"/>
  <c r="H28" i="3"/>
  <c r="G25" i="3"/>
  <c r="G18" i="3" s="1"/>
  <c r="H25" i="3"/>
  <c r="P26" i="2" l="1"/>
  <c r="L25" i="2"/>
  <c r="P25" i="2" s="1"/>
  <c r="L251" i="3"/>
  <c r="L290" i="3"/>
  <c r="E213" i="3"/>
  <c r="L213" i="3" s="1"/>
  <c r="L216" i="3"/>
  <c r="H18" i="3"/>
  <c r="H87" i="3"/>
  <c r="H25" i="2"/>
  <c r="G87" i="3"/>
  <c r="K25" i="2"/>
  <c r="K15" i="2" s="1"/>
  <c r="I34" i="2"/>
  <c r="I25" i="2" s="1"/>
  <c r="L15" i="2"/>
  <c r="G248" i="3"/>
  <c r="E27" i="3"/>
  <c r="L27" i="3" s="1"/>
  <c r="E90" i="3"/>
  <c r="L90" i="3" s="1"/>
  <c r="E188" i="3"/>
  <c r="L188" i="3" s="1"/>
  <c r="I47" i="2"/>
  <c r="I17" i="2"/>
  <c r="I59" i="2"/>
  <c r="H248" i="3"/>
  <c r="H24" i="3"/>
  <c r="H185" i="3"/>
  <c r="G185" i="3"/>
  <c r="G24" i="3"/>
  <c r="P15" i="1"/>
  <c r="P18" i="1" s="1"/>
  <c r="O15" i="1"/>
  <c r="O18" i="1" s="1"/>
  <c r="N15" i="1"/>
  <c r="N18" i="1" s="1"/>
  <c r="J25" i="2"/>
  <c r="F164" i="3"/>
  <c r="E164" i="3"/>
  <c r="D164" i="3"/>
  <c r="F150" i="3"/>
  <c r="E150" i="3"/>
  <c r="D150" i="3"/>
  <c r="F80" i="3"/>
  <c r="E80" i="3"/>
  <c r="D80" i="3"/>
  <c r="F249" i="3"/>
  <c r="F250" i="3"/>
  <c r="F252" i="3"/>
  <c r="F253" i="3"/>
  <c r="F254" i="3"/>
  <c r="E249" i="3"/>
  <c r="E250" i="3"/>
  <c r="E19" i="3" s="1"/>
  <c r="E252" i="3"/>
  <c r="E253" i="3"/>
  <c r="E254" i="3"/>
  <c r="D249" i="3"/>
  <c r="L249" i="3" s="1"/>
  <c r="D250" i="3"/>
  <c r="D252" i="3"/>
  <c r="D253" i="3"/>
  <c r="D254" i="3"/>
  <c r="L254" i="3" s="1"/>
  <c r="E262" i="3"/>
  <c r="F262" i="3"/>
  <c r="D262" i="3"/>
  <c r="E122" i="3"/>
  <c r="F122" i="3"/>
  <c r="D122" i="3"/>
  <c r="E66" i="3"/>
  <c r="F66" i="3"/>
  <c r="D66" i="3"/>
  <c r="F276" i="3"/>
  <c r="E276" i="3"/>
  <c r="D276" i="3"/>
  <c r="L276" i="3" s="1"/>
  <c r="E269" i="3"/>
  <c r="D269" i="3"/>
  <c r="L269" i="3" s="1"/>
  <c r="F255" i="3"/>
  <c r="E255" i="3"/>
  <c r="D255" i="3"/>
  <c r="F227" i="3"/>
  <c r="E227" i="3"/>
  <c r="D227" i="3"/>
  <c r="L227" i="3" s="1"/>
  <c r="F220" i="3"/>
  <c r="E220" i="3"/>
  <c r="D220" i="3"/>
  <c r="F206" i="3"/>
  <c r="E206" i="3"/>
  <c r="D206" i="3"/>
  <c r="F199" i="3"/>
  <c r="E199" i="3"/>
  <c r="E185" i="3" s="1"/>
  <c r="D199" i="3"/>
  <c r="F192" i="3"/>
  <c r="D192" i="3"/>
  <c r="F143" i="3"/>
  <c r="E143" i="3"/>
  <c r="D143" i="3"/>
  <c r="F136" i="3"/>
  <c r="E136" i="3"/>
  <c r="D136" i="3"/>
  <c r="F129" i="3"/>
  <c r="E129" i="3"/>
  <c r="D129" i="3"/>
  <c r="L129" i="3" s="1"/>
  <c r="F115" i="3"/>
  <c r="E115" i="3"/>
  <c r="D115" i="3"/>
  <c r="F108" i="3"/>
  <c r="E108" i="3"/>
  <c r="D108" i="3"/>
  <c r="F101" i="3"/>
  <c r="E101" i="3"/>
  <c r="D101" i="3"/>
  <c r="F94" i="3"/>
  <c r="E94" i="3"/>
  <c r="D94" i="3"/>
  <c r="L94" i="3" s="1"/>
  <c r="F59" i="3"/>
  <c r="E59" i="3"/>
  <c r="D59" i="3"/>
  <c r="F52" i="3"/>
  <c r="E52" i="3"/>
  <c r="D52" i="3"/>
  <c r="F45" i="3"/>
  <c r="E45" i="3"/>
  <c r="D45" i="3"/>
  <c r="F38" i="3"/>
  <c r="E38" i="3"/>
  <c r="D38" i="3"/>
  <c r="L38" i="3" s="1"/>
  <c r="E30" i="3"/>
  <c r="F30" i="3"/>
  <c r="F23" i="3" s="1"/>
  <c r="E29" i="3"/>
  <c r="F29" i="3"/>
  <c r="F22" i="3" s="1"/>
  <c r="E28" i="3"/>
  <c r="F28" i="3"/>
  <c r="F20" i="3"/>
  <c r="F19" i="3"/>
  <c r="E25" i="3"/>
  <c r="F25" i="3"/>
  <c r="F18" i="3" s="1"/>
  <c r="E31" i="3"/>
  <c r="F31" i="3"/>
  <c r="D31" i="3"/>
  <c r="J56" i="2"/>
  <c r="H56" i="2"/>
  <c r="L115" i="3" l="1"/>
  <c r="L192" i="3"/>
  <c r="L220" i="3"/>
  <c r="L262" i="3"/>
  <c r="L253" i="3"/>
  <c r="L164" i="3"/>
  <c r="L108" i="3"/>
  <c r="L143" i="3"/>
  <c r="L206" i="3"/>
  <c r="L122" i="3"/>
  <c r="L252" i="3"/>
  <c r="L150" i="3"/>
  <c r="L52" i="3"/>
  <c r="L31" i="3"/>
  <c r="L45" i="3"/>
  <c r="L59" i="3"/>
  <c r="L101" i="3"/>
  <c r="L136" i="3"/>
  <c r="L199" i="3"/>
  <c r="L255" i="3"/>
  <c r="L66" i="3"/>
  <c r="L250" i="3"/>
  <c r="L80" i="3"/>
  <c r="L28" i="3"/>
  <c r="L30" i="3"/>
  <c r="L25" i="3"/>
  <c r="L29" i="3"/>
  <c r="I56" i="2"/>
  <c r="D24" i="3"/>
  <c r="E20" i="3"/>
  <c r="D185" i="3"/>
  <c r="F21" i="3"/>
  <c r="H17" i="3"/>
  <c r="E18" i="3"/>
  <c r="E21" i="3"/>
  <c r="E22" i="3"/>
  <c r="E23" i="3"/>
  <c r="D248" i="3"/>
  <c r="G17" i="3"/>
  <c r="F248" i="3"/>
  <c r="E24" i="3"/>
  <c r="F24" i="3"/>
  <c r="L24" i="3" s="1"/>
  <c r="D87" i="3"/>
  <c r="F185" i="3"/>
  <c r="F87" i="3"/>
  <c r="E248" i="3"/>
  <c r="E87" i="3"/>
  <c r="D23" i="3"/>
  <c r="D18" i="3"/>
  <c r="D22" i="3"/>
  <c r="D21" i="3"/>
  <c r="D19" i="3"/>
  <c r="L19" i="3" s="1"/>
  <c r="D20" i="3"/>
  <c r="J15" i="2"/>
  <c r="I15" i="2"/>
  <c r="L21" i="3" l="1"/>
  <c r="L87" i="3"/>
  <c r="L185" i="3"/>
  <c r="L248" i="3"/>
  <c r="L22" i="3"/>
  <c r="L18" i="3"/>
  <c r="L20" i="3"/>
  <c r="L23" i="3"/>
  <c r="F17" i="3"/>
  <c r="M15" i="2"/>
  <c r="P15" i="2" s="1"/>
  <c r="E17" i="3"/>
  <c r="H15" i="2"/>
  <c r="D17" i="3"/>
  <c r="L17" i="3" l="1"/>
</calcChain>
</file>

<file path=xl/sharedStrings.xml><?xml version="1.0" encoding="utf-8"?>
<sst xmlns="http://schemas.openxmlformats.org/spreadsheetml/2006/main" count="606" uniqueCount="168">
  <si>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</si>
  <si>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</si>
  <si>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</si>
  <si>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</si>
  <si>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</si>
  <si>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</si>
  <si>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</si>
  <si>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</si>
  <si>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</si>
  <si>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</si>
  <si>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</si>
  <si>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</si>
  <si>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</si>
  <si>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</si>
  <si>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</si>
  <si>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</si>
  <si>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</si>
  <si>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</si>
  <si>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</si>
  <si>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</si>
  <si>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</si>
  <si>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</si>
  <si>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</si>
  <si>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</si>
  <si>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</si>
  <si>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0127003</t>
  </si>
  <si>
    <t>0709</t>
  </si>
  <si>
    <t>0192005</t>
  </si>
  <si>
    <t>000</t>
  </si>
  <si>
    <t>Оценка расходов (тыс.руб.)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</si>
  <si>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</si>
  <si>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</si>
  <si>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</si>
  <si>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</si>
  <si>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</si>
  <si>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</si>
  <si>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</si>
  <si>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</si>
  <si>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</si>
  <si>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</si>
  <si>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</si>
  <si>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</si>
  <si>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</si>
  <si>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</si>
  <si>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</si>
  <si>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</si>
  <si>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</si>
  <si>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</si>
  <si>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</si>
  <si>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</si>
  <si>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</si>
  <si>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</si>
  <si>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</si>
  <si>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</si>
  <si>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</si>
  <si>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</si>
  <si>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</si>
  <si>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</si>
  <si>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</si>
  <si>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</si>
  <si>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</si>
  <si>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</si>
  <si>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</si>
  <si>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</si>
  <si>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</si>
  <si>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</si>
  <si>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</si>
  <si>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</si>
  <si>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</si>
  <si>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</si>
  <si>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</si>
  <si>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</si>
  <si>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</si>
  <si>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</si>
  <si>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</si>
  <si>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</si>
  <si>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</si>
  <si>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</si>
  <si>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</si>
  <si>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</si>
  <si>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</si>
  <si>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</si>
  <si>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</si>
  <si>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</si>
  <si>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</si>
  <si>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</si>
  <si>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111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</si>
  <si>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</si>
  <si>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</si>
  <si>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>5.5.</t>
  </si>
  <si>
    <t>Обеспечение питанием обучающихся общеобразовательных организаций  Ханкайского муниципального района</t>
  </si>
  <si>
    <t>5.6.</t>
  </si>
  <si>
    <t>4.7.</t>
  </si>
  <si>
    <t>Организация , проведение и участие в спортивных мероприятиях</t>
  </si>
  <si>
    <t>0132017</t>
  </si>
  <si>
    <t>243/612</t>
  </si>
  <si>
    <t>1105</t>
  </si>
  <si>
    <t xml:space="preserve">Мероприятия для детей и учащейся молодежи </t>
  </si>
  <si>
    <t>Мероприятия для детей и учащейся молодежи</t>
  </si>
  <si>
    <t>0100000000</t>
  </si>
  <si>
    <t>0110000000</t>
  </si>
  <si>
    <t>0111220500</t>
  </si>
  <si>
    <t>2.7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</si>
  <si>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</si>
  <si>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</si>
  <si>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</si>
  <si>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</si>
  <si>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0121320500</t>
  </si>
  <si>
    <t>0120020700</t>
  </si>
  <si>
    <t>0121170030</t>
  </si>
  <si>
    <t>0121270050</t>
  </si>
  <si>
    <t>0130000000</t>
  </si>
  <si>
    <t>0131120020</t>
  </si>
  <si>
    <t>0131220500</t>
  </si>
  <si>
    <t>0130070040</t>
  </si>
  <si>
    <t>3.10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</si>
  <si>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</si>
  <si>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</si>
  <si>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</si>
  <si>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</si>
  <si>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</si>
  <si>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</si>
  <si>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</si>
  <si>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</si>
  <si>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</si>
  <si>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</si>
  <si>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0121220030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</si>
  <si>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</si>
  <si>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</si>
  <si>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</si>
  <si>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</si>
  <si>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</si>
  <si>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</si>
  <si>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</si>
  <si>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3.11.</t>
  </si>
  <si>
    <t>2.8.</t>
  </si>
  <si>
    <t>2.8</t>
  </si>
  <si>
    <t>3.11</t>
  </si>
  <si>
    <t>4.8.</t>
  </si>
  <si>
    <t>Выполнение работ, услуг, связанных со строительством, 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</si>
  <si>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Реализация основных общеобразовательных программ  дошкольного образования</t>
  </si>
  <si>
    <t xml:space="preserve">Реализация дополнительных общеобразовательных программ      
</t>
  </si>
  <si>
    <t>0703</t>
  </si>
  <si>
    <t>3.12</t>
  </si>
  <si>
    <t>Создание в общеобразовательных организациях условий для занятия физической культурой и спортом</t>
  </si>
  <si>
    <t>01214R0800</t>
  </si>
  <si>
    <t>Реализация основных общеобразовательных   программ начального общего, основного общего,среднего общего образования</t>
  </si>
  <si>
    <t>0121270050/ 01212S2340</t>
  </si>
  <si>
    <t>01212S2040</t>
  </si>
  <si>
    <t>0111270050/ 01112S2020</t>
  </si>
  <si>
    <t>Мероприятия по пожарной безопасности</t>
  </si>
  <si>
    <t>0121220400</t>
  </si>
  <si>
    <t>3.13</t>
  </si>
  <si>
    <t>итого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</si>
  <si>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2014-2021 ГОДЫ</t>
  </si>
  <si>
    <t>РЕСУРСНОЕ ОБЕСПЕЧЕНИЕ РЕАЛИЗАЦИИ МУНИЦИПАЛЬНОЙ ПРОГРАММЫ   "РАЗВИТИЕ ОБРАЗОВАНИЯ В ХАНКАЙСКОМ МУНИЦИПАЛЬНОМ РАЙОНЕ" НА 2014-2021 ГОДЫ ЗА СЧЕТ СРЕДСТВ БЮДЖЕТА ХАНКАЙСКОГО МУНИЦИПАЛЬНОГО РАЙОНА, (ТЫС. РУБ.).</t>
  </si>
  <si>
    <t>ИНФОРМАЦИЯ О РЕСУРСНОМ ОБЕСПЕЧЕНИИ МУНИЦИПАЛЬНОЙ ПРОГРАММЫ  "РАЗВИТИЕ ОБРАЗОВАНИЯ В ХАНКАЙСКОМ МУНИЦИПАЛЬНОМ РАЙОНЕ" НА 2014-2021 годы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</si>
  <si>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Приложение № 5  к муниципальной программе "Развитие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</si>
  <si>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</si>
  <si>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Подпрограмма Развитие дошкольного образования в Ханкайском муниципальном районе» на 2014-2021  годы</t>
  </si>
  <si>
    <t>Подпрограмма «Развитие системы общего образования в Ханкайском муниципальном районе» на 2014-2021 годы</t>
  </si>
  <si>
    <t>Подпрограмма «Развитие системы дополнительного образования в Ханкайском муниципальном районе» на 2014-2021 годы</t>
  </si>
  <si>
    <t>Подпрограмма "Развитие дошкольного образования в Ханкайском муниципальном районе» на 2014-2021  годы</t>
  </si>
  <si>
    <t>Приложение № 3  к муниципальной программе "Развитие образования                                                                                                                                       в Ханкайском муниципальном районе" на 2014-2021 годы</t>
  </si>
  <si>
    <t>Приложение № 4  к муниципальной программе "Развитие образования в                           Ханкайском муниципальном районе" на 2014-2021 годы</t>
  </si>
  <si>
    <t>Приложение № 3                                                                                                                                                 к постановлению Администрации муниципального района                                                            от 26.09.2018 № 686-па</t>
  </si>
  <si>
    <t>Приложение № 2                                                                                                                                                                                                                   к постановлению Администрации  муниципального района                                                                                                         от 26.09.2018  № 686-па</t>
  </si>
  <si>
    <t>Приложение № 4                                                                                                             к постановлению Администрации  муниципального района                                        от 26.09.2018 № 686-па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</si>
</sst>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1" xfId="0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165" fontId="0" fillId="0" borderId="1" xfId="0" applyNumberFormat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view="pageBreakPreview" topLeftCell="C1" zoomScale="60" zoomScaleNormal="100" workbookViewId="0">
      <selection activeCell="O15" sqref="O15"/>
    </sheetView>
  </sheetViews>
  <sheetFormatPr defaultRowHeight="15" x14ac:dyDescent="0.25"/>
  <cols>
    <col min="1" max="1" width="4.42578125" customWidth="1"/>
    <col min="2" max="2" width="20.140625" customWidth="1"/>
    <col min="3" max="3" width="7.140625" customWidth="1"/>
    <col min="4" max="5" width="7.28515625" customWidth="1"/>
    <col min="6" max="6" width="7.5703125" customWidth="1"/>
    <col min="7" max="7" width="7" customWidth="1"/>
    <col min="8" max="8" width="7.28515625" customWidth="1"/>
    <col min="9" max="10" width="7.42578125" customWidth="1"/>
    <col min="11" max="11" width="11" customWidth="1"/>
    <col min="12" max="12" width="11.7109375" customWidth="1"/>
    <col min="13" max="13" width="11.85546875" customWidth="1"/>
    <col min="14" max="14" width="12.28515625" customWidth="1"/>
    <col min="15" max="15" width="13.5703125" customWidth="1"/>
    <col min="16" max="16" width="12.28515625" customWidth="1"/>
    <col min="17" max="17" width="10.5703125" customWidth="1"/>
  </cols>
  <sheetData>
    <row r="1" spans="1:18" ht="64.5" customHeight="1" x14ac:dyDescent="0.25">
      <c r="D1" s="40"/>
      <c r="E1" s="40"/>
      <c r="F1" s="40"/>
      <c r="G1" s="40"/>
      <c r="H1" s="70"/>
      <c r="I1" s="70"/>
      <c r="J1" s="70"/>
      <c r="K1" s="70"/>
      <c r="L1" s="81" t="s">
        <v>166</v>
      </c>
      <c r="M1" s="81"/>
      <c r="N1" s="81"/>
      <c r="O1" s="81"/>
      <c r="P1" s="81"/>
      <c r="Q1" s="81"/>
      <c r="R1" s="81"/>
    </row>
    <row r="2" spans="1:18" ht="14.25" customHeight="1" x14ac:dyDescent="0.25"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8" ht="17.25" customHeight="1" x14ac:dyDescent="0.25">
      <c r="A3" s="7"/>
      <c r="B3" s="7"/>
      <c r="C3" s="7"/>
      <c r="D3" s="71"/>
      <c r="E3" s="71"/>
      <c r="F3" s="71"/>
      <c r="G3" s="71"/>
      <c r="H3" s="71"/>
      <c r="I3" s="71"/>
      <c r="J3" s="71"/>
      <c r="K3" s="71"/>
      <c r="L3" s="80" t="s">
        <v>163</v>
      </c>
      <c r="M3" s="80"/>
      <c r="N3" s="80"/>
      <c r="O3" s="80"/>
      <c r="P3" s="80"/>
      <c r="Q3" s="80"/>
      <c r="R3" s="80"/>
    </row>
    <row r="4" spans="1:18" ht="3.75" customHeight="1" x14ac:dyDescent="0.25">
      <c r="A4" s="7"/>
      <c r="B4" s="7"/>
      <c r="C4" s="7"/>
      <c r="D4" s="71"/>
      <c r="E4" s="71"/>
      <c r="F4" s="71"/>
      <c r="G4" s="71"/>
      <c r="H4" s="71"/>
      <c r="I4" s="71"/>
      <c r="J4" s="71"/>
      <c r="K4" s="71"/>
      <c r="L4" s="80"/>
      <c r="M4" s="80"/>
      <c r="N4" s="80"/>
      <c r="O4" s="80"/>
      <c r="P4" s="80"/>
      <c r="Q4" s="80"/>
      <c r="R4" s="80"/>
    </row>
    <row r="5" spans="1:18" ht="6" customHeight="1" x14ac:dyDescent="0.25">
      <c r="A5" s="7"/>
      <c r="B5" s="7"/>
      <c r="C5" s="7"/>
      <c r="D5" s="71"/>
      <c r="E5" s="71"/>
      <c r="F5" s="71"/>
      <c r="G5" s="71"/>
      <c r="H5" s="71"/>
      <c r="I5" s="71"/>
      <c r="J5" s="71"/>
      <c r="K5" s="71"/>
      <c r="L5" s="80"/>
      <c r="M5" s="80"/>
      <c r="N5" s="80"/>
      <c r="O5" s="80"/>
      <c r="P5" s="80"/>
      <c r="Q5" s="80"/>
      <c r="R5" s="80"/>
    </row>
    <row r="6" spans="1:18" ht="7.5" customHeight="1" x14ac:dyDescent="0.25">
      <c r="A6" s="7"/>
      <c r="B6" s="7"/>
      <c r="C6" s="7"/>
      <c r="D6" s="71"/>
      <c r="E6" s="71"/>
      <c r="F6" s="71"/>
      <c r="G6" s="71"/>
      <c r="H6" s="71"/>
      <c r="I6" s="71"/>
      <c r="J6" s="71"/>
      <c r="K6" s="71"/>
      <c r="L6" s="80"/>
      <c r="M6" s="80"/>
      <c r="N6" s="80"/>
      <c r="O6" s="80"/>
      <c r="P6" s="80"/>
      <c r="Q6" s="80"/>
      <c r="R6" s="80"/>
    </row>
    <row r="7" spans="1:18" ht="15" customHeight="1" x14ac:dyDescent="0.25">
      <c r="A7" s="79" t="s">
        <v>154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2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8" ht="51" customHeight="1" x14ac:dyDescent="0.25">
      <c r="A12" s="74" t="s">
        <v>0</v>
      </c>
      <c r="B12" s="72" t="s">
        <v>1</v>
      </c>
      <c r="C12" s="76" t="s">
        <v>84</v>
      </c>
      <c r="D12" s="77"/>
      <c r="E12" s="77"/>
      <c r="F12" s="77"/>
      <c r="G12" s="77"/>
      <c r="H12" s="77"/>
      <c r="I12" s="77"/>
      <c r="J12" s="78"/>
      <c r="K12" s="76" t="s">
        <v>2</v>
      </c>
      <c r="L12" s="77"/>
      <c r="M12" s="77"/>
      <c r="N12" s="77"/>
      <c r="O12" s="77"/>
      <c r="P12" s="77"/>
      <c r="Q12" s="77"/>
      <c r="R12" s="78"/>
    </row>
    <row r="13" spans="1:18" ht="42.75" customHeight="1" x14ac:dyDescent="0.25">
      <c r="A13" s="75"/>
      <c r="B13" s="73"/>
      <c r="C13" s="34">
        <v>2014</v>
      </c>
      <c r="D13" s="34">
        <v>2015</v>
      </c>
      <c r="E13" s="34">
        <v>2016</v>
      </c>
      <c r="F13" s="34">
        <v>2017</v>
      </c>
      <c r="G13" s="34">
        <v>2018</v>
      </c>
      <c r="H13" s="34">
        <v>2019</v>
      </c>
      <c r="I13" s="34">
        <v>2020</v>
      </c>
      <c r="J13" s="34">
        <v>2021</v>
      </c>
      <c r="K13" s="34">
        <v>2014</v>
      </c>
      <c r="L13" s="34">
        <v>2015</v>
      </c>
      <c r="M13" s="34">
        <v>2016</v>
      </c>
      <c r="N13" s="42">
        <v>2017</v>
      </c>
      <c r="O13" s="42">
        <v>2018</v>
      </c>
      <c r="P13" s="42">
        <v>2019</v>
      </c>
      <c r="Q13" s="42">
        <v>2020</v>
      </c>
      <c r="R13" s="42">
        <v>2021</v>
      </c>
    </row>
    <row r="14" spans="1:18" ht="96" customHeight="1" x14ac:dyDescent="0.25">
      <c r="A14" s="5">
        <v>1</v>
      </c>
      <c r="B14" s="4" t="s">
        <v>140</v>
      </c>
      <c r="C14" s="17">
        <v>720</v>
      </c>
      <c r="D14" s="15">
        <v>787</v>
      </c>
      <c r="E14" s="15">
        <v>780</v>
      </c>
      <c r="F14" s="15">
        <v>783</v>
      </c>
      <c r="G14" s="15">
        <v>764</v>
      </c>
      <c r="H14" s="15">
        <v>764</v>
      </c>
      <c r="I14" s="15">
        <v>764</v>
      </c>
      <c r="J14" s="15">
        <v>764</v>
      </c>
      <c r="K14" s="15">
        <v>29407.35</v>
      </c>
      <c r="L14" s="15">
        <v>32232.9</v>
      </c>
      <c r="M14" s="17">
        <f>Ресурсн.обеспеч.!J23</f>
        <v>30479.249999999996</v>
      </c>
      <c r="N14" s="17">
        <f>Ресурсн.обеспеч.!K23</f>
        <v>29765.15</v>
      </c>
      <c r="O14" s="17">
        <f>Ресурсн.обеспеч.!L23</f>
        <v>36615.440000000002</v>
      </c>
      <c r="P14" s="17">
        <f>Ресурсн.обеспеч.!M23</f>
        <v>41875.199999999997</v>
      </c>
      <c r="Q14" s="17">
        <f>Ресурсн.обеспеч.!N23</f>
        <v>42770.2</v>
      </c>
      <c r="R14" s="17">
        <f>Ресурсн.обеспеч.!O23</f>
        <v>43713.9</v>
      </c>
    </row>
    <row r="15" spans="1:18" ht="159" customHeight="1" x14ac:dyDescent="0.25">
      <c r="A15" s="5">
        <v>2</v>
      </c>
      <c r="B15" s="4" t="s">
        <v>146</v>
      </c>
      <c r="C15" s="15">
        <v>2400</v>
      </c>
      <c r="D15" s="15">
        <v>2365</v>
      </c>
      <c r="E15" s="15">
        <v>2308</v>
      </c>
      <c r="F15" s="15">
        <v>2322</v>
      </c>
      <c r="G15" s="15">
        <v>2288</v>
      </c>
      <c r="H15" s="15">
        <v>2288</v>
      </c>
      <c r="I15" s="15">
        <v>2288</v>
      </c>
      <c r="J15" s="15">
        <v>2288</v>
      </c>
      <c r="K15" s="15">
        <v>48645.69</v>
      </c>
      <c r="L15" s="15">
        <v>51184.31</v>
      </c>
      <c r="M15" s="17">
        <f>Ресурсн.обеспеч.!J26</f>
        <v>55555.59</v>
      </c>
      <c r="N15" s="17">
        <f>Ресурсн.обеспеч.!K26</f>
        <v>52043.040000000008</v>
      </c>
      <c r="O15" s="17">
        <f>Ресурсн.обеспеч.!L26</f>
        <v>61913.544999999998</v>
      </c>
      <c r="P15" s="17">
        <f>Ресурсн.обеспеч.!M26</f>
        <v>80186.7</v>
      </c>
      <c r="Q15" s="17">
        <f>Ресурсн.обеспеч.!N26</f>
        <v>82017.2</v>
      </c>
      <c r="R15" s="17">
        <f>Ресурсн.обеспеч.!O26</f>
        <v>83933.1</v>
      </c>
    </row>
    <row r="16" spans="1:18" ht="77.25" customHeight="1" x14ac:dyDescent="0.25">
      <c r="A16" s="11">
        <v>3</v>
      </c>
      <c r="B16" s="54" t="s">
        <v>141</v>
      </c>
      <c r="C16" s="15">
        <v>1008</v>
      </c>
      <c r="D16" s="15">
        <v>1008</v>
      </c>
      <c r="E16" s="15">
        <v>991</v>
      </c>
      <c r="F16" s="15">
        <v>1026</v>
      </c>
      <c r="G16" s="15">
        <v>1021</v>
      </c>
      <c r="H16" s="15">
        <v>1021</v>
      </c>
      <c r="I16" s="15">
        <v>1021</v>
      </c>
      <c r="J16" s="15">
        <v>1021</v>
      </c>
      <c r="K16" s="15">
        <v>13637.2</v>
      </c>
      <c r="L16" s="15">
        <v>14584.71</v>
      </c>
      <c r="M16" s="17">
        <f>Ресурсн.обеспеч.!J48</f>
        <v>15246.2</v>
      </c>
      <c r="N16" s="17">
        <f>Ресурсн.обеспеч.!K48</f>
        <v>15968.75</v>
      </c>
      <c r="O16" s="17">
        <f>Ресурсн.обеспеч.!L48</f>
        <v>18776.330000000002</v>
      </c>
      <c r="P16" s="17">
        <f>Ресурсн.обеспеч.!M48</f>
        <v>19726.400000000001</v>
      </c>
      <c r="Q16" s="17">
        <f>Ресурсн.обеспеч.!N48</f>
        <v>19868.599999999999</v>
      </c>
      <c r="R16" s="17">
        <f>Ресурсн.обеспеч.!O48</f>
        <v>20019.5</v>
      </c>
    </row>
    <row r="17" spans="1:18" ht="137.25" customHeight="1" x14ac:dyDescent="0.25">
      <c r="A17" s="11">
        <v>4</v>
      </c>
      <c r="B17" s="4" t="s">
        <v>90</v>
      </c>
      <c r="C17" s="15">
        <v>932</v>
      </c>
      <c r="D17" s="15">
        <v>940</v>
      </c>
      <c r="E17" s="17">
        <v>882</v>
      </c>
      <c r="F17" s="17">
        <v>911</v>
      </c>
      <c r="G17" s="17">
        <v>900</v>
      </c>
      <c r="H17" s="17">
        <v>900</v>
      </c>
      <c r="I17" s="17">
        <v>900</v>
      </c>
      <c r="J17" s="17">
        <v>900</v>
      </c>
      <c r="K17" s="15">
        <v>431.2</v>
      </c>
      <c r="L17" s="15">
        <v>1383.3</v>
      </c>
      <c r="M17" s="17">
        <f>Ресурсн.обеспеч.!J76</f>
        <v>1408</v>
      </c>
      <c r="N17" s="17">
        <f>Ресурсн.обеспеч.!K76</f>
        <v>1454.6499999999999</v>
      </c>
      <c r="O17" s="17">
        <f>Ресурсн.обеспеч.!L76</f>
        <v>1549.9999999999998</v>
      </c>
      <c r="P17" s="17">
        <f>Ресурсн.обеспеч.!M76</f>
        <v>1627.5</v>
      </c>
      <c r="Q17" s="17">
        <f>Ресурсн.обеспеч.!N76</f>
        <v>1627.5</v>
      </c>
      <c r="R17" s="17">
        <f>Ресурсн.обеспеч.!O76</f>
        <v>1627.5</v>
      </c>
    </row>
    <row r="18" spans="1:18" ht="15.75" x14ac:dyDescent="0.25">
      <c r="A18" s="5"/>
      <c r="B18" s="6" t="s">
        <v>3</v>
      </c>
      <c r="C18" s="5">
        <f>SUM(C14:C17)</f>
        <v>5060</v>
      </c>
      <c r="D18" s="5">
        <f t="shared" ref="D18:J18" si="0">SUM(D14:D17)</f>
        <v>5100</v>
      </c>
      <c r="E18" s="5">
        <f t="shared" si="0"/>
        <v>4961</v>
      </c>
      <c r="F18" s="5">
        <f t="shared" si="0"/>
        <v>5042</v>
      </c>
      <c r="G18" s="5">
        <f t="shared" si="0"/>
        <v>4973</v>
      </c>
      <c r="H18" s="5">
        <f t="shared" si="0"/>
        <v>4973</v>
      </c>
      <c r="I18" s="5">
        <f t="shared" si="0"/>
        <v>4973</v>
      </c>
      <c r="J18" s="5">
        <f t="shared" si="0"/>
        <v>4973</v>
      </c>
      <c r="K18" s="5">
        <f t="shared" ref="K18" si="1">SUM(K14:K17)</f>
        <v>92121.44</v>
      </c>
      <c r="L18" s="5">
        <f t="shared" ref="L18" si="2">SUM(L14:L17)</f>
        <v>99385.219999999987</v>
      </c>
      <c r="M18" s="43">
        <f t="shared" ref="M18:R18" si="3">SUM(M14:M17)</f>
        <v>102689.04</v>
      </c>
      <c r="N18" s="43">
        <f t="shared" si="3"/>
        <v>99231.59</v>
      </c>
      <c r="O18" s="43">
        <f t="shared" si="3"/>
        <v>118855.315</v>
      </c>
      <c r="P18" s="43">
        <f t="shared" si="3"/>
        <v>143415.79999999999</v>
      </c>
      <c r="Q18" s="43">
        <f t="shared" si="3"/>
        <v>146283.5</v>
      </c>
      <c r="R18" s="43">
        <f t="shared" si="3"/>
        <v>149294</v>
      </c>
    </row>
  </sheetData>
  <mergeCells count="7">
    <mergeCell ref="L3:R6"/>
    <mergeCell ref="L1:R1"/>
    <mergeCell ref="B12:B13"/>
    <mergeCell ref="A12:A13"/>
    <mergeCell ref="C12:J12"/>
    <mergeCell ref="K12:R12"/>
    <mergeCell ref="A7:R10"/>
  </mergeCells>
  <pageMargins left="1.5748031496062993" right="0.78740157480314965" top="1.1811023622047245" bottom="0.39370078740157483" header="0.31496062992125984" footer="0.31496062992125984"/>
  <pageSetup paperSize="9" scale="64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opLeftCell="A109" zoomScale="75" zoomScaleNormal="75" workbookViewId="0">
      <selection activeCell="H1" sqref="H1:O2"/>
    </sheetView>
  </sheetViews>
  <sheetFormatPr defaultRowHeight="15" x14ac:dyDescent="0.25"/>
  <cols>
    <col min="1" max="1" width="5.140625" customWidth="1"/>
    <col min="2" max="2" width="55.5703125" customWidth="1"/>
    <col min="3" max="3" width="15.42578125" customWidth="1"/>
    <col min="4" max="4" width="6.42578125" customWidth="1"/>
    <col min="5" max="5" width="6.28515625" customWidth="1"/>
    <col min="6" max="6" width="14.28515625" customWidth="1"/>
    <col min="7" max="7" width="9" customWidth="1"/>
    <col min="8" max="8" width="12" customWidth="1"/>
    <col min="9" max="9" width="11" customWidth="1"/>
    <col min="10" max="10" width="12.140625" customWidth="1"/>
    <col min="11" max="11" width="12.5703125" customWidth="1"/>
    <col min="12" max="12" width="16" customWidth="1"/>
    <col min="13" max="13" width="11.42578125" customWidth="1"/>
    <col min="14" max="14" width="11.140625" customWidth="1"/>
    <col min="15" max="15" width="15.140625" customWidth="1"/>
    <col min="16" max="16" width="14.42578125" customWidth="1"/>
  </cols>
  <sheetData>
    <row r="1" spans="1:17" ht="63.75" customHeight="1" x14ac:dyDescent="0.25">
      <c r="H1" s="88" t="s">
        <v>165</v>
      </c>
      <c r="I1" s="88"/>
      <c r="J1" s="88"/>
      <c r="K1" s="88"/>
      <c r="L1" s="88"/>
      <c r="M1" s="88"/>
      <c r="N1" s="88"/>
      <c r="O1" s="88"/>
    </row>
    <row r="2" spans="1:17" ht="12" customHeight="1" x14ac:dyDescent="0.25">
      <c r="H2" s="88"/>
      <c r="I2" s="88"/>
      <c r="J2" s="88"/>
      <c r="K2" s="88"/>
      <c r="L2" s="88"/>
      <c r="M2" s="88"/>
      <c r="N2" s="88"/>
      <c r="O2" s="88"/>
    </row>
    <row r="3" spans="1:17" ht="12" customHeight="1" x14ac:dyDescent="0.25">
      <c r="H3" s="23"/>
      <c r="I3" s="23"/>
      <c r="J3" s="23"/>
      <c r="K3" s="23"/>
      <c r="L3" s="23"/>
    </row>
    <row r="4" spans="1:17" ht="15" customHeight="1" x14ac:dyDescent="0.3">
      <c r="A4" s="9"/>
      <c r="B4" s="9"/>
      <c r="C4" s="9"/>
      <c r="D4" s="9"/>
      <c r="E4" s="9"/>
      <c r="F4" s="9"/>
      <c r="G4" s="9"/>
      <c r="H4" s="89" t="s">
        <v>164</v>
      </c>
      <c r="I4" s="89"/>
      <c r="J4" s="89"/>
      <c r="K4" s="89"/>
      <c r="L4" s="89"/>
      <c r="M4" s="89"/>
      <c r="N4" s="89"/>
      <c r="O4" s="89"/>
    </row>
    <row r="5" spans="1:17" ht="15.75" customHeight="1" x14ac:dyDescent="0.3">
      <c r="A5" s="9"/>
      <c r="B5" s="9"/>
      <c r="C5" s="9"/>
      <c r="D5" s="9"/>
      <c r="E5" s="9"/>
      <c r="F5" s="9"/>
      <c r="G5" s="9"/>
      <c r="H5" s="89"/>
      <c r="I5" s="89"/>
      <c r="J5" s="89"/>
      <c r="K5" s="89"/>
      <c r="L5" s="89"/>
      <c r="M5" s="89"/>
      <c r="N5" s="89"/>
      <c r="O5" s="89"/>
    </row>
    <row r="6" spans="1:17" ht="15" customHeight="1" x14ac:dyDescent="0.3">
      <c r="A6" s="9"/>
      <c r="B6" s="9"/>
      <c r="C6" s="9"/>
      <c r="D6" s="9"/>
      <c r="E6" s="9"/>
      <c r="F6" s="9"/>
      <c r="G6" s="9"/>
      <c r="H6" s="89"/>
      <c r="I6" s="89"/>
      <c r="J6" s="89"/>
      <c r="K6" s="89"/>
      <c r="L6" s="89"/>
      <c r="M6" s="89"/>
      <c r="N6" s="89"/>
      <c r="O6" s="89"/>
    </row>
    <row r="7" spans="1:17" ht="6.75" customHeight="1" x14ac:dyDescent="0.3">
      <c r="A7" s="9"/>
      <c r="B7" s="9"/>
      <c r="C7" s="9"/>
      <c r="D7" s="9"/>
      <c r="E7" s="9"/>
      <c r="F7" s="9"/>
      <c r="G7" s="9"/>
      <c r="H7" s="53"/>
      <c r="I7" s="53"/>
      <c r="J7" s="53"/>
      <c r="K7" s="53"/>
      <c r="L7" s="53"/>
      <c r="M7" s="53"/>
      <c r="N7" s="53"/>
      <c r="O7" s="53"/>
    </row>
    <row r="8" spans="1:17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7" ht="15" customHeight="1" x14ac:dyDescent="0.25">
      <c r="A9" s="89" t="s">
        <v>155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7" ht="1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7" ht="27.7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7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7" ht="33" customHeight="1" x14ac:dyDescent="0.25">
      <c r="A13" s="85" t="s">
        <v>0</v>
      </c>
      <c r="B13" s="74" t="s">
        <v>4</v>
      </c>
      <c r="C13" s="74" t="s">
        <v>5</v>
      </c>
      <c r="D13" s="82" t="s">
        <v>6</v>
      </c>
      <c r="E13" s="83"/>
      <c r="F13" s="83"/>
      <c r="G13" s="84"/>
      <c r="H13" s="86" t="s">
        <v>7</v>
      </c>
      <c r="I13" s="87"/>
      <c r="J13" s="87"/>
      <c r="K13" s="87"/>
      <c r="L13" s="87"/>
      <c r="M13" s="87"/>
      <c r="N13" s="87"/>
      <c r="O13" s="87"/>
    </row>
    <row r="14" spans="1:17" ht="69.75" customHeight="1" x14ac:dyDescent="0.25">
      <c r="A14" s="85"/>
      <c r="B14" s="75"/>
      <c r="C14" s="75"/>
      <c r="D14" s="14" t="s">
        <v>8</v>
      </c>
      <c r="E14" s="14" t="s">
        <v>9</v>
      </c>
      <c r="F14" s="14" t="s">
        <v>10</v>
      </c>
      <c r="G14" s="14" t="s">
        <v>11</v>
      </c>
      <c r="H14" s="20">
        <v>2014</v>
      </c>
      <c r="I14" s="21">
        <v>2015</v>
      </c>
      <c r="J14" s="20">
        <v>2016</v>
      </c>
      <c r="K14" s="14">
        <v>2017</v>
      </c>
      <c r="L14" s="21">
        <v>2018</v>
      </c>
      <c r="M14" s="21">
        <v>2019</v>
      </c>
      <c r="N14" s="21">
        <v>2020</v>
      </c>
      <c r="O14" s="21">
        <v>2021</v>
      </c>
      <c r="P14" t="s">
        <v>153</v>
      </c>
    </row>
    <row r="15" spans="1:17" ht="41.25" customHeight="1" x14ac:dyDescent="0.25">
      <c r="A15" s="95">
        <v>1</v>
      </c>
      <c r="B15" s="93" t="s">
        <v>158</v>
      </c>
      <c r="C15" s="99" t="s">
        <v>40</v>
      </c>
      <c r="D15" s="15">
        <v>954</v>
      </c>
      <c r="E15" s="16" t="s">
        <v>85</v>
      </c>
      <c r="F15" s="16" t="s">
        <v>99</v>
      </c>
      <c r="G15" s="16" t="s">
        <v>28</v>
      </c>
      <c r="H15" s="17">
        <f t="shared" ref="H15:O15" si="0">H17+H25+H47+H56-H57</f>
        <v>111056.973</v>
      </c>
      <c r="I15" s="17">
        <f t="shared" si="0"/>
        <v>117209.96</v>
      </c>
      <c r="J15" s="17">
        <f t="shared" si="0"/>
        <v>119225.68</v>
      </c>
      <c r="K15" s="17">
        <f t="shared" si="0"/>
        <v>117636.14</v>
      </c>
      <c r="L15" s="17">
        <f t="shared" si="0"/>
        <v>138578.19900000002</v>
      </c>
      <c r="M15" s="17">
        <f t="shared" si="0"/>
        <v>165721.9</v>
      </c>
      <c r="N15" s="17">
        <f t="shared" si="0"/>
        <v>170706.3</v>
      </c>
      <c r="O15" s="17">
        <f t="shared" si="0"/>
        <v>174547.50000000003</v>
      </c>
      <c r="P15" s="69">
        <f>SUM(H15:O15)</f>
        <v>1114682.652</v>
      </c>
      <c r="Q15" s="51"/>
    </row>
    <row r="16" spans="1:17" ht="33" customHeight="1" x14ac:dyDescent="0.25">
      <c r="A16" s="96"/>
      <c r="B16" s="94"/>
      <c r="C16" s="99"/>
      <c r="D16" s="15">
        <v>952</v>
      </c>
      <c r="E16" s="16" t="s">
        <v>80</v>
      </c>
      <c r="F16" s="16" t="s">
        <v>27</v>
      </c>
      <c r="G16" s="15">
        <v>244</v>
      </c>
      <c r="H16" s="17">
        <f>H57</f>
        <v>70</v>
      </c>
      <c r="I16" s="17">
        <f t="shared" ref="I16:N16" si="1">I57</f>
        <v>20.92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25">
        <f t="shared" si="1"/>
        <v>0</v>
      </c>
      <c r="O16" s="17"/>
      <c r="P16" s="69">
        <f t="shared" ref="P16:P77" si="2">SUM(H16:O16)</f>
        <v>90.92</v>
      </c>
    </row>
    <row r="17" spans="1:16" ht="35.25" customHeight="1" x14ac:dyDescent="0.25">
      <c r="A17" s="1">
        <v>2</v>
      </c>
      <c r="B17" s="3" t="s">
        <v>159</v>
      </c>
      <c r="C17" s="99"/>
      <c r="D17" s="15">
        <v>954</v>
      </c>
      <c r="E17" s="16" t="s">
        <v>23</v>
      </c>
      <c r="F17" s="16" t="s">
        <v>100</v>
      </c>
      <c r="G17" s="16" t="s">
        <v>28</v>
      </c>
      <c r="H17" s="17">
        <f>H18+H19+H20+H21+H22+H23+H24</f>
        <v>29666.85</v>
      </c>
      <c r="I17" s="17">
        <f>I18+I19+I20+I21+I22+I23+I24</f>
        <v>32663.55</v>
      </c>
      <c r="J17" s="17">
        <f t="shared" ref="J17:O17" si="3">J18+J19+J20+J21+J22+J23+J24</f>
        <v>30586.149999999998</v>
      </c>
      <c r="K17" s="17">
        <f t="shared" si="3"/>
        <v>29980.95</v>
      </c>
      <c r="L17" s="17">
        <f t="shared" si="3"/>
        <v>37068.14</v>
      </c>
      <c r="M17" s="17">
        <f t="shared" si="3"/>
        <v>45672.7</v>
      </c>
      <c r="N17" s="17">
        <f t="shared" si="3"/>
        <v>46406.6</v>
      </c>
      <c r="O17" s="17">
        <f t="shared" si="3"/>
        <v>48100.200000000004</v>
      </c>
      <c r="P17" s="69">
        <f t="shared" si="2"/>
        <v>300145.13999999996</v>
      </c>
    </row>
    <row r="18" spans="1:16" ht="47.25" customHeight="1" x14ac:dyDescent="0.25">
      <c r="A18" s="2" t="s">
        <v>17</v>
      </c>
      <c r="B18" s="3" t="s">
        <v>54</v>
      </c>
      <c r="C18" s="99"/>
      <c r="D18" s="15">
        <v>954</v>
      </c>
      <c r="E18" s="16" t="s">
        <v>23</v>
      </c>
      <c r="F18" s="16" t="s">
        <v>121</v>
      </c>
      <c r="G18" s="15">
        <v>612</v>
      </c>
      <c r="H18" s="17">
        <v>4.3</v>
      </c>
      <c r="I18" s="17">
        <v>11.5</v>
      </c>
      <c r="J18" s="17"/>
      <c r="K18" s="17"/>
      <c r="L18" s="17"/>
      <c r="M18" s="17">
        <v>915</v>
      </c>
      <c r="N18" s="46">
        <v>955.3</v>
      </c>
      <c r="O18" s="17">
        <v>999.2</v>
      </c>
      <c r="P18" s="69">
        <f t="shared" si="2"/>
        <v>2885.3</v>
      </c>
    </row>
    <row r="19" spans="1:16" ht="21" customHeight="1" x14ac:dyDescent="0.25">
      <c r="A19" s="2" t="s">
        <v>14</v>
      </c>
      <c r="B19" s="3" t="s">
        <v>15</v>
      </c>
      <c r="C19" s="99"/>
      <c r="D19" s="15">
        <v>954</v>
      </c>
      <c r="E19" s="16" t="s">
        <v>23</v>
      </c>
      <c r="F19" s="16" t="s">
        <v>101</v>
      </c>
      <c r="G19" s="15">
        <v>612</v>
      </c>
      <c r="H19" s="17">
        <v>75.2</v>
      </c>
      <c r="I19" s="17">
        <f>120+19.15</f>
        <v>139.15</v>
      </c>
      <c r="J19" s="17">
        <f>174-67.1</f>
        <v>106.9</v>
      </c>
      <c r="K19" s="17">
        <f>106.9+25.8</f>
        <v>132.70000000000002</v>
      </c>
      <c r="L19" s="17">
        <v>128.69999999999999</v>
      </c>
      <c r="M19" s="17">
        <v>128.69999999999999</v>
      </c>
      <c r="N19" s="46">
        <v>134.4</v>
      </c>
      <c r="O19" s="17">
        <v>140.6</v>
      </c>
      <c r="P19" s="69">
        <f t="shared" si="2"/>
        <v>986.35000000000014</v>
      </c>
    </row>
    <row r="20" spans="1:16" ht="34.5" customHeight="1" x14ac:dyDescent="0.25">
      <c r="A20" s="2" t="s">
        <v>41</v>
      </c>
      <c r="B20" s="3" t="s">
        <v>42</v>
      </c>
      <c r="C20" s="99"/>
      <c r="D20" s="15">
        <v>954</v>
      </c>
      <c r="E20" s="16" t="s">
        <v>23</v>
      </c>
      <c r="F20" s="16" t="s">
        <v>122</v>
      </c>
      <c r="G20" s="15">
        <v>612</v>
      </c>
      <c r="H20" s="17"/>
      <c r="I20" s="17"/>
      <c r="J20" s="17"/>
      <c r="K20" s="17"/>
      <c r="L20" s="17"/>
      <c r="M20" s="17"/>
      <c r="N20" s="46"/>
      <c r="O20" s="17"/>
      <c r="P20" s="69">
        <f t="shared" si="2"/>
        <v>0</v>
      </c>
    </row>
    <row r="21" spans="1:16" ht="35.25" customHeight="1" x14ac:dyDescent="0.25">
      <c r="A21" s="2" t="s">
        <v>43</v>
      </c>
      <c r="B21" s="3" t="s">
        <v>12</v>
      </c>
      <c r="C21" s="99"/>
      <c r="D21" s="15">
        <v>954</v>
      </c>
      <c r="E21" s="16" t="s">
        <v>23</v>
      </c>
      <c r="F21" s="16" t="s">
        <v>123</v>
      </c>
      <c r="G21" s="15">
        <v>612</v>
      </c>
      <c r="H21" s="17"/>
      <c r="I21" s="17">
        <v>280</v>
      </c>
      <c r="J21" s="17"/>
      <c r="K21" s="17"/>
      <c r="L21" s="17"/>
      <c r="M21" s="17">
        <v>45</v>
      </c>
      <c r="N21" s="46">
        <v>46.7</v>
      </c>
      <c r="O21" s="17">
        <v>246.5</v>
      </c>
      <c r="P21" s="69">
        <f t="shared" si="2"/>
        <v>618.20000000000005</v>
      </c>
    </row>
    <row r="22" spans="1:16" ht="81.75" customHeight="1" x14ac:dyDescent="0.25">
      <c r="A22" s="2" t="s">
        <v>44</v>
      </c>
      <c r="B22" s="3" t="s">
        <v>13</v>
      </c>
      <c r="C22" s="99"/>
      <c r="D22" s="15">
        <v>954</v>
      </c>
      <c r="E22" s="16" t="s">
        <v>23</v>
      </c>
      <c r="F22" s="65" t="s">
        <v>149</v>
      </c>
      <c r="G22" s="15">
        <v>612</v>
      </c>
      <c r="H22" s="17">
        <v>180</v>
      </c>
      <c r="I22" s="17"/>
      <c r="J22" s="17"/>
      <c r="K22" s="17"/>
      <c r="L22" s="17">
        <v>324</v>
      </c>
      <c r="M22" s="17">
        <v>2388.8000000000002</v>
      </c>
      <c r="N22" s="46">
        <v>2500</v>
      </c>
      <c r="O22" s="17">
        <v>3000</v>
      </c>
      <c r="P22" s="69">
        <f t="shared" si="2"/>
        <v>8392.7999999999993</v>
      </c>
    </row>
    <row r="23" spans="1:16" ht="49.5" customHeight="1" x14ac:dyDescent="0.25">
      <c r="A23" s="2" t="s">
        <v>45</v>
      </c>
      <c r="B23" s="3" t="s">
        <v>81</v>
      </c>
      <c r="C23" s="99"/>
      <c r="D23" s="15">
        <v>954</v>
      </c>
      <c r="E23" s="16" t="s">
        <v>23</v>
      </c>
      <c r="F23" s="16" t="s">
        <v>124</v>
      </c>
      <c r="G23" s="15">
        <v>611</v>
      </c>
      <c r="H23" s="17">
        <v>29407.35</v>
      </c>
      <c r="I23" s="17">
        <f>30027.35-800.45-700+1066+2640</f>
        <v>32232.899999999998</v>
      </c>
      <c r="J23" s="17">
        <f>28921.26-1120.4+266.39+202+354+1757+99</f>
        <v>30479.249999999996</v>
      </c>
      <c r="K23" s="17">
        <f>28623.25-670+355.56+1280.64+175.7</f>
        <v>29765.15</v>
      </c>
      <c r="L23" s="17">
        <f>31168.7+1681.03+3765.71</f>
        <v>36615.440000000002</v>
      </c>
      <c r="M23" s="17">
        <v>41875.199999999997</v>
      </c>
      <c r="N23" s="46">
        <v>42770.2</v>
      </c>
      <c r="O23" s="17">
        <v>43713.9</v>
      </c>
      <c r="P23" s="69">
        <f t="shared" si="2"/>
        <v>286859.39</v>
      </c>
    </row>
    <row r="24" spans="1:16" ht="33.75" customHeight="1" x14ac:dyDescent="0.25">
      <c r="A24" s="2" t="s">
        <v>136</v>
      </c>
      <c r="B24" s="4" t="s">
        <v>103</v>
      </c>
      <c r="C24" s="38"/>
      <c r="D24" s="15">
        <v>954</v>
      </c>
      <c r="E24" s="16" t="s">
        <v>23</v>
      </c>
      <c r="F24" s="16" t="s">
        <v>104</v>
      </c>
      <c r="G24" s="15">
        <v>612</v>
      </c>
      <c r="H24" s="17"/>
      <c r="I24" s="17"/>
      <c r="J24" s="17">
        <f>83.1-83.1</f>
        <v>0</v>
      </c>
      <c r="K24" s="17">
        <v>83.1</v>
      </c>
      <c r="L24" s="17"/>
      <c r="M24" s="17">
        <v>320</v>
      </c>
      <c r="N24" s="46"/>
      <c r="O24" s="17"/>
      <c r="P24" s="69">
        <f t="shared" si="2"/>
        <v>403.1</v>
      </c>
    </row>
    <row r="25" spans="1:16" ht="51" customHeight="1" x14ac:dyDescent="0.25">
      <c r="A25" s="1" t="s">
        <v>46</v>
      </c>
      <c r="B25" s="49" t="s">
        <v>160</v>
      </c>
      <c r="C25" s="100" t="s">
        <v>40</v>
      </c>
      <c r="D25" s="17">
        <v>954</v>
      </c>
      <c r="E25" s="45" t="s">
        <v>24</v>
      </c>
      <c r="F25" s="45" t="s">
        <v>105</v>
      </c>
      <c r="G25" s="45" t="s">
        <v>28</v>
      </c>
      <c r="H25" s="17">
        <f>H26+H34+H37+H38+H39+H40+H41+H42+H43+H44</f>
        <v>54642.323000000004</v>
      </c>
      <c r="I25" s="17">
        <f>I26+I34+I37+I38+I39+I40+I41+I42+I43+I44</f>
        <v>55704.3</v>
      </c>
      <c r="J25" s="17">
        <f>J26+J34+J37+J38+J39+J40+J41+J42+J43+J44</f>
        <v>58804.39</v>
      </c>
      <c r="K25" s="17">
        <f>K26+K34+K37+K38+K39+K40+K41+K42+K43+K44+K45</f>
        <v>56223.460000000006</v>
      </c>
      <c r="L25" s="17">
        <f>L26+L34+L37+L38+L39+L40+L41+L42+L43+L44+L45+L46</f>
        <v>65894.430000000008</v>
      </c>
      <c r="M25" s="17">
        <f>M26+M34+M37+M38+M39+M40+M41+M42+M43+M44+M45+M46</f>
        <v>83015.899999999994</v>
      </c>
      <c r="N25" s="17">
        <f t="shared" ref="N25:O25" si="4">N26+N34+N37+N38+N39+N40+N41+N42+N43+N44+N45+N46</f>
        <v>86894.8</v>
      </c>
      <c r="O25" s="17">
        <f t="shared" si="4"/>
        <v>88840.200000000012</v>
      </c>
      <c r="P25" s="69">
        <f t="shared" si="2"/>
        <v>550019.80299999996</v>
      </c>
    </row>
    <row r="26" spans="1:16" ht="21.75" customHeight="1" x14ac:dyDescent="0.25">
      <c r="A26" s="97" t="s">
        <v>47</v>
      </c>
      <c r="B26" s="103" t="s">
        <v>55</v>
      </c>
      <c r="C26" s="100"/>
      <c r="D26" s="17">
        <v>954</v>
      </c>
      <c r="E26" s="45" t="s">
        <v>24</v>
      </c>
      <c r="F26" s="45" t="s">
        <v>109</v>
      </c>
      <c r="G26" s="45" t="s">
        <v>28</v>
      </c>
      <c r="H26" s="17">
        <f>H28+H29+H30+H31+H32+H27</f>
        <v>48645.69</v>
      </c>
      <c r="I26" s="17">
        <f>I28+I29+I30+I31+I32+I33</f>
        <v>51184.310000000005</v>
      </c>
      <c r="J26" s="17">
        <f t="shared" ref="J26:O26" si="5">J28+J29+J30+J31+J32+J33</f>
        <v>55555.59</v>
      </c>
      <c r="K26" s="17">
        <f t="shared" si="5"/>
        <v>52043.040000000008</v>
      </c>
      <c r="L26" s="17">
        <f t="shared" si="5"/>
        <v>61913.544999999998</v>
      </c>
      <c r="M26" s="17">
        <f t="shared" si="5"/>
        <v>80186.7</v>
      </c>
      <c r="N26" s="17">
        <f t="shared" si="5"/>
        <v>82017.2</v>
      </c>
      <c r="O26" s="17">
        <f t="shared" si="5"/>
        <v>83933.1</v>
      </c>
      <c r="P26" s="69">
        <f t="shared" si="2"/>
        <v>515479.17500000005</v>
      </c>
    </row>
    <row r="27" spans="1:16" ht="21.75" customHeight="1" x14ac:dyDescent="0.25">
      <c r="A27" s="97"/>
      <c r="B27" s="104"/>
      <c r="C27" s="100"/>
      <c r="D27" s="17">
        <v>954</v>
      </c>
      <c r="E27" s="45" t="s">
        <v>24</v>
      </c>
      <c r="F27" s="45" t="s">
        <v>25</v>
      </c>
      <c r="G27" s="45" t="s">
        <v>86</v>
      </c>
      <c r="H27" s="17">
        <v>17673.169999999998</v>
      </c>
      <c r="I27" s="17"/>
      <c r="J27" s="17"/>
      <c r="K27" s="17"/>
      <c r="L27" s="17"/>
      <c r="M27" s="17"/>
      <c r="N27" s="47"/>
      <c r="O27" s="17"/>
      <c r="P27" s="69">
        <f t="shared" si="2"/>
        <v>17673.169999999998</v>
      </c>
    </row>
    <row r="28" spans="1:16" ht="23.25" customHeight="1" x14ac:dyDescent="0.25">
      <c r="A28" s="97"/>
      <c r="B28" s="104"/>
      <c r="C28" s="100"/>
      <c r="D28" s="17">
        <v>954</v>
      </c>
      <c r="E28" s="45" t="s">
        <v>24</v>
      </c>
      <c r="F28" s="45" t="s">
        <v>25</v>
      </c>
      <c r="G28" s="17">
        <v>112</v>
      </c>
      <c r="H28" s="17">
        <v>174.6</v>
      </c>
      <c r="I28" s="17"/>
      <c r="J28" s="17"/>
      <c r="K28" s="17"/>
      <c r="L28" s="17"/>
      <c r="M28" s="17"/>
      <c r="N28" s="47"/>
      <c r="O28" s="17"/>
      <c r="P28" s="69">
        <f t="shared" si="2"/>
        <v>174.6</v>
      </c>
    </row>
    <row r="29" spans="1:16" ht="21.75" customHeight="1" x14ac:dyDescent="0.25">
      <c r="A29" s="97"/>
      <c r="B29" s="104"/>
      <c r="C29" s="100"/>
      <c r="D29" s="17">
        <v>954</v>
      </c>
      <c r="E29" s="45" t="s">
        <v>24</v>
      </c>
      <c r="F29" s="45" t="s">
        <v>25</v>
      </c>
      <c r="G29" s="17">
        <v>242</v>
      </c>
      <c r="H29" s="17">
        <v>189.3</v>
      </c>
      <c r="I29" s="17"/>
      <c r="J29" s="17"/>
      <c r="K29" s="17"/>
      <c r="L29" s="17"/>
      <c r="M29" s="17"/>
      <c r="N29" s="47"/>
      <c r="O29" s="17"/>
      <c r="P29" s="69">
        <f t="shared" si="2"/>
        <v>189.3</v>
      </c>
    </row>
    <row r="30" spans="1:16" ht="21" customHeight="1" x14ac:dyDescent="0.25">
      <c r="A30" s="97"/>
      <c r="B30" s="104"/>
      <c r="C30" s="100"/>
      <c r="D30" s="17">
        <v>954</v>
      </c>
      <c r="E30" s="45" t="s">
        <v>24</v>
      </c>
      <c r="F30" s="45" t="s">
        <v>25</v>
      </c>
      <c r="G30" s="17">
        <v>244</v>
      </c>
      <c r="H30" s="17">
        <v>29870.02</v>
      </c>
      <c r="I30" s="17"/>
      <c r="J30" s="17"/>
      <c r="K30" s="17"/>
      <c r="L30" s="17"/>
      <c r="M30" s="17"/>
      <c r="N30" s="47"/>
      <c r="O30" s="17"/>
      <c r="P30" s="69">
        <f t="shared" si="2"/>
        <v>29870.02</v>
      </c>
    </row>
    <row r="31" spans="1:16" ht="23.25" customHeight="1" x14ac:dyDescent="0.25">
      <c r="A31" s="97"/>
      <c r="B31" s="104"/>
      <c r="C31" s="100"/>
      <c r="D31" s="17">
        <v>954</v>
      </c>
      <c r="E31" s="45" t="s">
        <v>24</v>
      </c>
      <c r="F31" s="45" t="s">
        <v>25</v>
      </c>
      <c r="G31" s="17">
        <v>851</v>
      </c>
      <c r="H31" s="17">
        <v>257.10000000000002</v>
      </c>
      <c r="I31" s="17"/>
      <c r="J31" s="17"/>
      <c r="K31" s="17"/>
      <c r="L31" s="17"/>
      <c r="M31" s="17"/>
      <c r="N31" s="47"/>
      <c r="O31" s="17"/>
      <c r="P31" s="69">
        <f t="shared" si="2"/>
        <v>257.10000000000002</v>
      </c>
    </row>
    <row r="32" spans="1:16" ht="18" customHeight="1" x14ac:dyDescent="0.25">
      <c r="A32" s="97"/>
      <c r="B32" s="104"/>
      <c r="C32" s="100"/>
      <c r="D32" s="17">
        <v>954</v>
      </c>
      <c r="E32" s="45" t="s">
        <v>24</v>
      </c>
      <c r="F32" s="45" t="s">
        <v>25</v>
      </c>
      <c r="G32" s="17">
        <v>852</v>
      </c>
      <c r="H32" s="17">
        <v>481.5</v>
      </c>
      <c r="I32" s="17"/>
      <c r="J32" s="17"/>
      <c r="K32" s="17"/>
      <c r="L32" s="17"/>
      <c r="M32" s="17"/>
      <c r="N32" s="47"/>
      <c r="O32" s="17"/>
      <c r="P32" s="69">
        <f t="shared" si="2"/>
        <v>481.5</v>
      </c>
    </row>
    <row r="33" spans="1:16" ht="22.5" customHeight="1" x14ac:dyDescent="0.25">
      <c r="A33" s="33"/>
      <c r="B33" s="105"/>
      <c r="C33" s="100"/>
      <c r="D33" s="17">
        <v>954</v>
      </c>
      <c r="E33" s="45" t="s">
        <v>24</v>
      </c>
      <c r="F33" s="45" t="s">
        <v>109</v>
      </c>
      <c r="G33" s="17">
        <v>611</v>
      </c>
      <c r="H33" s="17"/>
      <c r="I33" s="17">
        <f>44557.51+2014+472.8+4140</f>
        <v>51184.310000000005</v>
      </c>
      <c r="J33" s="17">
        <f>51661.13+1068.8+1150.6+23+1552.06+100</f>
        <v>55555.59</v>
      </c>
      <c r="K33" s="17">
        <f>59014.45-600-2118.25+17.51+934.73-1894.6+188-8.7-3490.1</f>
        <v>52043.040000000008</v>
      </c>
      <c r="L33" s="17">
        <f>52070.25-150-365.085+1003.6+7894.58+1460.2</f>
        <v>61913.544999999998</v>
      </c>
      <c r="M33" s="17">
        <v>80186.7</v>
      </c>
      <c r="N33" s="17">
        <v>82017.2</v>
      </c>
      <c r="O33" s="17">
        <v>83933.1</v>
      </c>
      <c r="P33" s="69">
        <f t="shared" si="2"/>
        <v>466833.48499999999</v>
      </c>
    </row>
    <row r="34" spans="1:16" ht="23.25" customHeight="1" x14ac:dyDescent="0.25">
      <c r="A34" s="106" t="s">
        <v>48</v>
      </c>
      <c r="B34" s="90" t="s">
        <v>139</v>
      </c>
      <c r="C34" s="100"/>
      <c r="D34" s="17">
        <v>954</v>
      </c>
      <c r="E34" s="45" t="s">
        <v>24</v>
      </c>
      <c r="F34" s="45" t="s">
        <v>110</v>
      </c>
      <c r="G34" s="17">
        <v>0</v>
      </c>
      <c r="H34" s="17">
        <f t="shared" ref="H34:O34" si="6">H35+H36</f>
        <v>4960.6329999999998</v>
      </c>
      <c r="I34" s="17">
        <f t="shared" si="6"/>
        <v>2417.25</v>
      </c>
      <c r="J34" s="17">
        <f t="shared" si="6"/>
        <v>2000</v>
      </c>
      <c r="K34" s="17">
        <f t="shared" si="6"/>
        <v>1875.32</v>
      </c>
      <c r="L34" s="17">
        <f>L35+L36</f>
        <v>2575</v>
      </c>
      <c r="M34" s="17">
        <f t="shared" si="6"/>
        <v>0</v>
      </c>
      <c r="N34" s="17">
        <f t="shared" si="6"/>
        <v>2000</v>
      </c>
      <c r="O34" s="17">
        <f t="shared" si="6"/>
        <v>2000</v>
      </c>
      <c r="P34" s="69">
        <f t="shared" si="2"/>
        <v>17828.203000000001</v>
      </c>
    </row>
    <row r="35" spans="1:16" ht="34.5" customHeight="1" x14ac:dyDescent="0.25">
      <c r="A35" s="107"/>
      <c r="B35" s="91"/>
      <c r="C35" s="100"/>
      <c r="D35" s="17">
        <v>954</v>
      </c>
      <c r="E35" s="45" t="s">
        <v>24</v>
      </c>
      <c r="F35" s="63" t="s">
        <v>147</v>
      </c>
      <c r="G35" s="17" t="s">
        <v>95</v>
      </c>
      <c r="H35" s="17">
        <v>4960.6329999999998</v>
      </c>
      <c r="I35" s="17">
        <f>1417.14+0.11</f>
        <v>1417.25</v>
      </c>
      <c r="J35" s="17"/>
      <c r="K35" s="17">
        <f>1735.32+112+19.3+8.7</f>
        <v>1875.32</v>
      </c>
      <c r="L35" s="17">
        <f>1875+700</f>
        <v>2575</v>
      </c>
      <c r="M35" s="17"/>
      <c r="N35" s="47">
        <v>2000</v>
      </c>
      <c r="O35" s="17">
        <v>2000</v>
      </c>
      <c r="P35" s="69">
        <f t="shared" si="2"/>
        <v>14828.203</v>
      </c>
    </row>
    <row r="36" spans="1:16" ht="40.5" customHeight="1" x14ac:dyDescent="0.25">
      <c r="A36" s="108"/>
      <c r="B36" s="92"/>
      <c r="C36" s="100"/>
      <c r="D36" s="17">
        <v>954</v>
      </c>
      <c r="E36" s="45" t="s">
        <v>24</v>
      </c>
      <c r="F36" s="45" t="s">
        <v>110</v>
      </c>
      <c r="G36" s="17">
        <v>414</v>
      </c>
      <c r="H36" s="17"/>
      <c r="I36" s="17">
        <v>1000</v>
      </c>
      <c r="J36" s="17">
        <v>2000</v>
      </c>
      <c r="K36" s="17">
        <f>685.6-685.6</f>
        <v>0</v>
      </c>
      <c r="L36" s="17"/>
      <c r="M36" s="17"/>
      <c r="N36" s="47"/>
      <c r="O36" s="17"/>
      <c r="P36" s="69">
        <f t="shared" si="2"/>
        <v>3000</v>
      </c>
    </row>
    <row r="37" spans="1:16" ht="37.5" customHeight="1" x14ac:dyDescent="0.25">
      <c r="A37" s="2" t="s">
        <v>49</v>
      </c>
      <c r="B37" s="49" t="s">
        <v>50</v>
      </c>
      <c r="C37" s="100"/>
      <c r="D37" s="17">
        <v>954</v>
      </c>
      <c r="E37" s="45" t="s">
        <v>24</v>
      </c>
      <c r="F37" s="45" t="s">
        <v>148</v>
      </c>
      <c r="G37" s="17">
        <v>612</v>
      </c>
      <c r="H37" s="17"/>
      <c r="I37" s="17"/>
      <c r="J37" s="17"/>
      <c r="K37" s="17">
        <f>800+200</f>
        <v>1000</v>
      </c>
      <c r="L37" s="17"/>
      <c r="M37" s="17"/>
      <c r="N37" s="47"/>
      <c r="O37" s="17"/>
      <c r="P37" s="69">
        <f t="shared" si="2"/>
        <v>1000</v>
      </c>
    </row>
    <row r="38" spans="1:16" ht="26.25" customHeight="1" x14ac:dyDescent="0.25">
      <c r="A38" s="2" t="s">
        <v>51</v>
      </c>
      <c r="B38" s="49" t="s">
        <v>15</v>
      </c>
      <c r="C38" s="100"/>
      <c r="D38" s="17">
        <v>954</v>
      </c>
      <c r="E38" s="45" t="s">
        <v>24</v>
      </c>
      <c r="F38" s="45" t="s">
        <v>107</v>
      </c>
      <c r="G38" s="17">
        <v>612</v>
      </c>
      <c r="H38" s="17">
        <v>327.9</v>
      </c>
      <c r="I38" s="17">
        <v>328</v>
      </c>
      <c r="J38" s="17">
        <f>328-328</f>
        <v>0</v>
      </c>
      <c r="K38" s="17"/>
      <c r="L38" s="17"/>
      <c r="M38" s="17"/>
      <c r="N38" s="47"/>
      <c r="O38" s="17"/>
      <c r="P38" s="69">
        <f t="shared" si="2"/>
        <v>655.9</v>
      </c>
    </row>
    <row r="39" spans="1:16" ht="35.25" customHeight="1" x14ac:dyDescent="0.25">
      <c r="A39" s="2" t="s">
        <v>52</v>
      </c>
      <c r="B39" s="49" t="s">
        <v>53</v>
      </c>
      <c r="C39" s="100"/>
      <c r="D39" s="17">
        <v>954</v>
      </c>
      <c r="E39" s="45" t="s">
        <v>24</v>
      </c>
      <c r="F39" s="45" t="s">
        <v>108</v>
      </c>
      <c r="G39" s="17">
        <v>612</v>
      </c>
      <c r="H39" s="17">
        <v>708.1</v>
      </c>
      <c r="I39" s="17">
        <v>670</v>
      </c>
      <c r="J39" s="17">
        <v>663</v>
      </c>
      <c r="K39" s="17">
        <v>663.4</v>
      </c>
      <c r="L39" s="17">
        <v>663.4</v>
      </c>
      <c r="M39" s="17">
        <v>684.3</v>
      </c>
      <c r="N39" s="47">
        <v>714.4</v>
      </c>
      <c r="O39" s="17">
        <v>747.3</v>
      </c>
      <c r="P39" s="69">
        <f t="shared" si="2"/>
        <v>5513.9</v>
      </c>
    </row>
    <row r="40" spans="1:16" ht="36" customHeight="1" x14ac:dyDescent="0.25">
      <c r="A40" s="2" t="s">
        <v>56</v>
      </c>
      <c r="B40" s="49" t="s">
        <v>12</v>
      </c>
      <c r="C40" s="100"/>
      <c r="D40" s="17">
        <v>954</v>
      </c>
      <c r="E40" s="45" t="s">
        <v>24</v>
      </c>
      <c r="F40" s="45" t="s">
        <v>125</v>
      </c>
      <c r="G40" s="17">
        <v>612</v>
      </c>
      <c r="H40" s="17"/>
      <c r="I40" s="17">
        <v>315</v>
      </c>
      <c r="J40" s="17">
        <v>180</v>
      </c>
      <c r="K40" s="17">
        <v>220</v>
      </c>
      <c r="L40" s="17">
        <v>301.39999999999998</v>
      </c>
      <c r="M40" s="17">
        <v>301.39999999999998</v>
      </c>
      <c r="N40" s="47">
        <v>238.6</v>
      </c>
      <c r="O40" s="17">
        <v>151.6</v>
      </c>
      <c r="P40" s="69">
        <f t="shared" si="2"/>
        <v>1707.9999999999998</v>
      </c>
    </row>
    <row r="41" spans="1:16" ht="32.25" customHeight="1" x14ac:dyDescent="0.25">
      <c r="A41" s="2" t="s">
        <v>57</v>
      </c>
      <c r="B41" s="49" t="s">
        <v>16</v>
      </c>
      <c r="C41" s="100"/>
      <c r="D41" s="17">
        <v>954</v>
      </c>
      <c r="E41" s="45" t="s">
        <v>24</v>
      </c>
      <c r="F41" s="45" t="s">
        <v>126</v>
      </c>
      <c r="G41" s="17">
        <v>612</v>
      </c>
      <c r="H41" s="17"/>
      <c r="I41" s="17"/>
      <c r="J41" s="17"/>
      <c r="K41" s="17"/>
      <c r="L41" s="17"/>
      <c r="M41" s="17">
        <v>20</v>
      </c>
      <c r="N41" s="47">
        <v>20.9</v>
      </c>
      <c r="O41" s="17">
        <v>21.9</v>
      </c>
      <c r="P41" s="69">
        <f t="shared" si="2"/>
        <v>62.8</v>
      </c>
    </row>
    <row r="42" spans="1:16" ht="34.5" customHeight="1" x14ac:dyDescent="0.25">
      <c r="A42" s="2" t="s">
        <v>58</v>
      </c>
      <c r="B42" s="49" t="s">
        <v>59</v>
      </c>
      <c r="C42" s="100"/>
      <c r="D42" s="17">
        <v>954</v>
      </c>
      <c r="E42" s="45" t="s">
        <v>24</v>
      </c>
      <c r="F42" s="45" t="s">
        <v>127</v>
      </c>
      <c r="G42" s="17">
        <v>612</v>
      </c>
      <c r="H42" s="17"/>
      <c r="I42" s="17">
        <f>800-10.26</f>
        <v>789.74</v>
      </c>
      <c r="J42" s="17"/>
      <c r="K42" s="17"/>
      <c r="L42" s="17"/>
      <c r="M42" s="17"/>
      <c r="N42" s="46"/>
      <c r="O42" s="17"/>
      <c r="P42" s="69">
        <f t="shared" si="2"/>
        <v>789.74</v>
      </c>
    </row>
    <row r="43" spans="1:16" ht="37.5" customHeight="1" x14ac:dyDescent="0.25">
      <c r="A43" s="2" t="s">
        <v>60</v>
      </c>
      <c r="B43" s="49" t="s">
        <v>82</v>
      </c>
      <c r="C43" s="100"/>
      <c r="D43" s="17">
        <v>954</v>
      </c>
      <c r="E43" s="45" t="s">
        <v>24</v>
      </c>
      <c r="F43" s="45" t="s">
        <v>106</v>
      </c>
      <c r="G43" s="17">
        <v>612</v>
      </c>
      <c r="H43" s="17"/>
      <c r="I43" s="17"/>
      <c r="J43" s="17">
        <v>335.8</v>
      </c>
      <c r="K43" s="17">
        <v>229.2</v>
      </c>
      <c r="L43" s="17"/>
      <c r="M43" s="17">
        <v>607.79999999999995</v>
      </c>
      <c r="N43" s="46">
        <v>634.5</v>
      </c>
      <c r="O43" s="17">
        <v>658.6</v>
      </c>
      <c r="P43" s="69">
        <f t="shared" si="2"/>
        <v>2465.9</v>
      </c>
    </row>
    <row r="44" spans="1:16" ht="37.5" customHeight="1" x14ac:dyDescent="0.25">
      <c r="A44" s="2" t="s">
        <v>137</v>
      </c>
      <c r="B44" s="3" t="s">
        <v>20</v>
      </c>
      <c r="C44" s="38"/>
      <c r="D44" s="18">
        <v>954</v>
      </c>
      <c r="E44" s="19" t="s">
        <v>80</v>
      </c>
      <c r="F44" s="19" t="s">
        <v>116</v>
      </c>
      <c r="G44" s="18">
        <v>244</v>
      </c>
      <c r="H44" s="24"/>
      <c r="I44" s="24"/>
      <c r="J44" s="24">
        <v>70</v>
      </c>
      <c r="K44" s="17">
        <v>70</v>
      </c>
      <c r="L44" s="17">
        <v>70</v>
      </c>
      <c r="M44" s="17">
        <v>70</v>
      </c>
      <c r="N44" s="46">
        <v>73.099999999999994</v>
      </c>
      <c r="O44" s="17">
        <v>76.5</v>
      </c>
      <c r="P44" s="69">
        <f t="shared" si="2"/>
        <v>429.6</v>
      </c>
    </row>
    <row r="45" spans="1:16" ht="38.25" customHeight="1" x14ac:dyDescent="0.25">
      <c r="A45" s="2" t="s">
        <v>143</v>
      </c>
      <c r="B45" s="3" t="s">
        <v>144</v>
      </c>
      <c r="C45" s="59"/>
      <c r="D45" s="18">
        <v>954</v>
      </c>
      <c r="E45" s="19" t="s">
        <v>24</v>
      </c>
      <c r="F45" s="19" t="s">
        <v>145</v>
      </c>
      <c r="G45" s="18">
        <v>612</v>
      </c>
      <c r="H45" s="24"/>
      <c r="I45" s="24"/>
      <c r="J45" s="24"/>
      <c r="K45" s="24">
        <f>600-477.5</f>
        <v>122.5</v>
      </c>
      <c r="L45" s="24">
        <f>150+41.085</f>
        <v>191.08500000000001</v>
      </c>
      <c r="M45" s="24">
        <v>165.7</v>
      </c>
      <c r="N45" s="61">
        <v>173</v>
      </c>
      <c r="O45" s="17">
        <v>181</v>
      </c>
      <c r="P45" s="69">
        <f t="shared" si="2"/>
        <v>833.28500000000008</v>
      </c>
    </row>
    <row r="46" spans="1:16" ht="38.25" customHeight="1" x14ac:dyDescent="0.25">
      <c r="A46" s="2" t="s">
        <v>152</v>
      </c>
      <c r="B46" s="3" t="s">
        <v>150</v>
      </c>
      <c r="C46" s="66"/>
      <c r="D46" s="18">
        <v>954</v>
      </c>
      <c r="E46" s="19" t="s">
        <v>24</v>
      </c>
      <c r="F46" s="19" t="s">
        <v>151</v>
      </c>
      <c r="G46" s="18">
        <v>612</v>
      </c>
      <c r="H46" s="24"/>
      <c r="I46" s="24"/>
      <c r="J46" s="24"/>
      <c r="K46" s="24"/>
      <c r="L46" s="24">
        <v>180</v>
      </c>
      <c r="M46" s="24">
        <v>980</v>
      </c>
      <c r="N46" s="61">
        <v>1023.1</v>
      </c>
      <c r="O46" s="17">
        <v>1070.2</v>
      </c>
      <c r="P46" s="69">
        <f t="shared" si="2"/>
        <v>3253.3</v>
      </c>
    </row>
    <row r="47" spans="1:16" ht="53.25" customHeight="1" x14ac:dyDescent="0.25">
      <c r="A47" s="2" t="s">
        <v>61</v>
      </c>
      <c r="B47" s="3" t="s">
        <v>161</v>
      </c>
      <c r="C47" s="99" t="s">
        <v>40</v>
      </c>
      <c r="D47" s="18">
        <v>954</v>
      </c>
      <c r="E47" s="19" t="s">
        <v>142</v>
      </c>
      <c r="F47" s="19" t="s">
        <v>111</v>
      </c>
      <c r="G47" s="19" t="s">
        <v>28</v>
      </c>
      <c r="H47" s="24">
        <f>H48+H49+H50+H51+H52+H53+H54+H55</f>
        <v>14136.9</v>
      </c>
      <c r="I47" s="24">
        <f t="shared" ref="I47:O47" si="7">I48+I49+I50+I51+I52+I53+I54+I55</f>
        <v>14930.529999999999</v>
      </c>
      <c r="J47" s="24">
        <f t="shared" si="7"/>
        <v>15344.1</v>
      </c>
      <c r="K47" s="24">
        <f t="shared" si="7"/>
        <v>16446.55</v>
      </c>
      <c r="L47" s="24">
        <f t="shared" si="7"/>
        <v>18846.63</v>
      </c>
      <c r="M47" s="24">
        <f t="shared" si="7"/>
        <v>19856.300000000003</v>
      </c>
      <c r="N47" s="24">
        <f t="shared" si="7"/>
        <v>20088.3</v>
      </c>
      <c r="O47" s="24">
        <f t="shared" si="7"/>
        <v>20139.400000000001</v>
      </c>
      <c r="P47" s="69">
        <f t="shared" si="2"/>
        <v>139788.71000000002</v>
      </c>
    </row>
    <row r="48" spans="1:16" ht="48.75" customHeight="1" x14ac:dyDescent="0.25">
      <c r="A48" s="2" t="s">
        <v>62</v>
      </c>
      <c r="B48" s="3" t="s">
        <v>63</v>
      </c>
      <c r="C48" s="99"/>
      <c r="D48" s="15">
        <v>954</v>
      </c>
      <c r="E48" s="16" t="s">
        <v>142</v>
      </c>
      <c r="F48" s="16" t="s">
        <v>114</v>
      </c>
      <c r="G48" s="15">
        <v>611</v>
      </c>
      <c r="H48" s="17">
        <v>13637.2</v>
      </c>
      <c r="I48" s="17">
        <f>13706.5+810+68.21</f>
        <v>14584.71</v>
      </c>
      <c r="J48" s="17">
        <f>16192.2+54-1000</f>
        <v>15246.2</v>
      </c>
      <c r="K48" s="17">
        <f>15398.5+205.07+540.18-175</f>
        <v>15968.75</v>
      </c>
      <c r="L48" s="17">
        <f>17769.45+302.18+287.52+417.18</f>
        <v>18776.330000000002</v>
      </c>
      <c r="M48" s="17">
        <v>19726.400000000001</v>
      </c>
      <c r="N48" s="46">
        <v>19868.599999999999</v>
      </c>
      <c r="O48" s="17">
        <v>20019.5</v>
      </c>
      <c r="P48" s="69">
        <f t="shared" si="2"/>
        <v>137827.69</v>
      </c>
    </row>
    <row r="49" spans="1:16" ht="101.25" customHeight="1" x14ac:dyDescent="0.25">
      <c r="A49" s="10" t="s">
        <v>64</v>
      </c>
      <c r="B49" s="3" t="s">
        <v>13</v>
      </c>
      <c r="C49" s="99"/>
      <c r="D49" s="15">
        <v>954</v>
      </c>
      <c r="E49" s="16" t="s">
        <v>142</v>
      </c>
      <c r="F49" s="16" t="s">
        <v>128</v>
      </c>
      <c r="G49" s="15">
        <v>612</v>
      </c>
      <c r="H49" s="15">
        <v>328</v>
      </c>
      <c r="I49" s="15"/>
      <c r="J49" s="17"/>
      <c r="K49" s="17">
        <v>380</v>
      </c>
      <c r="L49" s="17"/>
      <c r="M49" s="17"/>
      <c r="N49" s="47"/>
      <c r="O49" s="17"/>
      <c r="P49" s="69">
        <f t="shared" si="2"/>
        <v>708</v>
      </c>
    </row>
    <row r="50" spans="1:16" ht="39" customHeight="1" x14ac:dyDescent="0.25">
      <c r="A50" s="10" t="s">
        <v>65</v>
      </c>
      <c r="B50" s="3" t="s">
        <v>66</v>
      </c>
      <c r="C50" s="99"/>
      <c r="D50" s="15">
        <v>954</v>
      </c>
      <c r="E50" s="16" t="s">
        <v>142</v>
      </c>
      <c r="F50" s="16" t="s">
        <v>129</v>
      </c>
      <c r="G50" s="15">
        <v>612</v>
      </c>
      <c r="H50" s="15">
        <v>153.4</v>
      </c>
      <c r="I50" s="15"/>
      <c r="J50" s="17"/>
      <c r="K50" s="17"/>
      <c r="L50" s="17"/>
      <c r="M50" s="17"/>
      <c r="N50" s="47"/>
      <c r="O50" s="17"/>
      <c r="P50" s="69">
        <f t="shared" si="2"/>
        <v>153.4</v>
      </c>
    </row>
    <row r="51" spans="1:16" ht="21.75" customHeight="1" x14ac:dyDescent="0.25">
      <c r="A51" s="10" t="s">
        <v>67</v>
      </c>
      <c r="B51" s="3" t="s">
        <v>15</v>
      </c>
      <c r="C51" s="99"/>
      <c r="D51" s="15">
        <v>954</v>
      </c>
      <c r="E51" s="16" t="s">
        <v>142</v>
      </c>
      <c r="F51" s="16" t="s">
        <v>113</v>
      </c>
      <c r="G51" s="15">
        <v>612</v>
      </c>
      <c r="H51" s="15">
        <v>18.3</v>
      </c>
      <c r="I51" s="15">
        <f>24+2.85</f>
        <v>26.85</v>
      </c>
      <c r="J51" s="17">
        <v>34.799999999999997</v>
      </c>
      <c r="K51" s="17">
        <v>34.799999999999997</v>
      </c>
      <c r="L51" s="17">
        <v>70.3</v>
      </c>
      <c r="M51" s="17">
        <v>79.900000000000006</v>
      </c>
      <c r="N51" s="47">
        <v>83.4</v>
      </c>
      <c r="O51" s="17">
        <v>87.2</v>
      </c>
      <c r="P51" s="69">
        <f t="shared" si="2"/>
        <v>435.55</v>
      </c>
    </row>
    <row r="52" spans="1:16" ht="21.75" customHeight="1" x14ac:dyDescent="0.25">
      <c r="A52" s="10" t="s">
        <v>68</v>
      </c>
      <c r="B52" s="3" t="s">
        <v>12</v>
      </c>
      <c r="C52" s="99"/>
      <c r="D52" s="15">
        <v>954</v>
      </c>
      <c r="E52" s="16" t="s">
        <v>142</v>
      </c>
      <c r="F52" s="16" t="s">
        <v>130</v>
      </c>
      <c r="G52" s="15">
        <v>612</v>
      </c>
      <c r="H52" s="15"/>
      <c r="I52" s="15">
        <v>70</v>
      </c>
      <c r="J52" s="17"/>
      <c r="K52" s="17"/>
      <c r="L52" s="17"/>
      <c r="M52" s="17">
        <v>50</v>
      </c>
      <c r="N52" s="47">
        <v>136.30000000000001</v>
      </c>
      <c r="O52" s="17">
        <v>32.700000000000003</v>
      </c>
      <c r="P52" s="69">
        <f t="shared" si="2"/>
        <v>289</v>
      </c>
    </row>
    <row r="53" spans="1:16" ht="38.25" customHeight="1" x14ac:dyDescent="0.25">
      <c r="A53" s="10" t="s">
        <v>69</v>
      </c>
      <c r="B53" s="3" t="s">
        <v>59</v>
      </c>
      <c r="C53" s="99"/>
      <c r="D53" s="15">
        <v>954</v>
      </c>
      <c r="E53" s="16" t="s">
        <v>142</v>
      </c>
      <c r="F53" s="16" t="s">
        <v>131</v>
      </c>
      <c r="G53" s="15">
        <v>612</v>
      </c>
      <c r="H53" s="15"/>
      <c r="I53" s="15"/>
      <c r="J53" s="17"/>
      <c r="K53" s="17"/>
      <c r="L53" s="17"/>
      <c r="M53" s="17"/>
      <c r="N53" s="47"/>
      <c r="O53" s="17"/>
      <c r="P53" s="69">
        <f t="shared" si="2"/>
        <v>0</v>
      </c>
    </row>
    <row r="54" spans="1:16" ht="35.25" customHeight="1" x14ac:dyDescent="0.25">
      <c r="A54" s="10" t="s">
        <v>92</v>
      </c>
      <c r="B54" s="3" t="s">
        <v>93</v>
      </c>
      <c r="C54" s="35"/>
      <c r="D54" s="15">
        <v>954</v>
      </c>
      <c r="E54" s="16" t="s">
        <v>96</v>
      </c>
      <c r="F54" s="16" t="s">
        <v>94</v>
      </c>
      <c r="G54" s="15">
        <v>612</v>
      </c>
      <c r="H54" s="15"/>
      <c r="I54" s="15">
        <v>248.97</v>
      </c>
      <c r="J54" s="17"/>
      <c r="K54" s="17"/>
      <c r="L54" s="17"/>
      <c r="M54" s="17"/>
      <c r="N54" s="47"/>
      <c r="O54" s="17"/>
      <c r="P54" s="69">
        <f t="shared" si="2"/>
        <v>248.97</v>
      </c>
    </row>
    <row r="55" spans="1:16" ht="34.5" customHeight="1" x14ac:dyDescent="0.25">
      <c r="A55" s="10" t="s">
        <v>138</v>
      </c>
      <c r="B55" s="50" t="s">
        <v>103</v>
      </c>
      <c r="C55" s="38"/>
      <c r="D55" s="15">
        <v>954</v>
      </c>
      <c r="E55" s="16" t="s">
        <v>24</v>
      </c>
      <c r="F55" s="16" t="s">
        <v>112</v>
      </c>
      <c r="G55" s="15">
        <v>612</v>
      </c>
      <c r="H55" s="15"/>
      <c r="I55" s="15"/>
      <c r="J55" s="17">
        <v>63.1</v>
      </c>
      <c r="K55" s="17">
        <v>63</v>
      </c>
      <c r="L55" s="17"/>
      <c r="M55" s="17"/>
      <c r="N55" s="47"/>
      <c r="O55" s="17"/>
      <c r="P55" s="69">
        <f t="shared" si="2"/>
        <v>126.1</v>
      </c>
    </row>
    <row r="56" spans="1:16" ht="18.75" customHeight="1" x14ac:dyDescent="0.25">
      <c r="A56" s="8" t="s">
        <v>70</v>
      </c>
      <c r="B56" s="3" t="s">
        <v>19</v>
      </c>
      <c r="C56" s="22"/>
      <c r="D56" s="15">
        <v>954</v>
      </c>
      <c r="E56" s="16" t="s">
        <v>26</v>
      </c>
      <c r="F56" s="16" t="s">
        <v>132</v>
      </c>
      <c r="G56" s="16" t="s">
        <v>28</v>
      </c>
      <c r="H56" s="15">
        <f>H57+H59+H66+H75+H76</f>
        <v>12680.900000000001</v>
      </c>
      <c r="I56" s="15">
        <f>I57+I59+I58+I66+I75+I76+I77</f>
        <v>13932.5</v>
      </c>
      <c r="J56" s="17">
        <f t="shared" ref="J56:O56" si="8">J57+J59+J58+J66+J75+J76+J77</f>
        <v>14491.04</v>
      </c>
      <c r="K56" s="17">
        <f t="shared" si="8"/>
        <v>14985.179999999997</v>
      </c>
      <c r="L56" s="17">
        <f t="shared" si="8"/>
        <v>16768.999</v>
      </c>
      <c r="M56" s="17">
        <f t="shared" si="8"/>
        <v>17177</v>
      </c>
      <c r="N56" s="17">
        <f t="shared" si="8"/>
        <v>17316.599999999999</v>
      </c>
      <c r="O56" s="17">
        <f t="shared" si="8"/>
        <v>17467.7</v>
      </c>
      <c r="P56" s="69">
        <f t="shared" si="2"/>
        <v>124819.91899999998</v>
      </c>
    </row>
    <row r="57" spans="1:16" ht="27.75" customHeight="1" x14ac:dyDescent="0.25">
      <c r="A57" s="10" t="s">
        <v>71</v>
      </c>
      <c r="B57" s="109" t="s">
        <v>20</v>
      </c>
      <c r="C57" s="93" t="s">
        <v>75</v>
      </c>
      <c r="D57" s="15">
        <v>952</v>
      </c>
      <c r="E57" s="16" t="s">
        <v>80</v>
      </c>
      <c r="F57" s="16" t="s">
        <v>27</v>
      </c>
      <c r="G57" s="15">
        <v>244</v>
      </c>
      <c r="H57" s="15">
        <v>70</v>
      </c>
      <c r="I57" s="17">
        <f>70-49.08</f>
        <v>20.92</v>
      </c>
      <c r="J57" s="17"/>
      <c r="K57" s="17"/>
      <c r="L57" s="17"/>
      <c r="M57" s="17"/>
      <c r="N57" s="47"/>
      <c r="O57" s="17"/>
      <c r="P57" s="69">
        <f t="shared" si="2"/>
        <v>90.92</v>
      </c>
    </row>
    <row r="58" spans="1:16" ht="22.5" customHeight="1" x14ac:dyDescent="0.25">
      <c r="A58" s="10"/>
      <c r="B58" s="110"/>
      <c r="C58" s="94"/>
      <c r="D58" s="15">
        <v>954</v>
      </c>
      <c r="E58" s="16" t="s">
        <v>80</v>
      </c>
      <c r="F58" s="16" t="s">
        <v>27</v>
      </c>
      <c r="G58" s="15">
        <v>244</v>
      </c>
      <c r="H58" s="15"/>
      <c r="I58" s="17">
        <v>49.08</v>
      </c>
      <c r="J58" s="17"/>
      <c r="K58" s="17"/>
      <c r="L58" s="17"/>
      <c r="M58" s="17"/>
      <c r="N58" s="47"/>
      <c r="O58" s="17"/>
      <c r="P58" s="69">
        <f t="shared" si="2"/>
        <v>49.08</v>
      </c>
    </row>
    <row r="59" spans="1:16" ht="26.25" customHeight="1" x14ac:dyDescent="0.25">
      <c r="A59" s="101" t="s">
        <v>72</v>
      </c>
      <c r="B59" s="102" t="s">
        <v>21</v>
      </c>
      <c r="C59" s="93" t="s">
        <v>40</v>
      </c>
      <c r="D59" s="15">
        <v>954</v>
      </c>
      <c r="E59" s="16" t="s">
        <v>26</v>
      </c>
      <c r="F59" s="16" t="s">
        <v>118</v>
      </c>
      <c r="G59" s="16" t="s">
        <v>28</v>
      </c>
      <c r="H59" s="15">
        <f>H60+H61+H63+H65+H64+H62</f>
        <v>2234.1</v>
      </c>
      <c r="I59" s="15">
        <f t="shared" ref="I59:O59" si="9">I60+I61+I63+I65+I64+I62</f>
        <v>2300.7999999999997</v>
      </c>
      <c r="J59" s="17">
        <f t="shared" si="9"/>
        <v>2241.87</v>
      </c>
      <c r="K59" s="17">
        <f>K60+K61+K63+K65+K64+K62</f>
        <v>2249.0699999999997</v>
      </c>
      <c r="L59" s="17">
        <f t="shared" si="9"/>
        <v>2589.1999999999998</v>
      </c>
      <c r="M59" s="17">
        <f t="shared" si="9"/>
        <v>2595.2999999999997</v>
      </c>
      <c r="N59" s="17">
        <f t="shared" si="9"/>
        <v>2597.3000000000002</v>
      </c>
      <c r="O59" s="17">
        <f t="shared" si="9"/>
        <v>2599.4</v>
      </c>
      <c r="P59" s="69">
        <f t="shared" si="2"/>
        <v>19407.04</v>
      </c>
    </row>
    <row r="60" spans="1:16" ht="19.5" customHeight="1" x14ac:dyDescent="0.25">
      <c r="A60" s="101"/>
      <c r="B60" s="102"/>
      <c r="C60" s="98"/>
      <c r="D60" s="15">
        <v>954</v>
      </c>
      <c r="E60" s="16" t="s">
        <v>26</v>
      </c>
      <c r="F60" s="16" t="s">
        <v>118</v>
      </c>
      <c r="G60" s="15">
        <v>121</v>
      </c>
      <c r="H60" s="15">
        <v>2164.8209999999999</v>
      </c>
      <c r="I60" s="15">
        <f>2195.3+21.7+30.6</f>
        <v>2247.6</v>
      </c>
      <c r="J60" s="17">
        <f>1540+147.2</f>
        <v>1687.2</v>
      </c>
      <c r="K60" s="17">
        <f>1687.2-23+23</f>
        <v>1687.2</v>
      </c>
      <c r="L60" s="17">
        <v>1954.4</v>
      </c>
      <c r="M60" s="17">
        <v>1958.3</v>
      </c>
      <c r="N60" s="47">
        <v>1958.3</v>
      </c>
      <c r="O60" s="17">
        <v>1958.3</v>
      </c>
      <c r="P60" s="69">
        <f t="shared" si="2"/>
        <v>15616.120999999997</v>
      </c>
    </row>
    <row r="61" spans="1:16" ht="20.25" customHeight="1" x14ac:dyDescent="0.25">
      <c r="A61" s="101"/>
      <c r="B61" s="102"/>
      <c r="C61" s="98"/>
      <c r="D61" s="15">
        <v>954</v>
      </c>
      <c r="E61" s="16" t="s">
        <v>26</v>
      </c>
      <c r="F61" s="16" t="s">
        <v>118</v>
      </c>
      <c r="G61" s="15">
        <v>122</v>
      </c>
      <c r="H61" s="15">
        <v>7.9000000000000001E-2</v>
      </c>
      <c r="I61" s="15">
        <f>15.2-7</f>
        <v>8.1999999999999993</v>
      </c>
      <c r="J61" s="17">
        <v>2.8</v>
      </c>
      <c r="K61" s="17">
        <v>2.8</v>
      </c>
      <c r="L61" s="17">
        <v>2.8</v>
      </c>
      <c r="M61" s="17">
        <v>2.8</v>
      </c>
      <c r="N61" s="47">
        <v>2.9</v>
      </c>
      <c r="O61" s="17">
        <v>3</v>
      </c>
      <c r="P61" s="69">
        <f t="shared" si="2"/>
        <v>25.379000000000001</v>
      </c>
    </row>
    <row r="62" spans="1:16" ht="20.25" customHeight="1" x14ac:dyDescent="0.25">
      <c r="A62" s="101"/>
      <c r="B62" s="102"/>
      <c r="C62" s="98"/>
      <c r="D62" s="15">
        <v>954</v>
      </c>
      <c r="E62" s="16" t="s">
        <v>26</v>
      </c>
      <c r="F62" s="16" t="s">
        <v>118</v>
      </c>
      <c r="G62" s="15">
        <v>129</v>
      </c>
      <c r="H62" s="15"/>
      <c r="I62" s="15"/>
      <c r="J62" s="17">
        <f>465.1+44.47</f>
        <v>509.57000000000005</v>
      </c>
      <c r="K62" s="17">
        <f>509.57-7+24-23</f>
        <v>503.56999999999994</v>
      </c>
      <c r="L62" s="17">
        <v>590.20000000000005</v>
      </c>
      <c r="M62" s="17">
        <v>591.4</v>
      </c>
      <c r="N62" s="47">
        <v>591.4</v>
      </c>
      <c r="O62" s="17">
        <v>591.4</v>
      </c>
      <c r="P62" s="69">
        <f t="shared" si="2"/>
        <v>3377.5400000000004</v>
      </c>
    </row>
    <row r="63" spans="1:16" ht="15.75" customHeight="1" x14ac:dyDescent="0.25">
      <c r="A63" s="101"/>
      <c r="B63" s="102"/>
      <c r="C63" s="98"/>
      <c r="D63" s="15">
        <v>954</v>
      </c>
      <c r="E63" s="16" t="s">
        <v>26</v>
      </c>
      <c r="F63" s="16" t="s">
        <v>118</v>
      </c>
      <c r="G63" s="15">
        <v>244</v>
      </c>
      <c r="H63" s="15">
        <v>21.2</v>
      </c>
      <c r="I63" s="15">
        <f>37+8</f>
        <v>45</v>
      </c>
      <c r="J63" s="17">
        <f>32.3+10</f>
        <v>42.3</v>
      </c>
      <c r="K63" s="17">
        <f>41.8+13.7</f>
        <v>55.5</v>
      </c>
      <c r="L63" s="17">
        <v>41.8</v>
      </c>
      <c r="M63" s="17">
        <v>42.8</v>
      </c>
      <c r="N63" s="47">
        <v>44.7</v>
      </c>
      <c r="O63" s="17">
        <v>46.7</v>
      </c>
      <c r="P63" s="69">
        <f t="shared" si="2"/>
        <v>340</v>
      </c>
    </row>
    <row r="64" spans="1:16" ht="15.75" customHeight="1" x14ac:dyDescent="0.25">
      <c r="A64" s="30"/>
      <c r="B64" s="31"/>
      <c r="C64" s="98"/>
      <c r="D64" s="15">
        <v>954</v>
      </c>
      <c r="E64" s="16" t="s">
        <v>26</v>
      </c>
      <c r="F64" s="16" t="s">
        <v>118</v>
      </c>
      <c r="G64" s="15">
        <v>851</v>
      </c>
      <c r="H64" s="15">
        <v>47.6</v>
      </c>
      <c r="I64" s="15"/>
      <c r="J64" s="17"/>
      <c r="K64" s="17"/>
      <c r="L64" s="17"/>
      <c r="M64" s="17"/>
      <c r="N64" s="47"/>
      <c r="O64" s="17"/>
      <c r="P64" s="69">
        <f t="shared" si="2"/>
        <v>47.6</v>
      </c>
    </row>
    <row r="65" spans="1:16" ht="15.75" customHeight="1" x14ac:dyDescent="0.25">
      <c r="A65" s="26"/>
      <c r="B65" s="27"/>
      <c r="C65" s="98"/>
      <c r="D65" s="15">
        <v>954</v>
      </c>
      <c r="E65" s="16" t="s">
        <v>26</v>
      </c>
      <c r="F65" s="16" t="s">
        <v>118</v>
      </c>
      <c r="G65" s="15">
        <v>852</v>
      </c>
      <c r="H65" s="15">
        <v>0.4</v>
      </c>
      <c r="I65" s="15"/>
      <c r="J65" s="17"/>
      <c r="K65" s="17"/>
      <c r="L65" s="17"/>
      <c r="M65" s="17"/>
      <c r="N65" s="47"/>
      <c r="O65" s="17"/>
      <c r="P65" s="69">
        <f t="shared" si="2"/>
        <v>0.4</v>
      </c>
    </row>
    <row r="66" spans="1:16" ht="21" customHeight="1" x14ac:dyDescent="0.25">
      <c r="A66" s="101" t="s">
        <v>73</v>
      </c>
      <c r="B66" s="93" t="s">
        <v>22</v>
      </c>
      <c r="C66" s="98"/>
      <c r="D66" s="15">
        <v>954</v>
      </c>
      <c r="E66" s="16" t="s">
        <v>26</v>
      </c>
      <c r="F66" s="16" t="s">
        <v>119</v>
      </c>
      <c r="G66" s="16" t="s">
        <v>28</v>
      </c>
      <c r="H66" s="15">
        <f>H67+H68+H70+H71+H72+H73+H69</f>
        <v>9945.6</v>
      </c>
      <c r="I66" s="15">
        <f t="shared" ref="I66:J66" si="10">I67+I68+I70+I71+I72+I73+I69</f>
        <v>10123.400000000001</v>
      </c>
      <c r="J66" s="17">
        <f t="shared" si="10"/>
        <v>10767.170000000002</v>
      </c>
      <c r="K66" s="17">
        <f>K67+K68+K70+K71+K72+K73+K69+K74</f>
        <v>11207.459999999997</v>
      </c>
      <c r="L66" s="17">
        <f t="shared" ref="L66:O66" si="11">L67+L68+L70+L71+L72+L73+L69+L74</f>
        <v>12555.798999999999</v>
      </c>
      <c r="M66" s="17">
        <f t="shared" si="11"/>
        <v>12880.2</v>
      </c>
      <c r="N66" s="17">
        <f t="shared" si="11"/>
        <v>13014.5</v>
      </c>
      <c r="O66" s="17">
        <f t="shared" si="11"/>
        <v>13159.9</v>
      </c>
      <c r="P66" s="69">
        <f t="shared" si="2"/>
        <v>93654.028999999995</v>
      </c>
    </row>
    <row r="67" spans="1:16" ht="15.75" customHeight="1" x14ac:dyDescent="0.25">
      <c r="A67" s="101"/>
      <c r="B67" s="98"/>
      <c r="C67" s="98"/>
      <c r="D67" s="15">
        <v>954</v>
      </c>
      <c r="E67" s="16" t="s">
        <v>26</v>
      </c>
      <c r="F67" s="16" t="s">
        <v>119</v>
      </c>
      <c r="G67" s="15">
        <v>111</v>
      </c>
      <c r="H67" s="15">
        <v>8124.2</v>
      </c>
      <c r="I67" s="15">
        <f>8410.3-175-440</f>
        <v>7795.2999999999993</v>
      </c>
      <c r="J67" s="17">
        <f>6096+70-57.9</f>
        <v>6108.1</v>
      </c>
      <c r="K67" s="17">
        <f>6467.7+80.9-94</f>
        <v>6454.5999999999995</v>
      </c>
      <c r="L67" s="17">
        <f>7260.6+57.81-76.8</f>
        <v>7241.6100000000006</v>
      </c>
      <c r="M67" s="17">
        <v>7524.7</v>
      </c>
      <c r="N67" s="47">
        <v>7524.7</v>
      </c>
      <c r="O67" s="17">
        <v>7524.7</v>
      </c>
      <c r="P67" s="69">
        <f t="shared" si="2"/>
        <v>58297.909999999989</v>
      </c>
    </row>
    <row r="68" spans="1:16" ht="15.75" customHeight="1" x14ac:dyDescent="0.25">
      <c r="A68" s="101"/>
      <c r="B68" s="98"/>
      <c r="C68" s="98"/>
      <c r="D68" s="15">
        <v>954</v>
      </c>
      <c r="E68" s="16" t="s">
        <v>26</v>
      </c>
      <c r="F68" s="16" t="s">
        <v>119</v>
      </c>
      <c r="G68" s="15">
        <v>112</v>
      </c>
      <c r="H68" s="15">
        <v>5.6</v>
      </c>
      <c r="I68" s="15">
        <v>5.6</v>
      </c>
      <c r="J68" s="17">
        <v>5.6</v>
      </c>
      <c r="K68" s="17">
        <v>3.44</v>
      </c>
      <c r="L68" s="17">
        <v>7</v>
      </c>
      <c r="M68" s="17">
        <v>7.6</v>
      </c>
      <c r="N68" s="47">
        <v>7.9</v>
      </c>
      <c r="O68" s="17">
        <v>8.3000000000000007</v>
      </c>
      <c r="P68" s="69">
        <f t="shared" si="2"/>
        <v>51.039999999999992</v>
      </c>
    </row>
    <row r="69" spans="1:16" ht="15.75" customHeight="1" x14ac:dyDescent="0.25">
      <c r="A69" s="101"/>
      <c r="B69" s="98"/>
      <c r="C69" s="98"/>
      <c r="D69" s="15">
        <v>954</v>
      </c>
      <c r="E69" s="16" t="s">
        <v>26</v>
      </c>
      <c r="F69" s="16" t="s">
        <v>119</v>
      </c>
      <c r="G69" s="15">
        <v>119</v>
      </c>
      <c r="H69" s="15"/>
      <c r="I69" s="15"/>
      <c r="J69" s="17">
        <f>1841+21.2</f>
        <v>1862.2</v>
      </c>
      <c r="K69" s="17">
        <f>1953.26+24.46-28</f>
        <v>1949.72</v>
      </c>
      <c r="L69" s="17">
        <f>2192.7+17.46-23.2</f>
        <v>2186.96</v>
      </c>
      <c r="M69" s="17">
        <v>2272.5</v>
      </c>
      <c r="N69" s="17">
        <v>2272.5</v>
      </c>
      <c r="O69" s="17">
        <v>2272.5</v>
      </c>
      <c r="P69" s="69">
        <f t="shared" si="2"/>
        <v>12816.380000000001</v>
      </c>
    </row>
    <row r="70" spans="1:16" ht="15.75" customHeight="1" x14ac:dyDescent="0.25">
      <c r="A70" s="101"/>
      <c r="B70" s="98"/>
      <c r="C70" s="98"/>
      <c r="D70" s="15">
        <v>954</v>
      </c>
      <c r="E70" s="16" t="s">
        <v>26</v>
      </c>
      <c r="F70" s="16" t="s">
        <v>119</v>
      </c>
      <c r="G70" s="15">
        <v>242</v>
      </c>
      <c r="H70" s="15">
        <v>502.6</v>
      </c>
      <c r="I70" s="15">
        <v>545.4</v>
      </c>
      <c r="J70" s="17"/>
      <c r="K70" s="17"/>
      <c r="L70" s="17"/>
      <c r="M70" s="17"/>
      <c r="N70" s="47"/>
      <c r="O70" s="17"/>
      <c r="P70" s="69">
        <f t="shared" si="2"/>
        <v>1048</v>
      </c>
    </row>
    <row r="71" spans="1:16" ht="15.75" customHeight="1" x14ac:dyDescent="0.25">
      <c r="A71" s="101"/>
      <c r="B71" s="98"/>
      <c r="C71" s="98"/>
      <c r="D71" s="15">
        <v>954</v>
      </c>
      <c r="E71" s="16" t="s">
        <v>26</v>
      </c>
      <c r="F71" s="16" t="s">
        <v>119</v>
      </c>
      <c r="G71" s="15">
        <v>244</v>
      </c>
      <c r="H71" s="15">
        <v>1286</v>
      </c>
      <c r="I71" s="15">
        <f>1406.7+115.5+175+50</f>
        <v>1747.2</v>
      </c>
      <c r="J71" s="17">
        <f>2269.2+175.17+176</f>
        <v>2620.37</v>
      </c>
      <c r="K71" s="17">
        <f>2269.2+35+257.5+176.7</f>
        <v>2738.3999999999996</v>
      </c>
      <c r="L71" s="17">
        <f>2561.7+51.5+450.629</f>
        <v>3063.8289999999997</v>
      </c>
      <c r="M71" s="17">
        <v>3028.9</v>
      </c>
      <c r="N71" s="47">
        <v>3160.9</v>
      </c>
      <c r="O71" s="17">
        <v>3303.7</v>
      </c>
      <c r="P71" s="69">
        <f t="shared" si="2"/>
        <v>20949.298999999999</v>
      </c>
    </row>
    <row r="72" spans="1:16" ht="21" customHeight="1" x14ac:dyDescent="0.25">
      <c r="A72" s="101"/>
      <c r="B72" s="98"/>
      <c r="C72" s="98"/>
      <c r="D72" s="15">
        <v>954</v>
      </c>
      <c r="E72" s="16" t="s">
        <v>26</v>
      </c>
      <c r="F72" s="16" t="s">
        <v>119</v>
      </c>
      <c r="G72" s="15">
        <v>851</v>
      </c>
      <c r="H72" s="15">
        <v>5</v>
      </c>
      <c r="I72" s="15">
        <v>12.7</v>
      </c>
      <c r="J72" s="17">
        <f>12.7+141</f>
        <v>153.69999999999999</v>
      </c>
      <c r="K72" s="17">
        <f>12.1+37.7</f>
        <v>49.800000000000004</v>
      </c>
      <c r="L72" s="17">
        <v>47.6</v>
      </c>
      <c r="M72" s="17">
        <v>42</v>
      </c>
      <c r="N72" s="47">
        <v>43.8</v>
      </c>
      <c r="O72" s="17">
        <v>45.8</v>
      </c>
      <c r="P72" s="69">
        <f t="shared" si="2"/>
        <v>400.40000000000003</v>
      </c>
    </row>
    <row r="73" spans="1:16" ht="19.5" customHeight="1" x14ac:dyDescent="0.25">
      <c r="A73" s="101"/>
      <c r="B73" s="98"/>
      <c r="C73" s="98"/>
      <c r="D73" s="15">
        <v>954</v>
      </c>
      <c r="E73" s="16" t="s">
        <v>26</v>
      </c>
      <c r="F73" s="16" t="s">
        <v>119</v>
      </c>
      <c r="G73" s="15">
        <v>852</v>
      </c>
      <c r="H73" s="15">
        <v>22.2</v>
      </c>
      <c r="I73" s="15">
        <v>17.2</v>
      </c>
      <c r="J73" s="17">
        <v>17.2</v>
      </c>
      <c r="K73" s="17">
        <v>11.4</v>
      </c>
      <c r="L73" s="17">
        <v>8.8000000000000007</v>
      </c>
      <c r="M73" s="17">
        <v>4.5</v>
      </c>
      <c r="N73" s="47">
        <v>4.7</v>
      </c>
      <c r="O73" s="17">
        <v>4.9000000000000004</v>
      </c>
      <c r="P73" s="69">
        <f t="shared" si="2"/>
        <v>90.9</v>
      </c>
    </row>
    <row r="74" spans="1:16" ht="19.5" customHeight="1" x14ac:dyDescent="0.25">
      <c r="A74" s="64"/>
      <c r="B74" s="94"/>
      <c r="C74" s="98"/>
      <c r="D74" s="15">
        <v>954</v>
      </c>
      <c r="E74" s="16" t="s">
        <v>26</v>
      </c>
      <c r="F74" s="16" t="s">
        <v>119</v>
      </c>
      <c r="G74" s="15">
        <v>853</v>
      </c>
      <c r="H74" s="15"/>
      <c r="I74" s="15"/>
      <c r="J74" s="17"/>
      <c r="K74" s="17">
        <v>0.1</v>
      </c>
      <c r="L74" s="17"/>
      <c r="M74" s="17"/>
      <c r="N74" s="47"/>
      <c r="O74" s="17"/>
      <c r="P74" s="69">
        <f t="shared" si="2"/>
        <v>0.1</v>
      </c>
    </row>
    <row r="75" spans="1:16" ht="40.5" customHeight="1" x14ac:dyDescent="0.25">
      <c r="A75" s="10" t="s">
        <v>74</v>
      </c>
      <c r="B75" s="4" t="s">
        <v>18</v>
      </c>
      <c r="C75" s="98"/>
      <c r="D75" s="15">
        <v>954</v>
      </c>
      <c r="E75" s="16" t="s">
        <v>26</v>
      </c>
      <c r="F75" s="16" t="s">
        <v>133</v>
      </c>
      <c r="G75" s="15">
        <v>244</v>
      </c>
      <c r="H75" s="15"/>
      <c r="I75" s="15"/>
      <c r="J75" s="17"/>
      <c r="K75" s="17"/>
      <c r="L75" s="17"/>
      <c r="M75" s="17"/>
      <c r="N75" s="46"/>
      <c r="O75" s="17"/>
      <c r="P75" s="69">
        <f t="shared" si="2"/>
        <v>0</v>
      </c>
    </row>
    <row r="76" spans="1:16" ht="42.75" customHeight="1" x14ac:dyDescent="0.25">
      <c r="A76" s="10" t="s">
        <v>89</v>
      </c>
      <c r="B76" s="3" t="s">
        <v>87</v>
      </c>
      <c r="C76" s="94"/>
      <c r="D76" s="15">
        <v>954</v>
      </c>
      <c r="E76" s="16" t="s">
        <v>26</v>
      </c>
      <c r="F76" s="16" t="s">
        <v>120</v>
      </c>
      <c r="G76" s="15">
        <v>621</v>
      </c>
      <c r="H76" s="17">
        <v>431.2</v>
      </c>
      <c r="I76" s="15">
        <f>1400.2-16.9</f>
        <v>1383.3</v>
      </c>
      <c r="J76" s="48">
        <f>1400+8</f>
        <v>1408</v>
      </c>
      <c r="K76" s="48">
        <f>1416.1+22.55+16</f>
        <v>1454.6499999999999</v>
      </c>
      <c r="L76" s="48">
        <f>1488.3+25.09+36.61</f>
        <v>1549.9999999999998</v>
      </c>
      <c r="M76" s="17">
        <v>1627.5</v>
      </c>
      <c r="N76" s="46">
        <v>1627.5</v>
      </c>
      <c r="O76" s="17">
        <v>1627.5</v>
      </c>
      <c r="P76" s="69">
        <f t="shared" si="2"/>
        <v>11109.65</v>
      </c>
    </row>
    <row r="77" spans="1:16" ht="34.5" customHeight="1" x14ac:dyDescent="0.25">
      <c r="A77" s="10" t="s">
        <v>91</v>
      </c>
      <c r="B77" s="3" t="s">
        <v>97</v>
      </c>
      <c r="C77" s="37"/>
      <c r="D77" s="15">
        <v>954</v>
      </c>
      <c r="E77" s="16" t="s">
        <v>80</v>
      </c>
      <c r="F77" s="16" t="s">
        <v>117</v>
      </c>
      <c r="G77" s="15">
        <v>244</v>
      </c>
      <c r="H77" s="22"/>
      <c r="I77" s="15">
        <f>55</f>
        <v>55</v>
      </c>
      <c r="J77" s="58">
        <v>74</v>
      </c>
      <c r="K77" s="58">
        <v>74</v>
      </c>
      <c r="L77" s="58">
        <v>74</v>
      </c>
      <c r="M77" s="17">
        <v>74</v>
      </c>
      <c r="N77" s="44">
        <v>77.3</v>
      </c>
      <c r="O77" s="17">
        <v>80.900000000000006</v>
      </c>
      <c r="P77" s="69">
        <f t="shared" si="2"/>
        <v>509.20000000000005</v>
      </c>
    </row>
  </sheetData>
  <mergeCells count="24">
    <mergeCell ref="A59:A63"/>
    <mergeCell ref="A66:A73"/>
    <mergeCell ref="B59:B63"/>
    <mergeCell ref="B26:B33"/>
    <mergeCell ref="A34:A36"/>
    <mergeCell ref="B57:B58"/>
    <mergeCell ref="B66:B74"/>
    <mergeCell ref="C59:C76"/>
    <mergeCell ref="C15:C23"/>
    <mergeCell ref="C25:C43"/>
    <mergeCell ref="C47:C53"/>
    <mergeCell ref="C57:C58"/>
    <mergeCell ref="H1:O2"/>
    <mergeCell ref="H4:O6"/>
    <mergeCell ref="A9:O11"/>
    <mergeCell ref="B34:B36"/>
    <mergeCell ref="B15:B16"/>
    <mergeCell ref="A15:A16"/>
    <mergeCell ref="A26:A32"/>
    <mergeCell ref="D13:G13"/>
    <mergeCell ref="A13:A14"/>
    <mergeCell ref="B13:B14"/>
    <mergeCell ref="C13:C14"/>
    <mergeCell ref="H13:O13"/>
  </mergeCells>
  <pageMargins left="0.78740157480314965" right="0.78740157480314965" top="1.1811023622047245" bottom="0.39370078740157483" header="0.31496062992125984" footer="0.31496062992125984"/>
  <pageSetup paperSize="9" scale="6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tabSelected="1" view="pageBreakPreview" zoomScale="70" zoomScaleNormal="100" zoomScaleSheetLayoutView="70" workbookViewId="0">
      <selection activeCell="D7" sqref="D7"/>
    </sheetView>
  </sheetViews>
  <sheetFormatPr defaultRowHeight="15" x14ac:dyDescent="0.25"/>
  <cols>
    <col min="1" max="1" width="5.7109375" customWidth="1"/>
    <col min="2" max="2" width="34" customWidth="1"/>
    <col min="3" max="3" width="48" customWidth="1"/>
    <col min="4" max="4" width="11.42578125" customWidth="1"/>
    <col min="5" max="5" width="11.140625" customWidth="1"/>
    <col min="6" max="6" width="10.42578125" customWidth="1"/>
    <col min="7" max="7" width="10.140625" customWidth="1"/>
    <col min="8" max="8" width="12.140625" customWidth="1"/>
    <col min="9" max="9" width="10.85546875" customWidth="1"/>
    <col min="10" max="10" width="10.42578125" customWidth="1"/>
    <col min="11" max="11" width="12.7109375" customWidth="1"/>
    <col min="12" max="12" width="15.28515625" customWidth="1"/>
  </cols>
  <sheetData>
    <row r="1" spans="1:11" ht="12" customHeight="1" x14ac:dyDescent="0.25">
      <c r="D1" s="113" t="s">
        <v>167</v>
      </c>
      <c r="E1" s="113"/>
      <c r="F1" s="113"/>
      <c r="G1" s="113"/>
      <c r="H1" s="113"/>
      <c r="I1" s="113"/>
      <c r="J1" s="113"/>
      <c r="K1" s="113"/>
    </row>
    <row r="2" spans="1:11" ht="63" customHeight="1" x14ac:dyDescent="0.25">
      <c r="D2" s="113"/>
      <c r="E2" s="113"/>
      <c r="F2" s="113"/>
      <c r="G2" s="113"/>
      <c r="H2" s="113"/>
      <c r="I2" s="113"/>
      <c r="J2" s="113"/>
      <c r="K2" s="113"/>
    </row>
    <row r="3" spans="1:11" ht="15.75" customHeight="1" x14ac:dyDescent="0.25">
      <c r="D3" s="89" t="s">
        <v>157</v>
      </c>
      <c r="E3" s="89"/>
      <c r="F3" s="89"/>
      <c r="G3" s="89"/>
      <c r="H3" s="89"/>
      <c r="I3" s="89"/>
      <c r="J3" s="89"/>
      <c r="K3" s="89"/>
    </row>
    <row r="4" spans="1:11" ht="0.75" customHeight="1" x14ac:dyDescent="0.25">
      <c r="D4" s="89"/>
      <c r="E4" s="89"/>
      <c r="F4" s="89"/>
      <c r="G4" s="89"/>
      <c r="H4" s="89"/>
      <c r="I4" s="89"/>
      <c r="J4" s="89"/>
      <c r="K4" s="89"/>
    </row>
    <row r="5" spans="1:11" ht="7.5" customHeight="1" x14ac:dyDescent="0.25">
      <c r="D5" s="89"/>
      <c r="E5" s="89"/>
      <c r="F5" s="89"/>
      <c r="G5" s="89"/>
      <c r="H5" s="89"/>
      <c r="I5" s="89"/>
      <c r="J5" s="89"/>
      <c r="K5" s="89"/>
    </row>
    <row r="6" spans="1:11" ht="27.75" customHeight="1" x14ac:dyDescent="0.25">
      <c r="D6" s="89"/>
      <c r="E6" s="89"/>
      <c r="F6" s="89"/>
      <c r="G6" s="89"/>
      <c r="H6" s="89"/>
      <c r="I6" s="89"/>
      <c r="J6" s="89"/>
      <c r="K6" s="89"/>
    </row>
    <row r="8" spans="1:11" ht="27.75" customHeight="1" x14ac:dyDescent="0.25">
      <c r="A8" s="79" t="s">
        <v>156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1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5.25" hidden="1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7.5" hidden="1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0.75" hidden="1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</row>
    <row r="15" spans="1:11" ht="21.75" customHeight="1" x14ac:dyDescent="0.25">
      <c r="A15" s="5" t="s">
        <v>0</v>
      </c>
      <c r="B15" s="74" t="s">
        <v>4</v>
      </c>
      <c r="C15" s="74" t="s">
        <v>30</v>
      </c>
      <c r="D15" s="85" t="s">
        <v>29</v>
      </c>
      <c r="E15" s="85"/>
      <c r="F15" s="85"/>
      <c r="G15" s="85"/>
      <c r="H15" s="85"/>
      <c r="I15" s="85"/>
      <c r="J15" s="85"/>
      <c r="K15" s="85"/>
    </row>
    <row r="16" spans="1:11" ht="30" customHeight="1" x14ac:dyDescent="0.25">
      <c r="A16" s="5"/>
      <c r="B16" s="75"/>
      <c r="C16" s="75"/>
      <c r="D16" s="20">
        <v>2014</v>
      </c>
      <c r="E16" s="20">
        <v>2015</v>
      </c>
      <c r="F16" s="20">
        <v>2016</v>
      </c>
      <c r="G16" s="20">
        <v>2017</v>
      </c>
      <c r="H16" s="20">
        <v>2018</v>
      </c>
      <c r="I16" s="21">
        <v>2019</v>
      </c>
      <c r="J16" s="21">
        <v>2020</v>
      </c>
      <c r="K16" s="21">
        <v>2021</v>
      </c>
    </row>
    <row r="17" spans="1:12" ht="22.5" customHeight="1" x14ac:dyDescent="0.25">
      <c r="A17" s="112">
        <v>1</v>
      </c>
      <c r="B17" s="102" t="s">
        <v>158</v>
      </c>
      <c r="C17" s="12" t="s">
        <v>31</v>
      </c>
      <c r="D17" s="28">
        <f t="shared" ref="D17:K17" si="0">D24+D87+D185+D248</f>
        <v>328070.27</v>
      </c>
      <c r="E17" s="14">
        <f t="shared" si="0"/>
        <v>341185.90299999993</v>
      </c>
      <c r="F17" s="25">
        <f t="shared" si="0"/>
        <v>357056.5799999999</v>
      </c>
      <c r="G17" s="14">
        <f t="shared" si="0"/>
        <v>363528.91</v>
      </c>
      <c r="H17" s="14">
        <f t="shared" si="0"/>
        <v>395947.92300000001</v>
      </c>
      <c r="I17" s="41">
        <f t="shared" si="0"/>
        <v>406542.9</v>
      </c>
      <c r="J17" s="41">
        <f t="shared" si="0"/>
        <v>411527.29999999993</v>
      </c>
      <c r="K17" s="68">
        <f t="shared" si="0"/>
        <v>174547.50000000003</v>
      </c>
      <c r="L17" s="29">
        <f t="shared" ref="L17:L80" si="1">SUM(D17:K17)</f>
        <v>2778407.2859999994</v>
      </c>
    </row>
    <row r="18" spans="1:12" ht="32.25" customHeight="1" x14ac:dyDescent="0.25">
      <c r="A18" s="112"/>
      <c r="B18" s="102"/>
      <c r="C18" s="13" t="s">
        <v>32</v>
      </c>
      <c r="D18" s="14">
        <f t="shared" ref="D18:H20" si="2">D25+D88+D186+D249</f>
        <v>0</v>
      </c>
      <c r="E18" s="14">
        <f t="shared" si="2"/>
        <v>0</v>
      </c>
      <c r="F18" s="25">
        <f t="shared" si="2"/>
        <v>0</v>
      </c>
      <c r="G18" s="14">
        <f t="shared" si="2"/>
        <v>0</v>
      </c>
      <c r="H18" s="14">
        <f t="shared" si="2"/>
        <v>0</v>
      </c>
      <c r="I18" s="52"/>
      <c r="J18" s="37"/>
      <c r="K18" s="52"/>
      <c r="L18" s="29">
        <f t="shared" si="1"/>
        <v>0</v>
      </c>
    </row>
    <row r="19" spans="1:12" ht="33.75" customHeight="1" x14ac:dyDescent="0.25">
      <c r="A19" s="112"/>
      <c r="B19" s="102"/>
      <c r="C19" s="13" t="s">
        <v>33</v>
      </c>
      <c r="D19" s="25">
        <f t="shared" si="2"/>
        <v>216943.29699999999</v>
      </c>
      <c r="E19" s="14">
        <f t="shared" si="2"/>
        <v>223955.02299999999</v>
      </c>
      <c r="F19" s="25">
        <f t="shared" si="2"/>
        <v>237830.9</v>
      </c>
      <c r="G19" s="14">
        <f t="shared" si="2"/>
        <v>245892.77000000002</v>
      </c>
      <c r="H19" s="14">
        <f t="shared" si="2"/>
        <v>257369.72399999999</v>
      </c>
      <c r="I19" s="41">
        <f t="shared" ref="I19:K20" si="3">I26+I89+I187+I250</f>
        <v>240821</v>
      </c>
      <c r="J19" s="41">
        <f t="shared" si="3"/>
        <v>240821</v>
      </c>
      <c r="K19" s="68">
        <f t="shared" si="3"/>
        <v>0</v>
      </c>
      <c r="L19" s="29">
        <f t="shared" si="1"/>
        <v>1663633.7139999999</v>
      </c>
    </row>
    <row r="20" spans="1:12" ht="15.75" x14ac:dyDescent="0.25">
      <c r="A20" s="112"/>
      <c r="B20" s="102"/>
      <c r="C20" s="12" t="s">
        <v>34</v>
      </c>
      <c r="D20" s="25">
        <f t="shared" si="2"/>
        <v>111126.973</v>
      </c>
      <c r="E20" s="14">
        <f t="shared" si="2"/>
        <v>117230.88</v>
      </c>
      <c r="F20" s="25">
        <f t="shared" si="2"/>
        <v>119225.68</v>
      </c>
      <c r="G20" s="14">
        <f t="shared" si="2"/>
        <v>117636.14000000001</v>
      </c>
      <c r="H20" s="14">
        <f t="shared" si="2"/>
        <v>138578.19900000002</v>
      </c>
      <c r="I20" s="41">
        <f t="shared" si="3"/>
        <v>165721.9</v>
      </c>
      <c r="J20" s="41">
        <f t="shared" si="3"/>
        <v>170706.3</v>
      </c>
      <c r="K20" s="68">
        <f t="shared" si="3"/>
        <v>174547.50000000003</v>
      </c>
      <c r="L20" s="29">
        <f t="shared" si="1"/>
        <v>1114773.5719999999</v>
      </c>
    </row>
    <row r="21" spans="1:12" ht="33.75" customHeight="1" x14ac:dyDescent="0.25">
      <c r="A21" s="112"/>
      <c r="B21" s="102"/>
      <c r="C21" s="13" t="s">
        <v>35</v>
      </c>
      <c r="D21" s="25">
        <f t="shared" ref="D21:F23" si="4">D28+D91+D189+D252</f>
        <v>0</v>
      </c>
      <c r="E21" s="14">
        <f t="shared" si="4"/>
        <v>0</v>
      </c>
      <c r="F21" s="25">
        <f t="shared" si="4"/>
        <v>0</v>
      </c>
      <c r="G21" s="14"/>
      <c r="H21" s="14"/>
      <c r="I21" s="52"/>
      <c r="J21" s="37"/>
      <c r="K21" s="52"/>
      <c r="L21" s="29">
        <f t="shared" si="1"/>
        <v>0</v>
      </c>
    </row>
    <row r="22" spans="1:12" ht="36" customHeight="1" x14ac:dyDescent="0.25">
      <c r="A22" s="112"/>
      <c r="B22" s="102"/>
      <c r="C22" s="13" t="s">
        <v>36</v>
      </c>
      <c r="D22" s="25">
        <f t="shared" si="4"/>
        <v>0</v>
      </c>
      <c r="E22" s="14">
        <f t="shared" si="4"/>
        <v>0</v>
      </c>
      <c r="F22" s="25">
        <f t="shared" si="4"/>
        <v>0</v>
      </c>
      <c r="G22" s="14"/>
      <c r="H22" s="14"/>
      <c r="I22" s="52"/>
      <c r="J22" s="37"/>
      <c r="K22" s="52"/>
      <c r="L22" s="29">
        <f t="shared" si="1"/>
        <v>0</v>
      </c>
    </row>
    <row r="23" spans="1:12" ht="15.75" x14ac:dyDescent="0.25">
      <c r="A23" s="112"/>
      <c r="B23" s="102"/>
      <c r="C23" s="12" t="s">
        <v>37</v>
      </c>
      <c r="D23" s="25">
        <f t="shared" si="4"/>
        <v>0</v>
      </c>
      <c r="E23" s="14">
        <f t="shared" si="4"/>
        <v>0</v>
      </c>
      <c r="F23" s="25">
        <f t="shared" si="4"/>
        <v>0</v>
      </c>
      <c r="G23" s="14"/>
      <c r="H23" s="14"/>
      <c r="I23" s="52"/>
      <c r="J23" s="37"/>
      <c r="K23" s="52"/>
      <c r="L23" s="29">
        <f t="shared" si="1"/>
        <v>0</v>
      </c>
    </row>
    <row r="24" spans="1:12" ht="20.25" customHeight="1" x14ac:dyDescent="0.25">
      <c r="A24" s="97" t="s">
        <v>76</v>
      </c>
      <c r="B24" s="102" t="s">
        <v>162</v>
      </c>
      <c r="C24" s="12" t="s">
        <v>31</v>
      </c>
      <c r="D24" s="25">
        <f>D31+D38+D45+D52+D59+D66+D80+D73</f>
        <v>71010.850000000006</v>
      </c>
      <c r="E24" s="25">
        <f t="shared" ref="E24:K24" si="5">E31+E38+E45+E52+E59+E66+E80+E73</f>
        <v>73525.749999999985</v>
      </c>
      <c r="F24" s="25">
        <f t="shared" si="5"/>
        <v>80970.049999999988</v>
      </c>
      <c r="G24" s="25">
        <f t="shared" si="5"/>
        <v>81609.95</v>
      </c>
      <c r="H24" s="25">
        <f t="shared" si="5"/>
        <v>92905.364000000001</v>
      </c>
      <c r="I24" s="25">
        <f t="shared" si="5"/>
        <v>97893.7</v>
      </c>
      <c r="J24" s="25">
        <f t="shared" si="5"/>
        <v>98627.599999999991</v>
      </c>
      <c r="K24" s="25">
        <f t="shared" si="5"/>
        <v>48100.200000000004</v>
      </c>
      <c r="L24" s="29">
        <f t="shared" si="1"/>
        <v>644643.46399999992</v>
      </c>
    </row>
    <row r="25" spans="1:12" ht="36" customHeight="1" x14ac:dyDescent="0.25">
      <c r="A25" s="97"/>
      <c r="B25" s="102"/>
      <c r="C25" s="13" t="s">
        <v>32</v>
      </c>
      <c r="D25" s="25">
        <f t="shared" ref="D25:H30" si="6">D32+D39+D46+D53+D60+D67+D81+D74</f>
        <v>0</v>
      </c>
      <c r="E25" s="14">
        <f t="shared" ref="E25:K30" si="7">E32+E39+E46+E53+E60+E67</f>
        <v>0</v>
      </c>
      <c r="F25" s="25">
        <f t="shared" si="7"/>
        <v>0</v>
      </c>
      <c r="G25" s="14">
        <f t="shared" si="7"/>
        <v>0</v>
      </c>
      <c r="H25" s="14">
        <f t="shared" si="7"/>
        <v>0</v>
      </c>
      <c r="I25" s="41">
        <f t="shared" si="7"/>
        <v>0</v>
      </c>
      <c r="J25" s="41">
        <f t="shared" si="7"/>
        <v>0</v>
      </c>
      <c r="K25" s="68">
        <f t="shared" si="7"/>
        <v>0</v>
      </c>
      <c r="L25" s="29">
        <f t="shared" si="1"/>
        <v>0</v>
      </c>
    </row>
    <row r="26" spans="1:12" ht="35.25" customHeight="1" x14ac:dyDescent="0.25">
      <c r="A26" s="97"/>
      <c r="B26" s="102"/>
      <c r="C26" s="13" t="s">
        <v>33</v>
      </c>
      <c r="D26" s="25">
        <f t="shared" si="6"/>
        <v>41344</v>
      </c>
      <c r="E26" s="25">
        <f t="shared" si="6"/>
        <v>40862.199999999997</v>
      </c>
      <c r="F26" s="25">
        <f t="shared" si="6"/>
        <v>50383.9</v>
      </c>
      <c r="G26" s="25">
        <f t="shared" si="6"/>
        <v>51629</v>
      </c>
      <c r="H26" s="25">
        <f t="shared" si="6"/>
        <v>55837.224000000002</v>
      </c>
      <c r="I26" s="25">
        <f t="shared" ref="I26:K27" si="8">I33+I40+I47+I54+I61+I68+I82+I75</f>
        <v>52221</v>
      </c>
      <c r="J26" s="25">
        <f t="shared" si="8"/>
        <v>52221</v>
      </c>
      <c r="K26" s="25">
        <f t="shared" si="8"/>
        <v>0</v>
      </c>
      <c r="L26" s="29">
        <f t="shared" si="1"/>
        <v>344498.32400000002</v>
      </c>
    </row>
    <row r="27" spans="1:12" ht="28.5" customHeight="1" x14ac:dyDescent="0.25">
      <c r="A27" s="97"/>
      <c r="B27" s="102"/>
      <c r="C27" s="12" t="s">
        <v>34</v>
      </c>
      <c r="D27" s="25">
        <f t="shared" si="6"/>
        <v>29666.85</v>
      </c>
      <c r="E27" s="25">
        <f t="shared" si="6"/>
        <v>32663.55</v>
      </c>
      <c r="F27" s="25">
        <f t="shared" si="6"/>
        <v>30586.149999999998</v>
      </c>
      <c r="G27" s="25">
        <f t="shared" si="6"/>
        <v>29980.95</v>
      </c>
      <c r="H27" s="25">
        <f t="shared" si="6"/>
        <v>37068.14</v>
      </c>
      <c r="I27" s="25">
        <f t="shared" si="8"/>
        <v>45672.7</v>
      </c>
      <c r="J27" s="25">
        <f t="shared" si="8"/>
        <v>46406.6</v>
      </c>
      <c r="K27" s="25">
        <f t="shared" si="8"/>
        <v>48100.200000000004</v>
      </c>
      <c r="L27" s="29">
        <f t="shared" si="1"/>
        <v>300145.13999999996</v>
      </c>
    </row>
    <row r="28" spans="1:12" ht="37.5" customHeight="1" x14ac:dyDescent="0.25">
      <c r="A28" s="97"/>
      <c r="B28" s="102"/>
      <c r="C28" s="13" t="s">
        <v>35</v>
      </c>
      <c r="D28" s="25">
        <f t="shared" si="6"/>
        <v>0</v>
      </c>
      <c r="E28" s="14">
        <f t="shared" si="7"/>
        <v>0</v>
      </c>
      <c r="F28" s="25">
        <f t="shared" si="7"/>
        <v>0</v>
      </c>
      <c r="G28" s="14">
        <f t="shared" si="7"/>
        <v>0</v>
      </c>
      <c r="H28" s="14">
        <f t="shared" si="7"/>
        <v>0</v>
      </c>
      <c r="I28" s="41">
        <f t="shared" si="7"/>
        <v>0</v>
      </c>
      <c r="J28" s="41">
        <f t="shared" si="7"/>
        <v>0</v>
      </c>
      <c r="K28" s="68">
        <f t="shared" si="7"/>
        <v>0</v>
      </c>
      <c r="L28" s="29">
        <f t="shared" si="1"/>
        <v>0</v>
      </c>
    </row>
    <row r="29" spans="1:12" ht="32.25" customHeight="1" x14ac:dyDescent="0.25">
      <c r="A29" s="97"/>
      <c r="B29" s="102"/>
      <c r="C29" s="13" t="s">
        <v>36</v>
      </c>
      <c r="D29" s="25">
        <f t="shared" si="6"/>
        <v>0</v>
      </c>
      <c r="E29" s="14">
        <f t="shared" si="7"/>
        <v>0</v>
      </c>
      <c r="F29" s="25">
        <f t="shared" si="7"/>
        <v>0</v>
      </c>
      <c r="G29" s="14">
        <f t="shared" si="7"/>
        <v>0</v>
      </c>
      <c r="H29" s="14">
        <f t="shared" si="7"/>
        <v>0</v>
      </c>
      <c r="I29" s="41">
        <f t="shared" si="7"/>
        <v>0</v>
      </c>
      <c r="J29" s="41">
        <f t="shared" si="7"/>
        <v>0</v>
      </c>
      <c r="K29" s="68">
        <f t="shared" si="7"/>
        <v>0</v>
      </c>
      <c r="L29" s="29">
        <f t="shared" si="1"/>
        <v>0</v>
      </c>
    </row>
    <row r="30" spans="1:12" ht="16.5" customHeight="1" x14ac:dyDescent="0.25">
      <c r="A30" s="97"/>
      <c r="B30" s="102"/>
      <c r="C30" s="12" t="s">
        <v>37</v>
      </c>
      <c r="D30" s="25">
        <f t="shared" si="6"/>
        <v>0</v>
      </c>
      <c r="E30" s="14">
        <f t="shared" si="7"/>
        <v>0</v>
      </c>
      <c r="F30" s="25">
        <f t="shared" si="7"/>
        <v>0</v>
      </c>
      <c r="G30" s="14">
        <f t="shared" si="7"/>
        <v>0</v>
      </c>
      <c r="H30" s="14">
        <f t="shared" si="7"/>
        <v>0</v>
      </c>
      <c r="I30" s="41">
        <f t="shared" si="7"/>
        <v>0</v>
      </c>
      <c r="J30" s="41">
        <f t="shared" si="7"/>
        <v>0</v>
      </c>
      <c r="K30" s="68">
        <f t="shared" si="7"/>
        <v>0</v>
      </c>
      <c r="L30" s="29">
        <f t="shared" si="1"/>
        <v>0</v>
      </c>
    </row>
    <row r="31" spans="1:12" ht="20.25" customHeight="1" x14ac:dyDescent="0.25">
      <c r="A31" s="111" t="s">
        <v>17</v>
      </c>
      <c r="B31" s="102" t="s">
        <v>54</v>
      </c>
      <c r="C31" s="12" t="s">
        <v>31</v>
      </c>
      <c r="D31" s="25">
        <f>D32+D33+D34+D35+D36+D37</f>
        <v>4.3</v>
      </c>
      <c r="E31" s="14">
        <f t="shared" ref="E31:K31" si="9">E32+E33+E34+E35+E36+E37</f>
        <v>11.5</v>
      </c>
      <c r="F31" s="25">
        <f t="shared" si="9"/>
        <v>0</v>
      </c>
      <c r="G31" s="14">
        <f t="shared" si="9"/>
        <v>0</v>
      </c>
      <c r="H31" s="14">
        <f t="shared" si="9"/>
        <v>0</v>
      </c>
      <c r="I31" s="41">
        <f t="shared" si="9"/>
        <v>915</v>
      </c>
      <c r="J31" s="41">
        <f t="shared" si="9"/>
        <v>955.3</v>
      </c>
      <c r="K31" s="68">
        <f t="shared" si="9"/>
        <v>999.2</v>
      </c>
      <c r="L31" s="29">
        <f t="shared" si="1"/>
        <v>2885.3</v>
      </c>
    </row>
    <row r="32" spans="1:12" ht="28.5" customHeight="1" x14ac:dyDescent="0.25">
      <c r="A32" s="111"/>
      <c r="B32" s="102"/>
      <c r="C32" s="13" t="s">
        <v>32</v>
      </c>
      <c r="D32" s="25"/>
      <c r="E32" s="14"/>
      <c r="F32" s="25"/>
      <c r="G32" s="14"/>
      <c r="H32" s="14"/>
      <c r="I32" s="52"/>
      <c r="J32" s="37"/>
      <c r="K32" s="52"/>
      <c r="L32" s="29">
        <f t="shared" si="1"/>
        <v>0</v>
      </c>
    </row>
    <row r="33" spans="1:12" ht="33.75" customHeight="1" x14ac:dyDescent="0.25">
      <c r="A33" s="111"/>
      <c r="B33" s="102"/>
      <c r="C33" s="13" t="s">
        <v>33</v>
      </c>
      <c r="D33" s="25"/>
      <c r="E33" s="14"/>
      <c r="F33" s="25"/>
      <c r="G33" s="14"/>
      <c r="H33" s="14"/>
      <c r="I33" s="52"/>
      <c r="J33" s="37"/>
      <c r="K33" s="52"/>
      <c r="L33" s="29">
        <f t="shared" si="1"/>
        <v>0</v>
      </c>
    </row>
    <row r="34" spans="1:12" ht="15.75" x14ac:dyDescent="0.25">
      <c r="A34" s="111"/>
      <c r="B34" s="102"/>
      <c r="C34" s="12" t="s">
        <v>34</v>
      </c>
      <c r="D34" s="25">
        <v>4.3</v>
      </c>
      <c r="E34" s="14">
        <v>11.5</v>
      </c>
      <c r="F34" s="25"/>
      <c r="G34" s="14"/>
      <c r="H34" s="14"/>
      <c r="I34" s="52">
        <v>915</v>
      </c>
      <c r="J34" s="37">
        <v>955.3</v>
      </c>
      <c r="K34" s="52">
        <v>999.2</v>
      </c>
      <c r="L34" s="29">
        <f t="shared" si="1"/>
        <v>2885.3</v>
      </c>
    </row>
    <row r="35" spans="1:12" ht="35.25" customHeight="1" x14ac:dyDescent="0.25">
      <c r="A35" s="111"/>
      <c r="B35" s="102"/>
      <c r="C35" s="13" t="s">
        <v>35</v>
      </c>
      <c r="D35" s="25"/>
      <c r="E35" s="14"/>
      <c r="F35" s="25"/>
      <c r="G35" s="14"/>
      <c r="H35" s="14"/>
      <c r="I35" s="52"/>
      <c r="J35" s="37"/>
      <c r="K35" s="52"/>
      <c r="L35" s="29">
        <f t="shared" si="1"/>
        <v>0</v>
      </c>
    </row>
    <row r="36" spans="1:12" ht="33.75" customHeight="1" x14ac:dyDescent="0.25">
      <c r="A36" s="111"/>
      <c r="B36" s="102"/>
      <c r="C36" s="13" t="s">
        <v>36</v>
      </c>
      <c r="D36" s="25"/>
      <c r="E36" s="14"/>
      <c r="F36" s="25"/>
      <c r="G36" s="14"/>
      <c r="H36" s="14"/>
      <c r="I36" s="52"/>
      <c r="J36" s="37"/>
      <c r="K36" s="52"/>
      <c r="L36" s="29">
        <f t="shared" si="1"/>
        <v>0</v>
      </c>
    </row>
    <row r="37" spans="1:12" ht="15.75" x14ac:dyDescent="0.25">
      <c r="A37" s="111"/>
      <c r="B37" s="102"/>
      <c r="C37" s="12" t="s">
        <v>37</v>
      </c>
      <c r="D37" s="25"/>
      <c r="E37" s="14"/>
      <c r="F37" s="25"/>
      <c r="G37" s="14"/>
      <c r="H37" s="14"/>
      <c r="I37" s="52"/>
      <c r="J37" s="37"/>
      <c r="K37" s="52"/>
      <c r="L37" s="29">
        <f t="shared" si="1"/>
        <v>0</v>
      </c>
    </row>
    <row r="38" spans="1:12" ht="21" customHeight="1" x14ac:dyDescent="0.25">
      <c r="A38" s="111" t="s">
        <v>14</v>
      </c>
      <c r="B38" s="102" t="s">
        <v>15</v>
      </c>
      <c r="C38" s="12" t="s">
        <v>31</v>
      </c>
      <c r="D38" s="25">
        <f>D39+D40+D41+D42+D43+D44</f>
        <v>75.2</v>
      </c>
      <c r="E38" s="14">
        <f t="shared" ref="E38" si="10">E39+E40+E41+E42+E43+E44</f>
        <v>139.15</v>
      </c>
      <c r="F38" s="25">
        <f t="shared" ref="F38:K38" si="11">F39+F40+F41+F42+F43+F44</f>
        <v>106.9</v>
      </c>
      <c r="G38" s="14">
        <f t="shared" si="11"/>
        <v>132.70000000000002</v>
      </c>
      <c r="H38" s="14">
        <f t="shared" si="11"/>
        <v>128.69999999999999</v>
      </c>
      <c r="I38" s="41">
        <f t="shared" si="11"/>
        <v>128.69999999999999</v>
      </c>
      <c r="J38" s="41">
        <f t="shared" si="11"/>
        <v>134.4</v>
      </c>
      <c r="K38" s="68">
        <f t="shared" si="11"/>
        <v>140.6</v>
      </c>
      <c r="L38" s="29">
        <f t="shared" si="1"/>
        <v>986.35000000000014</v>
      </c>
    </row>
    <row r="39" spans="1:12" ht="30" customHeight="1" x14ac:dyDescent="0.25">
      <c r="A39" s="111"/>
      <c r="B39" s="102"/>
      <c r="C39" s="13" t="s">
        <v>32</v>
      </c>
      <c r="D39" s="25"/>
      <c r="E39" s="14"/>
      <c r="F39" s="25"/>
      <c r="G39" s="14"/>
      <c r="H39" s="14"/>
      <c r="I39" s="52"/>
      <c r="J39" s="37"/>
      <c r="K39" s="52"/>
      <c r="L39" s="29">
        <f t="shared" si="1"/>
        <v>0</v>
      </c>
    </row>
    <row r="40" spans="1:12" ht="30" customHeight="1" x14ac:dyDescent="0.25">
      <c r="A40" s="111"/>
      <c r="B40" s="102"/>
      <c r="C40" s="13" t="s">
        <v>33</v>
      </c>
      <c r="D40" s="25"/>
      <c r="E40" s="14"/>
      <c r="F40" s="25"/>
      <c r="G40" s="14"/>
      <c r="H40" s="14"/>
      <c r="I40" s="52"/>
      <c r="J40" s="37"/>
      <c r="K40" s="52"/>
      <c r="L40" s="29">
        <f t="shared" si="1"/>
        <v>0</v>
      </c>
    </row>
    <row r="41" spans="1:12" ht="18.75" customHeight="1" x14ac:dyDescent="0.25">
      <c r="A41" s="111"/>
      <c r="B41" s="102"/>
      <c r="C41" s="12" t="s">
        <v>34</v>
      </c>
      <c r="D41" s="25">
        <v>75.2</v>
      </c>
      <c r="E41" s="14">
        <f>120+19.15</f>
        <v>139.15</v>
      </c>
      <c r="F41" s="25">
        <f>174-67.1</f>
        <v>106.9</v>
      </c>
      <c r="G41" s="14">
        <f>106.9+25.8</f>
        <v>132.70000000000002</v>
      </c>
      <c r="H41" s="14">
        <v>128.69999999999999</v>
      </c>
      <c r="I41" s="52">
        <v>128.69999999999999</v>
      </c>
      <c r="J41" s="37">
        <v>134.4</v>
      </c>
      <c r="K41" s="52">
        <v>140.6</v>
      </c>
      <c r="L41" s="29">
        <f t="shared" si="1"/>
        <v>986.35000000000014</v>
      </c>
    </row>
    <row r="42" spans="1:12" ht="30" customHeight="1" x14ac:dyDescent="0.25">
      <c r="A42" s="111"/>
      <c r="B42" s="102"/>
      <c r="C42" s="13" t="s">
        <v>35</v>
      </c>
      <c r="D42" s="25"/>
      <c r="E42" s="14"/>
      <c r="F42" s="25"/>
      <c r="G42" s="14"/>
      <c r="H42" s="14"/>
      <c r="I42" s="52"/>
      <c r="J42" s="37"/>
      <c r="K42" s="52"/>
      <c r="L42" s="29">
        <f t="shared" si="1"/>
        <v>0</v>
      </c>
    </row>
    <row r="43" spans="1:12" ht="30" customHeight="1" x14ac:dyDescent="0.25">
      <c r="A43" s="111"/>
      <c r="B43" s="102"/>
      <c r="C43" s="13" t="s">
        <v>36</v>
      </c>
      <c r="D43" s="25"/>
      <c r="E43" s="14"/>
      <c r="F43" s="25"/>
      <c r="G43" s="14"/>
      <c r="H43" s="14"/>
      <c r="I43" s="52"/>
      <c r="J43" s="37"/>
      <c r="K43" s="52"/>
      <c r="L43" s="29">
        <f t="shared" si="1"/>
        <v>0</v>
      </c>
    </row>
    <row r="44" spans="1:12" ht="20.25" customHeight="1" x14ac:dyDescent="0.25">
      <c r="A44" s="111"/>
      <c r="B44" s="102"/>
      <c r="C44" s="12" t="s">
        <v>37</v>
      </c>
      <c r="D44" s="25"/>
      <c r="E44" s="14"/>
      <c r="F44" s="25"/>
      <c r="G44" s="14"/>
      <c r="H44" s="14"/>
      <c r="I44" s="52"/>
      <c r="J44" s="37"/>
      <c r="K44" s="52"/>
      <c r="L44" s="29">
        <f t="shared" si="1"/>
        <v>0</v>
      </c>
    </row>
    <row r="45" spans="1:12" ht="24.75" customHeight="1" x14ac:dyDescent="0.25">
      <c r="A45" s="111" t="s">
        <v>41</v>
      </c>
      <c r="B45" s="102" t="s">
        <v>59</v>
      </c>
      <c r="C45" s="12" t="s">
        <v>31</v>
      </c>
      <c r="D45" s="25">
        <f>D46+D47+D48+D49+D50+D51</f>
        <v>0</v>
      </c>
      <c r="E45" s="14">
        <f t="shared" ref="E45" si="12">E46+E47+E48+E49+E50+E51</f>
        <v>0</v>
      </c>
      <c r="F45" s="25">
        <f t="shared" ref="F45:K45" si="13">F46+F47+F48+F49+F50+F51</f>
        <v>0</v>
      </c>
      <c r="G45" s="14">
        <f t="shared" si="13"/>
        <v>0</v>
      </c>
      <c r="H45" s="14">
        <f t="shared" si="13"/>
        <v>0</v>
      </c>
      <c r="I45" s="41">
        <f t="shared" si="13"/>
        <v>0</v>
      </c>
      <c r="J45" s="41">
        <f t="shared" si="13"/>
        <v>0</v>
      </c>
      <c r="K45" s="68">
        <f t="shared" si="13"/>
        <v>0</v>
      </c>
      <c r="L45" s="29">
        <f t="shared" si="1"/>
        <v>0</v>
      </c>
    </row>
    <row r="46" spans="1:12" ht="32.25" customHeight="1" x14ac:dyDescent="0.25">
      <c r="A46" s="111"/>
      <c r="B46" s="102"/>
      <c r="C46" s="13" t="s">
        <v>32</v>
      </c>
      <c r="D46" s="25"/>
      <c r="E46" s="14"/>
      <c r="F46" s="25"/>
      <c r="G46" s="14"/>
      <c r="H46" s="14"/>
      <c r="I46" s="52"/>
      <c r="J46" s="37"/>
      <c r="K46" s="52"/>
      <c r="L46" s="29">
        <f t="shared" si="1"/>
        <v>0</v>
      </c>
    </row>
    <row r="47" spans="1:12" ht="33.75" customHeight="1" x14ac:dyDescent="0.25">
      <c r="A47" s="111"/>
      <c r="B47" s="102"/>
      <c r="C47" s="13" t="s">
        <v>33</v>
      </c>
      <c r="D47" s="25"/>
      <c r="E47" s="14"/>
      <c r="F47" s="25"/>
      <c r="G47" s="14"/>
      <c r="H47" s="14"/>
      <c r="I47" s="52"/>
      <c r="J47" s="37"/>
      <c r="K47" s="52"/>
      <c r="L47" s="29">
        <f t="shared" si="1"/>
        <v>0</v>
      </c>
    </row>
    <row r="48" spans="1:12" ht="15.75" x14ac:dyDescent="0.25">
      <c r="A48" s="111"/>
      <c r="B48" s="102"/>
      <c r="C48" s="12" t="s">
        <v>34</v>
      </c>
      <c r="D48" s="25"/>
      <c r="E48" s="14"/>
      <c r="F48" s="25"/>
      <c r="G48" s="14"/>
      <c r="H48" s="14"/>
      <c r="I48" s="52"/>
      <c r="J48" s="37"/>
      <c r="K48" s="52"/>
      <c r="L48" s="29">
        <f t="shared" si="1"/>
        <v>0</v>
      </c>
    </row>
    <row r="49" spans="1:12" ht="33.75" customHeight="1" x14ac:dyDescent="0.25">
      <c r="A49" s="111"/>
      <c r="B49" s="102"/>
      <c r="C49" s="13" t="s">
        <v>35</v>
      </c>
      <c r="D49" s="25"/>
      <c r="E49" s="14"/>
      <c r="F49" s="25"/>
      <c r="G49" s="14"/>
      <c r="H49" s="14"/>
      <c r="I49" s="52"/>
      <c r="J49" s="37"/>
      <c r="K49" s="52"/>
      <c r="L49" s="29">
        <f t="shared" si="1"/>
        <v>0</v>
      </c>
    </row>
    <row r="50" spans="1:12" ht="27.75" customHeight="1" x14ac:dyDescent="0.25">
      <c r="A50" s="111"/>
      <c r="B50" s="102"/>
      <c r="C50" s="13" t="s">
        <v>36</v>
      </c>
      <c r="D50" s="25"/>
      <c r="E50" s="14"/>
      <c r="F50" s="25"/>
      <c r="G50" s="14"/>
      <c r="H50" s="14"/>
      <c r="I50" s="52"/>
      <c r="J50" s="37"/>
      <c r="K50" s="52"/>
      <c r="L50" s="29">
        <f t="shared" si="1"/>
        <v>0</v>
      </c>
    </row>
    <row r="51" spans="1:12" ht="18.75" customHeight="1" x14ac:dyDescent="0.25">
      <c r="A51" s="111"/>
      <c r="B51" s="102"/>
      <c r="C51" s="12" t="s">
        <v>37</v>
      </c>
      <c r="D51" s="25"/>
      <c r="E51" s="14"/>
      <c r="F51" s="25"/>
      <c r="G51" s="14"/>
      <c r="H51" s="14"/>
      <c r="I51" s="52"/>
      <c r="J51" s="37"/>
      <c r="K51" s="52"/>
      <c r="L51" s="29">
        <f t="shared" si="1"/>
        <v>0</v>
      </c>
    </row>
    <row r="52" spans="1:12" ht="18.75" customHeight="1" x14ac:dyDescent="0.25">
      <c r="A52" s="111" t="s">
        <v>43</v>
      </c>
      <c r="B52" s="102" t="s">
        <v>12</v>
      </c>
      <c r="C52" s="12" t="s">
        <v>31</v>
      </c>
      <c r="D52" s="25">
        <f>D53+D54+D55+D56+D57+D58</f>
        <v>0</v>
      </c>
      <c r="E52" s="14">
        <f t="shared" ref="E52" si="14">E53+E54+E55+E56+E57+E58</f>
        <v>280</v>
      </c>
      <c r="F52" s="25">
        <f t="shared" ref="F52:K52" si="15">F53+F54+F55+F56+F57+F58</f>
        <v>0</v>
      </c>
      <c r="G52" s="14">
        <f t="shared" si="15"/>
        <v>0</v>
      </c>
      <c r="H52" s="14">
        <f t="shared" si="15"/>
        <v>0</v>
      </c>
      <c r="I52" s="41">
        <f t="shared" si="15"/>
        <v>45</v>
      </c>
      <c r="J52" s="41">
        <f t="shared" si="15"/>
        <v>46.7</v>
      </c>
      <c r="K52" s="68">
        <f t="shared" si="15"/>
        <v>246.5</v>
      </c>
      <c r="L52" s="29">
        <f t="shared" si="1"/>
        <v>618.20000000000005</v>
      </c>
    </row>
    <row r="53" spans="1:12" ht="33.75" customHeight="1" x14ac:dyDescent="0.25">
      <c r="A53" s="111"/>
      <c r="B53" s="102"/>
      <c r="C53" s="13" t="s">
        <v>32</v>
      </c>
      <c r="D53" s="25"/>
      <c r="E53" s="14"/>
      <c r="F53" s="25"/>
      <c r="G53" s="14"/>
      <c r="H53" s="14"/>
      <c r="I53" s="52"/>
      <c r="J53" s="37"/>
      <c r="K53" s="52"/>
      <c r="L53" s="29">
        <f t="shared" si="1"/>
        <v>0</v>
      </c>
    </row>
    <row r="54" spans="1:12" ht="35.25" customHeight="1" x14ac:dyDescent="0.25">
      <c r="A54" s="111"/>
      <c r="B54" s="102"/>
      <c r="C54" s="13" t="s">
        <v>33</v>
      </c>
      <c r="D54" s="25"/>
      <c r="E54" s="14"/>
      <c r="F54" s="25"/>
      <c r="G54" s="14"/>
      <c r="H54" s="14"/>
      <c r="I54" s="52"/>
      <c r="J54" s="37"/>
      <c r="K54" s="52"/>
      <c r="L54" s="29">
        <f t="shared" si="1"/>
        <v>0</v>
      </c>
    </row>
    <row r="55" spans="1:12" ht="15.75" x14ac:dyDescent="0.25">
      <c r="A55" s="111"/>
      <c r="B55" s="102"/>
      <c r="C55" s="12" t="s">
        <v>34</v>
      </c>
      <c r="D55" s="25"/>
      <c r="E55" s="14">
        <v>280</v>
      </c>
      <c r="F55" s="25"/>
      <c r="G55" s="14"/>
      <c r="H55" s="14"/>
      <c r="I55" s="62">
        <v>45</v>
      </c>
      <c r="J55" s="37">
        <v>46.7</v>
      </c>
      <c r="K55" s="52">
        <v>246.5</v>
      </c>
      <c r="L55" s="29">
        <f t="shared" si="1"/>
        <v>618.20000000000005</v>
      </c>
    </row>
    <row r="56" spans="1:12" ht="32.25" customHeight="1" x14ac:dyDescent="0.25">
      <c r="A56" s="111"/>
      <c r="B56" s="102"/>
      <c r="C56" s="13" t="s">
        <v>35</v>
      </c>
      <c r="D56" s="25"/>
      <c r="E56" s="14"/>
      <c r="F56" s="25"/>
      <c r="G56" s="14"/>
      <c r="H56" s="14"/>
      <c r="I56" s="52"/>
      <c r="J56" s="37"/>
      <c r="K56" s="52"/>
      <c r="L56" s="29">
        <f t="shared" si="1"/>
        <v>0</v>
      </c>
    </row>
    <row r="57" spans="1:12" ht="26.25" customHeight="1" x14ac:dyDescent="0.25">
      <c r="A57" s="111"/>
      <c r="B57" s="102"/>
      <c r="C57" s="13" t="s">
        <v>36</v>
      </c>
      <c r="D57" s="25"/>
      <c r="E57" s="14"/>
      <c r="F57" s="25"/>
      <c r="G57" s="14"/>
      <c r="H57" s="14"/>
      <c r="I57" s="52"/>
      <c r="J57" s="37"/>
      <c r="K57" s="52"/>
      <c r="L57" s="29">
        <f t="shared" si="1"/>
        <v>0</v>
      </c>
    </row>
    <row r="58" spans="1:12" ht="15.75" x14ac:dyDescent="0.25">
      <c r="A58" s="111"/>
      <c r="B58" s="102"/>
      <c r="C58" s="12" t="s">
        <v>37</v>
      </c>
      <c r="D58" s="25"/>
      <c r="E58" s="14"/>
      <c r="F58" s="25"/>
      <c r="G58" s="14"/>
      <c r="H58" s="14"/>
      <c r="I58" s="52"/>
      <c r="J58" s="37"/>
      <c r="K58" s="52"/>
      <c r="L58" s="29">
        <f t="shared" si="1"/>
        <v>0</v>
      </c>
    </row>
    <row r="59" spans="1:12" ht="22.5" customHeight="1" x14ac:dyDescent="0.25">
      <c r="A59" s="111" t="s">
        <v>44</v>
      </c>
      <c r="B59" s="102" t="s">
        <v>13</v>
      </c>
      <c r="C59" s="12" t="s">
        <v>31</v>
      </c>
      <c r="D59" s="25">
        <f>D60+D61+D62+D63+D64+D65</f>
        <v>600</v>
      </c>
      <c r="E59" s="14">
        <f t="shared" ref="E59" si="16">E60+E61+E62+E63+E64+E65</f>
        <v>0</v>
      </c>
      <c r="F59" s="25">
        <f t="shared" ref="F59:H59" si="17">F60+F61+F62+F63+F64+F65</f>
        <v>0</v>
      </c>
      <c r="G59" s="14">
        <f t="shared" si="17"/>
        <v>0</v>
      </c>
      <c r="H59" s="14">
        <f t="shared" si="17"/>
        <v>1552.2239999999999</v>
      </c>
      <c r="I59" s="41">
        <f>I60+I61+I62+I63+I64+I65</f>
        <v>2388.8000000000002</v>
      </c>
      <c r="J59" s="41">
        <f>J60+J61+J62+J63+J64+J65</f>
        <v>2500</v>
      </c>
      <c r="K59" s="68">
        <f>K60+K61+K62+K63+K64+K65</f>
        <v>3000</v>
      </c>
      <c r="L59" s="29">
        <f t="shared" si="1"/>
        <v>10041.024000000001</v>
      </c>
    </row>
    <row r="60" spans="1:12" ht="33" customHeight="1" x14ac:dyDescent="0.25">
      <c r="A60" s="111"/>
      <c r="B60" s="102"/>
      <c r="C60" s="13" t="s">
        <v>32</v>
      </c>
      <c r="D60" s="25"/>
      <c r="E60" s="14"/>
      <c r="F60" s="25"/>
      <c r="G60" s="14"/>
      <c r="H60" s="14"/>
      <c r="I60" s="52"/>
      <c r="J60" s="37"/>
      <c r="K60" s="52"/>
      <c r="L60" s="29">
        <f t="shared" si="1"/>
        <v>0</v>
      </c>
    </row>
    <row r="61" spans="1:12" ht="27" customHeight="1" x14ac:dyDescent="0.25">
      <c r="A61" s="111"/>
      <c r="B61" s="102"/>
      <c r="C61" s="13" t="s">
        <v>33</v>
      </c>
      <c r="D61" s="25">
        <v>420</v>
      </c>
      <c r="E61" s="14"/>
      <c r="F61" s="25"/>
      <c r="G61" s="14"/>
      <c r="H61" s="14">
        <v>1228.2239999999999</v>
      </c>
      <c r="I61" s="52"/>
      <c r="J61" s="37"/>
      <c r="K61" s="52"/>
      <c r="L61" s="29">
        <f t="shared" si="1"/>
        <v>1648.2239999999999</v>
      </c>
    </row>
    <row r="62" spans="1:12" ht="15.75" x14ac:dyDescent="0.25">
      <c r="A62" s="111"/>
      <c r="B62" s="102"/>
      <c r="C62" s="12" t="s">
        <v>34</v>
      </c>
      <c r="D62" s="25">
        <v>180</v>
      </c>
      <c r="E62" s="14"/>
      <c r="F62" s="25"/>
      <c r="G62" s="14"/>
      <c r="H62" s="14">
        <v>324</v>
      </c>
      <c r="I62" s="37">
        <v>2388.8000000000002</v>
      </c>
      <c r="J62" s="37">
        <v>2500</v>
      </c>
      <c r="K62" s="52">
        <v>3000</v>
      </c>
      <c r="L62" s="29">
        <f t="shared" si="1"/>
        <v>8392.7999999999993</v>
      </c>
    </row>
    <row r="63" spans="1:12" ht="30.75" customHeight="1" x14ac:dyDescent="0.25">
      <c r="A63" s="111"/>
      <c r="B63" s="102"/>
      <c r="C63" s="13" t="s">
        <v>35</v>
      </c>
      <c r="D63" s="25"/>
      <c r="E63" s="14"/>
      <c r="F63" s="25"/>
      <c r="G63" s="14"/>
      <c r="H63" s="14"/>
      <c r="I63" s="52"/>
      <c r="J63" s="37"/>
      <c r="K63" s="52"/>
      <c r="L63" s="29">
        <f t="shared" si="1"/>
        <v>0</v>
      </c>
    </row>
    <row r="64" spans="1:12" ht="30.75" customHeight="1" x14ac:dyDescent="0.25">
      <c r="A64" s="111"/>
      <c r="B64" s="102"/>
      <c r="C64" s="13" t="s">
        <v>36</v>
      </c>
      <c r="D64" s="25"/>
      <c r="E64" s="14"/>
      <c r="F64" s="25"/>
      <c r="G64" s="14"/>
      <c r="H64" s="14"/>
      <c r="I64" s="52"/>
      <c r="J64" s="37"/>
      <c r="K64" s="52"/>
      <c r="L64" s="29">
        <f t="shared" si="1"/>
        <v>0</v>
      </c>
    </row>
    <row r="65" spans="1:12" ht="18.75" customHeight="1" x14ac:dyDescent="0.25">
      <c r="A65" s="111"/>
      <c r="B65" s="102"/>
      <c r="C65" s="12" t="s">
        <v>37</v>
      </c>
      <c r="D65" s="25"/>
      <c r="E65" s="14"/>
      <c r="F65" s="25"/>
      <c r="G65" s="14"/>
      <c r="H65" s="14"/>
      <c r="I65" s="52"/>
      <c r="J65" s="37"/>
      <c r="K65" s="52"/>
      <c r="L65" s="29">
        <f t="shared" si="1"/>
        <v>0</v>
      </c>
    </row>
    <row r="66" spans="1:12" ht="25.5" customHeight="1" x14ac:dyDescent="0.25">
      <c r="A66" s="111" t="s">
        <v>45</v>
      </c>
      <c r="B66" s="102" t="s">
        <v>81</v>
      </c>
      <c r="C66" s="12" t="s">
        <v>31</v>
      </c>
      <c r="D66" s="25">
        <f>D67+D68+D69+D70+D71+D72</f>
        <v>68350.350000000006</v>
      </c>
      <c r="E66" s="14">
        <f t="shared" ref="E66:K66" si="18">E67+E68+E69+E70+E71+E72</f>
        <v>70706.099999999991</v>
      </c>
      <c r="F66" s="25">
        <f t="shared" si="18"/>
        <v>77476.149999999994</v>
      </c>
      <c r="G66" s="14">
        <f t="shared" si="18"/>
        <v>78091.149999999994</v>
      </c>
      <c r="H66" s="14">
        <f t="shared" si="18"/>
        <v>87844.44</v>
      </c>
      <c r="I66" s="41">
        <f t="shared" si="18"/>
        <v>90716.2</v>
      </c>
      <c r="J66" s="41">
        <f t="shared" si="18"/>
        <v>91611.199999999997</v>
      </c>
      <c r="K66" s="68">
        <f t="shared" si="18"/>
        <v>43713.9</v>
      </c>
      <c r="L66" s="29">
        <f t="shared" si="1"/>
        <v>608509.49</v>
      </c>
    </row>
    <row r="67" spans="1:12" ht="33.75" customHeight="1" x14ac:dyDescent="0.25">
      <c r="A67" s="111"/>
      <c r="B67" s="102"/>
      <c r="C67" s="13" t="s">
        <v>32</v>
      </c>
      <c r="D67" s="25"/>
      <c r="E67" s="14"/>
      <c r="F67" s="25"/>
      <c r="G67" s="14"/>
      <c r="H67" s="14"/>
      <c r="I67" s="52"/>
      <c r="J67" s="37"/>
      <c r="K67" s="52"/>
      <c r="L67" s="29">
        <f t="shared" si="1"/>
        <v>0</v>
      </c>
    </row>
    <row r="68" spans="1:12" ht="35.25" customHeight="1" x14ac:dyDescent="0.25">
      <c r="A68" s="111"/>
      <c r="B68" s="102"/>
      <c r="C68" s="13" t="s">
        <v>33</v>
      </c>
      <c r="D68" s="25">
        <v>38943</v>
      </c>
      <c r="E68" s="14">
        <f>36479+1994.2</f>
        <v>38473.199999999997</v>
      </c>
      <c r="F68" s="25">
        <f>44631+525+1840.9</f>
        <v>46996.9</v>
      </c>
      <c r="G68" s="25">
        <f>48326</f>
        <v>48326</v>
      </c>
      <c r="H68" s="25">
        <f>48841+2388</f>
        <v>51229</v>
      </c>
      <c r="I68" s="56">
        <v>48841</v>
      </c>
      <c r="J68" s="47">
        <v>48841</v>
      </c>
      <c r="K68" s="52"/>
      <c r="L68" s="29">
        <f t="shared" si="1"/>
        <v>321650.09999999998</v>
      </c>
    </row>
    <row r="69" spans="1:12" ht="15.75" x14ac:dyDescent="0.25">
      <c r="A69" s="111"/>
      <c r="B69" s="102"/>
      <c r="C69" s="12" t="s">
        <v>34</v>
      </c>
      <c r="D69" s="25">
        <v>29407.35</v>
      </c>
      <c r="E69" s="25">
        <f>30027.35-800.45-700+1066+2640</f>
        <v>32232.899999999998</v>
      </c>
      <c r="F69" s="25">
        <f>28921.26-1120.4+266.39+202+354+1757+99</f>
        <v>30479.249999999996</v>
      </c>
      <c r="G69" s="14">
        <f>28623.25-670+355.56+1280.64+175.7</f>
        <v>29765.15</v>
      </c>
      <c r="H69" s="14">
        <f>31168.7+1681.03+3765.71</f>
        <v>36615.440000000002</v>
      </c>
      <c r="I69" s="52">
        <v>41875.199999999997</v>
      </c>
      <c r="J69" s="37">
        <v>42770.2</v>
      </c>
      <c r="K69" s="52">
        <v>43713.9</v>
      </c>
      <c r="L69" s="29">
        <f t="shared" si="1"/>
        <v>286859.39</v>
      </c>
    </row>
    <row r="70" spans="1:12" ht="33" customHeight="1" x14ac:dyDescent="0.25">
      <c r="A70" s="111"/>
      <c r="B70" s="102"/>
      <c r="C70" s="13" t="s">
        <v>35</v>
      </c>
      <c r="D70" s="25"/>
      <c r="E70" s="14"/>
      <c r="F70" s="25"/>
      <c r="G70" s="14"/>
      <c r="H70" s="14"/>
      <c r="I70" s="52"/>
      <c r="J70" s="37"/>
      <c r="K70" s="52"/>
      <c r="L70" s="29">
        <f t="shared" si="1"/>
        <v>0</v>
      </c>
    </row>
    <row r="71" spans="1:12" ht="29.25" customHeight="1" x14ac:dyDescent="0.25">
      <c r="A71" s="111"/>
      <c r="B71" s="102"/>
      <c r="C71" s="13" t="s">
        <v>36</v>
      </c>
      <c r="D71" s="25"/>
      <c r="E71" s="14"/>
      <c r="F71" s="25"/>
      <c r="G71" s="14"/>
      <c r="H71" s="14"/>
      <c r="I71" s="52"/>
      <c r="J71" s="37"/>
      <c r="K71" s="52"/>
      <c r="L71" s="29">
        <f t="shared" si="1"/>
        <v>0</v>
      </c>
    </row>
    <row r="72" spans="1:12" ht="15.75" x14ac:dyDescent="0.25">
      <c r="A72" s="111"/>
      <c r="B72" s="102"/>
      <c r="C72" s="12" t="s">
        <v>37</v>
      </c>
      <c r="D72" s="25"/>
      <c r="E72" s="14"/>
      <c r="F72" s="25"/>
      <c r="G72" s="14"/>
      <c r="H72" s="14"/>
      <c r="I72" s="52"/>
      <c r="J72" s="37"/>
      <c r="K72" s="52"/>
      <c r="L72" s="29">
        <f t="shared" si="1"/>
        <v>0</v>
      </c>
    </row>
    <row r="73" spans="1:12" ht="14.25" customHeight="1" x14ac:dyDescent="0.25">
      <c r="A73" s="106" t="s">
        <v>102</v>
      </c>
      <c r="B73" s="93" t="s">
        <v>38</v>
      </c>
      <c r="C73" s="12" t="s">
        <v>31</v>
      </c>
      <c r="D73" s="25">
        <f>D74+D75+D76+D77+D78+D79</f>
        <v>1981</v>
      </c>
      <c r="E73" s="25">
        <f t="shared" ref="E73:K73" si="19">E74+E75+E76+E77+E78+E79</f>
        <v>2389</v>
      </c>
      <c r="F73" s="25">
        <f t="shared" si="19"/>
        <v>3387</v>
      </c>
      <c r="G73" s="25">
        <f t="shared" si="19"/>
        <v>3303</v>
      </c>
      <c r="H73" s="25">
        <f t="shared" si="19"/>
        <v>3380</v>
      </c>
      <c r="I73" s="25">
        <f t="shared" si="19"/>
        <v>3380</v>
      </c>
      <c r="J73" s="25">
        <f t="shared" si="19"/>
        <v>3380</v>
      </c>
      <c r="K73" s="25">
        <f t="shared" si="19"/>
        <v>0</v>
      </c>
      <c r="L73" s="29">
        <f t="shared" si="1"/>
        <v>21200</v>
      </c>
    </row>
    <row r="74" spans="1:12" ht="33.75" customHeight="1" x14ac:dyDescent="0.25">
      <c r="A74" s="107"/>
      <c r="B74" s="98"/>
      <c r="C74" s="13" t="s">
        <v>32</v>
      </c>
      <c r="D74" s="25"/>
      <c r="E74" s="39"/>
      <c r="F74" s="25"/>
      <c r="G74" s="25"/>
      <c r="H74" s="39"/>
      <c r="I74" s="52"/>
      <c r="J74" s="37"/>
      <c r="K74" s="52"/>
      <c r="L74" s="29">
        <f t="shared" si="1"/>
        <v>0</v>
      </c>
    </row>
    <row r="75" spans="1:12" ht="33.75" customHeight="1" x14ac:dyDescent="0.25">
      <c r="A75" s="107"/>
      <c r="B75" s="98"/>
      <c r="C75" s="13" t="s">
        <v>33</v>
      </c>
      <c r="D75" s="25">
        <v>1981</v>
      </c>
      <c r="E75" s="39">
        <v>2389</v>
      </c>
      <c r="F75" s="25">
        <f>2206+977+204</f>
        <v>3387</v>
      </c>
      <c r="G75" s="25">
        <f>3183+187-67</f>
        <v>3303</v>
      </c>
      <c r="H75" s="25">
        <v>3380</v>
      </c>
      <c r="I75" s="56">
        <v>3380</v>
      </c>
      <c r="J75" s="47">
        <v>3380</v>
      </c>
      <c r="K75" s="52"/>
      <c r="L75" s="29">
        <f t="shared" si="1"/>
        <v>21200</v>
      </c>
    </row>
    <row r="76" spans="1:12" ht="15.75" x14ac:dyDescent="0.25">
      <c r="A76" s="107"/>
      <c r="B76" s="98"/>
      <c r="C76" s="12" t="s">
        <v>34</v>
      </c>
      <c r="D76" s="25"/>
      <c r="E76" s="39"/>
      <c r="F76" s="25"/>
      <c r="G76" s="25"/>
      <c r="H76" s="39"/>
      <c r="I76" s="52"/>
      <c r="J76" s="37"/>
      <c r="K76" s="52"/>
      <c r="L76" s="29">
        <f t="shared" si="1"/>
        <v>0</v>
      </c>
    </row>
    <row r="77" spans="1:12" ht="27.75" customHeight="1" x14ac:dyDescent="0.25">
      <c r="A77" s="107"/>
      <c r="B77" s="98"/>
      <c r="C77" s="13" t="s">
        <v>35</v>
      </c>
      <c r="D77" s="25"/>
      <c r="E77" s="39"/>
      <c r="F77" s="25"/>
      <c r="G77" s="39"/>
      <c r="H77" s="39"/>
      <c r="I77" s="52"/>
      <c r="J77" s="37"/>
      <c r="K77" s="52"/>
      <c r="L77" s="29">
        <f t="shared" si="1"/>
        <v>0</v>
      </c>
    </row>
    <row r="78" spans="1:12" ht="28.5" customHeight="1" x14ac:dyDescent="0.25">
      <c r="A78" s="107"/>
      <c r="B78" s="98"/>
      <c r="C78" s="13" t="s">
        <v>36</v>
      </c>
      <c r="D78" s="25"/>
      <c r="E78" s="39"/>
      <c r="F78" s="25"/>
      <c r="G78" s="39"/>
      <c r="H78" s="39"/>
      <c r="I78" s="52"/>
      <c r="J78" s="37"/>
      <c r="K78" s="52"/>
      <c r="L78" s="29">
        <f t="shared" si="1"/>
        <v>0</v>
      </c>
    </row>
    <row r="79" spans="1:12" ht="15.75" x14ac:dyDescent="0.25">
      <c r="A79" s="108"/>
      <c r="B79" s="94"/>
      <c r="C79" s="12" t="s">
        <v>37</v>
      </c>
      <c r="D79" s="25"/>
      <c r="E79" s="39"/>
      <c r="F79" s="25"/>
      <c r="G79" s="39"/>
      <c r="H79" s="39"/>
      <c r="I79" s="52"/>
      <c r="J79" s="37"/>
      <c r="K79" s="52"/>
      <c r="L79" s="29">
        <f t="shared" si="1"/>
        <v>0</v>
      </c>
    </row>
    <row r="80" spans="1:12" ht="15.75" x14ac:dyDescent="0.25">
      <c r="A80" s="111" t="s">
        <v>135</v>
      </c>
      <c r="B80" s="102" t="s">
        <v>103</v>
      </c>
      <c r="C80" s="12" t="s">
        <v>31</v>
      </c>
      <c r="D80" s="25">
        <f>D81+D82+D83+D84+D85+D86</f>
        <v>0</v>
      </c>
      <c r="E80" s="14">
        <f t="shared" ref="E80" si="20">E81+E82+E83+E84+E85+E86</f>
        <v>0</v>
      </c>
      <c r="F80" s="25">
        <f t="shared" ref="F80:K80" si="21">F81+F82+F83+F84+F85+F86</f>
        <v>0</v>
      </c>
      <c r="G80" s="14">
        <f t="shared" si="21"/>
        <v>83.1</v>
      </c>
      <c r="H80" s="14">
        <f t="shared" si="21"/>
        <v>0</v>
      </c>
      <c r="I80" s="41">
        <f t="shared" si="21"/>
        <v>320</v>
      </c>
      <c r="J80" s="41">
        <f t="shared" si="21"/>
        <v>0</v>
      </c>
      <c r="K80" s="68">
        <f t="shared" si="21"/>
        <v>0</v>
      </c>
      <c r="L80" s="29">
        <f t="shared" si="1"/>
        <v>403.1</v>
      </c>
    </row>
    <row r="81" spans="1:12" ht="26.25" customHeight="1" x14ac:dyDescent="0.25">
      <c r="A81" s="111"/>
      <c r="B81" s="102"/>
      <c r="C81" s="13" t="s">
        <v>32</v>
      </c>
      <c r="D81" s="25"/>
      <c r="E81" s="14"/>
      <c r="F81" s="25"/>
      <c r="G81" s="14"/>
      <c r="H81" s="14"/>
      <c r="I81" s="52"/>
      <c r="J81" s="37"/>
      <c r="K81" s="52"/>
      <c r="L81" s="29">
        <f t="shared" ref="L81:L144" si="22">SUM(D81:K81)</f>
        <v>0</v>
      </c>
    </row>
    <row r="82" spans="1:12" ht="31.5" x14ac:dyDescent="0.25">
      <c r="A82" s="111"/>
      <c r="B82" s="102"/>
      <c r="C82" s="13" t="s">
        <v>33</v>
      </c>
      <c r="D82" s="25"/>
      <c r="E82" s="14"/>
      <c r="F82" s="25"/>
      <c r="G82" s="14"/>
      <c r="H82" s="14"/>
      <c r="I82" s="52"/>
      <c r="J82" s="37"/>
      <c r="K82" s="52"/>
      <c r="L82" s="29">
        <f t="shared" si="22"/>
        <v>0</v>
      </c>
    </row>
    <row r="83" spans="1:12" ht="15.75" x14ac:dyDescent="0.25">
      <c r="A83" s="111"/>
      <c r="B83" s="102"/>
      <c r="C83" s="12" t="s">
        <v>34</v>
      </c>
      <c r="D83" s="25"/>
      <c r="E83" s="14"/>
      <c r="F83" s="25">
        <f>83.1-83.1</f>
        <v>0</v>
      </c>
      <c r="G83" s="14">
        <v>83.1</v>
      </c>
      <c r="H83" s="14"/>
      <c r="I83" s="52">
        <v>320</v>
      </c>
      <c r="J83" s="37"/>
      <c r="K83" s="52"/>
      <c r="L83" s="29">
        <f t="shared" si="22"/>
        <v>403.1</v>
      </c>
    </row>
    <row r="84" spans="1:12" ht="30.75" customHeight="1" x14ac:dyDescent="0.25">
      <c r="A84" s="111"/>
      <c r="B84" s="102"/>
      <c r="C84" s="13" t="s">
        <v>35</v>
      </c>
      <c r="D84" s="25"/>
      <c r="E84" s="14"/>
      <c r="F84" s="25"/>
      <c r="G84" s="14"/>
      <c r="H84" s="14"/>
      <c r="I84" s="52"/>
      <c r="J84" s="37"/>
      <c r="K84" s="52"/>
      <c r="L84" s="29">
        <f t="shared" si="22"/>
        <v>0</v>
      </c>
    </row>
    <row r="85" spans="1:12" ht="34.5" customHeight="1" x14ac:dyDescent="0.25">
      <c r="A85" s="111"/>
      <c r="B85" s="102"/>
      <c r="C85" s="13" t="s">
        <v>36</v>
      </c>
      <c r="D85" s="25"/>
      <c r="E85" s="14"/>
      <c r="F85" s="25"/>
      <c r="G85" s="14"/>
      <c r="H85" s="14"/>
      <c r="I85" s="52"/>
      <c r="J85" s="37"/>
      <c r="K85" s="52"/>
      <c r="L85" s="29">
        <f t="shared" si="22"/>
        <v>0</v>
      </c>
    </row>
    <row r="86" spans="1:12" ht="19.5" customHeight="1" x14ac:dyDescent="0.25">
      <c r="A86" s="111"/>
      <c r="B86" s="102"/>
      <c r="C86" s="12" t="s">
        <v>37</v>
      </c>
      <c r="D86" s="25"/>
      <c r="E86" s="14"/>
      <c r="F86" s="25"/>
      <c r="G86" s="14"/>
      <c r="H86" s="14"/>
      <c r="I86" s="52"/>
      <c r="J86" s="37"/>
      <c r="K86" s="52"/>
      <c r="L86" s="29">
        <f t="shared" si="22"/>
        <v>0</v>
      </c>
    </row>
    <row r="87" spans="1:12" ht="27" customHeight="1" x14ac:dyDescent="0.25">
      <c r="A87" s="97" t="s">
        <v>46</v>
      </c>
      <c r="B87" s="102" t="s">
        <v>160</v>
      </c>
      <c r="C87" s="12" t="s">
        <v>31</v>
      </c>
      <c r="D87" s="25">
        <f>D94+D101+D108+D115+D122+D129+D136+D143+D150+D164+D157</f>
        <v>229883.75</v>
      </c>
      <c r="E87" s="25">
        <f t="shared" ref="E87:F87" si="23">E94+E101+E108+E115+E122+E129+E136+E143+E150+E164+E157</f>
        <v>238797.12299999999</v>
      </c>
      <c r="F87" s="25">
        <f t="shared" si="23"/>
        <v>246251.38999999998</v>
      </c>
      <c r="G87" s="25">
        <f>G94+G101+G108+G115+G122+G129+G136+G143+G150+G164+G157+G171</f>
        <v>250487.23</v>
      </c>
      <c r="H87" s="25">
        <f>H94+H101+H108+H115+H122+H129+H136+H143+H150+H164+H157+H171+H178</f>
        <v>267426.93</v>
      </c>
      <c r="I87" s="25">
        <f t="shared" ref="I87:K87" si="24">I94+I101+I108+I115+I122+I129+I136+I143+I150+I164+I157+I171+I178</f>
        <v>271615.90000000002</v>
      </c>
      <c r="J87" s="25">
        <f t="shared" si="24"/>
        <v>275494.8</v>
      </c>
      <c r="K87" s="25">
        <f t="shared" si="24"/>
        <v>88840.200000000012</v>
      </c>
      <c r="L87" s="29">
        <f t="shared" si="22"/>
        <v>1868797.3229999999</v>
      </c>
    </row>
    <row r="88" spans="1:12" ht="35.25" customHeight="1" x14ac:dyDescent="0.25">
      <c r="A88" s="97"/>
      <c r="B88" s="102"/>
      <c r="C88" s="13" t="s">
        <v>32</v>
      </c>
      <c r="D88" s="25">
        <f t="shared" ref="D88:J93" si="25">D95+D102+D109+D116+D123+D130+D137+D144+D151+D165+D158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ref="H88:K93" si="26">H95+H102+H109+H116+H123+H130+H137+H144+H151+H165+H158+H172+H179</f>
        <v>0</v>
      </c>
      <c r="I88" s="25">
        <f t="shared" si="25"/>
        <v>0</v>
      </c>
      <c r="J88" s="25">
        <f t="shared" si="25"/>
        <v>0</v>
      </c>
      <c r="K88" s="52"/>
      <c r="L88" s="29">
        <f t="shared" si="22"/>
        <v>0</v>
      </c>
    </row>
    <row r="89" spans="1:12" ht="33" customHeight="1" x14ac:dyDescent="0.25">
      <c r="A89" s="97"/>
      <c r="B89" s="102"/>
      <c r="C89" s="13" t="s">
        <v>33</v>
      </c>
      <c r="D89" s="25">
        <f t="shared" si="25"/>
        <v>175241.427</v>
      </c>
      <c r="E89" s="25">
        <f t="shared" si="25"/>
        <v>183092.823</v>
      </c>
      <c r="F89" s="25">
        <f t="shared" si="25"/>
        <v>187447</v>
      </c>
      <c r="G89" s="25">
        <f>G96+G103+G110+G117+G124+G131+G138+G145+G152+G166+G159+G173</f>
        <v>194263.77000000002</v>
      </c>
      <c r="H89" s="25">
        <f t="shared" si="26"/>
        <v>201532.5</v>
      </c>
      <c r="I89" s="25">
        <f t="shared" ref="I89:K89" si="27">I96+I103+I110+I117+I124+I131+I138+I145+I152+I166+I159+I173</f>
        <v>188600</v>
      </c>
      <c r="J89" s="25">
        <f t="shared" si="27"/>
        <v>188600</v>
      </c>
      <c r="K89" s="25">
        <f t="shared" si="27"/>
        <v>0</v>
      </c>
      <c r="L89" s="29">
        <f t="shared" si="22"/>
        <v>1318777.52</v>
      </c>
    </row>
    <row r="90" spans="1:12" ht="15.75" x14ac:dyDescent="0.25">
      <c r="A90" s="97"/>
      <c r="B90" s="102"/>
      <c r="C90" s="12" t="s">
        <v>34</v>
      </c>
      <c r="D90" s="25">
        <f t="shared" si="25"/>
        <v>54642.323000000004</v>
      </c>
      <c r="E90" s="25">
        <f t="shared" si="25"/>
        <v>55704.3</v>
      </c>
      <c r="F90" s="25">
        <f t="shared" si="25"/>
        <v>58804.39</v>
      </c>
      <c r="G90" s="25">
        <f>G97+G104+G111+G118+G125+G132+G139+G146+G153+G167+G160+G174</f>
        <v>56223.460000000006</v>
      </c>
      <c r="H90" s="25">
        <f t="shared" si="26"/>
        <v>65894.430000000008</v>
      </c>
      <c r="I90" s="25">
        <f t="shared" si="26"/>
        <v>83015.899999999994</v>
      </c>
      <c r="J90" s="25">
        <f t="shared" si="26"/>
        <v>86894.8</v>
      </c>
      <c r="K90" s="25">
        <f t="shared" si="26"/>
        <v>88840.200000000012</v>
      </c>
      <c r="L90" s="29">
        <f t="shared" si="22"/>
        <v>550019.80299999996</v>
      </c>
    </row>
    <row r="91" spans="1:12" ht="33.75" customHeight="1" x14ac:dyDescent="0.25">
      <c r="A91" s="97"/>
      <c r="B91" s="102"/>
      <c r="C91" s="13" t="s">
        <v>35</v>
      </c>
      <c r="D91" s="25">
        <f t="shared" si="25"/>
        <v>0</v>
      </c>
      <c r="E91" s="25">
        <f t="shared" si="25"/>
        <v>0</v>
      </c>
      <c r="F91" s="25">
        <f t="shared" si="25"/>
        <v>0</v>
      </c>
      <c r="G91" s="25">
        <f t="shared" si="25"/>
        <v>0</v>
      </c>
      <c r="H91" s="25">
        <f t="shared" si="26"/>
        <v>0</v>
      </c>
      <c r="I91" s="25">
        <f t="shared" si="25"/>
        <v>0</v>
      </c>
      <c r="J91" s="25">
        <f t="shared" si="25"/>
        <v>0</v>
      </c>
      <c r="K91" s="52"/>
      <c r="L91" s="29">
        <f t="shared" si="22"/>
        <v>0</v>
      </c>
    </row>
    <row r="92" spans="1:12" ht="32.25" customHeight="1" x14ac:dyDescent="0.25">
      <c r="A92" s="97"/>
      <c r="B92" s="102"/>
      <c r="C92" s="13" t="s">
        <v>36</v>
      </c>
      <c r="D92" s="25">
        <f t="shared" si="25"/>
        <v>0</v>
      </c>
      <c r="E92" s="25">
        <f t="shared" si="25"/>
        <v>0</v>
      </c>
      <c r="F92" s="25">
        <f t="shared" si="25"/>
        <v>0</v>
      </c>
      <c r="G92" s="25">
        <f t="shared" si="25"/>
        <v>0</v>
      </c>
      <c r="H92" s="25">
        <f t="shared" si="26"/>
        <v>0</v>
      </c>
      <c r="I92" s="25">
        <f t="shared" si="25"/>
        <v>0</v>
      </c>
      <c r="J92" s="25">
        <f t="shared" si="25"/>
        <v>0</v>
      </c>
      <c r="K92" s="52"/>
      <c r="L92" s="29">
        <f t="shared" si="22"/>
        <v>0</v>
      </c>
    </row>
    <row r="93" spans="1:12" ht="15.75" x14ac:dyDescent="0.25">
      <c r="A93" s="97"/>
      <c r="B93" s="102"/>
      <c r="C93" s="12" t="s">
        <v>37</v>
      </c>
      <c r="D93" s="25">
        <f t="shared" si="25"/>
        <v>0</v>
      </c>
      <c r="E93" s="25">
        <f t="shared" si="25"/>
        <v>0</v>
      </c>
      <c r="F93" s="25">
        <f t="shared" si="25"/>
        <v>0</v>
      </c>
      <c r="G93" s="25">
        <f t="shared" si="25"/>
        <v>0</v>
      </c>
      <c r="H93" s="25">
        <f t="shared" si="26"/>
        <v>0</v>
      </c>
      <c r="I93" s="25">
        <f t="shared" si="25"/>
        <v>0</v>
      </c>
      <c r="J93" s="25">
        <f t="shared" si="25"/>
        <v>0</v>
      </c>
      <c r="K93" s="52"/>
      <c r="L93" s="29">
        <f t="shared" si="22"/>
        <v>0</v>
      </c>
    </row>
    <row r="94" spans="1:12" ht="19.5" customHeight="1" x14ac:dyDescent="0.25">
      <c r="A94" s="111" t="s">
        <v>47</v>
      </c>
      <c r="B94" s="102" t="s">
        <v>55</v>
      </c>
      <c r="C94" s="12" t="s">
        <v>31</v>
      </c>
      <c r="D94" s="25">
        <f>D95+D96+D97+D98+D99+D100</f>
        <v>213587.69</v>
      </c>
      <c r="E94" s="14">
        <f t="shared" ref="E94" si="28">E95+E96+E97+E98+E99+E100</f>
        <v>218338.31</v>
      </c>
      <c r="F94" s="25">
        <f t="shared" ref="F94:K94" si="29">F95+F96+F97+F98+F99+F100</f>
        <v>229186.59</v>
      </c>
      <c r="G94" s="25">
        <f t="shared" si="29"/>
        <v>229162.04</v>
      </c>
      <c r="H94" s="14">
        <f t="shared" si="29"/>
        <v>245748.745</v>
      </c>
      <c r="I94" s="41">
        <f t="shared" si="29"/>
        <v>262747.7</v>
      </c>
      <c r="J94" s="41">
        <f t="shared" si="29"/>
        <v>264578.2</v>
      </c>
      <c r="K94" s="68">
        <f t="shared" si="29"/>
        <v>83933.1</v>
      </c>
      <c r="L94" s="29">
        <f t="shared" si="22"/>
        <v>1747282.375</v>
      </c>
    </row>
    <row r="95" spans="1:12" ht="34.5" customHeight="1" x14ac:dyDescent="0.25">
      <c r="A95" s="111"/>
      <c r="B95" s="102"/>
      <c r="C95" s="13" t="s">
        <v>32</v>
      </c>
      <c r="D95" s="25"/>
      <c r="E95" s="14"/>
      <c r="F95" s="25"/>
      <c r="G95" s="25"/>
      <c r="H95" s="14"/>
      <c r="I95" s="52"/>
      <c r="J95" s="37"/>
      <c r="K95" s="52"/>
      <c r="L95" s="29">
        <f t="shared" si="22"/>
        <v>0</v>
      </c>
    </row>
    <row r="96" spans="1:12" ht="30.75" customHeight="1" x14ac:dyDescent="0.25">
      <c r="A96" s="111"/>
      <c r="B96" s="102"/>
      <c r="C96" s="13" t="s">
        <v>33</v>
      </c>
      <c r="D96" s="25">
        <v>164942</v>
      </c>
      <c r="E96" s="14">
        <f>166507+647</f>
        <v>167154</v>
      </c>
      <c r="F96" s="25">
        <v>173631</v>
      </c>
      <c r="G96" s="25">
        <v>177119</v>
      </c>
      <c r="H96" s="25">
        <f>182561+1274.2</f>
        <v>183835.2</v>
      </c>
      <c r="I96" s="56">
        <v>182561</v>
      </c>
      <c r="J96" s="47">
        <v>182561</v>
      </c>
      <c r="K96" s="47"/>
      <c r="L96" s="29">
        <f t="shared" si="22"/>
        <v>1231803.2</v>
      </c>
    </row>
    <row r="97" spans="1:12" ht="15.75" x14ac:dyDescent="0.25">
      <c r="A97" s="111"/>
      <c r="B97" s="102"/>
      <c r="C97" s="12" t="s">
        <v>34</v>
      </c>
      <c r="D97" s="25">
        <v>48645.69</v>
      </c>
      <c r="E97" s="25">
        <f>44557.51+2014+472.8+4140</f>
        <v>51184.310000000005</v>
      </c>
      <c r="F97" s="25">
        <f>51661.13+1068.8+1150.6+23+1552.06+100</f>
        <v>55555.59</v>
      </c>
      <c r="G97" s="25">
        <f>59014.45-600-2118.25+17.51+934.73-1894.6+188-8.7-3490.1</f>
        <v>52043.040000000008</v>
      </c>
      <c r="H97" s="14">
        <f>51920.25-365.085+1003.6+7894.58+1460.2</f>
        <v>61913.544999999998</v>
      </c>
      <c r="I97" s="52">
        <v>80186.7</v>
      </c>
      <c r="J97" s="37">
        <v>82017.2</v>
      </c>
      <c r="K97" s="37">
        <v>83933.1</v>
      </c>
      <c r="L97" s="29">
        <f t="shared" si="22"/>
        <v>515479.17500000005</v>
      </c>
    </row>
    <row r="98" spans="1:12" ht="33" customHeight="1" x14ac:dyDescent="0.25">
      <c r="A98" s="111"/>
      <c r="B98" s="102"/>
      <c r="C98" s="13" t="s">
        <v>35</v>
      </c>
      <c r="D98" s="25"/>
      <c r="E98" s="14"/>
      <c r="F98" s="25"/>
      <c r="G98" s="25"/>
      <c r="H98" s="14"/>
      <c r="I98" s="52"/>
      <c r="J98" s="37"/>
      <c r="K98" s="52"/>
      <c r="L98" s="29">
        <f t="shared" si="22"/>
        <v>0</v>
      </c>
    </row>
    <row r="99" spans="1:12" ht="30" customHeight="1" x14ac:dyDescent="0.25">
      <c r="A99" s="111"/>
      <c r="B99" s="102"/>
      <c r="C99" s="13" t="s">
        <v>36</v>
      </c>
      <c r="D99" s="25"/>
      <c r="E99" s="14"/>
      <c r="F99" s="25"/>
      <c r="G99" s="25"/>
      <c r="H99" s="14"/>
      <c r="I99" s="52"/>
      <c r="J99" s="37"/>
      <c r="K99" s="52"/>
      <c r="L99" s="29">
        <f t="shared" si="22"/>
        <v>0</v>
      </c>
    </row>
    <row r="100" spans="1:12" ht="15.75" x14ac:dyDescent="0.25">
      <c r="A100" s="111"/>
      <c r="B100" s="102"/>
      <c r="C100" s="12" t="s">
        <v>37</v>
      </c>
      <c r="D100" s="25"/>
      <c r="E100" s="14"/>
      <c r="F100" s="25"/>
      <c r="G100" s="25"/>
      <c r="H100" s="14"/>
      <c r="I100" s="52"/>
      <c r="J100" s="37"/>
      <c r="K100" s="52"/>
      <c r="L100" s="29">
        <f t="shared" si="22"/>
        <v>0</v>
      </c>
    </row>
    <row r="101" spans="1:12" ht="23.25" customHeight="1" x14ac:dyDescent="0.25">
      <c r="A101" s="111" t="s">
        <v>48</v>
      </c>
      <c r="B101" s="102" t="s">
        <v>139</v>
      </c>
      <c r="C101" s="12" t="s">
        <v>31</v>
      </c>
      <c r="D101" s="25">
        <f>D102+D103+D104+D105+D106+D107</f>
        <v>8741.1329999999998</v>
      </c>
      <c r="E101" s="14">
        <f t="shared" ref="E101" si="30">E102+E103+E104+E105+E106+E107</f>
        <v>12057.470000000001</v>
      </c>
      <c r="F101" s="25">
        <f t="shared" ref="F101:K101" si="31">F102+F103+F104+F105+F106+F107</f>
        <v>10000</v>
      </c>
      <c r="G101" s="25">
        <f t="shared" si="31"/>
        <v>9261.7400000000016</v>
      </c>
      <c r="H101" s="14">
        <f t="shared" si="31"/>
        <v>10075</v>
      </c>
      <c r="I101" s="41">
        <f t="shared" si="31"/>
        <v>0</v>
      </c>
      <c r="J101" s="41">
        <f t="shared" si="31"/>
        <v>2000</v>
      </c>
      <c r="K101" s="68">
        <f t="shared" si="31"/>
        <v>2000</v>
      </c>
      <c r="L101" s="29">
        <f t="shared" si="22"/>
        <v>54135.343000000008</v>
      </c>
    </row>
    <row r="102" spans="1:12" ht="28.5" customHeight="1" x14ac:dyDescent="0.25">
      <c r="A102" s="111"/>
      <c r="B102" s="102"/>
      <c r="C102" s="13" t="s">
        <v>32</v>
      </c>
      <c r="D102" s="25"/>
      <c r="E102" s="14"/>
      <c r="F102" s="25"/>
      <c r="G102" s="25"/>
      <c r="H102" s="14"/>
      <c r="I102" s="52"/>
      <c r="J102" s="37"/>
      <c r="K102" s="52"/>
      <c r="L102" s="29">
        <f t="shared" si="22"/>
        <v>0</v>
      </c>
    </row>
    <row r="103" spans="1:12" ht="31.5" x14ac:dyDescent="0.25">
      <c r="A103" s="111"/>
      <c r="B103" s="102"/>
      <c r="C103" s="13" t="s">
        <v>33</v>
      </c>
      <c r="D103" s="25">
        <v>3780.5</v>
      </c>
      <c r="E103" s="14">
        <f>5669-28.78+4000</f>
        <v>9640.2200000000012</v>
      </c>
      <c r="F103" s="25">
        <v>8000</v>
      </c>
      <c r="G103" s="25">
        <f>3566.4+6941.28-3566.4+560-114.86</f>
        <v>7386.420000000001</v>
      </c>
      <c r="H103" s="14">
        <v>7500</v>
      </c>
      <c r="I103" s="52"/>
      <c r="J103" s="37"/>
      <c r="K103" s="52"/>
      <c r="L103" s="29">
        <f t="shared" si="22"/>
        <v>36307.14</v>
      </c>
    </row>
    <row r="104" spans="1:12" ht="15.75" x14ac:dyDescent="0.25">
      <c r="A104" s="111"/>
      <c r="B104" s="102"/>
      <c r="C104" s="12" t="s">
        <v>34</v>
      </c>
      <c r="D104" s="25">
        <v>4960.6329999999998</v>
      </c>
      <c r="E104" s="14">
        <f>1417.14+1000+0.11</f>
        <v>2417.2500000000005</v>
      </c>
      <c r="F104" s="25">
        <v>2000</v>
      </c>
      <c r="G104" s="25">
        <f>2420.92+112-685.6+19.3+8.7</f>
        <v>1875.3200000000002</v>
      </c>
      <c r="H104" s="14">
        <f>1875+700</f>
        <v>2575</v>
      </c>
      <c r="I104" s="52"/>
      <c r="J104" s="37">
        <v>2000</v>
      </c>
      <c r="K104" s="52">
        <v>2000</v>
      </c>
      <c r="L104" s="29">
        <f t="shared" si="22"/>
        <v>17828.203000000001</v>
      </c>
    </row>
    <row r="105" spans="1:12" ht="33.75" customHeight="1" x14ac:dyDescent="0.25">
      <c r="A105" s="111"/>
      <c r="B105" s="102"/>
      <c r="C105" s="13" t="s">
        <v>35</v>
      </c>
      <c r="D105" s="25"/>
      <c r="E105" s="14"/>
      <c r="F105" s="25"/>
      <c r="G105" s="25"/>
      <c r="H105" s="14"/>
      <c r="I105" s="52"/>
      <c r="J105" s="37"/>
      <c r="K105" s="52"/>
      <c r="L105" s="29">
        <f t="shared" si="22"/>
        <v>0</v>
      </c>
    </row>
    <row r="106" spans="1:12" ht="34.5" customHeight="1" x14ac:dyDescent="0.25">
      <c r="A106" s="111"/>
      <c r="B106" s="102"/>
      <c r="C106" s="13" t="s">
        <v>36</v>
      </c>
      <c r="D106" s="25"/>
      <c r="E106" s="14"/>
      <c r="F106" s="25"/>
      <c r="G106" s="14"/>
      <c r="H106" s="14"/>
      <c r="I106" s="52"/>
      <c r="J106" s="37"/>
      <c r="K106" s="52"/>
      <c r="L106" s="29">
        <f t="shared" si="22"/>
        <v>0</v>
      </c>
    </row>
    <row r="107" spans="1:12" ht="20.25" customHeight="1" x14ac:dyDescent="0.25">
      <c r="A107" s="111"/>
      <c r="B107" s="102"/>
      <c r="C107" s="12" t="s">
        <v>37</v>
      </c>
      <c r="D107" s="25"/>
      <c r="E107" s="14"/>
      <c r="F107" s="25"/>
      <c r="G107" s="14"/>
      <c r="H107" s="14"/>
      <c r="I107" s="52"/>
      <c r="J107" s="37"/>
      <c r="K107" s="52"/>
      <c r="L107" s="29">
        <f t="shared" si="22"/>
        <v>0</v>
      </c>
    </row>
    <row r="108" spans="1:12" ht="24" customHeight="1" x14ac:dyDescent="0.25">
      <c r="A108" s="111" t="s">
        <v>49</v>
      </c>
      <c r="B108" s="102" t="s">
        <v>50</v>
      </c>
      <c r="C108" s="12" t="s">
        <v>31</v>
      </c>
      <c r="D108" s="25">
        <f>D109+D110+D111+D112+D113+D114</f>
        <v>0</v>
      </c>
      <c r="E108" s="14">
        <f t="shared" ref="E108" si="32">E109+E110+E111+E112+E113+E114</f>
        <v>0</v>
      </c>
      <c r="F108" s="25">
        <f t="shared" ref="F108:K108" si="33">F109+F110+F111+F112+F113+F114</f>
        <v>0</v>
      </c>
      <c r="G108" s="14">
        <f t="shared" si="33"/>
        <v>2000</v>
      </c>
      <c r="H108" s="14">
        <f t="shared" si="33"/>
        <v>0</v>
      </c>
      <c r="I108" s="41">
        <f t="shared" si="33"/>
        <v>0</v>
      </c>
      <c r="J108" s="41">
        <f t="shared" si="33"/>
        <v>0</v>
      </c>
      <c r="K108" s="68">
        <f t="shared" si="33"/>
        <v>0</v>
      </c>
      <c r="L108" s="29">
        <f t="shared" si="22"/>
        <v>2000</v>
      </c>
    </row>
    <row r="109" spans="1:12" ht="25.5" customHeight="1" x14ac:dyDescent="0.25">
      <c r="A109" s="111"/>
      <c r="B109" s="102"/>
      <c r="C109" s="13" t="s">
        <v>32</v>
      </c>
      <c r="D109" s="25"/>
      <c r="E109" s="14"/>
      <c r="F109" s="25"/>
      <c r="G109" s="14"/>
      <c r="H109" s="14"/>
      <c r="I109" s="52"/>
      <c r="J109" s="37"/>
      <c r="K109" s="52"/>
      <c r="L109" s="29">
        <f t="shared" si="22"/>
        <v>0</v>
      </c>
    </row>
    <row r="110" spans="1:12" ht="33.75" customHeight="1" x14ac:dyDescent="0.25">
      <c r="A110" s="111"/>
      <c r="B110" s="102"/>
      <c r="C110" s="13" t="s">
        <v>33</v>
      </c>
      <c r="D110" s="25"/>
      <c r="E110" s="14"/>
      <c r="F110" s="25"/>
      <c r="G110" s="14">
        <v>1000</v>
      </c>
      <c r="H110" s="14"/>
      <c r="I110" s="52"/>
      <c r="J110" s="37"/>
      <c r="K110" s="52"/>
      <c r="L110" s="29">
        <f t="shared" si="22"/>
        <v>1000</v>
      </c>
    </row>
    <row r="111" spans="1:12" ht="15.75" x14ac:dyDescent="0.25">
      <c r="A111" s="111"/>
      <c r="B111" s="102"/>
      <c r="C111" s="12" t="s">
        <v>34</v>
      </c>
      <c r="D111" s="25"/>
      <c r="E111" s="14"/>
      <c r="F111" s="25"/>
      <c r="G111" s="14">
        <f>800+200</f>
        <v>1000</v>
      </c>
      <c r="H111" s="14"/>
      <c r="I111" s="52"/>
      <c r="J111" s="37"/>
      <c r="K111" s="52"/>
      <c r="L111" s="29">
        <f t="shared" si="22"/>
        <v>1000</v>
      </c>
    </row>
    <row r="112" spans="1:12" ht="34.5" customHeight="1" x14ac:dyDescent="0.25">
      <c r="A112" s="111"/>
      <c r="B112" s="102"/>
      <c r="C112" s="13" t="s">
        <v>35</v>
      </c>
      <c r="D112" s="25"/>
      <c r="E112" s="14"/>
      <c r="F112" s="25"/>
      <c r="G112" s="14"/>
      <c r="H112" s="14"/>
      <c r="I112" s="52"/>
      <c r="J112" s="37"/>
      <c r="K112" s="52"/>
      <c r="L112" s="29">
        <f t="shared" si="22"/>
        <v>0</v>
      </c>
    </row>
    <row r="113" spans="1:12" ht="32.25" customHeight="1" x14ac:dyDescent="0.25">
      <c r="A113" s="111"/>
      <c r="B113" s="102"/>
      <c r="C113" s="13" t="s">
        <v>36</v>
      </c>
      <c r="D113" s="25"/>
      <c r="E113" s="14"/>
      <c r="F113" s="25"/>
      <c r="G113" s="14"/>
      <c r="H113" s="14"/>
      <c r="I113" s="52"/>
      <c r="J113" s="37"/>
      <c r="K113" s="52"/>
      <c r="L113" s="29">
        <f t="shared" si="22"/>
        <v>0</v>
      </c>
    </row>
    <row r="114" spans="1:12" ht="15.75" x14ac:dyDescent="0.25">
      <c r="A114" s="111"/>
      <c r="B114" s="102"/>
      <c r="C114" s="12" t="s">
        <v>37</v>
      </c>
      <c r="D114" s="25"/>
      <c r="E114" s="14"/>
      <c r="F114" s="25"/>
      <c r="G114" s="14"/>
      <c r="H114" s="14"/>
      <c r="I114" s="52"/>
      <c r="J114" s="37"/>
      <c r="K114" s="52"/>
      <c r="L114" s="29">
        <f t="shared" si="22"/>
        <v>0</v>
      </c>
    </row>
    <row r="115" spans="1:12" ht="22.5" customHeight="1" x14ac:dyDescent="0.25">
      <c r="A115" s="111" t="s">
        <v>51</v>
      </c>
      <c r="B115" s="102" t="s">
        <v>15</v>
      </c>
      <c r="C115" s="12" t="s">
        <v>31</v>
      </c>
      <c r="D115" s="25">
        <f>D116+D117+D118+D119+D120+D121</f>
        <v>769.827</v>
      </c>
      <c r="E115" s="14">
        <f t="shared" ref="E115" si="34">E116+E117+E118+E119+E120+E121</f>
        <v>743.60300000000007</v>
      </c>
      <c r="F115" s="25">
        <f t="shared" ref="F115:K115" si="35">F116+F117+F118+F119+F120+F121</f>
        <v>0</v>
      </c>
      <c r="G115" s="14">
        <f t="shared" si="35"/>
        <v>0</v>
      </c>
      <c r="H115" s="14">
        <f t="shared" si="35"/>
        <v>0</v>
      </c>
      <c r="I115" s="41">
        <f t="shared" si="35"/>
        <v>0</v>
      </c>
      <c r="J115" s="41">
        <f t="shared" si="35"/>
        <v>0</v>
      </c>
      <c r="K115" s="68">
        <f t="shared" si="35"/>
        <v>0</v>
      </c>
      <c r="L115" s="29">
        <f t="shared" si="22"/>
        <v>1513.43</v>
      </c>
    </row>
    <row r="116" spans="1:12" ht="39.75" customHeight="1" x14ac:dyDescent="0.25">
      <c r="A116" s="111"/>
      <c r="B116" s="102"/>
      <c r="C116" s="13" t="s">
        <v>32</v>
      </c>
      <c r="D116" s="25"/>
      <c r="E116" s="14"/>
      <c r="F116" s="25"/>
      <c r="G116" s="14"/>
      <c r="H116" s="14"/>
      <c r="I116" s="52"/>
      <c r="J116" s="37"/>
      <c r="K116" s="52"/>
      <c r="L116" s="29">
        <f t="shared" si="22"/>
        <v>0</v>
      </c>
    </row>
    <row r="117" spans="1:12" ht="31.5" customHeight="1" x14ac:dyDescent="0.25">
      <c r="A117" s="111"/>
      <c r="B117" s="102"/>
      <c r="C117" s="13" t="s">
        <v>33</v>
      </c>
      <c r="D117" s="25">
        <v>441.92700000000002</v>
      </c>
      <c r="E117" s="14">
        <f>362.136+53.467</f>
        <v>415.60300000000001</v>
      </c>
      <c r="F117" s="25"/>
      <c r="G117" s="14"/>
      <c r="H117" s="14"/>
      <c r="I117" s="52"/>
      <c r="J117" s="37"/>
      <c r="K117" s="52"/>
      <c r="L117" s="29">
        <f t="shared" si="22"/>
        <v>857.53</v>
      </c>
    </row>
    <row r="118" spans="1:12" ht="20.25" customHeight="1" x14ac:dyDescent="0.25">
      <c r="A118" s="111"/>
      <c r="B118" s="102"/>
      <c r="C118" s="12" t="s">
        <v>34</v>
      </c>
      <c r="D118" s="25">
        <v>327.9</v>
      </c>
      <c r="E118" s="14">
        <v>328</v>
      </c>
      <c r="F118" s="25">
        <f>328-328</f>
        <v>0</v>
      </c>
      <c r="G118" s="14"/>
      <c r="H118" s="14"/>
      <c r="I118" s="52"/>
      <c r="J118" s="37"/>
      <c r="K118" s="52"/>
      <c r="L118" s="29">
        <f t="shared" si="22"/>
        <v>655.9</v>
      </c>
    </row>
    <row r="119" spans="1:12" ht="36.75" customHeight="1" x14ac:dyDescent="0.25">
      <c r="A119" s="111"/>
      <c r="B119" s="102"/>
      <c r="C119" s="13" t="s">
        <v>35</v>
      </c>
      <c r="D119" s="25"/>
      <c r="E119" s="14"/>
      <c r="F119" s="25"/>
      <c r="G119" s="14"/>
      <c r="H119" s="14"/>
      <c r="I119" s="52"/>
      <c r="J119" s="37"/>
      <c r="K119" s="52"/>
      <c r="L119" s="29">
        <f t="shared" si="22"/>
        <v>0</v>
      </c>
    </row>
    <row r="120" spans="1:12" ht="32.25" customHeight="1" x14ac:dyDescent="0.25">
      <c r="A120" s="111"/>
      <c r="B120" s="102"/>
      <c r="C120" s="13" t="s">
        <v>36</v>
      </c>
      <c r="D120" s="25"/>
      <c r="E120" s="14"/>
      <c r="F120" s="25"/>
      <c r="G120" s="14"/>
      <c r="H120" s="14"/>
      <c r="I120" s="52"/>
      <c r="J120" s="37"/>
      <c r="K120" s="52"/>
      <c r="L120" s="29">
        <f t="shared" si="22"/>
        <v>0</v>
      </c>
    </row>
    <row r="121" spans="1:12" ht="15.75" x14ac:dyDescent="0.25">
      <c r="A121" s="111"/>
      <c r="B121" s="102"/>
      <c r="C121" s="12" t="s">
        <v>37</v>
      </c>
      <c r="D121" s="25"/>
      <c r="E121" s="14"/>
      <c r="F121" s="25"/>
      <c r="G121" s="14"/>
      <c r="H121" s="14"/>
      <c r="I121" s="52"/>
      <c r="J121" s="37"/>
      <c r="K121" s="52"/>
      <c r="L121" s="29">
        <f t="shared" si="22"/>
        <v>0</v>
      </c>
    </row>
    <row r="122" spans="1:12" ht="23.25" customHeight="1" x14ac:dyDescent="0.25">
      <c r="A122" s="111" t="s">
        <v>52</v>
      </c>
      <c r="B122" s="102" t="s">
        <v>53</v>
      </c>
      <c r="C122" s="12" t="s">
        <v>31</v>
      </c>
      <c r="D122" s="25">
        <f>D123+D124+D125+D126+D127+D128</f>
        <v>4043.1</v>
      </c>
      <c r="E122" s="14">
        <f t="shared" ref="E122:K122" si="36">E123+E124+E125+E126+E127+E128</f>
        <v>3812</v>
      </c>
      <c r="F122" s="25">
        <f t="shared" si="36"/>
        <v>3729</v>
      </c>
      <c r="G122" s="14">
        <f t="shared" si="36"/>
        <v>3745.4</v>
      </c>
      <c r="H122" s="14">
        <f t="shared" si="36"/>
        <v>3980.4</v>
      </c>
      <c r="I122" s="41">
        <f t="shared" si="36"/>
        <v>4001.3</v>
      </c>
      <c r="J122" s="41">
        <f t="shared" si="36"/>
        <v>4031.4</v>
      </c>
      <c r="K122" s="68">
        <f t="shared" si="36"/>
        <v>747.3</v>
      </c>
      <c r="L122" s="29">
        <f t="shared" si="22"/>
        <v>28089.9</v>
      </c>
    </row>
    <row r="123" spans="1:12" ht="33" customHeight="1" x14ac:dyDescent="0.25">
      <c r="A123" s="111"/>
      <c r="B123" s="102"/>
      <c r="C123" s="13" t="s">
        <v>32</v>
      </c>
      <c r="D123" s="25"/>
      <c r="E123" s="14"/>
      <c r="F123" s="14"/>
      <c r="G123" s="14"/>
      <c r="H123" s="14"/>
      <c r="I123" s="52"/>
      <c r="J123" s="37"/>
      <c r="K123" s="52"/>
      <c r="L123" s="29">
        <f t="shared" si="22"/>
        <v>0</v>
      </c>
    </row>
    <row r="124" spans="1:12" ht="34.5" customHeight="1" x14ac:dyDescent="0.25">
      <c r="A124" s="111"/>
      <c r="B124" s="102"/>
      <c r="C124" s="13" t="s">
        <v>33</v>
      </c>
      <c r="D124" s="25">
        <v>3335</v>
      </c>
      <c r="E124" s="14">
        <v>3142</v>
      </c>
      <c r="F124" s="14">
        <f>3266-200</f>
        <v>3066</v>
      </c>
      <c r="G124" s="25">
        <f>3125-43</f>
        <v>3082</v>
      </c>
      <c r="H124" s="25">
        <v>3317</v>
      </c>
      <c r="I124" s="57">
        <v>3317</v>
      </c>
      <c r="J124" s="47">
        <v>3317</v>
      </c>
      <c r="K124" s="52"/>
      <c r="L124" s="29">
        <f t="shared" si="22"/>
        <v>22576</v>
      </c>
    </row>
    <row r="125" spans="1:12" ht="15.75" x14ac:dyDescent="0.25">
      <c r="A125" s="111"/>
      <c r="B125" s="102"/>
      <c r="C125" s="12" t="s">
        <v>34</v>
      </c>
      <c r="D125" s="25">
        <v>708.1</v>
      </c>
      <c r="E125" s="14">
        <v>670</v>
      </c>
      <c r="F125" s="14">
        <v>663</v>
      </c>
      <c r="G125" s="14">
        <v>663.4</v>
      </c>
      <c r="H125" s="14">
        <v>663.4</v>
      </c>
      <c r="I125" s="55">
        <v>684.3</v>
      </c>
      <c r="J125" s="37">
        <v>714.4</v>
      </c>
      <c r="K125" s="52">
        <v>747.3</v>
      </c>
      <c r="L125" s="29">
        <f t="shared" si="22"/>
        <v>5513.9</v>
      </c>
    </row>
    <row r="126" spans="1:12" ht="31.5" x14ac:dyDescent="0.25">
      <c r="A126" s="111"/>
      <c r="B126" s="102"/>
      <c r="C126" s="13" t="s">
        <v>35</v>
      </c>
      <c r="D126" s="25"/>
      <c r="E126" s="14"/>
      <c r="F126" s="14"/>
      <c r="G126" s="14"/>
      <c r="H126" s="14"/>
      <c r="I126" s="52"/>
      <c r="J126" s="37"/>
      <c r="K126" s="52"/>
      <c r="L126" s="29">
        <f t="shared" si="22"/>
        <v>0</v>
      </c>
    </row>
    <row r="127" spans="1:12" ht="31.5" customHeight="1" x14ac:dyDescent="0.25">
      <c r="A127" s="111"/>
      <c r="B127" s="102"/>
      <c r="C127" s="13" t="s">
        <v>36</v>
      </c>
      <c r="D127" s="25"/>
      <c r="E127" s="14"/>
      <c r="F127" s="14"/>
      <c r="G127" s="14"/>
      <c r="H127" s="14"/>
      <c r="I127" s="52"/>
      <c r="J127" s="37"/>
      <c r="K127" s="52"/>
      <c r="L127" s="29">
        <f t="shared" si="22"/>
        <v>0</v>
      </c>
    </row>
    <row r="128" spans="1:12" ht="15.75" x14ac:dyDescent="0.25">
      <c r="A128" s="111"/>
      <c r="B128" s="102"/>
      <c r="C128" s="12" t="s">
        <v>37</v>
      </c>
      <c r="D128" s="25"/>
      <c r="E128" s="14"/>
      <c r="F128" s="14"/>
      <c r="G128" s="14"/>
      <c r="H128" s="14"/>
      <c r="I128" s="52"/>
      <c r="J128" s="37"/>
      <c r="K128" s="52"/>
      <c r="L128" s="29">
        <f t="shared" si="22"/>
        <v>0</v>
      </c>
    </row>
    <row r="129" spans="1:12" ht="20.25" customHeight="1" x14ac:dyDescent="0.25">
      <c r="A129" s="111" t="s">
        <v>56</v>
      </c>
      <c r="B129" s="102" t="s">
        <v>12</v>
      </c>
      <c r="C129" s="12" t="s">
        <v>31</v>
      </c>
      <c r="D129" s="25">
        <f>D130+D131+D132+D133+D134+D135</f>
        <v>0</v>
      </c>
      <c r="E129" s="14">
        <f t="shared" ref="E129" si="37">E130+E131+E132+E133+E134+E135</f>
        <v>315</v>
      </c>
      <c r="F129" s="14">
        <f t="shared" ref="F129:K129" si="38">F130+F131+F132+F133+F134+F135</f>
        <v>180</v>
      </c>
      <c r="G129" s="14">
        <f t="shared" si="38"/>
        <v>220</v>
      </c>
      <c r="H129" s="14">
        <f t="shared" si="38"/>
        <v>301.39999999999998</v>
      </c>
      <c r="I129" s="41">
        <f t="shared" si="38"/>
        <v>301.39999999999998</v>
      </c>
      <c r="J129" s="41">
        <f t="shared" si="38"/>
        <v>238.6</v>
      </c>
      <c r="K129" s="68">
        <f t="shared" si="38"/>
        <v>151.6</v>
      </c>
      <c r="L129" s="29">
        <f t="shared" si="22"/>
        <v>1707.9999999999998</v>
      </c>
    </row>
    <row r="130" spans="1:12" ht="33.75" customHeight="1" x14ac:dyDescent="0.25">
      <c r="A130" s="111"/>
      <c r="B130" s="102"/>
      <c r="C130" s="13" t="s">
        <v>32</v>
      </c>
      <c r="D130" s="25"/>
      <c r="E130" s="14"/>
      <c r="F130" s="14"/>
      <c r="G130" s="14"/>
      <c r="H130" s="14"/>
      <c r="I130" s="52"/>
      <c r="J130" s="37"/>
      <c r="K130" s="52"/>
      <c r="L130" s="29">
        <f t="shared" si="22"/>
        <v>0</v>
      </c>
    </row>
    <row r="131" spans="1:12" ht="33" customHeight="1" x14ac:dyDescent="0.25">
      <c r="A131" s="111"/>
      <c r="B131" s="102"/>
      <c r="C131" s="13" t="s">
        <v>33</v>
      </c>
      <c r="D131" s="25"/>
      <c r="E131" s="14"/>
      <c r="F131" s="14"/>
      <c r="G131" s="14"/>
      <c r="H131" s="14"/>
      <c r="I131" s="52"/>
      <c r="J131" s="37"/>
      <c r="K131" s="52"/>
      <c r="L131" s="29">
        <f t="shared" si="22"/>
        <v>0</v>
      </c>
    </row>
    <row r="132" spans="1:12" ht="15.75" x14ac:dyDescent="0.25">
      <c r="A132" s="111"/>
      <c r="B132" s="102"/>
      <c r="C132" s="12" t="s">
        <v>34</v>
      </c>
      <c r="D132" s="25"/>
      <c r="E132" s="14">
        <v>315</v>
      </c>
      <c r="F132" s="14">
        <v>180</v>
      </c>
      <c r="G132" s="14">
        <v>220</v>
      </c>
      <c r="H132" s="14">
        <v>301.39999999999998</v>
      </c>
      <c r="I132" s="37">
        <v>301.39999999999998</v>
      </c>
      <c r="J132" s="37">
        <v>238.6</v>
      </c>
      <c r="K132" s="52">
        <v>151.6</v>
      </c>
      <c r="L132" s="29">
        <f t="shared" si="22"/>
        <v>1707.9999999999998</v>
      </c>
    </row>
    <row r="133" spans="1:12" ht="31.5" customHeight="1" x14ac:dyDescent="0.25">
      <c r="A133" s="111"/>
      <c r="B133" s="102"/>
      <c r="C133" s="13" t="s">
        <v>35</v>
      </c>
      <c r="D133" s="25"/>
      <c r="E133" s="14"/>
      <c r="F133" s="14"/>
      <c r="G133" s="14"/>
      <c r="H133" s="14"/>
      <c r="I133" s="52"/>
      <c r="J133" s="37"/>
      <c r="K133" s="52"/>
      <c r="L133" s="29">
        <f t="shared" si="22"/>
        <v>0</v>
      </c>
    </row>
    <row r="134" spans="1:12" ht="34.5" customHeight="1" x14ac:dyDescent="0.25">
      <c r="A134" s="111"/>
      <c r="B134" s="102"/>
      <c r="C134" s="13" t="s">
        <v>36</v>
      </c>
      <c r="D134" s="25"/>
      <c r="E134" s="14"/>
      <c r="F134" s="14"/>
      <c r="G134" s="14"/>
      <c r="H134" s="14"/>
      <c r="I134" s="52"/>
      <c r="J134" s="37"/>
      <c r="K134" s="52"/>
      <c r="L134" s="29">
        <f t="shared" si="22"/>
        <v>0</v>
      </c>
    </row>
    <row r="135" spans="1:12" ht="15.75" x14ac:dyDescent="0.25">
      <c r="A135" s="111"/>
      <c r="B135" s="102"/>
      <c r="C135" s="12" t="s">
        <v>37</v>
      </c>
      <c r="D135" s="25"/>
      <c r="E135" s="14"/>
      <c r="F135" s="14"/>
      <c r="G135" s="14"/>
      <c r="H135" s="14"/>
      <c r="I135" s="52"/>
      <c r="J135" s="37"/>
      <c r="K135" s="52"/>
      <c r="L135" s="29">
        <f t="shared" si="22"/>
        <v>0</v>
      </c>
    </row>
    <row r="136" spans="1:12" ht="22.5" customHeight="1" x14ac:dyDescent="0.25">
      <c r="A136" s="111" t="s">
        <v>57</v>
      </c>
      <c r="B136" s="102" t="s">
        <v>16</v>
      </c>
      <c r="C136" s="12" t="s">
        <v>31</v>
      </c>
      <c r="D136" s="25">
        <f>D137+D138+D139+D140+D141+D142</f>
        <v>0</v>
      </c>
      <c r="E136" s="14">
        <f t="shared" ref="E136" si="39">E137+E138+E139+E140+E141+E142</f>
        <v>0</v>
      </c>
      <c r="F136" s="14">
        <f t="shared" ref="F136:K136" si="40">F137+F138+F139+F140+F141+F142</f>
        <v>0</v>
      </c>
      <c r="G136" s="14">
        <f t="shared" si="40"/>
        <v>0</v>
      </c>
      <c r="H136" s="14">
        <f t="shared" si="40"/>
        <v>0</v>
      </c>
      <c r="I136" s="41">
        <f t="shared" si="40"/>
        <v>20</v>
      </c>
      <c r="J136" s="41">
        <f t="shared" si="40"/>
        <v>20.9</v>
      </c>
      <c r="K136" s="68">
        <f t="shared" si="40"/>
        <v>21.9</v>
      </c>
      <c r="L136" s="29">
        <f t="shared" si="22"/>
        <v>62.8</v>
      </c>
    </row>
    <row r="137" spans="1:12" ht="32.25" customHeight="1" x14ac:dyDescent="0.25">
      <c r="A137" s="111"/>
      <c r="B137" s="102"/>
      <c r="C137" s="13" t="s">
        <v>32</v>
      </c>
      <c r="D137" s="25"/>
      <c r="E137" s="14"/>
      <c r="F137" s="14"/>
      <c r="G137" s="14"/>
      <c r="H137" s="14"/>
      <c r="I137" s="52"/>
      <c r="J137" s="37"/>
      <c r="K137" s="52"/>
      <c r="L137" s="29">
        <f t="shared" si="22"/>
        <v>0</v>
      </c>
    </row>
    <row r="138" spans="1:12" ht="30" customHeight="1" x14ac:dyDescent="0.25">
      <c r="A138" s="111"/>
      <c r="B138" s="102"/>
      <c r="C138" s="13" t="s">
        <v>33</v>
      </c>
      <c r="D138" s="25"/>
      <c r="E138" s="14"/>
      <c r="F138" s="14"/>
      <c r="G138" s="14"/>
      <c r="H138" s="14"/>
      <c r="I138" s="52"/>
      <c r="J138" s="37"/>
      <c r="K138" s="52"/>
      <c r="L138" s="29">
        <f t="shared" si="22"/>
        <v>0</v>
      </c>
    </row>
    <row r="139" spans="1:12" ht="15.75" x14ac:dyDescent="0.25">
      <c r="A139" s="111"/>
      <c r="B139" s="102"/>
      <c r="C139" s="12" t="s">
        <v>34</v>
      </c>
      <c r="D139" s="25"/>
      <c r="E139" s="14"/>
      <c r="F139" s="14"/>
      <c r="G139" s="14"/>
      <c r="H139" s="14"/>
      <c r="I139" s="52">
        <v>20</v>
      </c>
      <c r="J139" s="37">
        <v>20.9</v>
      </c>
      <c r="K139" s="52">
        <v>21.9</v>
      </c>
      <c r="L139" s="29">
        <f t="shared" si="22"/>
        <v>62.8</v>
      </c>
    </row>
    <row r="140" spans="1:12" ht="32.25" customHeight="1" x14ac:dyDescent="0.25">
      <c r="A140" s="111"/>
      <c r="B140" s="102"/>
      <c r="C140" s="13" t="s">
        <v>35</v>
      </c>
      <c r="D140" s="25"/>
      <c r="E140" s="14"/>
      <c r="F140" s="14"/>
      <c r="G140" s="14"/>
      <c r="H140" s="14"/>
      <c r="I140" s="52"/>
      <c r="J140" s="37"/>
      <c r="K140" s="52"/>
      <c r="L140" s="29">
        <f t="shared" si="22"/>
        <v>0</v>
      </c>
    </row>
    <row r="141" spans="1:12" ht="32.25" customHeight="1" x14ac:dyDescent="0.25">
      <c r="A141" s="111"/>
      <c r="B141" s="102"/>
      <c r="C141" s="13" t="s">
        <v>36</v>
      </c>
      <c r="D141" s="25"/>
      <c r="E141" s="14"/>
      <c r="F141" s="14"/>
      <c r="G141" s="14"/>
      <c r="H141" s="14"/>
      <c r="I141" s="52"/>
      <c r="J141" s="37"/>
      <c r="K141" s="52"/>
      <c r="L141" s="29">
        <f t="shared" si="22"/>
        <v>0</v>
      </c>
    </row>
    <row r="142" spans="1:12" ht="15.75" x14ac:dyDescent="0.25">
      <c r="A142" s="111"/>
      <c r="B142" s="102"/>
      <c r="C142" s="12" t="s">
        <v>37</v>
      </c>
      <c r="D142" s="25"/>
      <c r="E142" s="14"/>
      <c r="F142" s="14"/>
      <c r="G142" s="14"/>
      <c r="H142" s="14"/>
      <c r="I142" s="52"/>
      <c r="J142" s="37"/>
      <c r="K142" s="52"/>
      <c r="L142" s="29">
        <f t="shared" si="22"/>
        <v>0</v>
      </c>
    </row>
    <row r="143" spans="1:12" ht="21.75" customHeight="1" x14ac:dyDescent="0.25">
      <c r="A143" s="111" t="s">
        <v>58</v>
      </c>
      <c r="B143" s="102" t="s">
        <v>42</v>
      </c>
      <c r="C143" s="12" t="s">
        <v>31</v>
      </c>
      <c r="D143" s="25">
        <f>D144+D145+D146+D147+D148+D149</f>
        <v>0</v>
      </c>
      <c r="E143" s="14">
        <f t="shared" ref="E143" si="41">E144+E145+E146+E147+E148+E149</f>
        <v>789.74</v>
      </c>
      <c r="F143" s="14">
        <f t="shared" ref="F143:K143" si="42">F144+F145+F146+F147+F148+F149</f>
        <v>0</v>
      </c>
      <c r="G143" s="14">
        <f t="shared" si="42"/>
        <v>0</v>
      </c>
      <c r="H143" s="14">
        <f t="shared" si="42"/>
        <v>0</v>
      </c>
      <c r="I143" s="41">
        <f t="shared" si="42"/>
        <v>0</v>
      </c>
      <c r="J143" s="41">
        <f t="shared" si="42"/>
        <v>0</v>
      </c>
      <c r="K143" s="68">
        <f t="shared" si="42"/>
        <v>0</v>
      </c>
      <c r="L143" s="29">
        <f t="shared" si="22"/>
        <v>789.74</v>
      </c>
    </row>
    <row r="144" spans="1:12" ht="30.75" customHeight="1" x14ac:dyDescent="0.25">
      <c r="A144" s="111"/>
      <c r="B144" s="102"/>
      <c r="C144" s="13" t="s">
        <v>32</v>
      </c>
      <c r="D144" s="25"/>
      <c r="E144" s="14"/>
      <c r="F144" s="14"/>
      <c r="G144" s="14"/>
      <c r="H144" s="14"/>
      <c r="I144" s="52"/>
      <c r="J144" s="37"/>
      <c r="K144" s="52"/>
      <c r="L144" s="29">
        <f t="shared" si="22"/>
        <v>0</v>
      </c>
    </row>
    <row r="145" spans="1:12" ht="28.5" customHeight="1" x14ac:dyDescent="0.25">
      <c r="A145" s="111"/>
      <c r="B145" s="102"/>
      <c r="C145" s="13" t="s">
        <v>33</v>
      </c>
      <c r="D145" s="14"/>
      <c r="E145" s="14"/>
      <c r="F145" s="14"/>
      <c r="G145" s="14"/>
      <c r="H145" s="14"/>
      <c r="I145" s="52"/>
      <c r="J145" s="37"/>
      <c r="K145" s="52"/>
      <c r="L145" s="29">
        <f t="shared" ref="L145:L208" si="43">SUM(D145:K145)</f>
        <v>0</v>
      </c>
    </row>
    <row r="146" spans="1:12" ht="15.75" x14ac:dyDescent="0.25">
      <c r="A146" s="111"/>
      <c r="B146" s="102"/>
      <c r="C146" s="12" t="s">
        <v>34</v>
      </c>
      <c r="D146" s="14"/>
      <c r="E146" s="14">
        <f>800-10.26</f>
        <v>789.74</v>
      </c>
      <c r="F146" s="14"/>
      <c r="G146" s="14"/>
      <c r="H146" s="14"/>
      <c r="I146" s="37"/>
      <c r="J146" s="37"/>
      <c r="K146" s="52"/>
      <c r="L146" s="29">
        <f t="shared" si="43"/>
        <v>789.74</v>
      </c>
    </row>
    <row r="147" spans="1:12" ht="33.75" customHeight="1" x14ac:dyDescent="0.25">
      <c r="A147" s="111"/>
      <c r="B147" s="102"/>
      <c r="C147" s="13" t="s">
        <v>35</v>
      </c>
      <c r="D147" s="14"/>
      <c r="E147" s="14"/>
      <c r="F147" s="14"/>
      <c r="G147" s="14"/>
      <c r="H147" s="14"/>
      <c r="I147" s="52"/>
      <c r="J147" s="37"/>
      <c r="K147" s="52"/>
      <c r="L147" s="29">
        <f t="shared" si="43"/>
        <v>0</v>
      </c>
    </row>
    <row r="148" spans="1:12" ht="30" customHeight="1" x14ac:dyDescent="0.25">
      <c r="A148" s="111"/>
      <c r="B148" s="102"/>
      <c r="C148" s="13" t="s">
        <v>36</v>
      </c>
      <c r="D148" s="14"/>
      <c r="E148" s="14"/>
      <c r="F148" s="14"/>
      <c r="G148" s="14"/>
      <c r="H148" s="14"/>
      <c r="I148" s="52"/>
      <c r="J148" s="37"/>
      <c r="K148" s="52"/>
      <c r="L148" s="29">
        <f t="shared" si="43"/>
        <v>0</v>
      </c>
    </row>
    <row r="149" spans="1:12" ht="15.75" x14ac:dyDescent="0.25">
      <c r="A149" s="111"/>
      <c r="B149" s="102"/>
      <c r="C149" s="12" t="s">
        <v>37</v>
      </c>
      <c r="D149" s="14"/>
      <c r="E149" s="14"/>
      <c r="F149" s="14"/>
      <c r="G149" s="14"/>
      <c r="H149" s="14"/>
      <c r="I149" s="52"/>
      <c r="J149" s="37"/>
      <c r="K149" s="52"/>
      <c r="L149" s="29">
        <f t="shared" si="43"/>
        <v>0</v>
      </c>
    </row>
    <row r="150" spans="1:12" ht="16.5" customHeight="1" x14ac:dyDescent="0.25">
      <c r="A150" s="111" t="s">
        <v>60</v>
      </c>
      <c r="B150" s="102" t="s">
        <v>83</v>
      </c>
      <c r="C150" s="12" t="s">
        <v>31</v>
      </c>
      <c r="D150" s="14">
        <f>D151+D152+D153+D154+D155+D156</f>
        <v>0</v>
      </c>
      <c r="E150" s="14">
        <f t="shared" ref="E150" si="44">E151+E152+E153+E154+E155+E156</f>
        <v>0</v>
      </c>
      <c r="F150" s="14">
        <f t="shared" ref="F150:K150" si="45">F151+F152+F153+F154+F155+F156</f>
        <v>335.8</v>
      </c>
      <c r="G150" s="14">
        <f t="shared" si="45"/>
        <v>229.2</v>
      </c>
      <c r="H150" s="14">
        <f t="shared" si="45"/>
        <v>0</v>
      </c>
      <c r="I150" s="41">
        <f t="shared" si="45"/>
        <v>607.79999999999995</v>
      </c>
      <c r="J150" s="41">
        <f t="shared" si="45"/>
        <v>634.5</v>
      </c>
      <c r="K150" s="68">
        <f t="shared" si="45"/>
        <v>658.6</v>
      </c>
      <c r="L150" s="29">
        <f t="shared" si="43"/>
        <v>2465.9</v>
      </c>
    </row>
    <row r="151" spans="1:12" ht="36" customHeight="1" x14ac:dyDescent="0.25">
      <c r="A151" s="111"/>
      <c r="B151" s="102"/>
      <c r="C151" s="13" t="s">
        <v>32</v>
      </c>
      <c r="D151" s="14"/>
      <c r="E151" s="14"/>
      <c r="F151" s="14"/>
      <c r="G151" s="14"/>
      <c r="H151" s="14"/>
      <c r="I151" s="52"/>
      <c r="J151" s="37"/>
      <c r="K151" s="52"/>
      <c r="L151" s="29">
        <f t="shared" si="43"/>
        <v>0</v>
      </c>
    </row>
    <row r="152" spans="1:12" ht="33" customHeight="1" x14ac:dyDescent="0.25">
      <c r="A152" s="111"/>
      <c r="B152" s="102"/>
      <c r="C152" s="13" t="s">
        <v>33</v>
      </c>
      <c r="D152" s="14"/>
      <c r="E152" s="14"/>
      <c r="F152" s="14"/>
      <c r="G152" s="14"/>
      <c r="H152" s="14"/>
      <c r="I152" s="52"/>
      <c r="J152" s="37"/>
      <c r="K152" s="52"/>
      <c r="L152" s="29">
        <f t="shared" si="43"/>
        <v>0</v>
      </c>
    </row>
    <row r="153" spans="1:12" ht="15.75" x14ac:dyDescent="0.25">
      <c r="A153" s="111"/>
      <c r="B153" s="102"/>
      <c r="C153" s="12" t="s">
        <v>34</v>
      </c>
      <c r="D153" s="14"/>
      <c r="E153" s="14"/>
      <c r="F153" s="14">
        <v>335.8</v>
      </c>
      <c r="G153" s="14">
        <v>229.2</v>
      </c>
      <c r="H153" s="14"/>
      <c r="I153" s="37">
        <v>607.79999999999995</v>
      </c>
      <c r="J153" s="37">
        <v>634.5</v>
      </c>
      <c r="K153" s="52">
        <v>658.6</v>
      </c>
      <c r="L153" s="29">
        <f t="shared" si="43"/>
        <v>2465.9</v>
      </c>
    </row>
    <row r="154" spans="1:12" ht="30.75" customHeight="1" x14ac:dyDescent="0.25">
      <c r="A154" s="111"/>
      <c r="B154" s="102"/>
      <c r="C154" s="13" t="s">
        <v>35</v>
      </c>
      <c r="D154" s="14"/>
      <c r="E154" s="14"/>
      <c r="F154" s="14"/>
      <c r="G154" s="14"/>
      <c r="H154" s="14"/>
      <c r="I154" s="52"/>
      <c r="J154" s="37"/>
      <c r="K154" s="52"/>
      <c r="L154" s="29">
        <f t="shared" si="43"/>
        <v>0</v>
      </c>
    </row>
    <row r="155" spans="1:12" ht="32.25" customHeight="1" x14ac:dyDescent="0.25">
      <c r="A155" s="111"/>
      <c r="B155" s="102"/>
      <c r="C155" s="13" t="s">
        <v>36</v>
      </c>
      <c r="D155" s="14"/>
      <c r="E155" s="14"/>
      <c r="F155" s="14"/>
      <c r="G155" s="14"/>
      <c r="H155" s="14"/>
      <c r="I155" s="52"/>
      <c r="J155" s="37"/>
      <c r="K155" s="52"/>
      <c r="L155" s="29">
        <f t="shared" si="43"/>
        <v>0</v>
      </c>
    </row>
    <row r="156" spans="1:12" ht="15.75" x14ac:dyDescent="0.25">
      <c r="A156" s="111"/>
      <c r="B156" s="102"/>
      <c r="C156" s="12" t="s">
        <v>37</v>
      </c>
      <c r="D156" s="14"/>
      <c r="E156" s="14"/>
      <c r="F156" s="14"/>
      <c r="G156" s="14"/>
      <c r="H156" s="14"/>
      <c r="I156" s="52"/>
      <c r="J156" s="37"/>
      <c r="K156" s="52"/>
      <c r="L156" s="29">
        <f t="shared" si="43"/>
        <v>0</v>
      </c>
    </row>
    <row r="157" spans="1:12" ht="15.75" customHeight="1" x14ac:dyDescent="0.25">
      <c r="A157" s="106" t="s">
        <v>115</v>
      </c>
      <c r="B157" s="102" t="s">
        <v>39</v>
      </c>
      <c r="C157" s="12" t="s">
        <v>31</v>
      </c>
      <c r="D157" s="39">
        <f>D158+D159+D160+D161+D162+D163</f>
        <v>2742</v>
      </c>
      <c r="E157" s="39">
        <f t="shared" ref="E157:K157" si="46">E158+E159+E160+E161+E162+E163</f>
        <v>2741</v>
      </c>
      <c r="F157" s="39">
        <f t="shared" si="46"/>
        <v>2750</v>
      </c>
      <c r="G157" s="39">
        <f t="shared" si="46"/>
        <v>2794</v>
      </c>
      <c r="H157" s="39">
        <f t="shared" si="46"/>
        <v>2722</v>
      </c>
      <c r="I157" s="41">
        <f t="shared" si="46"/>
        <v>2722</v>
      </c>
      <c r="J157" s="41">
        <f t="shared" si="46"/>
        <v>2722</v>
      </c>
      <c r="K157" s="68">
        <f t="shared" si="46"/>
        <v>0</v>
      </c>
      <c r="L157" s="29">
        <f t="shared" si="43"/>
        <v>19193</v>
      </c>
    </row>
    <row r="158" spans="1:12" ht="33" customHeight="1" x14ac:dyDescent="0.25">
      <c r="A158" s="107"/>
      <c r="B158" s="102"/>
      <c r="C158" s="13" t="s">
        <v>32</v>
      </c>
      <c r="D158" s="39"/>
      <c r="E158" s="39"/>
      <c r="F158" s="39"/>
      <c r="G158" s="39"/>
      <c r="H158" s="39"/>
      <c r="I158" s="52"/>
      <c r="J158" s="37"/>
      <c r="K158" s="52"/>
      <c r="L158" s="29">
        <f t="shared" si="43"/>
        <v>0</v>
      </c>
    </row>
    <row r="159" spans="1:12" ht="31.5" x14ac:dyDescent="0.25">
      <c r="A159" s="107"/>
      <c r="B159" s="102"/>
      <c r="C159" s="13" t="s">
        <v>33</v>
      </c>
      <c r="D159" s="39">
        <v>2742</v>
      </c>
      <c r="E159" s="39">
        <v>2741</v>
      </c>
      <c r="F159" s="39">
        <v>2750</v>
      </c>
      <c r="G159" s="25">
        <v>2794</v>
      </c>
      <c r="H159" s="25">
        <v>2722</v>
      </c>
      <c r="I159" s="56">
        <v>2722</v>
      </c>
      <c r="J159" s="47">
        <v>2722</v>
      </c>
      <c r="K159" s="52"/>
      <c r="L159" s="29">
        <f t="shared" si="43"/>
        <v>19193</v>
      </c>
    </row>
    <row r="160" spans="1:12" ht="15.75" x14ac:dyDescent="0.25">
      <c r="A160" s="107"/>
      <c r="B160" s="102"/>
      <c r="C160" s="12" t="s">
        <v>34</v>
      </c>
      <c r="D160" s="39"/>
      <c r="E160" s="39"/>
      <c r="F160" s="39"/>
      <c r="G160" s="39"/>
      <c r="H160" s="39"/>
      <c r="I160" s="52"/>
      <c r="J160" s="37"/>
      <c r="K160" s="52"/>
      <c r="L160" s="29">
        <f t="shared" si="43"/>
        <v>0</v>
      </c>
    </row>
    <row r="161" spans="1:12" ht="31.5" x14ac:dyDescent="0.25">
      <c r="A161" s="107"/>
      <c r="B161" s="102"/>
      <c r="C161" s="13" t="s">
        <v>35</v>
      </c>
      <c r="D161" s="39"/>
      <c r="E161" s="39"/>
      <c r="F161" s="39"/>
      <c r="G161" s="39"/>
      <c r="H161" s="39"/>
      <c r="I161" s="52"/>
      <c r="J161" s="37"/>
      <c r="K161" s="52"/>
      <c r="L161" s="29">
        <f t="shared" si="43"/>
        <v>0</v>
      </c>
    </row>
    <row r="162" spans="1:12" ht="31.5" x14ac:dyDescent="0.25">
      <c r="A162" s="107"/>
      <c r="B162" s="102"/>
      <c r="C162" s="13" t="s">
        <v>36</v>
      </c>
      <c r="D162" s="39"/>
      <c r="E162" s="39"/>
      <c r="F162" s="39"/>
      <c r="G162" s="39"/>
      <c r="H162" s="39"/>
      <c r="I162" s="52"/>
      <c r="J162" s="37"/>
      <c r="K162" s="52"/>
      <c r="L162" s="29">
        <f t="shared" si="43"/>
        <v>0</v>
      </c>
    </row>
    <row r="163" spans="1:12" ht="15.75" x14ac:dyDescent="0.25">
      <c r="A163" s="108"/>
      <c r="B163" s="102"/>
      <c r="C163" s="12" t="s">
        <v>37</v>
      </c>
      <c r="D163" s="39"/>
      <c r="E163" s="39"/>
      <c r="F163" s="39"/>
      <c r="G163" s="39"/>
      <c r="H163" s="39"/>
      <c r="I163" s="52"/>
      <c r="J163" s="37"/>
      <c r="K163" s="52"/>
      <c r="L163" s="29">
        <f t="shared" si="43"/>
        <v>0</v>
      </c>
    </row>
    <row r="164" spans="1:12" ht="22.5" customHeight="1" x14ac:dyDescent="0.25">
      <c r="A164" s="111" t="s">
        <v>134</v>
      </c>
      <c r="B164" s="102" t="s">
        <v>20</v>
      </c>
      <c r="C164" s="12" t="s">
        <v>31</v>
      </c>
      <c r="D164" s="14">
        <f>D165+D166+D167+D168+D169+D170</f>
        <v>0</v>
      </c>
      <c r="E164" s="14">
        <f t="shared" ref="E164" si="47">E165+E166+E167+E168+E169+E170</f>
        <v>0</v>
      </c>
      <c r="F164" s="14">
        <f t="shared" ref="F164:K164" si="48">F165+F166+F167+F168+F169+F170</f>
        <v>70</v>
      </c>
      <c r="G164" s="14">
        <f t="shared" si="48"/>
        <v>70</v>
      </c>
      <c r="H164" s="14">
        <f t="shared" si="48"/>
        <v>70</v>
      </c>
      <c r="I164" s="41">
        <f t="shared" si="48"/>
        <v>70</v>
      </c>
      <c r="J164" s="41">
        <f t="shared" si="48"/>
        <v>73.099999999999994</v>
      </c>
      <c r="K164" s="68">
        <f t="shared" si="48"/>
        <v>76.5</v>
      </c>
      <c r="L164" s="29">
        <f t="shared" si="43"/>
        <v>429.6</v>
      </c>
    </row>
    <row r="165" spans="1:12" ht="30" customHeight="1" x14ac:dyDescent="0.25">
      <c r="A165" s="111"/>
      <c r="B165" s="102"/>
      <c r="C165" s="13" t="s">
        <v>32</v>
      </c>
      <c r="D165" s="14"/>
      <c r="E165" s="14"/>
      <c r="F165" s="14"/>
      <c r="G165" s="14"/>
      <c r="H165" s="14"/>
      <c r="I165" s="52"/>
      <c r="J165" s="37"/>
      <c r="K165" s="52"/>
      <c r="L165" s="29">
        <f t="shared" si="43"/>
        <v>0</v>
      </c>
    </row>
    <row r="166" spans="1:12" ht="30" customHeight="1" x14ac:dyDescent="0.25">
      <c r="A166" s="111"/>
      <c r="B166" s="102"/>
      <c r="C166" s="13" t="s">
        <v>33</v>
      </c>
      <c r="D166" s="14"/>
      <c r="E166" s="14"/>
      <c r="F166" s="14"/>
      <c r="G166" s="14"/>
      <c r="H166" s="14"/>
      <c r="I166" s="52"/>
      <c r="J166" s="37"/>
      <c r="K166" s="52"/>
      <c r="L166" s="29">
        <f t="shared" si="43"/>
        <v>0</v>
      </c>
    </row>
    <row r="167" spans="1:12" ht="15.75" x14ac:dyDescent="0.25">
      <c r="A167" s="111"/>
      <c r="B167" s="102"/>
      <c r="C167" s="12" t="s">
        <v>34</v>
      </c>
      <c r="D167" s="14"/>
      <c r="E167" s="14"/>
      <c r="F167" s="14">
        <v>70</v>
      </c>
      <c r="G167" s="14">
        <v>70</v>
      </c>
      <c r="H167" s="14">
        <v>70</v>
      </c>
      <c r="I167" s="52">
        <v>70</v>
      </c>
      <c r="J167" s="37">
        <v>73.099999999999994</v>
      </c>
      <c r="K167" s="52">
        <v>76.5</v>
      </c>
      <c r="L167" s="29">
        <f t="shared" si="43"/>
        <v>429.6</v>
      </c>
    </row>
    <row r="168" spans="1:12" ht="33" customHeight="1" x14ac:dyDescent="0.25">
      <c r="A168" s="111"/>
      <c r="B168" s="102"/>
      <c r="C168" s="13" t="s">
        <v>35</v>
      </c>
      <c r="D168" s="14"/>
      <c r="E168" s="14"/>
      <c r="F168" s="14"/>
      <c r="G168" s="14"/>
      <c r="H168" s="14"/>
      <c r="I168" s="52"/>
      <c r="J168" s="37"/>
      <c r="K168" s="52"/>
      <c r="L168" s="29">
        <f t="shared" si="43"/>
        <v>0</v>
      </c>
    </row>
    <row r="169" spans="1:12" ht="30.75" customHeight="1" x14ac:dyDescent="0.25">
      <c r="A169" s="111"/>
      <c r="B169" s="102"/>
      <c r="C169" s="13" t="s">
        <v>36</v>
      </c>
      <c r="D169" s="14"/>
      <c r="E169" s="14"/>
      <c r="F169" s="14"/>
      <c r="G169" s="14"/>
      <c r="H169" s="14"/>
      <c r="I169" s="52"/>
      <c r="J169" s="37"/>
      <c r="K169" s="52"/>
      <c r="L169" s="29">
        <f t="shared" si="43"/>
        <v>0</v>
      </c>
    </row>
    <row r="170" spans="1:12" ht="20.25" customHeight="1" x14ac:dyDescent="0.25">
      <c r="A170" s="111"/>
      <c r="B170" s="102"/>
      <c r="C170" s="12" t="s">
        <v>37</v>
      </c>
      <c r="D170" s="14"/>
      <c r="E170" s="14"/>
      <c r="F170" s="14"/>
      <c r="G170" s="14"/>
      <c r="H170" s="14"/>
      <c r="I170" s="52"/>
      <c r="J170" s="37"/>
      <c r="K170" s="52"/>
      <c r="L170" s="29">
        <f t="shared" si="43"/>
        <v>0</v>
      </c>
    </row>
    <row r="171" spans="1:12" ht="20.25" customHeight="1" x14ac:dyDescent="0.25">
      <c r="A171" s="106" t="s">
        <v>143</v>
      </c>
      <c r="B171" s="93" t="s">
        <v>144</v>
      </c>
      <c r="C171" s="12" t="s">
        <v>31</v>
      </c>
      <c r="D171" s="60"/>
      <c r="E171" s="60"/>
      <c r="F171" s="60"/>
      <c r="G171" s="60">
        <f t="shared" ref="G171:K171" si="49">G172+G173+G174+G175+G176+G177</f>
        <v>3004.85</v>
      </c>
      <c r="H171" s="60">
        <f t="shared" si="49"/>
        <v>4349.3850000000002</v>
      </c>
      <c r="I171" s="60">
        <f t="shared" si="49"/>
        <v>165.7</v>
      </c>
      <c r="J171" s="60">
        <f t="shared" si="49"/>
        <v>173</v>
      </c>
      <c r="K171" s="68">
        <f t="shared" si="49"/>
        <v>181</v>
      </c>
      <c r="L171" s="29">
        <f t="shared" si="43"/>
        <v>7873.9350000000004</v>
      </c>
    </row>
    <row r="172" spans="1:12" ht="30" customHeight="1" x14ac:dyDescent="0.25">
      <c r="A172" s="107"/>
      <c r="B172" s="98"/>
      <c r="C172" s="13" t="s">
        <v>32</v>
      </c>
      <c r="D172" s="60"/>
      <c r="E172" s="60"/>
      <c r="F172" s="60"/>
      <c r="G172" s="60"/>
      <c r="H172" s="60"/>
      <c r="I172" s="52"/>
      <c r="J172" s="37"/>
      <c r="K172" s="52"/>
      <c r="L172" s="29">
        <f t="shared" si="43"/>
        <v>0</v>
      </c>
    </row>
    <row r="173" spans="1:12" ht="31.5" customHeight="1" x14ac:dyDescent="0.25">
      <c r="A173" s="107"/>
      <c r="B173" s="98"/>
      <c r="C173" s="13" t="s">
        <v>33</v>
      </c>
      <c r="D173" s="60"/>
      <c r="E173" s="60"/>
      <c r="F173" s="60"/>
      <c r="G173" s="60">
        <v>2882.35</v>
      </c>
      <c r="H173" s="60">
        <v>4158.3</v>
      </c>
      <c r="I173" s="52"/>
      <c r="J173" s="37"/>
      <c r="K173" s="52"/>
      <c r="L173" s="29">
        <f t="shared" si="43"/>
        <v>7040.65</v>
      </c>
    </row>
    <row r="174" spans="1:12" ht="16.5" customHeight="1" x14ac:dyDescent="0.25">
      <c r="A174" s="107"/>
      <c r="B174" s="98"/>
      <c r="C174" s="12" t="s">
        <v>34</v>
      </c>
      <c r="D174" s="60"/>
      <c r="E174" s="60"/>
      <c r="F174" s="60"/>
      <c r="G174" s="60">
        <f>600-477.5</f>
        <v>122.5</v>
      </c>
      <c r="H174" s="60">
        <f>150+41.085</f>
        <v>191.08500000000001</v>
      </c>
      <c r="I174" s="52">
        <v>165.7</v>
      </c>
      <c r="J174" s="37">
        <v>173</v>
      </c>
      <c r="K174" s="52">
        <v>181</v>
      </c>
      <c r="L174" s="29">
        <f t="shared" si="43"/>
        <v>833.28500000000008</v>
      </c>
    </row>
    <row r="175" spans="1:12" ht="30.75" customHeight="1" x14ac:dyDescent="0.25">
      <c r="A175" s="107"/>
      <c r="B175" s="98"/>
      <c r="C175" s="13" t="s">
        <v>35</v>
      </c>
      <c r="D175" s="60"/>
      <c r="E175" s="60"/>
      <c r="F175" s="60"/>
      <c r="G175" s="60"/>
      <c r="H175" s="60"/>
      <c r="I175" s="52"/>
      <c r="J175" s="37"/>
      <c r="K175" s="52"/>
      <c r="L175" s="29">
        <f t="shared" si="43"/>
        <v>0</v>
      </c>
    </row>
    <row r="176" spans="1:12" ht="28.5" customHeight="1" x14ac:dyDescent="0.25">
      <c r="A176" s="107"/>
      <c r="B176" s="98"/>
      <c r="C176" s="13" t="s">
        <v>36</v>
      </c>
      <c r="D176" s="60"/>
      <c r="E176" s="60"/>
      <c r="F176" s="60"/>
      <c r="G176" s="60"/>
      <c r="H176" s="60"/>
      <c r="I176" s="52"/>
      <c r="J176" s="37"/>
      <c r="K176" s="52"/>
      <c r="L176" s="29">
        <f t="shared" si="43"/>
        <v>0</v>
      </c>
    </row>
    <row r="177" spans="1:12" ht="20.25" customHeight="1" x14ac:dyDescent="0.25">
      <c r="A177" s="108"/>
      <c r="B177" s="94"/>
      <c r="C177" s="12" t="s">
        <v>37</v>
      </c>
      <c r="D177" s="60"/>
      <c r="E177" s="60"/>
      <c r="F177" s="60"/>
      <c r="G177" s="60"/>
      <c r="H177" s="60"/>
      <c r="I177" s="52"/>
      <c r="J177" s="37"/>
      <c r="K177" s="52"/>
      <c r="L177" s="29">
        <f t="shared" si="43"/>
        <v>0</v>
      </c>
    </row>
    <row r="178" spans="1:12" ht="20.25" customHeight="1" x14ac:dyDescent="0.25">
      <c r="A178" s="106" t="s">
        <v>152</v>
      </c>
      <c r="B178" s="93" t="s">
        <v>150</v>
      </c>
      <c r="C178" s="12" t="s">
        <v>31</v>
      </c>
      <c r="D178" s="67"/>
      <c r="E178" s="67"/>
      <c r="F178" s="67"/>
      <c r="G178" s="67"/>
      <c r="H178" s="67">
        <f t="shared" ref="H178:K178" si="50">H179+H180+H181+H182+H183+H184</f>
        <v>180</v>
      </c>
      <c r="I178" s="68">
        <f t="shared" si="50"/>
        <v>980</v>
      </c>
      <c r="J178" s="68">
        <f t="shared" si="50"/>
        <v>1023.1</v>
      </c>
      <c r="K178" s="68">
        <f t="shared" si="50"/>
        <v>1070.2</v>
      </c>
      <c r="L178" s="29">
        <f t="shared" si="43"/>
        <v>3253.3</v>
      </c>
    </row>
    <row r="179" spans="1:12" ht="30" customHeight="1" x14ac:dyDescent="0.25">
      <c r="A179" s="107"/>
      <c r="B179" s="98"/>
      <c r="C179" s="13" t="s">
        <v>32</v>
      </c>
      <c r="D179" s="67"/>
      <c r="E179" s="67"/>
      <c r="F179" s="67"/>
      <c r="G179" s="67"/>
      <c r="H179" s="67"/>
      <c r="I179" s="52"/>
      <c r="J179" s="37"/>
      <c r="K179" s="52"/>
      <c r="L179" s="29">
        <f t="shared" si="43"/>
        <v>0</v>
      </c>
    </row>
    <row r="180" spans="1:12" ht="27.75" customHeight="1" x14ac:dyDescent="0.25">
      <c r="A180" s="107"/>
      <c r="B180" s="98"/>
      <c r="C180" s="13" t="s">
        <v>33</v>
      </c>
      <c r="D180" s="67"/>
      <c r="E180" s="67"/>
      <c r="F180" s="67"/>
      <c r="G180" s="67"/>
      <c r="H180" s="67"/>
      <c r="I180" s="52"/>
      <c r="J180" s="37"/>
      <c r="K180" s="52"/>
      <c r="L180" s="29">
        <f t="shared" si="43"/>
        <v>0</v>
      </c>
    </row>
    <row r="181" spans="1:12" ht="20.25" customHeight="1" x14ac:dyDescent="0.25">
      <c r="A181" s="107"/>
      <c r="B181" s="98"/>
      <c r="C181" s="12" t="s">
        <v>34</v>
      </c>
      <c r="D181" s="67"/>
      <c r="E181" s="67"/>
      <c r="F181" s="67"/>
      <c r="G181" s="67"/>
      <c r="H181" s="67">
        <v>180</v>
      </c>
      <c r="I181" s="52">
        <v>980</v>
      </c>
      <c r="J181" s="37">
        <v>1023.1</v>
      </c>
      <c r="K181" s="52">
        <v>1070.2</v>
      </c>
      <c r="L181" s="29">
        <f t="shared" si="43"/>
        <v>3253.3</v>
      </c>
    </row>
    <row r="182" spans="1:12" ht="31.5" customHeight="1" x14ac:dyDescent="0.25">
      <c r="A182" s="107"/>
      <c r="B182" s="98"/>
      <c r="C182" s="13" t="s">
        <v>35</v>
      </c>
      <c r="D182" s="67"/>
      <c r="E182" s="67"/>
      <c r="F182" s="67"/>
      <c r="G182" s="67"/>
      <c r="H182" s="67"/>
      <c r="I182" s="52"/>
      <c r="J182" s="37"/>
      <c r="K182" s="52"/>
      <c r="L182" s="29">
        <f t="shared" si="43"/>
        <v>0</v>
      </c>
    </row>
    <row r="183" spans="1:12" ht="29.25" customHeight="1" x14ac:dyDescent="0.25">
      <c r="A183" s="107"/>
      <c r="B183" s="98"/>
      <c r="C183" s="13" t="s">
        <v>36</v>
      </c>
      <c r="D183" s="67"/>
      <c r="E183" s="67"/>
      <c r="F183" s="67"/>
      <c r="G183" s="67"/>
      <c r="H183" s="67"/>
      <c r="I183" s="52"/>
      <c r="J183" s="37"/>
      <c r="K183" s="52"/>
      <c r="L183" s="29">
        <f t="shared" si="43"/>
        <v>0</v>
      </c>
    </row>
    <row r="184" spans="1:12" ht="20.25" customHeight="1" x14ac:dyDescent="0.25">
      <c r="A184" s="108"/>
      <c r="B184" s="94"/>
      <c r="C184" s="12" t="s">
        <v>37</v>
      </c>
      <c r="D184" s="67"/>
      <c r="E184" s="67"/>
      <c r="F184" s="67"/>
      <c r="G184" s="67"/>
      <c r="H184" s="67"/>
      <c r="I184" s="52"/>
      <c r="J184" s="37"/>
      <c r="K184" s="52"/>
      <c r="L184" s="29">
        <f t="shared" si="43"/>
        <v>0</v>
      </c>
    </row>
    <row r="185" spans="1:12" ht="21.75" customHeight="1" x14ac:dyDescent="0.25">
      <c r="A185" s="111" t="s">
        <v>61</v>
      </c>
      <c r="B185" s="102" t="s">
        <v>161</v>
      </c>
      <c r="C185" s="12" t="s">
        <v>31</v>
      </c>
      <c r="D185" s="14">
        <f>D192+D199+D206+D213+D220+D227+D241</f>
        <v>14494.77</v>
      </c>
      <c r="E185" s="39">
        <f>E192+E199+E206+E213+E220+E227+E241+E234</f>
        <v>14930.529999999999</v>
      </c>
      <c r="F185" s="39">
        <f t="shared" ref="F185:K185" si="51">F192+F199+F206+F213+F220+F227+F241</f>
        <v>15344.1</v>
      </c>
      <c r="G185" s="25">
        <f t="shared" si="51"/>
        <v>16446.55</v>
      </c>
      <c r="H185" s="39">
        <f t="shared" si="51"/>
        <v>18846.63</v>
      </c>
      <c r="I185" s="41">
        <f t="shared" si="51"/>
        <v>19856.300000000003</v>
      </c>
      <c r="J185" s="41">
        <f t="shared" si="51"/>
        <v>20088.3</v>
      </c>
      <c r="K185" s="68">
        <f t="shared" si="51"/>
        <v>20139.400000000001</v>
      </c>
      <c r="L185" s="29">
        <f t="shared" si="43"/>
        <v>140146.58000000002</v>
      </c>
    </row>
    <row r="186" spans="1:12" ht="30" customHeight="1" x14ac:dyDescent="0.25">
      <c r="A186" s="111"/>
      <c r="B186" s="102"/>
      <c r="C186" s="13" t="s">
        <v>32</v>
      </c>
      <c r="D186" s="39">
        <f t="shared" ref="D186:K191" si="52">D193+D200+D207+D214+D221+D228+D242</f>
        <v>0</v>
      </c>
      <c r="E186" s="39">
        <f t="shared" si="52"/>
        <v>0</v>
      </c>
      <c r="F186" s="39">
        <f t="shared" si="52"/>
        <v>0</v>
      </c>
      <c r="G186" s="25">
        <f t="shared" si="52"/>
        <v>0</v>
      </c>
      <c r="H186" s="39">
        <f t="shared" si="52"/>
        <v>0</v>
      </c>
      <c r="I186" s="41">
        <f t="shared" si="52"/>
        <v>0</v>
      </c>
      <c r="J186" s="41">
        <f t="shared" si="52"/>
        <v>0</v>
      </c>
      <c r="K186" s="52"/>
      <c r="L186" s="29">
        <f t="shared" si="43"/>
        <v>0</v>
      </c>
    </row>
    <row r="187" spans="1:12" ht="31.5" customHeight="1" x14ac:dyDescent="0.25">
      <c r="A187" s="111"/>
      <c r="B187" s="102"/>
      <c r="C187" s="13" t="s">
        <v>33</v>
      </c>
      <c r="D187" s="39">
        <f t="shared" si="52"/>
        <v>357.87</v>
      </c>
      <c r="E187" s="39">
        <f t="shared" si="52"/>
        <v>0</v>
      </c>
      <c r="F187" s="39">
        <f t="shared" si="52"/>
        <v>0</v>
      </c>
      <c r="G187" s="25">
        <f t="shared" si="52"/>
        <v>0</v>
      </c>
      <c r="H187" s="39">
        <f t="shared" si="52"/>
        <v>0</v>
      </c>
      <c r="I187" s="41">
        <f t="shared" si="52"/>
        <v>0</v>
      </c>
      <c r="J187" s="41">
        <f t="shared" si="52"/>
        <v>0</v>
      </c>
      <c r="K187" s="68">
        <f t="shared" si="52"/>
        <v>0</v>
      </c>
      <c r="L187" s="29">
        <f t="shared" si="43"/>
        <v>357.87</v>
      </c>
    </row>
    <row r="188" spans="1:12" ht="15.75" x14ac:dyDescent="0.25">
      <c r="A188" s="111"/>
      <c r="B188" s="102"/>
      <c r="C188" s="12" t="s">
        <v>34</v>
      </c>
      <c r="D188" s="39">
        <f t="shared" si="52"/>
        <v>14136.9</v>
      </c>
      <c r="E188" s="39">
        <f>E195+E202+E209+E216+E223+E230+E244+E237</f>
        <v>14930.529999999999</v>
      </c>
      <c r="F188" s="39">
        <f t="shared" si="52"/>
        <v>15344.1</v>
      </c>
      <c r="G188" s="25">
        <f t="shared" si="52"/>
        <v>16446.55</v>
      </c>
      <c r="H188" s="39">
        <f t="shared" si="52"/>
        <v>18846.63</v>
      </c>
      <c r="I188" s="41">
        <f t="shared" si="52"/>
        <v>19856.300000000003</v>
      </c>
      <c r="J188" s="41">
        <f t="shared" si="52"/>
        <v>20088.3</v>
      </c>
      <c r="K188" s="68">
        <f t="shared" si="52"/>
        <v>20139.400000000001</v>
      </c>
      <c r="L188" s="29">
        <f t="shared" si="43"/>
        <v>139788.71000000002</v>
      </c>
    </row>
    <row r="189" spans="1:12" ht="31.5" x14ac:dyDescent="0.25">
      <c r="A189" s="111"/>
      <c r="B189" s="102"/>
      <c r="C189" s="13" t="s">
        <v>35</v>
      </c>
      <c r="D189" s="39">
        <f t="shared" si="52"/>
        <v>0</v>
      </c>
      <c r="E189" s="39">
        <f t="shared" si="52"/>
        <v>0</v>
      </c>
      <c r="F189" s="39">
        <f t="shared" si="52"/>
        <v>0</v>
      </c>
      <c r="G189" s="25">
        <f t="shared" si="52"/>
        <v>0</v>
      </c>
      <c r="H189" s="39">
        <f t="shared" si="52"/>
        <v>0</v>
      </c>
      <c r="I189" s="41">
        <f t="shared" si="52"/>
        <v>0</v>
      </c>
      <c r="J189" s="41">
        <f t="shared" si="52"/>
        <v>0</v>
      </c>
      <c r="K189" s="68">
        <f t="shared" si="52"/>
        <v>0</v>
      </c>
      <c r="L189" s="29">
        <f t="shared" si="43"/>
        <v>0</v>
      </c>
    </row>
    <row r="190" spans="1:12" ht="35.25" customHeight="1" x14ac:dyDescent="0.25">
      <c r="A190" s="111"/>
      <c r="B190" s="102"/>
      <c r="C190" s="13" t="s">
        <v>36</v>
      </c>
      <c r="D190" s="39">
        <f t="shared" si="52"/>
        <v>0</v>
      </c>
      <c r="E190" s="39">
        <f t="shared" si="52"/>
        <v>0</v>
      </c>
      <c r="F190" s="39">
        <f t="shared" si="52"/>
        <v>0</v>
      </c>
      <c r="G190" s="25">
        <f t="shared" si="52"/>
        <v>0</v>
      </c>
      <c r="H190" s="39">
        <f t="shared" si="52"/>
        <v>0</v>
      </c>
      <c r="I190" s="41">
        <f t="shared" si="52"/>
        <v>0</v>
      </c>
      <c r="J190" s="41">
        <f t="shared" si="52"/>
        <v>0</v>
      </c>
      <c r="K190" s="52"/>
      <c r="L190" s="29">
        <f t="shared" si="43"/>
        <v>0</v>
      </c>
    </row>
    <row r="191" spans="1:12" ht="15.75" x14ac:dyDescent="0.25">
      <c r="A191" s="111"/>
      <c r="B191" s="102"/>
      <c r="C191" s="12" t="s">
        <v>37</v>
      </c>
      <c r="D191" s="39">
        <f t="shared" si="52"/>
        <v>0</v>
      </c>
      <c r="E191" s="39">
        <f t="shared" si="52"/>
        <v>0</v>
      </c>
      <c r="F191" s="39">
        <f t="shared" si="52"/>
        <v>0</v>
      </c>
      <c r="G191" s="25">
        <f t="shared" si="52"/>
        <v>0</v>
      </c>
      <c r="H191" s="39">
        <f t="shared" si="52"/>
        <v>0</v>
      </c>
      <c r="I191" s="41">
        <f t="shared" si="52"/>
        <v>0</v>
      </c>
      <c r="J191" s="41">
        <f t="shared" si="52"/>
        <v>0</v>
      </c>
      <c r="K191" s="52"/>
      <c r="L191" s="29">
        <f t="shared" si="43"/>
        <v>0</v>
      </c>
    </row>
    <row r="192" spans="1:12" ht="20.25" customHeight="1" x14ac:dyDescent="0.25">
      <c r="A192" s="111" t="s">
        <v>62</v>
      </c>
      <c r="B192" s="102" t="s">
        <v>77</v>
      </c>
      <c r="C192" s="12" t="s">
        <v>31</v>
      </c>
      <c r="D192" s="14">
        <f>D193+D194+D195+D196+D197+D198</f>
        <v>13637.2</v>
      </c>
      <c r="E192" s="14">
        <f>E193+E194+E195+E196+E197+E198</f>
        <v>14584.71</v>
      </c>
      <c r="F192" s="14">
        <f t="shared" ref="F192:K192" si="53">F193+F194+F195+F196+F197+F198</f>
        <v>15246.2</v>
      </c>
      <c r="G192" s="25">
        <f t="shared" si="53"/>
        <v>15968.75</v>
      </c>
      <c r="H192" s="14">
        <f t="shared" si="53"/>
        <v>18776.330000000002</v>
      </c>
      <c r="I192" s="41">
        <f t="shared" si="53"/>
        <v>19726.400000000001</v>
      </c>
      <c r="J192" s="41">
        <f t="shared" si="53"/>
        <v>19868.599999999999</v>
      </c>
      <c r="K192" s="68">
        <f t="shared" si="53"/>
        <v>20019.5</v>
      </c>
      <c r="L192" s="29">
        <f t="shared" si="43"/>
        <v>137827.69</v>
      </c>
    </row>
    <row r="193" spans="1:12" ht="33" customHeight="1" x14ac:dyDescent="0.25">
      <c r="A193" s="111"/>
      <c r="B193" s="102"/>
      <c r="C193" s="13" t="s">
        <v>32</v>
      </c>
      <c r="D193" s="14"/>
      <c r="E193" s="14"/>
      <c r="F193" s="14"/>
      <c r="G193" s="14"/>
      <c r="H193" s="14"/>
      <c r="I193" s="52"/>
      <c r="J193" s="37"/>
      <c r="K193" s="52"/>
      <c r="L193" s="29">
        <f t="shared" si="43"/>
        <v>0</v>
      </c>
    </row>
    <row r="194" spans="1:12" ht="31.5" customHeight="1" x14ac:dyDescent="0.25">
      <c r="A194" s="111"/>
      <c r="B194" s="102"/>
      <c r="C194" s="13" t="s">
        <v>33</v>
      </c>
      <c r="D194" s="14"/>
      <c r="E194" s="14"/>
      <c r="F194" s="14"/>
      <c r="G194" s="14"/>
      <c r="H194" s="14"/>
      <c r="I194" s="52"/>
      <c r="J194" s="37"/>
      <c r="K194" s="52"/>
      <c r="L194" s="29">
        <f t="shared" si="43"/>
        <v>0</v>
      </c>
    </row>
    <row r="195" spans="1:12" ht="15.75" x14ac:dyDescent="0.25">
      <c r="A195" s="111"/>
      <c r="B195" s="102"/>
      <c r="C195" s="12" t="s">
        <v>34</v>
      </c>
      <c r="D195" s="14">
        <v>13637.2</v>
      </c>
      <c r="E195" s="25">
        <f>13706.5+810+68.21</f>
        <v>14584.71</v>
      </c>
      <c r="F195" s="14">
        <f>16192.2+54-1000</f>
        <v>15246.2</v>
      </c>
      <c r="G195" s="25">
        <f>15398.5+205.07+540.18-175</f>
        <v>15968.75</v>
      </c>
      <c r="H195" s="14">
        <f>17769.45+302.18+287.52+417.18</f>
        <v>18776.330000000002</v>
      </c>
      <c r="I195" s="37">
        <v>19726.400000000001</v>
      </c>
      <c r="J195" s="37">
        <v>19868.599999999999</v>
      </c>
      <c r="K195" s="52">
        <v>20019.5</v>
      </c>
      <c r="L195" s="29">
        <f t="shared" si="43"/>
        <v>137827.69</v>
      </c>
    </row>
    <row r="196" spans="1:12" ht="30.75" customHeight="1" x14ac:dyDescent="0.25">
      <c r="A196" s="111"/>
      <c r="B196" s="102"/>
      <c r="C196" s="13" t="s">
        <v>35</v>
      </c>
      <c r="D196" s="14"/>
      <c r="E196" s="14"/>
      <c r="F196" s="14"/>
      <c r="G196" s="14"/>
      <c r="H196" s="14"/>
      <c r="I196" s="52"/>
      <c r="J196" s="37"/>
      <c r="K196" s="52"/>
      <c r="L196" s="29">
        <f t="shared" si="43"/>
        <v>0</v>
      </c>
    </row>
    <row r="197" spans="1:12" ht="29.25" customHeight="1" x14ac:dyDescent="0.25">
      <c r="A197" s="111"/>
      <c r="B197" s="102"/>
      <c r="C197" s="13" t="s">
        <v>36</v>
      </c>
      <c r="D197" s="14"/>
      <c r="E197" s="14"/>
      <c r="F197" s="14"/>
      <c r="G197" s="14"/>
      <c r="H197" s="14"/>
      <c r="I197" s="52"/>
      <c r="J197" s="37"/>
      <c r="K197" s="52"/>
      <c r="L197" s="29">
        <f t="shared" si="43"/>
        <v>0</v>
      </c>
    </row>
    <row r="198" spans="1:12" ht="15.75" x14ac:dyDescent="0.25">
      <c r="A198" s="111"/>
      <c r="B198" s="102"/>
      <c r="C198" s="12" t="s">
        <v>37</v>
      </c>
      <c r="D198" s="14"/>
      <c r="E198" s="14"/>
      <c r="F198" s="14"/>
      <c r="G198" s="14"/>
      <c r="H198" s="14"/>
      <c r="I198" s="52"/>
      <c r="J198" s="37"/>
      <c r="K198" s="52"/>
      <c r="L198" s="29">
        <f t="shared" si="43"/>
        <v>0</v>
      </c>
    </row>
    <row r="199" spans="1:12" ht="22.5" customHeight="1" x14ac:dyDescent="0.25">
      <c r="A199" s="101" t="s">
        <v>64</v>
      </c>
      <c r="B199" s="102" t="s">
        <v>13</v>
      </c>
      <c r="C199" s="12" t="s">
        <v>31</v>
      </c>
      <c r="D199" s="14">
        <f>D200+D201+D202+D203+D204+D205</f>
        <v>328</v>
      </c>
      <c r="E199" s="14">
        <f t="shared" ref="E199" si="54">E200+E201+E202+E203+E204+E205</f>
        <v>0</v>
      </c>
      <c r="F199" s="14">
        <f t="shared" ref="F199:K199" si="55">F200+F201+F202+F203+F204+F205</f>
        <v>0</v>
      </c>
      <c r="G199" s="14">
        <f t="shared" si="55"/>
        <v>380</v>
      </c>
      <c r="H199" s="14">
        <f t="shared" si="55"/>
        <v>0</v>
      </c>
      <c r="I199" s="41">
        <f t="shared" si="55"/>
        <v>0</v>
      </c>
      <c r="J199" s="41">
        <f t="shared" si="55"/>
        <v>0</v>
      </c>
      <c r="K199" s="68">
        <f t="shared" si="55"/>
        <v>0</v>
      </c>
      <c r="L199" s="29">
        <f t="shared" si="43"/>
        <v>708</v>
      </c>
    </row>
    <row r="200" spans="1:12" ht="34.5" customHeight="1" x14ac:dyDescent="0.25">
      <c r="A200" s="101"/>
      <c r="B200" s="102"/>
      <c r="C200" s="13" t="s">
        <v>32</v>
      </c>
      <c r="D200" s="14"/>
      <c r="E200" s="14"/>
      <c r="F200" s="14"/>
      <c r="G200" s="14"/>
      <c r="H200" s="14"/>
      <c r="I200" s="52"/>
      <c r="J200" s="37"/>
      <c r="K200" s="52"/>
      <c r="L200" s="29">
        <f t="shared" si="43"/>
        <v>0</v>
      </c>
    </row>
    <row r="201" spans="1:12" ht="31.5" customHeight="1" x14ac:dyDescent="0.25">
      <c r="A201" s="101"/>
      <c r="B201" s="102"/>
      <c r="C201" s="13" t="s">
        <v>33</v>
      </c>
      <c r="D201" s="14"/>
      <c r="E201" s="14"/>
      <c r="F201" s="14"/>
      <c r="G201" s="14"/>
      <c r="H201" s="14"/>
      <c r="I201" s="52"/>
      <c r="J201" s="37"/>
      <c r="K201" s="52"/>
      <c r="L201" s="29">
        <f t="shared" si="43"/>
        <v>0</v>
      </c>
    </row>
    <row r="202" spans="1:12" ht="15.75" customHeight="1" x14ac:dyDescent="0.25">
      <c r="A202" s="101"/>
      <c r="B202" s="102"/>
      <c r="C202" s="12" t="s">
        <v>34</v>
      </c>
      <c r="D202" s="14">
        <v>328</v>
      </c>
      <c r="E202" s="14"/>
      <c r="F202" s="14"/>
      <c r="G202" s="14">
        <v>380</v>
      </c>
      <c r="H202" s="14"/>
      <c r="I202" s="52"/>
      <c r="J202" s="37"/>
      <c r="K202" s="52"/>
      <c r="L202" s="29">
        <f t="shared" si="43"/>
        <v>708</v>
      </c>
    </row>
    <row r="203" spans="1:12" ht="32.25" customHeight="1" x14ac:dyDescent="0.25">
      <c r="A203" s="101"/>
      <c r="B203" s="102"/>
      <c r="C203" s="13" t="s">
        <v>35</v>
      </c>
      <c r="D203" s="14"/>
      <c r="E203" s="14"/>
      <c r="F203" s="14"/>
      <c r="G203" s="14"/>
      <c r="H203" s="14"/>
      <c r="I203" s="52"/>
      <c r="J203" s="37"/>
      <c r="K203" s="52"/>
      <c r="L203" s="29">
        <f t="shared" si="43"/>
        <v>0</v>
      </c>
    </row>
    <row r="204" spans="1:12" ht="29.25" customHeight="1" x14ac:dyDescent="0.25">
      <c r="A204" s="101"/>
      <c r="B204" s="102"/>
      <c r="C204" s="13" t="s">
        <v>36</v>
      </c>
      <c r="D204" s="14"/>
      <c r="E204" s="14"/>
      <c r="F204" s="14"/>
      <c r="G204" s="14"/>
      <c r="H204" s="14"/>
      <c r="I204" s="52"/>
      <c r="J204" s="37"/>
      <c r="K204" s="52"/>
      <c r="L204" s="29">
        <f t="shared" si="43"/>
        <v>0</v>
      </c>
    </row>
    <row r="205" spans="1:12" ht="17.25" customHeight="1" x14ac:dyDescent="0.25">
      <c r="A205" s="101"/>
      <c r="B205" s="102"/>
      <c r="C205" s="13" t="s">
        <v>37</v>
      </c>
      <c r="D205" s="14"/>
      <c r="E205" s="14"/>
      <c r="F205" s="14"/>
      <c r="G205" s="14"/>
      <c r="H205" s="14"/>
      <c r="I205" s="52"/>
      <c r="J205" s="37"/>
      <c r="K205" s="52"/>
      <c r="L205" s="29">
        <f t="shared" si="43"/>
        <v>0</v>
      </c>
    </row>
    <row r="206" spans="1:12" ht="23.25" customHeight="1" x14ac:dyDescent="0.25">
      <c r="A206" s="101" t="s">
        <v>65</v>
      </c>
      <c r="B206" s="102" t="s">
        <v>79</v>
      </c>
      <c r="C206" s="12" t="s">
        <v>31</v>
      </c>
      <c r="D206" s="14">
        <f>D207+D208+D209+D210+D211+D212</f>
        <v>511.27</v>
      </c>
      <c r="E206" s="14">
        <f t="shared" ref="E206" si="56">E207+E208+E209+E210+E211+E212</f>
        <v>0</v>
      </c>
      <c r="F206" s="14">
        <f t="shared" ref="F206:K206" si="57">F207+F208+F209+F210+F211+F212</f>
        <v>0</v>
      </c>
      <c r="G206" s="14">
        <f t="shared" si="57"/>
        <v>0</v>
      </c>
      <c r="H206" s="14">
        <f t="shared" si="57"/>
        <v>0</v>
      </c>
      <c r="I206" s="41">
        <f t="shared" si="57"/>
        <v>0</v>
      </c>
      <c r="J206" s="41">
        <f t="shared" si="57"/>
        <v>0</v>
      </c>
      <c r="K206" s="68">
        <f t="shared" si="57"/>
        <v>0</v>
      </c>
      <c r="L206" s="29">
        <f t="shared" si="43"/>
        <v>511.27</v>
      </c>
    </row>
    <row r="207" spans="1:12" ht="30" customHeight="1" x14ac:dyDescent="0.25">
      <c r="A207" s="101"/>
      <c r="B207" s="102"/>
      <c r="C207" s="13" t="s">
        <v>32</v>
      </c>
      <c r="D207" s="14"/>
      <c r="E207" s="14"/>
      <c r="F207" s="14"/>
      <c r="G207" s="14"/>
      <c r="H207" s="14"/>
      <c r="I207" s="52"/>
      <c r="J207" s="37"/>
      <c r="K207" s="52"/>
      <c r="L207" s="29">
        <f t="shared" si="43"/>
        <v>0</v>
      </c>
    </row>
    <row r="208" spans="1:12" ht="37.5" customHeight="1" x14ac:dyDescent="0.25">
      <c r="A208" s="101"/>
      <c r="B208" s="102"/>
      <c r="C208" s="13" t="s">
        <v>33</v>
      </c>
      <c r="D208" s="14">
        <v>357.87</v>
      </c>
      <c r="E208" s="14"/>
      <c r="F208" s="14"/>
      <c r="G208" s="14"/>
      <c r="H208" s="14"/>
      <c r="I208" s="52"/>
      <c r="J208" s="37"/>
      <c r="K208" s="52"/>
      <c r="L208" s="29">
        <f t="shared" si="43"/>
        <v>357.87</v>
      </c>
    </row>
    <row r="209" spans="1:12" ht="15.75" customHeight="1" x14ac:dyDescent="0.25">
      <c r="A209" s="101"/>
      <c r="B209" s="102"/>
      <c r="C209" s="12" t="s">
        <v>34</v>
      </c>
      <c r="D209" s="14">
        <v>153.4</v>
      </c>
      <c r="E209" s="14"/>
      <c r="F209" s="14"/>
      <c r="G209" s="14"/>
      <c r="H209" s="14"/>
      <c r="I209" s="37"/>
      <c r="J209" s="37"/>
      <c r="K209" s="52"/>
      <c r="L209" s="29">
        <f t="shared" ref="L209:L272" si="58">SUM(D209:K209)</f>
        <v>153.4</v>
      </c>
    </row>
    <row r="210" spans="1:12" ht="32.25" customHeight="1" x14ac:dyDescent="0.25">
      <c r="A210" s="101"/>
      <c r="B210" s="102"/>
      <c r="C210" s="13" t="s">
        <v>35</v>
      </c>
      <c r="D210" s="14"/>
      <c r="E210" s="14"/>
      <c r="F210" s="14"/>
      <c r="G210" s="14"/>
      <c r="H210" s="14"/>
      <c r="I210" s="52"/>
      <c r="J210" s="37"/>
      <c r="K210" s="52"/>
      <c r="L210" s="29">
        <f t="shared" si="58"/>
        <v>0</v>
      </c>
    </row>
    <row r="211" spans="1:12" ht="27.75" customHeight="1" x14ac:dyDescent="0.25">
      <c r="A211" s="101"/>
      <c r="B211" s="102"/>
      <c r="C211" s="13" t="s">
        <v>36</v>
      </c>
      <c r="D211" s="14"/>
      <c r="E211" s="14"/>
      <c r="F211" s="14"/>
      <c r="G211" s="14"/>
      <c r="H211" s="14"/>
      <c r="I211" s="52"/>
      <c r="J211" s="37"/>
      <c r="K211" s="52"/>
      <c r="L211" s="29">
        <f t="shared" si="58"/>
        <v>0</v>
      </c>
    </row>
    <row r="212" spans="1:12" ht="15.75" customHeight="1" x14ac:dyDescent="0.25">
      <c r="A212" s="101"/>
      <c r="B212" s="102"/>
      <c r="C212" s="12" t="s">
        <v>37</v>
      </c>
      <c r="D212" s="14"/>
      <c r="E212" s="14"/>
      <c r="F212" s="14"/>
      <c r="G212" s="14"/>
      <c r="H212" s="14"/>
      <c r="I212" s="52"/>
      <c r="J212" s="37"/>
      <c r="K212" s="52"/>
      <c r="L212" s="29">
        <f t="shared" si="58"/>
        <v>0</v>
      </c>
    </row>
    <row r="213" spans="1:12" ht="23.25" customHeight="1" x14ac:dyDescent="0.25">
      <c r="A213" s="101" t="s">
        <v>67</v>
      </c>
      <c r="B213" s="102" t="s">
        <v>15</v>
      </c>
      <c r="C213" s="12" t="s">
        <v>31</v>
      </c>
      <c r="D213" s="14">
        <f>D214+D215+D216+D217+D218+D219</f>
        <v>18.3</v>
      </c>
      <c r="E213" s="14">
        <f t="shared" ref="E213:K213" si="59">E214+E215+E216+E217+E218+E219</f>
        <v>26.85</v>
      </c>
      <c r="F213" s="14">
        <f t="shared" si="59"/>
        <v>34.799999999999997</v>
      </c>
      <c r="G213" s="14">
        <f t="shared" si="59"/>
        <v>34.799999999999997</v>
      </c>
      <c r="H213" s="14">
        <f t="shared" si="59"/>
        <v>70.3</v>
      </c>
      <c r="I213" s="41">
        <f t="shared" si="59"/>
        <v>79.900000000000006</v>
      </c>
      <c r="J213" s="41">
        <f t="shared" si="59"/>
        <v>83.4</v>
      </c>
      <c r="K213" s="68">
        <f t="shared" si="59"/>
        <v>87.2</v>
      </c>
      <c r="L213" s="29">
        <f t="shared" si="58"/>
        <v>435.55</v>
      </c>
    </row>
    <row r="214" spans="1:12" ht="35.25" customHeight="1" x14ac:dyDescent="0.25">
      <c r="A214" s="101"/>
      <c r="B214" s="102"/>
      <c r="C214" s="13" t="s">
        <v>32</v>
      </c>
      <c r="D214" s="14"/>
      <c r="E214" s="14"/>
      <c r="F214" s="14"/>
      <c r="G214" s="14"/>
      <c r="H214" s="14"/>
      <c r="I214" s="52"/>
      <c r="J214" s="37"/>
      <c r="K214" s="52"/>
      <c r="L214" s="29">
        <f t="shared" si="58"/>
        <v>0</v>
      </c>
    </row>
    <row r="215" spans="1:12" ht="33" customHeight="1" x14ac:dyDescent="0.25">
      <c r="A215" s="101"/>
      <c r="B215" s="102"/>
      <c r="C215" s="13" t="s">
        <v>33</v>
      </c>
      <c r="D215" s="14"/>
      <c r="E215" s="14"/>
      <c r="F215" s="14"/>
      <c r="G215" s="14"/>
      <c r="H215" s="14"/>
      <c r="I215" s="52"/>
      <c r="J215" s="37"/>
      <c r="K215" s="52"/>
      <c r="L215" s="29">
        <f t="shared" si="58"/>
        <v>0</v>
      </c>
    </row>
    <row r="216" spans="1:12" ht="15.75" customHeight="1" x14ac:dyDescent="0.25">
      <c r="A216" s="101"/>
      <c r="B216" s="102"/>
      <c r="C216" s="12" t="s">
        <v>34</v>
      </c>
      <c r="D216" s="14">
        <v>18.3</v>
      </c>
      <c r="E216" s="14">
        <f>24+2.85</f>
        <v>26.85</v>
      </c>
      <c r="F216" s="14">
        <v>34.799999999999997</v>
      </c>
      <c r="G216" s="14">
        <v>34.799999999999997</v>
      </c>
      <c r="H216" s="14">
        <v>70.3</v>
      </c>
      <c r="I216" s="37">
        <v>79.900000000000006</v>
      </c>
      <c r="J216" s="37">
        <v>83.4</v>
      </c>
      <c r="K216" s="52">
        <v>87.2</v>
      </c>
      <c r="L216" s="29">
        <f t="shared" si="58"/>
        <v>435.55</v>
      </c>
    </row>
    <row r="217" spans="1:12" ht="31.5" customHeight="1" x14ac:dyDescent="0.25">
      <c r="A217" s="101"/>
      <c r="B217" s="102"/>
      <c r="C217" s="13" t="s">
        <v>35</v>
      </c>
      <c r="D217" s="14"/>
      <c r="E217" s="14"/>
      <c r="F217" s="14"/>
      <c r="G217" s="14"/>
      <c r="H217" s="14"/>
      <c r="I217" s="52"/>
      <c r="J217" s="37"/>
      <c r="K217" s="52"/>
      <c r="L217" s="29">
        <f t="shared" si="58"/>
        <v>0</v>
      </c>
    </row>
    <row r="218" spans="1:12" ht="28.5" customHeight="1" x14ac:dyDescent="0.25">
      <c r="A218" s="101"/>
      <c r="B218" s="102"/>
      <c r="C218" s="13" t="s">
        <v>36</v>
      </c>
      <c r="D218" s="14"/>
      <c r="E218" s="14"/>
      <c r="F218" s="14"/>
      <c r="G218" s="14"/>
      <c r="H218" s="14"/>
      <c r="I218" s="52"/>
      <c r="J218" s="37"/>
      <c r="K218" s="52"/>
      <c r="L218" s="29">
        <f t="shared" si="58"/>
        <v>0</v>
      </c>
    </row>
    <row r="219" spans="1:12" ht="15.75" customHeight="1" x14ac:dyDescent="0.25">
      <c r="A219" s="101"/>
      <c r="B219" s="102"/>
      <c r="C219" s="12" t="s">
        <v>37</v>
      </c>
      <c r="D219" s="14"/>
      <c r="E219" s="14"/>
      <c r="F219" s="14"/>
      <c r="G219" s="14"/>
      <c r="H219" s="14"/>
      <c r="I219" s="52"/>
      <c r="J219" s="37"/>
      <c r="K219" s="52"/>
      <c r="L219" s="29">
        <f t="shared" si="58"/>
        <v>0</v>
      </c>
    </row>
    <row r="220" spans="1:12" ht="22.5" customHeight="1" x14ac:dyDescent="0.25">
      <c r="A220" s="101" t="s">
        <v>68</v>
      </c>
      <c r="B220" s="102" t="s">
        <v>12</v>
      </c>
      <c r="C220" s="12" t="s">
        <v>31</v>
      </c>
      <c r="D220" s="14">
        <f>D221+D222+D223+D224+D225+D226</f>
        <v>0</v>
      </c>
      <c r="E220" s="14">
        <f t="shared" ref="E220" si="60">E221+E222+E223+E224+E225+E226</f>
        <v>70</v>
      </c>
      <c r="F220" s="14">
        <f t="shared" ref="F220:K220" si="61">F221+F222+F223+F224+F225+F226</f>
        <v>0</v>
      </c>
      <c r="G220" s="14">
        <f t="shared" si="61"/>
        <v>0</v>
      </c>
      <c r="H220" s="14">
        <f t="shared" si="61"/>
        <v>0</v>
      </c>
      <c r="I220" s="41">
        <f t="shared" si="61"/>
        <v>50</v>
      </c>
      <c r="J220" s="41">
        <f t="shared" si="61"/>
        <v>136.30000000000001</v>
      </c>
      <c r="K220" s="68">
        <f t="shared" si="61"/>
        <v>32.700000000000003</v>
      </c>
      <c r="L220" s="29">
        <f t="shared" si="58"/>
        <v>289</v>
      </c>
    </row>
    <row r="221" spans="1:12" ht="33" customHeight="1" x14ac:dyDescent="0.25">
      <c r="A221" s="101"/>
      <c r="B221" s="102"/>
      <c r="C221" s="13" t="s">
        <v>32</v>
      </c>
      <c r="D221" s="14"/>
      <c r="E221" s="14"/>
      <c r="F221" s="14"/>
      <c r="G221" s="14"/>
      <c r="H221" s="14"/>
      <c r="I221" s="52"/>
      <c r="J221" s="37"/>
      <c r="K221" s="52"/>
      <c r="L221" s="29">
        <f t="shared" si="58"/>
        <v>0</v>
      </c>
    </row>
    <row r="222" spans="1:12" ht="29.25" customHeight="1" x14ac:dyDescent="0.25">
      <c r="A222" s="101"/>
      <c r="B222" s="102"/>
      <c r="C222" s="13" t="s">
        <v>33</v>
      </c>
      <c r="D222" s="14"/>
      <c r="E222" s="14"/>
      <c r="F222" s="14"/>
      <c r="G222" s="14"/>
      <c r="H222" s="14"/>
      <c r="I222" s="52"/>
      <c r="J222" s="37"/>
      <c r="K222" s="52"/>
      <c r="L222" s="29">
        <f t="shared" si="58"/>
        <v>0</v>
      </c>
    </row>
    <row r="223" spans="1:12" ht="15.75" customHeight="1" x14ac:dyDescent="0.25">
      <c r="A223" s="101"/>
      <c r="B223" s="102"/>
      <c r="C223" s="12" t="s">
        <v>34</v>
      </c>
      <c r="D223" s="14"/>
      <c r="E223" s="14">
        <v>70</v>
      </c>
      <c r="F223" s="14"/>
      <c r="G223" s="14"/>
      <c r="H223" s="14"/>
      <c r="I223" s="52">
        <v>50</v>
      </c>
      <c r="J223" s="37">
        <v>136.30000000000001</v>
      </c>
      <c r="K223" s="52">
        <v>32.700000000000003</v>
      </c>
      <c r="L223" s="29">
        <f t="shared" si="58"/>
        <v>289</v>
      </c>
    </row>
    <row r="224" spans="1:12" ht="30.75" customHeight="1" x14ac:dyDescent="0.25">
      <c r="A224" s="101"/>
      <c r="B224" s="102"/>
      <c r="C224" s="13" t="s">
        <v>35</v>
      </c>
      <c r="D224" s="14"/>
      <c r="E224" s="14"/>
      <c r="F224" s="14"/>
      <c r="G224" s="14"/>
      <c r="H224" s="14"/>
      <c r="I224" s="52"/>
      <c r="J224" s="37"/>
      <c r="K224" s="52"/>
      <c r="L224" s="29">
        <f t="shared" si="58"/>
        <v>0</v>
      </c>
    </row>
    <row r="225" spans="1:12" ht="29.25" customHeight="1" x14ac:dyDescent="0.25">
      <c r="A225" s="101"/>
      <c r="B225" s="102"/>
      <c r="C225" s="13" t="s">
        <v>36</v>
      </c>
      <c r="D225" s="14"/>
      <c r="E225" s="14"/>
      <c r="F225" s="14"/>
      <c r="G225" s="14"/>
      <c r="H225" s="14"/>
      <c r="I225" s="52"/>
      <c r="J225" s="37"/>
      <c r="K225" s="52"/>
      <c r="L225" s="29">
        <f t="shared" si="58"/>
        <v>0</v>
      </c>
    </row>
    <row r="226" spans="1:12" ht="15.75" customHeight="1" x14ac:dyDescent="0.25">
      <c r="A226" s="101"/>
      <c r="B226" s="102"/>
      <c r="C226" s="12" t="s">
        <v>37</v>
      </c>
      <c r="D226" s="14"/>
      <c r="E226" s="14"/>
      <c r="F226" s="14"/>
      <c r="G226" s="14"/>
      <c r="H226" s="14"/>
      <c r="I226" s="52"/>
      <c r="J226" s="37"/>
      <c r="K226" s="52"/>
      <c r="L226" s="29">
        <f t="shared" si="58"/>
        <v>0</v>
      </c>
    </row>
    <row r="227" spans="1:12" ht="22.5" customHeight="1" x14ac:dyDescent="0.25">
      <c r="A227" s="101" t="s">
        <v>69</v>
      </c>
      <c r="B227" s="102" t="s">
        <v>59</v>
      </c>
      <c r="C227" s="12" t="s">
        <v>31</v>
      </c>
      <c r="D227" s="14">
        <f>D228+D229+D230+D231+D232+D233</f>
        <v>0</v>
      </c>
      <c r="E227" s="14">
        <f t="shared" ref="E227" si="62">E228+E229+E230+E231+E232+E233</f>
        <v>0</v>
      </c>
      <c r="F227" s="14">
        <f t="shared" ref="F227:K227" si="63">F228+F229+F230+F231+F232+F233</f>
        <v>0</v>
      </c>
      <c r="G227" s="14">
        <f t="shared" si="63"/>
        <v>0</v>
      </c>
      <c r="H227" s="14">
        <f t="shared" si="63"/>
        <v>0</v>
      </c>
      <c r="I227" s="41">
        <f t="shared" si="63"/>
        <v>0</v>
      </c>
      <c r="J227" s="41">
        <f t="shared" si="63"/>
        <v>0</v>
      </c>
      <c r="K227" s="68">
        <f t="shared" si="63"/>
        <v>0</v>
      </c>
      <c r="L227" s="29">
        <f t="shared" si="58"/>
        <v>0</v>
      </c>
    </row>
    <row r="228" spans="1:12" ht="29.25" customHeight="1" x14ac:dyDescent="0.25">
      <c r="A228" s="101"/>
      <c r="B228" s="102"/>
      <c r="C228" s="13" t="s">
        <v>32</v>
      </c>
      <c r="D228" s="14"/>
      <c r="E228" s="14"/>
      <c r="F228" s="14"/>
      <c r="G228" s="14"/>
      <c r="H228" s="14"/>
      <c r="I228" s="52"/>
      <c r="J228" s="37"/>
      <c r="K228" s="52"/>
      <c r="L228" s="29">
        <f t="shared" si="58"/>
        <v>0</v>
      </c>
    </row>
    <row r="229" spans="1:12" ht="33.75" customHeight="1" x14ac:dyDescent="0.25">
      <c r="A229" s="101"/>
      <c r="B229" s="102"/>
      <c r="C229" s="13" t="s">
        <v>33</v>
      </c>
      <c r="D229" s="14"/>
      <c r="E229" s="14"/>
      <c r="F229" s="14"/>
      <c r="G229" s="14"/>
      <c r="H229" s="14"/>
      <c r="I229" s="52"/>
      <c r="J229" s="37"/>
      <c r="K229" s="52"/>
      <c r="L229" s="29">
        <f t="shared" si="58"/>
        <v>0</v>
      </c>
    </row>
    <row r="230" spans="1:12" ht="24.75" customHeight="1" x14ac:dyDescent="0.25">
      <c r="A230" s="101"/>
      <c r="B230" s="102"/>
      <c r="C230" s="13" t="s">
        <v>34</v>
      </c>
      <c r="D230" s="14"/>
      <c r="E230" s="14"/>
      <c r="F230" s="14"/>
      <c r="G230" s="14"/>
      <c r="H230" s="14"/>
      <c r="I230" s="37"/>
      <c r="J230" s="37"/>
      <c r="K230" s="52"/>
      <c r="L230" s="29">
        <f t="shared" si="58"/>
        <v>0</v>
      </c>
    </row>
    <row r="231" spans="1:12" ht="33" customHeight="1" x14ac:dyDescent="0.25">
      <c r="A231" s="101"/>
      <c r="B231" s="102"/>
      <c r="C231" s="13" t="s">
        <v>35</v>
      </c>
      <c r="D231" s="14"/>
      <c r="E231" s="14"/>
      <c r="F231" s="14"/>
      <c r="G231" s="14"/>
      <c r="H231" s="14"/>
      <c r="I231" s="52"/>
      <c r="J231" s="37"/>
      <c r="K231" s="52"/>
      <c r="L231" s="29">
        <f t="shared" si="58"/>
        <v>0</v>
      </c>
    </row>
    <row r="232" spans="1:12" ht="33" customHeight="1" x14ac:dyDescent="0.25">
      <c r="A232" s="101"/>
      <c r="B232" s="102"/>
      <c r="C232" s="13" t="s">
        <v>36</v>
      </c>
      <c r="D232" s="14"/>
      <c r="E232" s="14"/>
      <c r="F232" s="14"/>
      <c r="G232" s="14"/>
      <c r="H232" s="14"/>
      <c r="I232" s="52"/>
      <c r="J232" s="37"/>
      <c r="K232" s="52"/>
      <c r="L232" s="29">
        <f t="shared" si="58"/>
        <v>0</v>
      </c>
    </row>
    <row r="233" spans="1:12" ht="15.75" customHeight="1" x14ac:dyDescent="0.25">
      <c r="A233" s="101"/>
      <c r="B233" s="102"/>
      <c r="C233" s="12" t="s">
        <v>37</v>
      </c>
      <c r="D233" s="14"/>
      <c r="E233" s="14"/>
      <c r="F233" s="14"/>
      <c r="G233" s="14"/>
      <c r="H233" s="14"/>
      <c r="I233" s="52"/>
      <c r="J233" s="37"/>
      <c r="K233" s="52"/>
      <c r="L233" s="29">
        <f t="shared" si="58"/>
        <v>0</v>
      </c>
    </row>
    <row r="234" spans="1:12" ht="15.75" customHeight="1" x14ac:dyDescent="0.25">
      <c r="A234" s="118" t="s">
        <v>92</v>
      </c>
      <c r="B234" s="93" t="s">
        <v>93</v>
      </c>
      <c r="C234" s="12" t="s">
        <v>31</v>
      </c>
      <c r="D234" s="36">
        <f>D235+D236+D237+D238+D239+D240</f>
        <v>0</v>
      </c>
      <c r="E234" s="36">
        <f t="shared" ref="E234:K234" si="64">E235+E236+E237+E238+E239+E240</f>
        <v>248.97</v>
      </c>
      <c r="F234" s="36">
        <f t="shared" si="64"/>
        <v>0</v>
      </c>
      <c r="G234" s="36">
        <f t="shared" si="64"/>
        <v>0</v>
      </c>
      <c r="H234" s="36">
        <f t="shared" si="64"/>
        <v>0</v>
      </c>
      <c r="I234" s="41">
        <f t="shared" si="64"/>
        <v>0</v>
      </c>
      <c r="J234" s="41">
        <f t="shared" si="64"/>
        <v>0</v>
      </c>
      <c r="K234" s="68">
        <f t="shared" si="64"/>
        <v>0</v>
      </c>
      <c r="L234" s="29">
        <f t="shared" si="58"/>
        <v>248.97</v>
      </c>
    </row>
    <row r="235" spans="1:12" ht="36" customHeight="1" x14ac:dyDescent="0.25">
      <c r="A235" s="119"/>
      <c r="B235" s="98"/>
      <c r="C235" s="13" t="s">
        <v>32</v>
      </c>
      <c r="D235" s="36"/>
      <c r="E235" s="36"/>
      <c r="F235" s="36"/>
      <c r="G235" s="36"/>
      <c r="H235" s="36"/>
      <c r="I235" s="52"/>
      <c r="J235" s="37"/>
      <c r="K235" s="52"/>
      <c r="L235" s="29">
        <f t="shared" si="58"/>
        <v>0</v>
      </c>
    </row>
    <row r="236" spans="1:12" ht="34.5" customHeight="1" x14ac:dyDescent="0.25">
      <c r="A236" s="119"/>
      <c r="B236" s="98"/>
      <c r="C236" s="13" t="s">
        <v>33</v>
      </c>
      <c r="D236" s="36"/>
      <c r="E236" s="36"/>
      <c r="F236" s="36"/>
      <c r="G236" s="36"/>
      <c r="H236" s="36"/>
      <c r="I236" s="52"/>
      <c r="J236" s="37"/>
      <c r="K236" s="52"/>
      <c r="L236" s="29">
        <f t="shared" si="58"/>
        <v>0</v>
      </c>
    </row>
    <row r="237" spans="1:12" ht="19.5" customHeight="1" x14ac:dyDescent="0.25">
      <c r="A237" s="119"/>
      <c r="B237" s="98"/>
      <c r="C237" s="13" t="s">
        <v>34</v>
      </c>
      <c r="D237" s="36"/>
      <c r="E237" s="36">
        <v>248.97</v>
      </c>
      <c r="F237" s="36"/>
      <c r="G237" s="36"/>
      <c r="H237" s="36"/>
      <c r="I237" s="52"/>
      <c r="J237" s="37"/>
      <c r="K237" s="52"/>
      <c r="L237" s="29">
        <f t="shared" si="58"/>
        <v>248.97</v>
      </c>
    </row>
    <row r="238" spans="1:12" ht="33.75" customHeight="1" x14ac:dyDescent="0.25">
      <c r="A238" s="119"/>
      <c r="B238" s="98"/>
      <c r="C238" s="13" t="s">
        <v>35</v>
      </c>
      <c r="D238" s="36"/>
      <c r="E238" s="36"/>
      <c r="F238" s="36"/>
      <c r="G238" s="36"/>
      <c r="H238" s="36"/>
      <c r="I238" s="52"/>
      <c r="J238" s="37"/>
      <c r="K238" s="52"/>
      <c r="L238" s="29">
        <f t="shared" si="58"/>
        <v>0</v>
      </c>
    </row>
    <row r="239" spans="1:12" ht="32.25" customHeight="1" x14ac:dyDescent="0.25">
      <c r="A239" s="119"/>
      <c r="B239" s="98"/>
      <c r="C239" s="13" t="s">
        <v>36</v>
      </c>
      <c r="D239" s="36"/>
      <c r="E239" s="36"/>
      <c r="F239" s="36"/>
      <c r="G239" s="36"/>
      <c r="H239" s="36"/>
      <c r="I239" s="52"/>
      <c r="J239" s="37"/>
      <c r="K239" s="52"/>
      <c r="L239" s="29">
        <f t="shared" si="58"/>
        <v>0</v>
      </c>
    </row>
    <row r="240" spans="1:12" ht="15.75" customHeight="1" x14ac:dyDescent="0.25">
      <c r="A240" s="120"/>
      <c r="B240" s="94"/>
      <c r="C240" s="12" t="s">
        <v>37</v>
      </c>
      <c r="D240" s="36"/>
      <c r="E240" s="36"/>
      <c r="F240" s="36"/>
      <c r="G240" s="36"/>
      <c r="H240" s="36"/>
      <c r="I240" s="52"/>
      <c r="J240" s="37"/>
      <c r="K240" s="52"/>
      <c r="L240" s="29">
        <f t="shared" si="58"/>
        <v>0</v>
      </c>
    </row>
    <row r="241" spans="1:12" ht="15.75" customHeight="1" x14ac:dyDescent="0.25">
      <c r="A241" s="118" t="s">
        <v>138</v>
      </c>
      <c r="B241" s="93" t="s">
        <v>103</v>
      </c>
      <c r="C241" s="12" t="s">
        <v>31</v>
      </c>
      <c r="D241" s="39">
        <f>D242+D243+D244+D245+D246+D247</f>
        <v>0</v>
      </c>
      <c r="E241" s="39">
        <f t="shared" ref="E241:K241" si="65">E242+E243+E244+E245+E246+E247</f>
        <v>0</v>
      </c>
      <c r="F241" s="39">
        <f t="shared" si="65"/>
        <v>63.1</v>
      </c>
      <c r="G241" s="39">
        <f t="shared" si="65"/>
        <v>63</v>
      </c>
      <c r="H241" s="39">
        <f t="shared" si="65"/>
        <v>0</v>
      </c>
      <c r="I241" s="41">
        <f t="shared" si="65"/>
        <v>0</v>
      </c>
      <c r="J241" s="41">
        <f t="shared" si="65"/>
        <v>0</v>
      </c>
      <c r="K241" s="68">
        <f t="shared" si="65"/>
        <v>0</v>
      </c>
      <c r="L241" s="29">
        <f t="shared" si="58"/>
        <v>126.1</v>
      </c>
    </row>
    <row r="242" spans="1:12" ht="33.75" customHeight="1" x14ac:dyDescent="0.25">
      <c r="A242" s="119"/>
      <c r="B242" s="98"/>
      <c r="C242" s="13" t="s">
        <v>32</v>
      </c>
      <c r="D242" s="39"/>
      <c r="E242" s="39"/>
      <c r="F242" s="39"/>
      <c r="G242" s="39"/>
      <c r="H242" s="39"/>
      <c r="I242" s="52"/>
      <c r="J242" s="37"/>
      <c r="K242" s="52"/>
      <c r="L242" s="29">
        <f t="shared" si="58"/>
        <v>0</v>
      </c>
    </row>
    <row r="243" spans="1:12" ht="27" customHeight="1" x14ac:dyDescent="0.25">
      <c r="A243" s="119"/>
      <c r="B243" s="98"/>
      <c r="C243" s="13" t="s">
        <v>33</v>
      </c>
      <c r="D243" s="39"/>
      <c r="E243" s="39"/>
      <c r="F243" s="39"/>
      <c r="G243" s="39"/>
      <c r="H243" s="39"/>
      <c r="I243" s="52"/>
      <c r="J243" s="37"/>
      <c r="K243" s="52"/>
      <c r="L243" s="29">
        <f t="shared" si="58"/>
        <v>0</v>
      </c>
    </row>
    <row r="244" spans="1:12" ht="15.75" customHeight="1" x14ac:dyDescent="0.25">
      <c r="A244" s="119"/>
      <c r="B244" s="98"/>
      <c r="C244" s="12" t="s">
        <v>34</v>
      </c>
      <c r="D244" s="39"/>
      <c r="E244" s="39"/>
      <c r="F244" s="39">
        <v>63.1</v>
      </c>
      <c r="G244" s="39">
        <v>63</v>
      </c>
      <c r="H244" s="39"/>
      <c r="I244" s="52"/>
      <c r="J244" s="37"/>
      <c r="K244" s="52"/>
      <c r="L244" s="29">
        <f t="shared" si="58"/>
        <v>126.1</v>
      </c>
    </row>
    <row r="245" spans="1:12" ht="15.75" customHeight="1" x14ac:dyDescent="0.25">
      <c r="A245" s="119"/>
      <c r="B245" s="98"/>
      <c r="C245" s="13" t="s">
        <v>35</v>
      </c>
      <c r="D245" s="39"/>
      <c r="E245" s="39"/>
      <c r="F245" s="39"/>
      <c r="G245" s="39"/>
      <c r="H245" s="39"/>
      <c r="I245" s="52"/>
      <c r="J245" s="37"/>
      <c r="K245" s="52"/>
      <c r="L245" s="29">
        <f t="shared" si="58"/>
        <v>0</v>
      </c>
    </row>
    <row r="246" spans="1:12" ht="15.75" customHeight="1" x14ac:dyDescent="0.25">
      <c r="A246" s="119"/>
      <c r="B246" s="98"/>
      <c r="C246" s="13" t="s">
        <v>36</v>
      </c>
      <c r="D246" s="39"/>
      <c r="E246" s="39"/>
      <c r="F246" s="39"/>
      <c r="G246" s="39"/>
      <c r="H246" s="39"/>
      <c r="I246" s="52"/>
      <c r="J246" s="37"/>
      <c r="K246" s="52"/>
      <c r="L246" s="29">
        <f t="shared" si="58"/>
        <v>0</v>
      </c>
    </row>
    <row r="247" spans="1:12" ht="15.75" customHeight="1" x14ac:dyDescent="0.25">
      <c r="A247" s="120"/>
      <c r="B247" s="94"/>
      <c r="C247" s="12" t="s">
        <v>37</v>
      </c>
      <c r="D247" s="39"/>
      <c r="E247" s="39"/>
      <c r="F247" s="39"/>
      <c r="G247" s="39"/>
      <c r="H247" s="39"/>
      <c r="I247" s="52"/>
      <c r="J247" s="37"/>
      <c r="K247" s="52"/>
      <c r="L247" s="29">
        <f t="shared" si="58"/>
        <v>0</v>
      </c>
    </row>
    <row r="248" spans="1:12" ht="23.25" customHeight="1" x14ac:dyDescent="0.25">
      <c r="A248" s="101" t="s">
        <v>78</v>
      </c>
      <c r="B248" s="102" t="s">
        <v>19</v>
      </c>
      <c r="C248" s="12" t="s">
        <v>31</v>
      </c>
      <c r="D248" s="14">
        <f>D255+D262+D269+D276+D283</f>
        <v>12680.900000000001</v>
      </c>
      <c r="E248" s="32">
        <f>E255+E262+E269+E276+E283+E290</f>
        <v>13932.499999999998</v>
      </c>
      <c r="F248" s="36">
        <f t="shared" ref="F248:K248" si="66">F255+F262+F269+F276+F283+F290</f>
        <v>14491.04</v>
      </c>
      <c r="G248" s="36">
        <f t="shared" si="66"/>
        <v>14985.180000000002</v>
      </c>
      <c r="H248" s="36">
        <f t="shared" si="66"/>
        <v>16768.999</v>
      </c>
      <c r="I248" s="41">
        <f t="shared" si="66"/>
        <v>17177</v>
      </c>
      <c r="J248" s="41">
        <f t="shared" si="66"/>
        <v>17316.599999999999</v>
      </c>
      <c r="K248" s="68">
        <f t="shared" si="66"/>
        <v>17467.7</v>
      </c>
      <c r="L248" s="29">
        <f t="shared" si="58"/>
        <v>124819.91900000001</v>
      </c>
    </row>
    <row r="249" spans="1:12" ht="33" customHeight="1" x14ac:dyDescent="0.25">
      <c r="A249" s="101"/>
      <c r="B249" s="102"/>
      <c r="C249" s="13" t="s">
        <v>32</v>
      </c>
      <c r="D249" s="14">
        <f t="shared" ref="D249:J254" si="67">D256+D263+D270+D277</f>
        <v>0</v>
      </c>
      <c r="E249" s="14">
        <f t="shared" si="67"/>
        <v>0</v>
      </c>
      <c r="F249" s="14">
        <f t="shared" si="67"/>
        <v>0</v>
      </c>
      <c r="G249" s="14">
        <f t="shared" si="67"/>
        <v>0</v>
      </c>
      <c r="H249" s="14">
        <f t="shared" si="67"/>
        <v>0</v>
      </c>
      <c r="I249" s="41">
        <f t="shared" si="67"/>
        <v>0</v>
      </c>
      <c r="J249" s="41">
        <f t="shared" si="67"/>
        <v>0</v>
      </c>
      <c r="K249" s="52"/>
      <c r="L249" s="29">
        <f t="shared" si="58"/>
        <v>0</v>
      </c>
    </row>
    <row r="250" spans="1:12" ht="31.5" x14ac:dyDescent="0.25">
      <c r="A250" s="101"/>
      <c r="B250" s="102"/>
      <c r="C250" s="13" t="s">
        <v>33</v>
      </c>
      <c r="D250" s="14">
        <f t="shared" si="67"/>
        <v>0</v>
      </c>
      <c r="E250" s="14">
        <f t="shared" si="67"/>
        <v>0</v>
      </c>
      <c r="F250" s="14">
        <f t="shared" si="67"/>
        <v>0</v>
      </c>
      <c r="G250" s="14">
        <f t="shared" si="67"/>
        <v>0</v>
      </c>
      <c r="H250" s="14">
        <f t="shared" si="67"/>
        <v>0</v>
      </c>
      <c r="I250" s="41">
        <f t="shared" si="67"/>
        <v>0</v>
      </c>
      <c r="J250" s="41">
        <f t="shared" si="67"/>
        <v>0</v>
      </c>
      <c r="K250" s="52"/>
      <c r="L250" s="29">
        <f t="shared" si="58"/>
        <v>0</v>
      </c>
    </row>
    <row r="251" spans="1:12" ht="15.75" customHeight="1" x14ac:dyDescent="0.25">
      <c r="A251" s="101"/>
      <c r="B251" s="102"/>
      <c r="C251" s="12" t="s">
        <v>34</v>
      </c>
      <c r="D251" s="14">
        <f>D258+D265+D272+D279+D286</f>
        <v>12680.900000000001</v>
      </c>
      <c r="E251" s="32">
        <f>E258+E265+E272+E279+E286+E293</f>
        <v>13932.499999999998</v>
      </c>
      <c r="F251" s="36">
        <f t="shared" ref="F251:K251" si="68">F258+F265+F272+F279+F286+F293</f>
        <v>14491.04</v>
      </c>
      <c r="G251" s="36">
        <f t="shared" si="68"/>
        <v>14985.180000000002</v>
      </c>
      <c r="H251" s="36">
        <f t="shared" si="68"/>
        <v>16768.999</v>
      </c>
      <c r="I251" s="41">
        <f t="shared" si="68"/>
        <v>17177</v>
      </c>
      <c r="J251" s="41">
        <f t="shared" si="68"/>
        <v>17316.599999999999</v>
      </c>
      <c r="K251" s="68">
        <f t="shared" si="68"/>
        <v>17467.7</v>
      </c>
      <c r="L251" s="29">
        <f t="shared" si="58"/>
        <v>124819.91900000001</v>
      </c>
    </row>
    <row r="252" spans="1:12" ht="32.25" customHeight="1" x14ac:dyDescent="0.25">
      <c r="A252" s="101"/>
      <c r="B252" s="102"/>
      <c r="C252" s="13" t="s">
        <v>35</v>
      </c>
      <c r="D252" s="14">
        <f t="shared" si="67"/>
        <v>0</v>
      </c>
      <c r="E252" s="14">
        <f t="shared" si="67"/>
        <v>0</v>
      </c>
      <c r="F252" s="14">
        <f t="shared" si="67"/>
        <v>0</v>
      </c>
      <c r="G252" s="14">
        <f t="shared" si="67"/>
        <v>0</v>
      </c>
      <c r="H252" s="14">
        <f t="shared" si="67"/>
        <v>0</v>
      </c>
      <c r="I252" s="41">
        <f t="shared" si="67"/>
        <v>0</v>
      </c>
      <c r="J252" s="41">
        <f t="shared" si="67"/>
        <v>0</v>
      </c>
      <c r="K252" s="52"/>
      <c r="L252" s="29">
        <f t="shared" si="58"/>
        <v>0</v>
      </c>
    </row>
    <row r="253" spans="1:12" ht="33.75" customHeight="1" x14ac:dyDescent="0.25">
      <c r="A253" s="101"/>
      <c r="B253" s="102"/>
      <c r="C253" s="13" t="s">
        <v>36</v>
      </c>
      <c r="D253" s="14">
        <f t="shared" si="67"/>
        <v>0</v>
      </c>
      <c r="E253" s="14">
        <f t="shared" si="67"/>
        <v>0</v>
      </c>
      <c r="F253" s="14">
        <f t="shared" si="67"/>
        <v>0</v>
      </c>
      <c r="G253" s="14">
        <f t="shared" si="67"/>
        <v>0</v>
      </c>
      <c r="H253" s="14">
        <f t="shared" si="67"/>
        <v>0</v>
      </c>
      <c r="I253" s="41">
        <f t="shared" si="67"/>
        <v>0</v>
      </c>
      <c r="J253" s="41">
        <f t="shared" si="67"/>
        <v>0</v>
      </c>
      <c r="K253" s="52"/>
      <c r="L253" s="29">
        <f t="shared" si="58"/>
        <v>0</v>
      </c>
    </row>
    <row r="254" spans="1:12" ht="15.75" customHeight="1" x14ac:dyDescent="0.25">
      <c r="A254" s="101"/>
      <c r="B254" s="102"/>
      <c r="C254" s="12" t="s">
        <v>37</v>
      </c>
      <c r="D254" s="14">
        <f t="shared" si="67"/>
        <v>0</v>
      </c>
      <c r="E254" s="14">
        <f t="shared" si="67"/>
        <v>0</v>
      </c>
      <c r="F254" s="14">
        <f t="shared" si="67"/>
        <v>0</v>
      </c>
      <c r="G254" s="14">
        <f t="shared" si="67"/>
        <v>0</v>
      </c>
      <c r="H254" s="14">
        <f t="shared" si="67"/>
        <v>0</v>
      </c>
      <c r="I254" s="41">
        <f t="shared" si="67"/>
        <v>0</v>
      </c>
      <c r="J254" s="41">
        <f t="shared" si="67"/>
        <v>0</v>
      </c>
      <c r="K254" s="52"/>
      <c r="L254" s="29">
        <f t="shared" si="58"/>
        <v>0</v>
      </c>
    </row>
    <row r="255" spans="1:12" ht="21" customHeight="1" x14ac:dyDescent="0.25">
      <c r="A255" s="101" t="s">
        <v>71</v>
      </c>
      <c r="B255" s="102" t="s">
        <v>20</v>
      </c>
      <c r="C255" s="12" t="s">
        <v>31</v>
      </c>
      <c r="D255" s="14">
        <f>D256+D257+D258+D259+D260+D261</f>
        <v>70</v>
      </c>
      <c r="E255" s="14">
        <f t="shared" ref="E255" si="69">E256+E257+E258+E259+E260+E261</f>
        <v>70</v>
      </c>
      <c r="F255" s="14">
        <f t="shared" ref="F255:K255" si="70">F256+F257+F258+F259+F260+F261</f>
        <v>0</v>
      </c>
      <c r="G255" s="14">
        <f t="shared" si="70"/>
        <v>0</v>
      </c>
      <c r="H255" s="14">
        <f t="shared" si="70"/>
        <v>0</v>
      </c>
      <c r="I255" s="41">
        <f t="shared" si="70"/>
        <v>0</v>
      </c>
      <c r="J255" s="41">
        <f t="shared" si="70"/>
        <v>0</v>
      </c>
      <c r="K255" s="68">
        <f t="shared" si="70"/>
        <v>0</v>
      </c>
      <c r="L255" s="29">
        <f t="shared" si="58"/>
        <v>140</v>
      </c>
    </row>
    <row r="256" spans="1:12" ht="32.25" customHeight="1" x14ac:dyDescent="0.25">
      <c r="A256" s="101"/>
      <c r="B256" s="102"/>
      <c r="C256" s="13" t="s">
        <v>32</v>
      </c>
      <c r="D256" s="14"/>
      <c r="E256" s="14"/>
      <c r="F256" s="14"/>
      <c r="G256" s="14"/>
      <c r="H256" s="14"/>
      <c r="I256" s="52"/>
      <c r="J256" s="37"/>
      <c r="K256" s="52"/>
      <c r="L256" s="29">
        <f t="shared" si="58"/>
        <v>0</v>
      </c>
    </row>
    <row r="257" spans="1:12" ht="33" customHeight="1" x14ac:dyDescent="0.25">
      <c r="A257" s="101"/>
      <c r="B257" s="102"/>
      <c r="C257" s="13" t="s">
        <v>33</v>
      </c>
      <c r="D257" s="14"/>
      <c r="E257" s="14"/>
      <c r="F257" s="14"/>
      <c r="G257" s="14"/>
      <c r="H257" s="14"/>
      <c r="I257" s="52"/>
      <c r="J257" s="37"/>
      <c r="K257" s="52"/>
      <c r="L257" s="29">
        <f t="shared" si="58"/>
        <v>0</v>
      </c>
    </row>
    <row r="258" spans="1:12" ht="15.75" customHeight="1" x14ac:dyDescent="0.25">
      <c r="A258" s="101"/>
      <c r="B258" s="102"/>
      <c r="C258" s="12" t="s">
        <v>34</v>
      </c>
      <c r="D258" s="25">
        <v>70</v>
      </c>
      <c r="E258" s="25">
        <v>70</v>
      </c>
      <c r="F258" s="25"/>
      <c r="G258" s="25"/>
      <c r="H258" s="25"/>
      <c r="I258" s="52"/>
      <c r="J258" s="37"/>
      <c r="K258" s="52"/>
      <c r="L258" s="29">
        <f t="shared" si="58"/>
        <v>140</v>
      </c>
    </row>
    <row r="259" spans="1:12" ht="32.25" customHeight="1" x14ac:dyDescent="0.25">
      <c r="A259" s="101"/>
      <c r="B259" s="102"/>
      <c r="C259" s="13" t="s">
        <v>35</v>
      </c>
      <c r="D259" s="14"/>
      <c r="E259" s="14"/>
      <c r="F259" s="14"/>
      <c r="G259" s="14"/>
      <c r="H259" s="14"/>
      <c r="I259" s="52"/>
      <c r="J259" s="37"/>
      <c r="K259" s="52"/>
      <c r="L259" s="29">
        <f t="shared" si="58"/>
        <v>0</v>
      </c>
    </row>
    <row r="260" spans="1:12" ht="31.5" customHeight="1" x14ac:dyDescent="0.25">
      <c r="A260" s="101"/>
      <c r="B260" s="102"/>
      <c r="C260" s="13" t="s">
        <v>36</v>
      </c>
      <c r="D260" s="14"/>
      <c r="E260" s="14"/>
      <c r="F260" s="14"/>
      <c r="G260" s="14"/>
      <c r="H260" s="14"/>
      <c r="I260" s="52"/>
      <c r="J260" s="37"/>
      <c r="K260" s="52"/>
      <c r="L260" s="29">
        <f t="shared" si="58"/>
        <v>0</v>
      </c>
    </row>
    <row r="261" spans="1:12" ht="15.75" customHeight="1" x14ac:dyDescent="0.25">
      <c r="A261" s="101"/>
      <c r="B261" s="102"/>
      <c r="C261" s="12" t="s">
        <v>37</v>
      </c>
      <c r="D261" s="14"/>
      <c r="E261" s="14"/>
      <c r="F261" s="14"/>
      <c r="G261" s="14"/>
      <c r="H261" s="14"/>
      <c r="I261" s="52"/>
      <c r="J261" s="37"/>
      <c r="K261" s="52"/>
      <c r="L261" s="29">
        <f t="shared" si="58"/>
        <v>0</v>
      </c>
    </row>
    <row r="262" spans="1:12" ht="15.75" x14ac:dyDescent="0.25">
      <c r="A262" s="101" t="s">
        <v>72</v>
      </c>
      <c r="B262" s="102" t="s">
        <v>21</v>
      </c>
      <c r="C262" s="12" t="s">
        <v>31</v>
      </c>
      <c r="D262" s="14">
        <f>D263+D264+D265+D266+D267+D268</f>
        <v>2234.1</v>
      </c>
      <c r="E262" s="14">
        <f t="shared" ref="E262:K262" si="71">E263+E264+E265+E266+E267+E268</f>
        <v>2300.7999999999997</v>
      </c>
      <c r="F262" s="14">
        <f t="shared" si="71"/>
        <v>2241.87</v>
      </c>
      <c r="G262" s="14">
        <f t="shared" si="71"/>
        <v>2249.0699999999997</v>
      </c>
      <c r="H262" s="14">
        <f t="shared" si="71"/>
        <v>2589.1999999999998</v>
      </c>
      <c r="I262" s="41">
        <f t="shared" si="71"/>
        <v>2595.3000000000002</v>
      </c>
      <c r="J262" s="41">
        <f t="shared" si="71"/>
        <v>2597.3000000000002</v>
      </c>
      <c r="K262" s="68">
        <f t="shared" si="71"/>
        <v>2599.4</v>
      </c>
      <c r="L262" s="29">
        <f t="shared" si="58"/>
        <v>19407.04</v>
      </c>
    </row>
    <row r="263" spans="1:12" ht="32.25" customHeight="1" x14ac:dyDescent="0.25">
      <c r="A263" s="101"/>
      <c r="B263" s="102"/>
      <c r="C263" s="13" t="s">
        <v>32</v>
      </c>
      <c r="D263" s="14"/>
      <c r="E263" s="14"/>
      <c r="F263" s="14"/>
      <c r="G263" s="14"/>
      <c r="H263" s="14"/>
      <c r="I263" s="52"/>
      <c r="J263" s="37"/>
      <c r="K263" s="52"/>
      <c r="L263" s="29">
        <f t="shared" si="58"/>
        <v>0</v>
      </c>
    </row>
    <row r="264" spans="1:12" ht="35.25" customHeight="1" x14ac:dyDescent="0.25">
      <c r="A264" s="101"/>
      <c r="B264" s="102"/>
      <c r="C264" s="13" t="s">
        <v>33</v>
      </c>
      <c r="D264" s="14"/>
      <c r="E264" s="14"/>
      <c r="F264" s="14"/>
      <c r="G264" s="14"/>
      <c r="H264" s="14"/>
      <c r="I264" s="52"/>
      <c r="J264" s="37"/>
      <c r="K264" s="52"/>
      <c r="L264" s="29">
        <f t="shared" si="58"/>
        <v>0</v>
      </c>
    </row>
    <row r="265" spans="1:12" ht="15.75" x14ac:dyDescent="0.25">
      <c r="A265" s="101"/>
      <c r="B265" s="102"/>
      <c r="C265" s="12" t="s">
        <v>34</v>
      </c>
      <c r="D265" s="14">
        <v>2234.1</v>
      </c>
      <c r="E265" s="14">
        <f>2247.5+29.7+23.6</f>
        <v>2300.7999999999997</v>
      </c>
      <c r="F265" s="14">
        <f>2040.2+10+191.67</f>
        <v>2241.87</v>
      </c>
      <c r="G265" s="14">
        <f>2241.37-30+24+13.7</f>
        <v>2249.0699999999997</v>
      </c>
      <c r="H265" s="14">
        <v>2589.1999999999998</v>
      </c>
      <c r="I265" s="52">
        <v>2595.3000000000002</v>
      </c>
      <c r="J265" s="37">
        <v>2597.3000000000002</v>
      </c>
      <c r="K265" s="37">
        <v>2599.4</v>
      </c>
      <c r="L265" s="29">
        <f t="shared" si="58"/>
        <v>19407.04</v>
      </c>
    </row>
    <row r="266" spans="1:12" ht="31.5" customHeight="1" x14ac:dyDescent="0.25">
      <c r="A266" s="101"/>
      <c r="B266" s="102"/>
      <c r="C266" s="13" t="s">
        <v>35</v>
      </c>
      <c r="D266" s="14"/>
      <c r="E266" s="14"/>
      <c r="F266" s="14"/>
      <c r="G266" s="14"/>
      <c r="H266" s="14"/>
      <c r="I266" s="52"/>
      <c r="J266" s="37"/>
      <c r="K266" s="52"/>
      <c r="L266" s="29">
        <f t="shared" si="58"/>
        <v>0</v>
      </c>
    </row>
    <row r="267" spans="1:12" ht="30.75" customHeight="1" x14ac:dyDescent="0.25">
      <c r="A267" s="101"/>
      <c r="B267" s="102"/>
      <c r="C267" s="13" t="s">
        <v>36</v>
      </c>
      <c r="D267" s="14"/>
      <c r="E267" s="14"/>
      <c r="F267" s="14"/>
      <c r="G267" s="14"/>
      <c r="H267" s="14"/>
      <c r="I267" s="52"/>
      <c r="J267" s="37"/>
      <c r="K267" s="52"/>
      <c r="L267" s="29">
        <f t="shared" si="58"/>
        <v>0</v>
      </c>
    </row>
    <row r="268" spans="1:12" ht="15.75" x14ac:dyDescent="0.25">
      <c r="A268" s="101"/>
      <c r="B268" s="102"/>
      <c r="C268" s="12" t="s">
        <v>37</v>
      </c>
      <c r="D268" s="14"/>
      <c r="E268" s="14"/>
      <c r="F268" s="14"/>
      <c r="G268" s="14"/>
      <c r="H268" s="14"/>
      <c r="I268" s="52"/>
      <c r="J268" s="37"/>
      <c r="K268" s="52"/>
      <c r="L268" s="29">
        <f t="shared" si="58"/>
        <v>0</v>
      </c>
    </row>
    <row r="269" spans="1:12" ht="15.75" x14ac:dyDescent="0.25">
      <c r="A269" s="101" t="s">
        <v>73</v>
      </c>
      <c r="B269" s="102" t="s">
        <v>22</v>
      </c>
      <c r="C269" s="12" t="s">
        <v>31</v>
      </c>
      <c r="D269" s="14">
        <f>D270+D271+D272+D273+D274+D275</f>
        <v>9945.6</v>
      </c>
      <c r="E269" s="14">
        <f t="shared" ref="E269:F269" si="72">E270+E271+E272+E273+E274+E275</f>
        <v>10123.4</v>
      </c>
      <c r="F269" s="39">
        <f t="shared" si="72"/>
        <v>10767.170000000002</v>
      </c>
      <c r="G269" s="25">
        <f t="shared" ref="G269:K269" si="73">G270+G271+G272+G273+G274+G275</f>
        <v>11207.460000000003</v>
      </c>
      <c r="H269" s="14">
        <f t="shared" si="73"/>
        <v>12555.799000000001</v>
      </c>
      <c r="I269" s="41">
        <f t="shared" si="73"/>
        <v>12880.2</v>
      </c>
      <c r="J269" s="41">
        <f t="shared" si="73"/>
        <v>13014.5</v>
      </c>
      <c r="K269" s="68">
        <f t="shared" si="73"/>
        <v>13159.9</v>
      </c>
      <c r="L269" s="29">
        <f t="shared" si="58"/>
        <v>93654.028999999995</v>
      </c>
    </row>
    <row r="270" spans="1:12" ht="31.5" customHeight="1" x14ac:dyDescent="0.25">
      <c r="A270" s="101"/>
      <c r="B270" s="102"/>
      <c r="C270" s="13" t="s">
        <v>32</v>
      </c>
      <c r="D270" s="14"/>
      <c r="E270" s="14"/>
      <c r="F270" s="14"/>
      <c r="G270" s="25"/>
      <c r="H270" s="14"/>
      <c r="I270" s="52"/>
      <c r="J270" s="37"/>
      <c r="K270" s="52"/>
      <c r="L270" s="29">
        <f t="shared" si="58"/>
        <v>0</v>
      </c>
    </row>
    <row r="271" spans="1:12" ht="33" customHeight="1" x14ac:dyDescent="0.25">
      <c r="A271" s="101"/>
      <c r="B271" s="102"/>
      <c r="C271" s="13" t="s">
        <v>33</v>
      </c>
      <c r="D271" s="14"/>
      <c r="E271" s="14"/>
      <c r="F271" s="14"/>
      <c r="G271" s="25"/>
      <c r="H271" s="14"/>
      <c r="I271" s="52"/>
      <c r="J271" s="37"/>
      <c r="K271" s="52"/>
      <c r="L271" s="29">
        <f t="shared" si="58"/>
        <v>0</v>
      </c>
    </row>
    <row r="272" spans="1:12" ht="15.75" x14ac:dyDescent="0.25">
      <c r="A272" s="101"/>
      <c r="B272" s="102"/>
      <c r="C272" s="12" t="s">
        <v>34</v>
      </c>
      <c r="D272" s="14">
        <v>9945.6</v>
      </c>
      <c r="E272" s="14">
        <f>10397.9+115.5+50-440</f>
        <v>10123.4</v>
      </c>
      <c r="F272" s="14">
        <f>10120.1+121.6+266.37+176-57.9+141</f>
        <v>10767.170000000002</v>
      </c>
      <c r="G272" s="25">
        <f>10717.2+37.7+105.36+35+257.5+176.7-122</f>
        <v>11207.460000000003</v>
      </c>
      <c r="H272" s="14">
        <f>12078.4+75.27+51.5+350.629</f>
        <v>12555.799000000001</v>
      </c>
      <c r="I272" s="52">
        <v>12880.2</v>
      </c>
      <c r="J272" s="37">
        <v>13014.5</v>
      </c>
      <c r="K272" s="52">
        <v>13159.9</v>
      </c>
      <c r="L272" s="29">
        <f t="shared" si="58"/>
        <v>93654.028999999995</v>
      </c>
    </row>
    <row r="273" spans="1:12" ht="32.25" customHeight="1" x14ac:dyDescent="0.25">
      <c r="A273" s="101"/>
      <c r="B273" s="102"/>
      <c r="C273" s="13" t="s">
        <v>35</v>
      </c>
      <c r="D273" s="14"/>
      <c r="E273" s="14"/>
      <c r="F273" s="14"/>
      <c r="G273" s="25"/>
      <c r="H273" s="14"/>
      <c r="I273" s="52"/>
      <c r="J273" s="37"/>
      <c r="K273" s="52"/>
      <c r="L273" s="29">
        <f t="shared" ref="L273:L336" si="74">SUM(D273:K273)</f>
        <v>0</v>
      </c>
    </row>
    <row r="274" spans="1:12" ht="34.5" customHeight="1" x14ac:dyDescent="0.25">
      <c r="A274" s="101"/>
      <c r="B274" s="102"/>
      <c r="C274" s="13" t="s">
        <v>36</v>
      </c>
      <c r="D274" s="14"/>
      <c r="E274" s="14"/>
      <c r="F274" s="14"/>
      <c r="G274" s="25"/>
      <c r="H274" s="14"/>
      <c r="I274" s="52"/>
      <c r="J274" s="37"/>
      <c r="K274" s="52"/>
      <c r="L274" s="29">
        <f t="shared" si="74"/>
        <v>0</v>
      </c>
    </row>
    <row r="275" spans="1:12" ht="15.75" x14ac:dyDescent="0.25">
      <c r="A275" s="101"/>
      <c r="B275" s="102"/>
      <c r="C275" s="12" t="s">
        <v>37</v>
      </c>
      <c r="D275" s="14"/>
      <c r="E275" s="14"/>
      <c r="F275" s="14"/>
      <c r="G275" s="25"/>
      <c r="H275" s="14"/>
      <c r="I275" s="52"/>
      <c r="J275" s="37"/>
      <c r="K275" s="52"/>
      <c r="L275" s="29">
        <f t="shared" si="74"/>
        <v>0</v>
      </c>
    </row>
    <row r="276" spans="1:12" ht="26.25" customHeight="1" x14ac:dyDescent="0.25">
      <c r="A276" s="101" t="s">
        <v>74</v>
      </c>
      <c r="B276" s="102" t="s">
        <v>18</v>
      </c>
      <c r="C276" s="12" t="s">
        <v>31</v>
      </c>
      <c r="D276" s="14">
        <f>D277+D278+D279+D280+D281+D282</f>
        <v>0</v>
      </c>
      <c r="E276" s="14">
        <f t="shared" ref="E276" si="75">E277+E278+E279+E280+E281+E282</f>
        <v>0</v>
      </c>
      <c r="F276" s="14">
        <f t="shared" ref="F276:K276" si="76">F277+F278+F279+F280+F281+F282</f>
        <v>0</v>
      </c>
      <c r="G276" s="25">
        <f t="shared" si="76"/>
        <v>0</v>
      </c>
      <c r="H276" s="14">
        <f t="shared" si="76"/>
        <v>0</v>
      </c>
      <c r="I276" s="41">
        <f t="shared" si="76"/>
        <v>0</v>
      </c>
      <c r="J276" s="41">
        <f t="shared" si="76"/>
        <v>0</v>
      </c>
      <c r="K276" s="68">
        <f t="shared" si="76"/>
        <v>0</v>
      </c>
      <c r="L276" s="29">
        <f t="shared" si="74"/>
        <v>0</v>
      </c>
    </row>
    <row r="277" spans="1:12" ht="29.25" customHeight="1" x14ac:dyDescent="0.25">
      <c r="A277" s="101"/>
      <c r="B277" s="102"/>
      <c r="C277" s="13" t="s">
        <v>32</v>
      </c>
      <c r="D277" s="14"/>
      <c r="E277" s="14"/>
      <c r="F277" s="14"/>
      <c r="G277" s="25"/>
      <c r="H277" s="14"/>
      <c r="I277" s="52"/>
      <c r="J277" s="37"/>
      <c r="K277" s="52"/>
      <c r="L277" s="29">
        <f t="shared" si="74"/>
        <v>0</v>
      </c>
    </row>
    <row r="278" spans="1:12" ht="33" customHeight="1" x14ac:dyDescent="0.25">
      <c r="A278" s="101"/>
      <c r="B278" s="102"/>
      <c r="C278" s="13" t="s">
        <v>33</v>
      </c>
      <c r="D278" s="14"/>
      <c r="E278" s="14"/>
      <c r="F278" s="14"/>
      <c r="G278" s="25"/>
      <c r="H278" s="14"/>
      <c r="I278" s="52"/>
      <c r="J278" s="37"/>
      <c r="K278" s="52"/>
      <c r="L278" s="29">
        <f t="shared" si="74"/>
        <v>0</v>
      </c>
    </row>
    <row r="279" spans="1:12" ht="15.75" customHeight="1" x14ac:dyDescent="0.25">
      <c r="A279" s="101"/>
      <c r="B279" s="102"/>
      <c r="C279" s="12" t="s">
        <v>34</v>
      </c>
      <c r="D279" s="14"/>
      <c r="E279" s="14"/>
      <c r="F279" s="14"/>
      <c r="G279" s="25"/>
      <c r="H279" s="14"/>
      <c r="I279" s="52"/>
      <c r="J279" s="37"/>
      <c r="K279" s="52"/>
      <c r="L279" s="29">
        <f t="shared" si="74"/>
        <v>0</v>
      </c>
    </row>
    <row r="280" spans="1:12" ht="32.25" customHeight="1" x14ac:dyDescent="0.25">
      <c r="A280" s="101"/>
      <c r="B280" s="102"/>
      <c r="C280" s="13" t="s">
        <v>35</v>
      </c>
      <c r="D280" s="14"/>
      <c r="E280" s="14"/>
      <c r="F280" s="14"/>
      <c r="G280" s="25"/>
      <c r="H280" s="14"/>
      <c r="I280" s="52"/>
      <c r="J280" s="37"/>
      <c r="K280" s="52"/>
      <c r="L280" s="29">
        <f t="shared" si="74"/>
        <v>0</v>
      </c>
    </row>
    <row r="281" spans="1:12" ht="28.5" customHeight="1" x14ac:dyDescent="0.25">
      <c r="A281" s="101"/>
      <c r="B281" s="102"/>
      <c r="C281" s="13" t="s">
        <v>36</v>
      </c>
      <c r="D281" s="14"/>
      <c r="E281" s="14"/>
      <c r="F281" s="14"/>
      <c r="G281" s="25"/>
      <c r="H281" s="14"/>
      <c r="I281" s="52"/>
      <c r="J281" s="37"/>
      <c r="K281" s="52"/>
      <c r="L281" s="29">
        <f t="shared" si="74"/>
        <v>0</v>
      </c>
    </row>
    <row r="282" spans="1:12" ht="15.75" x14ac:dyDescent="0.25">
      <c r="A282" s="101"/>
      <c r="B282" s="102"/>
      <c r="C282" s="12" t="s">
        <v>37</v>
      </c>
      <c r="D282" s="14"/>
      <c r="E282" s="14"/>
      <c r="F282" s="14"/>
      <c r="G282" s="25"/>
      <c r="H282" s="14"/>
      <c r="I282" s="52"/>
      <c r="J282" s="37"/>
      <c r="K282" s="52"/>
      <c r="L282" s="29">
        <f t="shared" si="74"/>
        <v>0</v>
      </c>
    </row>
    <row r="283" spans="1:12" ht="15.75" customHeight="1" x14ac:dyDescent="0.25">
      <c r="A283" s="101" t="s">
        <v>89</v>
      </c>
      <c r="B283" s="93" t="s">
        <v>88</v>
      </c>
      <c r="C283" s="12" t="s">
        <v>31</v>
      </c>
      <c r="D283" s="32">
        <f>D284+D285+D286+D287+D288+D289</f>
        <v>431.2</v>
      </c>
      <c r="E283" s="32">
        <f t="shared" ref="E283:K283" si="77">E284+E285+E286+E287+E288+E289</f>
        <v>1383.3</v>
      </c>
      <c r="F283" s="32">
        <f t="shared" si="77"/>
        <v>1408</v>
      </c>
      <c r="G283" s="25">
        <f t="shared" si="77"/>
        <v>1454.6499999999999</v>
      </c>
      <c r="H283" s="32">
        <f t="shared" si="77"/>
        <v>1549.9999999999998</v>
      </c>
      <c r="I283" s="41">
        <f t="shared" si="77"/>
        <v>1627.5</v>
      </c>
      <c r="J283" s="41">
        <f t="shared" si="77"/>
        <v>1627.5</v>
      </c>
      <c r="K283" s="68">
        <f t="shared" si="77"/>
        <v>1627.5</v>
      </c>
      <c r="L283" s="29">
        <f t="shared" si="74"/>
        <v>11109.65</v>
      </c>
    </row>
    <row r="284" spans="1:12" ht="33" customHeight="1" x14ac:dyDescent="0.25">
      <c r="A284" s="101"/>
      <c r="B284" s="98"/>
      <c r="C284" s="13" t="s">
        <v>32</v>
      </c>
      <c r="D284" s="32"/>
      <c r="E284" s="32"/>
      <c r="F284" s="32"/>
      <c r="G284" s="25"/>
      <c r="H284" s="32"/>
      <c r="I284" s="52"/>
      <c r="J284" s="37"/>
      <c r="K284" s="52"/>
      <c r="L284" s="29">
        <f t="shared" si="74"/>
        <v>0</v>
      </c>
    </row>
    <row r="285" spans="1:12" ht="28.5" customHeight="1" x14ac:dyDescent="0.25">
      <c r="A285" s="101"/>
      <c r="B285" s="98"/>
      <c r="C285" s="13" t="s">
        <v>33</v>
      </c>
      <c r="D285" s="32"/>
      <c r="E285" s="32"/>
      <c r="F285" s="32"/>
      <c r="G285" s="25"/>
      <c r="H285" s="32"/>
      <c r="I285" s="52"/>
      <c r="J285" s="37"/>
      <c r="K285" s="52"/>
      <c r="L285" s="29">
        <f t="shared" si="74"/>
        <v>0</v>
      </c>
    </row>
    <row r="286" spans="1:12" ht="15.75" x14ac:dyDescent="0.25">
      <c r="A286" s="101"/>
      <c r="B286" s="98"/>
      <c r="C286" s="12" t="s">
        <v>34</v>
      </c>
      <c r="D286" s="32">
        <v>431.2</v>
      </c>
      <c r="E286" s="32">
        <f>1400.2-16.9</f>
        <v>1383.3</v>
      </c>
      <c r="F286" s="32">
        <f>1400+8</f>
        <v>1408</v>
      </c>
      <c r="G286" s="25">
        <f>1416.1+22.55+16</f>
        <v>1454.6499999999999</v>
      </c>
      <c r="H286" s="32">
        <f>1488.3+25.09+36.61</f>
        <v>1549.9999999999998</v>
      </c>
      <c r="I286" s="37">
        <v>1627.5</v>
      </c>
      <c r="J286" s="37">
        <v>1627.5</v>
      </c>
      <c r="K286" s="52">
        <v>1627.5</v>
      </c>
      <c r="L286" s="29">
        <f t="shared" si="74"/>
        <v>11109.65</v>
      </c>
    </row>
    <row r="287" spans="1:12" ht="30.75" customHeight="1" x14ac:dyDescent="0.25">
      <c r="A287" s="101"/>
      <c r="B287" s="98"/>
      <c r="C287" s="13" t="s">
        <v>35</v>
      </c>
      <c r="D287" s="32"/>
      <c r="E287" s="32"/>
      <c r="F287" s="32"/>
      <c r="G287" s="25"/>
      <c r="H287" s="32"/>
      <c r="I287" s="52"/>
      <c r="J287" s="37"/>
      <c r="K287" s="52"/>
      <c r="L287" s="29">
        <f t="shared" si="74"/>
        <v>0</v>
      </c>
    </row>
    <row r="288" spans="1:12" ht="31.5" customHeight="1" x14ac:dyDescent="0.25">
      <c r="A288" s="101"/>
      <c r="B288" s="98"/>
      <c r="C288" s="13" t="s">
        <v>36</v>
      </c>
      <c r="D288" s="32"/>
      <c r="E288" s="32"/>
      <c r="F288" s="32"/>
      <c r="G288" s="25"/>
      <c r="H288" s="32"/>
      <c r="I288" s="52"/>
      <c r="J288" s="37"/>
      <c r="K288" s="52"/>
      <c r="L288" s="29">
        <f t="shared" si="74"/>
        <v>0</v>
      </c>
    </row>
    <row r="289" spans="1:12" ht="15.75" x14ac:dyDescent="0.25">
      <c r="A289" s="101"/>
      <c r="B289" s="94"/>
      <c r="C289" s="12" t="s">
        <v>37</v>
      </c>
      <c r="D289" s="32"/>
      <c r="E289" s="32"/>
      <c r="F289" s="32"/>
      <c r="G289" s="25"/>
      <c r="H289" s="32"/>
      <c r="I289" s="52"/>
      <c r="J289" s="37"/>
      <c r="K289" s="52"/>
      <c r="L289" s="29">
        <f t="shared" si="74"/>
        <v>0</v>
      </c>
    </row>
    <row r="290" spans="1:12" ht="21" customHeight="1" x14ac:dyDescent="0.25">
      <c r="A290" s="114" t="s">
        <v>91</v>
      </c>
      <c r="B290" s="72" t="s">
        <v>98</v>
      </c>
      <c r="C290" s="5" t="s">
        <v>31</v>
      </c>
      <c r="D290" s="36">
        <f>D291+D292+D293+D294+D295+D296</f>
        <v>0</v>
      </c>
      <c r="E290" s="36">
        <f t="shared" ref="E290:K290" si="78">E291+E292+E293+E294+E295+E296</f>
        <v>55</v>
      </c>
      <c r="F290" s="36">
        <f>F291+F292+F293+F294+F295+F296</f>
        <v>74</v>
      </c>
      <c r="G290" s="25">
        <f t="shared" si="78"/>
        <v>74</v>
      </c>
      <c r="H290" s="36">
        <f t="shared" si="78"/>
        <v>74</v>
      </c>
      <c r="I290" s="41">
        <f t="shared" si="78"/>
        <v>74</v>
      </c>
      <c r="J290" s="41">
        <f t="shared" si="78"/>
        <v>77.3</v>
      </c>
      <c r="K290" s="68">
        <f t="shared" si="78"/>
        <v>80.900000000000006</v>
      </c>
      <c r="L290" s="29">
        <f t="shared" si="74"/>
        <v>509.20000000000005</v>
      </c>
    </row>
    <row r="291" spans="1:12" ht="30.75" customHeight="1" x14ac:dyDescent="0.25">
      <c r="A291" s="115"/>
      <c r="B291" s="117"/>
      <c r="C291" s="4" t="s">
        <v>32</v>
      </c>
      <c r="D291" s="37"/>
      <c r="E291" s="37"/>
      <c r="F291" s="37"/>
      <c r="G291" s="47"/>
      <c r="H291" s="37"/>
      <c r="I291" s="52"/>
      <c r="J291" s="37"/>
      <c r="K291" s="52"/>
      <c r="L291" s="29">
        <f t="shared" si="74"/>
        <v>0</v>
      </c>
    </row>
    <row r="292" spans="1:12" ht="31.5" customHeight="1" x14ac:dyDescent="0.25">
      <c r="A292" s="115"/>
      <c r="B292" s="117"/>
      <c r="C292" s="4" t="s">
        <v>33</v>
      </c>
      <c r="D292" s="37"/>
      <c r="E292" s="37"/>
      <c r="F292" s="37"/>
      <c r="G292" s="47"/>
      <c r="H292" s="37"/>
      <c r="I292" s="52"/>
      <c r="J292" s="37"/>
      <c r="K292" s="52"/>
      <c r="L292" s="29">
        <f t="shared" si="74"/>
        <v>0</v>
      </c>
    </row>
    <row r="293" spans="1:12" ht="25.5" customHeight="1" x14ac:dyDescent="0.25">
      <c r="A293" s="115"/>
      <c r="B293" s="117"/>
      <c r="C293" s="5" t="s">
        <v>34</v>
      </c>
      <c r="D293" s="37"/>
      <c r="E293" s="37">
        <f>55</f>
        <v>55</v>
      </c>
      <c r="F293" s="37">
        <v>74</v>
      </c>
      <c r="G293" s="47">
        <v>74</v>
      </c>
      <c r="H293" s="37">
        <v>74</v>
      </c>
      <c r="I293" s="37">
        <v>74</v>
      </c>
      <c r="J293" s="37">
        <v>77.3</v>
      </c>
      <c r="K293" s="52">
        <v>80.900000000000006</v>
      </c>
      <c r="L293" s="29">
        <f t="shared" si="74"/>
        <v>509.20000000000005</v>
      </c>
    </row>
    <row r="294" spans="1:12" ht="33" customHeight="1" x14ac:dyDescent="0.25">
      <c r="A294" s="115"/>
      <c r="B294" s="117"/>
      <c r="C294" s="4" t="s">
        <v>35</v>
      </c>
      <c r="D294" s="37"/>
      <c r="E294" s="37"/>
      <c r="F294" s="37"/>
      <c r="G294" s="47"/>
      <c r="H294" s="37"/>
      <c r="I294" s="52"/>
      <c r="J294" s="37"/>
      <c r="K294" s="52"/>
      <c r="L294" s="29">
        <f t="shared" si="74"/>
        <v>0</v>
      </c>
    </row>
    <row r="295" spans="1:12" ht="28.5" customHeight="1" x14ac:dyDescent="0.25">
      <c r="A295" s="115"/>
      <c r="B295" s="117"/>
      <c r="C295" s="4" t="s">
        <v>36</v>
      </c>
      <c r="D295" s="37"/>
      <c r="E295" s="37"/>
      <c r="F295" s="37"/>
      <c r="G295" s="47"/>
      <c r="H295" s="37"/>
      <c r="I295" s="52"/>
      <c r="J295" s="37"/>
      <c r="K295" s="52"/>
      <c r="L295" s="29">
        <f t="shared" si="74"/>
        <v>0</v>
      </c>
    </row>
    <row r="296" spans="1:12" ht="15.75" x14ac:dyDescent="0.25">
      <c r="A296" s="116"/>
      <c r="B296" s="73"/>
      <c r="C296" s="5" t="s">
        <v>37</v>
      </c>
      <c r="D296" s="37"/>
      <c r="E296" s="37"/>
      <c r="F296" s="37"/>
      <c r="G296" s="47"/>
      <c r="H296" s="37"/>
      <c r="I296" s="52"/>
      <c r="J296" s="37"/>
      <c r="K296" s="52"/>
      <c r="L296" s="29">
        <f t="shared" si="74"/>
        <v>0</v>
      </c>
    </row>
  </sheetData>
  <mergeCells count="86">
    <mergeCell ref="A185:A191"/>
    <mergeCell ref="A171:A177"/>
    <mergeCell ref="A192:A198"/>
    <mergeCell ref="A178:A184"/>
    <mergeCell ref="B178:B184"/>
    <mergeCell ref="A199:A205"/>
    <mergeCell ref="A262:A268"/>
    <mergeCell ref="A241:A247"/>
    <mergeCell ref="A206:A212"/>
    <mergeCell ref="A213:A219"/>
    <mergeCell ref="A220:A226"/>
    <mergeCell ref="A227:A233"/>
    <mergeCell ref="A255:A261"/>
    <mergeCell ref="A248:A254"/>
    <mergeCell ref="A234:A240"/>
    <mergeCell ref="B248:B254"/>
    <mergeCell ref="B262:B268"/>
    <mergeCell ref="B269:B275"/>
    <mergeCell ref="B199:B205"/>
    <mergeCell ref="B129:B135"/>
    <mergeCell ref="B136:B142"/>
    <mergeCell ref="B150:B156"/>
    <mergeCell ref="B185:B191"/>
    <mergeCell ref="B192:B198"/>
    <mergeCell ref="B164:B170"/>
    <mergeCell ref="B220:B226"/>
    <mergeCell ref="B227:B233"/>
    <mergeCell ref="B143:B149"/>
    <mergeCell ref="B241:B247"/>
    <mergeCell ref="B206:B212"/>
    <mergeCell ref="B213:B219"/>
    <mergeCell ref="A290:A296"/>
    <mergeCell ref="B290:B296"/>
    <mergeCell ref="B283:B289"/>
    <mergeCell ref="A283:A289"/>
    <mergeCell ref="B255:B261"/>
    <mergeCell ref="B276:B282"/>
    <mergeCell ref="A269:A275"/>
    <mergeCell ref="A276:A282"/>
    <mergeCell ref="B234:B240"/>
    <mergeCell ref="B24:B30"/>
    <mergeCell ref="B31:B37"/>
    <mergeCell ref="B38:B44"/>
    <mergeCell ref="B101:B107"/>
    <mergeCell ref="B108:B114"/>
    <mergeCell ref="B45:B51"/>
    <mergeCell ref="B52:B58"/>
    <mergeCell ref="B59:B65"/>
    <mergeCell ref="B66:B72"/>
    <mergeCell ref="B87:B93"/>
    <mergeCell ref="B122:B128"/>
    <mergeCell ref="B157:B163"/>
    <mergeCell ref="B73:B79"/>
    <mergeCell ref="B171:B177"/>
    <mergeCell ref="B80:B86"/>
    <mergeCell ref="A164:A170"/>
    <mergeCell ref="A129:A135"/>
    <mergeCell ref="A157:A163"/>
    <mergeCell ref="A73:A79"/>
    <mergeCell ref="A136:A142"/>
    <mergeCell ref="A143:A149"/>
    <mergeCell ref="A150:A156"/>
    <mergeCell ref="A87:A93"/>
    <mergeCell ref="A94:A100"/>
    <mergeCell ref="A101:A107"/>
    <mergeCell ref="A108:A114"/>
    <mergeCell ref="A115:A121"/>
    <mergeCell ref="D1:K2"/>
    <mergeCell ref="D3:K6"/>
    <mergeCell ref="A66:A72"/>
    <mergeCell ref="A80:A86"/>
    <mergeCell ref="A122:A128"/>
    <mergeCell ref="B94:B100"/>
    <mergeCell ref="B115:B121"/>
    <mergeCell ref="A8:K13"/>
    <mergeCell ref="A59:A65"/>
    <mergeCell ref="B15:B16"/>
    <mergeCell ref="C15:C16"/>
    <mergeCell ref="B17:B23"/>
    <mergeCell ref="A17:A23"/>
    <mergeCell ref="A45:A51"/>
    <mergeCell ref="A24:A30"/>
    <mergeCell ref="A31:A37"/>
    <mergeCell ref="A38:A44"/>
    <mergeCell ref="A52:A58"/>
    <mergeCell ref="D15:K15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мун.зад.</vt:lpstr>
      <vt:lpstr>Ресурсн.обеспеч.</vt:lpstr>
      <vt:lpstr>Инфор. о рес.об.</vt:lpstr>
      <vt:lpstr>'Инфор. о рес.об.'!Область_печати</vt:lpstr>
      <vt:lpstr>Ресурсн.обеспеч.!Область_печати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2018-09-28T00:00:11Z</dcterms:modified>
</cp:coreProperties>
</file>